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tvshosur-my.sharepoint.com/personal/sss_moorthy_tvsmotor_com/Documents/D drive/isdpcs3700/2024-25/Cost analysis/Plastic Parts/Only Plastic/"/>
    </mc:Choice>
  </mc:AlternateContent>
  <xr:revisionPtr revIDLastSave="531" documentId="8_{C6089666-EDB7-4F5F-994A-01CF1C19CF7C}" xr6:coauthVersionLast="47" xr6:coauthVersionMax="47" xr10:uidLastSave="{F5DF3608-3B09-40A1-8F8D-07C4AB056CAC}"/>
  <bookViews>
    <workbookView xWindow="-120" yWindow="-120" windowWidth="20730" windowHeight="11040" tabRatio="569" xr2:uid="{565C8F2C-D37A-43E1-B4B6-689467B01F21}"/>
  </bookViews>
  <sheets>
    <sheet name="Sheet1" sheetId="1" r:id="rId1"/>
    <sheet name="Sheet2" sheetId="5" r:id="rId2"/>
    <sheet name="Summary" sheetId="4" r:id="rId3"/>
  </sheets>
  <definedNames>
    <definedName name="_xlnm._FilterDatabase" localSheetId="0" hidden="1">Sheet1!$A$1:$NZ$2600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3" i="4" l="1"/>
  <c r="LL951" i="1" l="1"/>
  <c r="LN951" i="1" s="1"/>
  <c r="LB951" i="1"/>
  <c r="LD951" i="1" s="1"/>
  <c r="LE951" i="1" s="1"/>
  <c r="KV951" i="1"/>
  <c r="KW951" i="1" s="1"/>
  <c r="KA951" i="1"/>
  <c r="KC951" i="1" s="1"/>
  <c r="IV951" i="1"/>
  <c r="JQ951" i="1" s="1"/>
  <c r="JS951" i="1" s="1"/>
  <c r="JT951" i="1" s="1"/>
  <c r="IR951" i="1"/>
  <c r="IS951" i="1" s="1"/>
  <c r="IC951" i="1"/>
  <c r="IB951" i="1"/>
  <c r="IA951" i="1"/>
  <c r="HT951" i="1"/>
  <c r="HN951" i="1"/>
  <c r="HF951" i="1"/>
  <c r="HH951" i="1" s="1"/>
  <c r="HJ951" i="1" s="1"/>
  <c r="EX951" i="1"/>
  <c r="EU951" i="1" s="1"/>
  <c r="DB951" i="1"/>
  <c r="CW951" i="1"/>
  <c r="CR951" i="1"/>
  <c r="CM951" i="1"/>
  <c r="AZ951" i="1"/>
  <c r="BA951" i="1" s="1"/>
  <c r="AU951" i="1"/>
  <c r="AS951" i="1"/>
  <c r="AR951" i="1"/>
  <c r="AO951" i="1"/>
  <c r="AJ951" i="1"/>
  <c r="DM951" i="1" l="1"/>
  <c r="DO951" i="1" s="1"/>
  <c r="HO951" i="1"/>
  <c r="HV951" i="1" s="1"/>
  <c r="AM951" i="1" s="1"/>
  <c r="IE951" i="1"/>
  <c r="IG951" i="1" s="1"/>
  <c r="AN951" i="1" s="1"/>
  <c r="GS951" i="1"/>
  <c r="AL951" i="1" s="1"/>
  <c r="AE951" i="1"/>
  <c r="KJ951" i="1"/>
  <c r="KH951" i="1"/>
  <c r="KF951" i="1"/>
  <c r="GU951" i="1"/>
  <c r="AK951" i="1" s="1"/>
  <c r="AG951" i="1"/>
  <c r="LQ951" i="1"/>
  <c r="LU951" i="1"/>
  <c r="LS951" i="1"/>
  <c r="IC947" i="1"/>
  <c r="IB947" i="1"/>
  <c r="IA947" i="1"/>
  <c r="HT947" i="1"/>
  <c r="HN947" i="1"/>
  <c r="HF947" i="1"/>
  <c r="HH947" i="1" s="1"/>
  <c r="HJ947" i="1" s="1"/>
  <c r="EL947" i="1"/>
  <c r="EU947" i="1" s="1"/>
  <c r="CW947" i="1"/>
  <c r="CR947" i="1"/>
  <c r="CM947" i="1"/>
  <c r="CH947" i="1"/>
  <c r="AZ947" i="1"/>
  <c r="BA947" i="1" s="1"/>
  <c r="AU947" i="1"/>
  <c r="AS947" i="1"/>
  <c r="AR947" i="1"/>
  <c r="AO947" i="1"/>
  <c r="IC946" i="1"/>
  <c r="IB946" i="1"/>
  <c r="IA946" i="1"/>
  <c r="HT946" i="1"/>
  <c r="HN946" i="1"/>
  <c r="HF946" i="1"/>
  <c r="HH946" i="1" s="1"/>
  <c r="HJ946" i="1" s="1"/>
  <c r="HO946" i="1" s="1"/>
  <c r="HV946" i="1" s="1"/>
  <c r="AM946" i="1" s="1"/>
  <c r="EL946" i="1"/>
  <c r="EU946" i="1" s="1"/>
  <c r="CW946" i="1"/>
  <c r="CR946" i="1"/>
  <c r="CM946" i="1"/>
  <c r="CH946" i="1"/>
  <c r="AZ946" i="1"/>
  <c r="AS946" i="1"/>
  <c r="AR946" i="1"/>
  <c r="AO946" i="1"/>
  <c r="AC946" i="1"/>
  <c r="IG1094" i="1"/>
  <c r="AN1094" i="1" s="1"/>
  <c r="HT1094" i="1"/>
  <c r="HR1094" i="1"/>
  <c r="HN1094" i="1"/>
  <c r="HF1094" i="1"/>
  <c r="HH1094" i="1" s="1"/>
  <c r="HJ1094" i="1" s="1"/>
  <c r="EL1094" i="1"/>
  <c r="EG1094" i="1"/>
  <c r="AW1094" i="1"/>
  <c r="BK1094" i="1" s="1"/>
  <c r="AU1094" i="1"/>
  <c r="AS1094" i="1"/>
  <c r="AR1094" i="1"/>
  <c r="AI1094" i="1"/>
  <c r="AH1094" i="1"/>
  <c r="AF1094" i="1"/>
  <c r="DM946" i="1" l="1"/>
  <c r="AH951" i="1"/>
  <c r="IE947" i="1"/>
  <c r="IG947" i="1" s="1"/>
  <c r="AN947" i="1" s="1"/>
  <c r="BA946" i="1"/>
  <c r="KN951" i="1"/>
  <c r="DT951" i="1" s="1"/>
  <c r="DU951" i="1" s="1"/>
  <c r="AI951" i="1"/>
  <c r="DP951" i="1"/>
  <c r="LY951" i="1"/>
  <c r="DY951" i="1" s="1"/>
  <c r="DZ951" i="1" s="1"/>
  <c r="IE946" i="1"/>
  <c r="IG946" i="1" s="1"/>
  <c r="AN946" i="1" s="1"/>
  <c r="DM947" i="1"/>
  <c r="DO947" i="1" s="1"/>
  <c r="AI947" i="1" s="1"/>
  <c r="HO947" i="1"/>
  <c r="HV947" i="1" s="1"/>
  <c r="AM947" i="1" s="1"/>
  <c r="GW947" i="1"/>
  <c r="AJ947" i="1" s="1"/>
  <c r="GU947" i="1"/>
  <c r="AK947" i="1" s="1"/>
  <c r="AG947" i="1"/>
  <c r="DO946" i="1"/>
  <c r="AI946" i="1" s="1"/>
  <c r="AH946" i="1"/>
  <c r="GW946" i="1"/>
  <c r="AJ946" i="1" s="1"/>
  <c r="GU946" i="1"/>
  <c r="AK946" i="1" s="1"/>
  <c r="AG946" i="1"/>
  <c r="GS946" i="1"/>
  <c r="AE946" i="1"/>
  <c r="AE947" i="1"/>
  <c r="GS947" i="1"/>
  <c r="EU1094" i="1"/>
  <c r="AG1094" i="1" s="1"/>
  <c r="HL1094" i="1"/>
  <c r="HO1094" i="1"/>
  <c r="HV1094" i="1" s="1"/>
  <c r="AM1094" i="1" s="1"/>
  <c r="AZ1094" i="1"/>
  <c r="BA1094" i="1" s="1"/>
  <c r="AH947" i="1" l="1"/>
  <c r="AF951" i="1"/>
  <c r="AQ951" i="1" s="1"/>
  <c r="AV951" i="1" s="1"/>
  <c r="AL946" i="1"/>
  <c r="AQ946" i="1" s="1"/>
  <c r="AV946" i="1" s="1"/>
  <c r="GX946" i="1"/>
  <c r="DP947" i="1"/>
  <c r="DP946" i="1"/>
  <c r="GX947" i="1"/>
  <c r="AL947" i="1"/>
  <c r="AE1094" i="1"/>
  <c r="GU1094" i="1"/>
  <c r="GW1094" i="1"/>
  <c r="AJ1094" i="1" s="1"/>
  <c r="AQ947" i="1" l="1"/>
  <c r="AV947" i="1" s="1"/>
  <c r="GS1094" i="1"/>
  <c r="AK1094" i="1"/>
  <c r="AL1094" i="1" l="1"/>
  <c r="AQ1094" i="1" s="1"/>
  <c r="AV1094" i="1" s="1"/>
  <c r="GX1094" i="1"/>
  <c r="IG1022" i="1" l="1"/>
  <c r="AN1022" i="1" s="1"/>
  <c r="HT1022" i="1"/>
  <c r="HN1022" i="1"/>
  <c r="HF1022" i="1"/>
  <c r="HH1022" i="1" s="1"/>
  <c r="HJ1022" i="1" s="1"/>
  <c r="EL1022" i="1"/>
  <c r="EG1022" i="1"/>
  <c r="BG1022" i="1"/>
  <c r="BC1022" i="1"/>
  <c r="AZ1022" i="1"/>
  <c r="AU1022" i="1"/>
  <c r="AS1022" i="1"/>
  <c r="AJ1022" i="1"/>
  <c r="AI1022" i="1"/>
  <c r="AH1022" i="1"/>
  <c r="IG1021" i="1"/>
  <c r="AN1021" i="1" s="1"/>
  <c r="HT1021" i="1"/>
  <c r="HN1021" i="1"/>
  <c r="HF1021" i="1"/>
  <c r="HH1021" i="1" s="1"/>
  <c r="HJ1021" i="1" s="1"/>
  <c r="EL1021" i="1"/>
  <c r="EG1021" i="1"/>
  <c r="BG1021" i="1"/>
  <c r="BC1021" i="1"/>
  <c r="AZ1021" i="1"/>
  <c r="AU1021" i="1"/>
  <c r="AS1021" i="1"/>
  <c r="AJ1021" i="1"/>
  <c r="AI1021" i="1"/>
  <c r="AH1021" i="1"/>
  <c r="BA1022" i="1" l="1"/>
  <c r="BA1021" i="1"/>
  <c r="HO1022" i="1"/>
  <c r="HV1022" i="1" s="1"/>
  <c r="AM1022" i="1" s="1"/>
  <c r="HL1022" i="1"/>
  <c r="BD1022" i="1"/>
  <c r="BI1022" i="1"/>
  <c r="BK1022" i="1"/>
  <c r="ET1022" i="1"/>
  <c r="EU1022" i="1" s="1"/>
  <c r="HO1021" i="1"/>
  <c r="HV1021" i="1" s="1"/>
  <c r="AM1021" i="1" s="1"/>
  <c r="HL1021" i="1"/>
  <c r="BD1021" i="1"/>
  <c r="BI1021" i="1"/>
  <c r="BK1021" i="1"/>
  <c r="ET1021" i="1"/>
  <c r="EU1021" i="1" s="1"/>
  <c r="IG1008" i="1"/>
  <c r="AN1008" i="1" s="1"/>
  <c r="HT1008" i="1"/>
  <c r="HN1008" i="1"/>
  <c r="HF1008" i="1"/>
  <c r="HH1008" i="1" s="1"/>
  <c r="HJ1008" i="1" s="1"/>
  <c r="EL1008" i="1"/>
  <c r="EG1008" i="1"/>
  <c r="BG1008" i="1"/>
  <c r="BC1008" i="1"/>
  <c r="AZ1008" i="1"/>
  <c r="AU1008" i="1"/>
  <c r="AS1008" i="1"/>
  <c r="AJ1008" i="1"/>
  <c r="AI1008" i="1"/>
  <c r="AH1008" i="1"/>
  <c r="BL1022" i="1" l="1"/>
  <c r="EM1022" i="1" s="1"/>
  <c r="BL1021" i="1"/>
  <c r="GO1021" i="1" s="1"/>
  <c r="BA1008" i="1"/>
  <c r="HO1008" i="1"/>
  <c r="HV1008" i="1" s="1"/>
  <c r="AM1008" i="1" s="1"/>
  <c r="HL1008" i="1"/>
  <c r="BD1008" i="1"/>
  <c r="BI1008" i="1"/>
  <c r="BK1008" i="1"/>
  <c r="ET1008" i="1"/>
  <c r="EU1008" i="1" s="1"/>
  <c r="EM1021" i="1" l="1"/>
  <c r="AG1021" i="1" s="1"/>
  <c r="AE1021" i="1"/>
  <c r="GQ1021" i="1"/>
  <c r="AL1021" i="1" s="1"/>
  <c r="GQ1022" i="1"/>
  <c r="AE1022" i="1"/>
  <c r="AG1022" i="1"/>
  <c r="GU1022" i="1"/>
  <c r="AK1022" i="1" s="1"/>
  <c r="GO1022" i="1"/>
  <c r="AL1022" i="1" s="1"/>
  <c r="BL1008" i="1"/>
  <c r="GO1008" i="1" s="1"/>
  <c r="GU1021" i="1" l="1"/>
  <c r="AK1021" i="1" s="1"/>
  <c r="AQ1021" i="1" s="1"/>
  <c r="AV1021" i="1" s="1"/>
  <c r="GU1008" i="1"/>
  <c r="AE1008" i="1"/>
  <c r="GX1022" i="1"/>
  <c r="GQ1008" i="1"/>
  <c r="EM1008" i="1"/>
  <c r="AG1008" i="1" s="1"/>
  <c r="AQ1022" i="1"/>
  <c r="AV1022" i="1" s="1"/>
  <c r="AL1008" i="1"/>
  <c r="GX1021" i="1" l="1"/>
  <c r="GX1008" i="1"/>
  <c r="AK1008" i="1"/>
  <c r="AQ1008" i="1" s="1"/>
  <c r="AV1008" i="1" s="1"/>
  <c r="LX1176" i="1" l="1"/>
  <c r="LM1176" i="1"/>
  <c r="LL1176" i="1"/>
  <c r="LN1176" i="1" s="1"/>
  <c r="KT1176" i="1"/>
  <c r="KS1176" i="1"/>
  <c r="KM1176" i="1"/>
  <c r="KB1176" i="1"/>
  <c r="KA1176" i="1"/>
  <c r="KC1176" i="1" s="1"/>
  <c r="JQ1176" i="1"/>
  <c r="JS1176" i="1" s="1"/>
  <c r="JT1176" i="1" s="1"/>
  <c r="IP1176" i="1"/>
  <c r="IO1176" i="1"/>
  <c r="FA1176" i="1"/>
  <c r="EO1176" i="1"/>
  <c r="EL1176" i="1"/>
  <c r="EU1176" i="1" s="1"/>
  <c r="AG1176" i="1" s="1"/>
  <c r="CH1176" i="1"/>
  <c r="DM1176" i="1" s="1"/>
  <c r="AX1176" i="1"/>
  <c r="AZ1176" i="1" s="1"/>
  <c r="BA1176" i="1" s="1"/>
  <c r="AE1176" i="1" s="1"/>
  <c r="AW1176" i="1"/>
  <c r="AU1176" i="1"/>
  <c r="AR1176" i="1"/>
  <c r="AI1176" i="1"/>
  <c r="DP1176" i="1" l="1"/>
  <c r="AH1176" i="1"/>
  <c r="GO1176" i="1"/>
  <c r="GQ1176" i="1"/>
  <c r="KV1176" i="1"/>
  <c r="KW1176" i="1" s="1"/>
  <c r="LV1176" i="1" s="1"/>
  <c r="GU1176" i="1"/>
  <c r="AK1176" i="1" s="1"/>
  <c r="GW1176" i="1"/>
  <c r="AJ1176" i="1" s="1"/>
  <c r="HV1176" i="1"/>
  <c r="AM1176" i="1" s="1"/>
  <c r="IG1176" i="1"/>
  <c r="AN1176" i="1" s="1"/>
  <c r="IR1176" i="1"/>
  <c r="IS1176" i="1" s="1"/>
  <c r="AL1176" i="1" l="1"/>
  <c r="LU1176" i="1"/>
  <c r="KJ1176" i="1"/>
  <c r="KF1176" i="1"/>
  <c r="KL1176" i="1"/>
  <c r="KK1176" i="1"/>
  <c r="KH1176" i="1"/>
  <c r="LW1176" i="1"/>
  <c r="LQ1176" i="1"/>
  <c r="LS1176" i="1"/>
  <c r="LY1176" i="1" l="1"/>
  <c r="DY1176" i="1" s="1"/>
  <c r="DZ1176" i="1" s="1"/>
  <c r="KN1176" i="1"/>
  <c r="DT1176" i="1" s="1"/>
  <c r="DU1176" i="1" s="1"/>
  <c r="NP22" i="1"/>
  <c r="NQ22" i="1" s="1"/>
  <c r="NF22" i="1"/>
  <c r="NH22" i="1" s="1"/>
  <c r="NI22" i="1" s="1"/>
  <c r="MG22" i="1"/>
  <c r="MH22" i="1" s="1"/>
  <c r="LL22" i="1"/>
  <c r="LN22" i="1" s="1"/>
  <c r="LU22" i="1" s="1"/>
  <c r="LB22" i="1"/>
  <c r="LD22" i="1" s="1"/>
  <c r="KV22" i="1"/>
  <c r="KW22" i="1" s="1"/>
  <c r="KA22" i="1"/>
  <c r="KC22" i="1" s="1"/>
  <c r="JQ22" i="1"/>
  <c r="JS22" i="1" s="1"/>
  <c r="JT22" i="1" s="1"/>
  <c r="IR22" i="1"/>
  <c r="IS22" i="1" s="1"/>
  <c r="IC22" i="1"/>
  <c r="IB22" i="1"/>
  <c r="IA22" i="1"/>
  <c r="HT22" i="1"/>
  <c r="HN22" i="1"/>
  <c r="HF22" i="1"/>
  <c r="HH22" i="1" s="1"/>
  <c r="HJ22" i="1" s="1"/>
  <c r="EU22" i="1"/>
  <c r="AG22" i="1" s="1"/>
  <c r="CR22" i="1"/>
  <c r="CM22" i="1"/>
  <c r="AZ22" i="1"/>
  <c r="BA22" i="1" s="1"/>
  <c r="AU22" i="1"/>
  <c r="AS22" i="1"/>
  <c r="AR22" i="1"/>
  <c r="AO22" i="1"/>
  <c r="HO22" i="1" l="1"/>
  <c r="HV22" i="1" s="1"/>
  <c r="AM22" i="1" s="1"/>
  <c r="AF1176" i="1"/>
  <c r="AQ1176" i="1" s="1"/>
  <c r="AV1176" i="1" s="1"/>
  <c r="IE22" i="1"/>
  <c r="IG22" i="1" s="1"/>
  <c r="AN22" i="1" s="1"/>
  <c r="GS22" i="1"/>
  <c r="AL22" i="1" s="1"/>
  <c r="DM22" i="1"/>
  <c r="AH22" i="1" s="1"/>
  <c r="GU22" i="1"/>
  <c r="AK22" i="1" s="1"/>
  <c r="AE22" i="1"/>
  <c r="GW22" i="1"/>
  <c r="AJ22" i="1" s="1"/>
  <c r="KH22" i="1"/>
  <c r="KJ22" i="1"/>
  <c r="KF22" i="1"/>
  <c r="LE22" i="1"/>
  <c r="NW22" i="1"/>
  <c r="NU22" i="1"/>
  <c r="NS22" i="1"/>
  <c r="LQ22" i="1"/>
  <c r="LS22" i="1"/>
  <c r="DO22" i="1" l="1"/>
  <c r="AI22" i="1" s="1"/>
  <c r="LY22" i="1"/>
  <c r="DY22" i="1" s="1"/>
  <c r="DZ22" i="1" s="1"/>
  <c r="NX22" i="1"/>
  <c r="ED22" i="1" s="1"/>
  <c r="EE22" i="1" s="1"/>
  <c r="KN22" i="1"/>
  <c r="DT22" i="1" s="1"/>
  <c r="DU22" i="1" s="1"/>
  <c r="GX22" i="1"/>
  <c r="DP22" i="1" l="1"/>
  <c r="AF22" i="1"/>
  <c r="AQ22" i="1" s="1"/>
  <c r="AV22" i="1" s="1"/>
  <c r="IC15" i="1"/>
  <c r="IB15" i="1"/>
  <c r="IA15" i="1"/>
  <c r="HT15" i="1"/>
  <c r="HO15" i="1"/>
  <c r="HN15" i="1"/>
  <c r="HF15" i="1"/>
  <c r="HH15" i="1" s="1"/>
  <c r="HJ15" i="1" s="1"/>
  <c r="EL15" i="1"/>
  <c r="EU15" i="1" s="1"/>
  <c r="CW15" i="1"/>
  <c r="CR15" i="1"/>
  <c r="CM15" i="1"/>
  <c r="CH15" i="1"/>
  <c r="AZ15" i="1"/>
  <c r="BA15" i="1" s="1"/>
  <c r="AU15" i="1"/>
  <c r="AT15" i="1"/>
  <c r="AS15" i="1"/>
  <c r="AR15" i="1"/>
  <c r="AO15" i="1"/>
  <c r="HV15" i="1" l="1"/>
  <c r="AM15" i="1" s="1"/>
  <c r="DM15" i="1"/>
  <c r="AH15" i="1" s="1"/>
  <c r="IE15" i="1"/>
  <c r="IG15" i="1" s="1"/>
  <c r="AN15" i="1" s="1"/>
  <c r="AG15" i="1"/>
  <c r="GW15" i="1"/>
  <c r="AJ15" i="1" s="1"/>
  <c r="GU15" i="1"/>
  <c r="AK15" i="1" s="1"/>
  <c r="GS15" i="1"/>
  <c r="AE15" i="1"/>
  <c r="DO15" i="1" l="1"/>
  <c r="AI15" i="1" s="1"/>
  <c r="GX15" i="1"/>
  <c r="AL15" i="1"/>
  <c r="DP15" i="1" l="1"/>
  <c r="AQ15" i="1"/>
  <c r="AV15" i="1" s="1"/>
  <c r="NP14" i="1"/>
  <c r="NQ14" i="1" s="1"/>
  <c r="NF14" i="1"/>
  <c r="NH14" i="1" s="1"/>
  <c r="NI14" i="1" s="1"/>
  <c r="MG14" i="1"/>
  <c r="MH14" i="1" s="1"/>
  <c r="LL14" i="1"/>
  <c r="LN14" i="1" s="1"/>
  <c r="KV14" i="1"/>
  <c r="KW14" i="1" s="1"/>
  <c r="KA14" i="1"/>
  <c r="KC14" i="1" s="1"/>
  <c r="IU14" i="1"/>
  <c r="IV14" i="1" s="1"/>
  <c r="JQ14" i="1" s="1"/>
  <c r="JS14" i="1" s="1"/>
  <c r="JT14" i="1" s="1"/>
  <c r="IR14" i="1"/>
  <c r="IS14" i="1" s="1"/>
  <c r="IC14" i="1"/>
  <c r="IB14" i="1"/>
  <c r="IA14" i="1"/>
  <c r="HT14" i="1"/>
  <c r="HN14" i="1"/>
  <c r="HF14" i="1"/>
  <c r="HH14" i="1" s="1"/>
  <c r="HJ14" i="1" s="1"/>
  <c r="EX14" i="1"/>
  <c r="EU14" i="1" s="1"/>
  <c r="GW14" i="1" s="1"/>
  <c r="AJ14" i="1" s="1"/>
  <c r="DM14" i="1"/>
  <c r="AH14" i="1" s="1"/>
  <c r="AZ14" i="1"/>
  <c r="BA14" i="1" s="1"/>
  <c r="AS14" i="1"/>
  <c r="AR14" i="1"/>
  <c r="AO14" i="1"/>
  <c r="HO14" i="1" l="1"/>
  <c r="HV14" i="1" s="1"/>
  <c r="AM14" i="1" s="1"/>
  <c r="IE14" i="1"/>
  <c r="IG14" i="1" s="1"/>
  <c r="AN14" i="1" s="1"/>
  <c r="AG14" i="1"/>
  <c r="LU14" i="1"/>
  <c r="LQ14" i="1"/>
  <c r="LS14" i="1"/>
  <c r="GS14" i="1"/>
  <c r="AE14" i="1"/>
  <c r="KJ14" i="1"/>
  <c r="KH14" i="1"/>
  <c r="KF14" i="1"/>
  <c r="NW14" i="1"/>
  <c r="NU14" i="1"/>
  <c r="NS14" i="1"/>
  <c r="GU14" i="1"/>
  <c r="AK14" i="1" s="1"/>
  <c r="DO14" i="1"/>
  <c r="AI14" i="1" s="1"/>
  <c r="KN14" i="1" l="1"/>
  <c r="DT14" i="1" s="1"/>
  <c r="DU14" i="1" s="1"/>
  <c r="DP14" i="1"/>
  <c r="NX14" i="1"/>
  <c r="ED14" i="1" s="1"/>
  <c r="EE14" i="1" s="1"/>
  <c r="LY14" i="1"/>
  <c r="DY14" i="1" s="1"/>
  <c r="DZ14" i="1" s="1"/>
  <c r="GX14" i="1"/>
  <c r="AL14" i="1"/>
  <c r="AF14" i="1" l="1"/>
  <c r="AQ14" i="1" s="1"/>
  <c r="AV14" i="1" s="1"/>
  <c r="IC9" i="1"/>
  <c r="IB9" i="1"/>
  <c r="IA9" i="1"/>
  <c r="HN9" i="1"/>
  <c r="HF9" i="1"/>
  <c r="HH9" i="1" s="1"/>
  <c r="HJ9" i="1" s="1"/>
  <c r="HO9" i="1" s="1"/>
  <c r="HV9" i="1" s="1"/>
  <c r="AM9" i="1" s="1"/>
  <c r="EL9" i="1"/>
  <c r="EU9" i="1" s="1"/>
  <c r="DM9" i="1"/>
  <c r="AH9" i="1" s="1"/>
  <c r="AZ9" i="1"/>
  <c r="BA9" i="1" s="1"/>
  <c r="AT9" i="1"/>
  <c r="AS9" i="1"/>
  <c r="AR9" i="1"/>
  <c r="AO9" i="1"/>
  <c r="IC8" i="1"/>
  <c r="IB8" i="1"/>
  <c r="IA8" i="1"/>
  <c r="HN8" i="1"/>
  <c r="HF8" i="1"/>
  <c r="HH8" i="1" s="1"/>
  <c r="HJ8" i="1" s="1"/>
  <c r="HO8" i="1" s="1"/>
  <c r="HV8" i="1" s="1"/>
  <c r="AM8" i="1" s="1"/>
  <c r="EL8" i="1"/>
  <c r="EU8" i="1" s="1"/>
  <c r="DM8" i="1"/>
  <c r="DO8" i="1" s="1"/>
  <c r="AI8" i="1" s="1"/>
  <c r="AZ8" i="1"/>
  <c r="BA8" i="1" s="1"/>
  <c r="AT8" i="1"/>
  <c r="AS8" i="1"/>
  <c r="AR8" i="1"/>
  <c r="AO8" i="1"/>
  <c r="IE9" i="1" l="1"/>
  <c r="IG9" i="1" s="1"/>
  <c r="AN9" i="1" s="1"/>
  <c r="IE8" i="1"/>
  <c r="IG8" i="1" s="1"/>
  <c r="AN8" i="1" s="1"/>
  <c r="AH8" i="1"/>
  <c r="AE8" i="1"/>
  <c r="GS8" i="1"/>
  <c r="AE9" i="1"/>
  <c r="GS9" i="1"/>
  <c r="AG8" i="1"/>
  <c r="GW8" i="1"/>
  <c r="AJ8" i="1" s="1"/>
  <c r="GU8" i="1"/>
  <c r="AK8" i="1" s="1"/>
  <c r="GW9" i="1"/>
  <c r="AJ9" i="1" s="1"/>
  <c r="GU9" i="1"/>
  <c r="AK9" i="1" s="1"/>
  <c r="AG9" i="1"/>
  <c r="DP8" i="1"/>
  <c r="DO9" i="1"/>
  <c r="AI9" i="1" s="1"/>
  <c r="GX8" i="1" l="1"/>
  <c r="AL8" i="1"/>
  <c r="AQ8" i="1" s="1"/>
  <c r="AV8" i="1" s="1"/>
  <c r="DP9" i="1"/>
  <c r="GX9" i="1"/>
  <c r="AL9" i="1"/>
  <c r="AQ9" i="1" s="1"/>
  <c r="AV9" i="1" s="1"/>
  <c r="IC1325" i="1" l="1"/>
  <c r="IB1325" i="1"/>
  <c r="IA1325" i="1"/>
  <c r="HT1325" i="1"/>
  <c r="HN1325" i="1"/>
  <c r="HF1325" i="1"/>
  <c r="HH1325" i="1" s="1"/>
  <c r="HJ1325" i="1" s="1"/>
  <c r="FA1325" i="1"/>
  <c r="EL1325" i="1"/>
  <c r="EU1325" i="1" s="1"/>
  <c r="CL1325" i="1"/>
  <c r="CM1325" i="1" s="1"/>
  <c r="DM1325" i="1" s="1"/>
  <c r="AZ1325" i="1"/>
  <c r="BA1325" i="1" s="1"/>
  <c r="AU1325" i="1"/>
  <c r="AR1325" i="1"/>
  <c r="AF1325" i="1"/>
  <c r="IC1324" i="1"/>
  <c r="IB1324" i="1"/>
  <c r="IA1324" i="1"/>
  <c r="HT1324" i="1"/>
  <c r="HN1324" i="1"/>
  <c r="HF1324" i="1"/>
  <c r="HH1324" i="1" s="1"/>
  <c r="HJ1324" i="1" s="1"/>
  <c r="FA1324" i="1"/>
  <c r="EL1324" i="1"/>
  <c r="EU1324" i="1" s="1"/>
  <c r="CL1324" i="1"/>
  <c r="CM1324" i="1" s="1"/>
  <c r="DM1324" i="1" s="1"/>
  <c r="AZ1324" i="1"/>
  <c r="BA1324" i="1" s="1"/>
  <c r="AU1324" i="1"/>
  <c r="AR1324" i="1"/>
  <c r="AF1324" i="1"/>
  <c r="IC1323" i="1"/>
  <c r="IB1323" i="1"/>
  <c r="IA1323" i="1"/>
  <c r="HT1323" i="1"/>
  <c r="HN1323" i="1"/>
  <c r="HF1323" i="1"/>
  <c r="HH1323" i="1" s="1"/>
  <c r="HJ1323" i="1" s="1"/>
  <c r="HO1323" i="1" s="1"/>
  <c r="HV1323" i="1" s="1"/>
  <c r="AM1323" i="1" s="1"/>
  <c r="FA1323" i="1"/>
  <c r="EL1323" i="1"/>
  <c r="EU1323" i="1" s="1"/>
  <c r="CL1323" i="1"/>
  <c r="CM1323" i="1" s="1"/>
  <c r="DM1323" i="1" s="1"/>
  <c r="AZ1323" i="1"/>
  <c r="BA1323" i="1" s="1"/>
  <c r="AU1323" i="1"/>
  <c r="AR1323" i="1"/>
  <c r="AF1323" i="1"/>
  <c r="HO1325" i="1" l="1"/>
  <c r="HV1325" i="1" s="1"/>
  <c r="AM1325" i="1" s="1"/>
  <c r="HO1324" i="1"/>
  <c r="HV1324" i="1" s="1"/>
  <c r="AM1324" i="1" s="1"/>
  <c r="IE1323" i="1"/>
  <c r="IG1323" i="1" s="1"/>
  <c r="AN1323" i="1" s="1"/>
  <c r="IE1324" i="1"/>
  <c r="IG1324" i="1" s="1"/>
  <c r="AN1324" i="1" s="1"/>
  <c r="IE1325" i="1"/>
  <c r="IG1325" i="1" s="1"/>
  <c r="AN1325" i="1" s="1"/>
  <c r="AH1323" i="1"/>
  <c r="DO1323" i="1"/>
  <c r="GS1324" i="1"/>
  <c r="AE1324" i="1"/>
  <c r="DO1324" i="1"/>
  <c r="AH1324" i="1"/>
  <c r="GS1325" i="1"/>
  <c r="AE1325" i="1"/>
  <c r="AH1325" i="1"/>
  <c r="DO1325" i="1"/>
  <c r="GW1325" i="1"/>
  <c r="AJ1325" i="1" s="1"/>
  <c r="AG1325" i="1"/>
  <c r="GU1325" i="1"/>
  <c r="AK1325" i="1" s="1"/>
  <c r="AE1323" i="1"/>
  <c r="GS1323" i="1"/>
  <c r="GW1323" i="1"/>
  <c r="AJ1323" i="1" s="1"/>
  <c r="AG1323" i="1"/>
  <c r="GU1323" i="1"/>
  <c r="AK1323" i="1" s="1"/>
  <c r="GW1324" i="1"/>
  <c r="AJ1324" i="1" s="1"/>
  <c r="AG1324" i="1"/>
  <c r="GU1324" i="1"/>
  <c r="AK1324" i="1" s="1"/>
  <c r="GX1325" i="1" l="1"/>
  <c r="AL1325" i="1"/>
  <c r="DP1324" i="1"/>
  <c r="AI1324" i="1"/>
  <c r="GX1323" i="1"/>
  <c r="AL1323" i="1"/>
  <c r="AL1324" i="1"/>
  <c r="GX1324" i="1"/>
  <c r="DP1323" i="1"/>
  <c r="AI1323" i="1"/>
  <c r="AQ1323" i="1" s="1"/>
  <c r="AV1323" i="1" s="1"/>
  <c r="DP1325" i="1"/>
  <c r="AI1325" i="1"/>
  <c r="AQ1325" i="1" l="1"/>
  <c r="AV1325" i="1" s="1"/>
  <c r="AQ1324" i="1"/>
  <c r="AV1324" i="1" s="1"/>
  <c r="KA1302" i="1"/>
  <c r="KC1302" i="1" s="1"/>
  <c r="JQ1302" i="1"/>
  <c r="JS1302" i="1" s="1"/>
  <c r="JT1302" i="1" s="1"/>
  <c r="IR1302" i="1"/>
  <c r="IS1302" i="1" s="1"/>
  <c r="HO1302" i="1"/>
  <c r="HV1302" i="1" s="1"/>
  <c r="AM1302" i="1" s="1"/>
  <c r="HF1302" i="1"/>
  <c r="FA1302" i="1"/>
  <c r="EL1302" i="1"/>
  <c r="EU1302" i="1" s="1"/>
  <c r="AZ1302" i="1"/>
  <c r="BA1302" i="1" s="1"/>
  <c r="AE1302" i="1" s="1"/>
  <c r="AU1302" i="1"/>
  <c r="AR1302" i="1"/>
  <c r="AN1302" i="1"/>
  <c r="AI1302" i="1"/>
  <c r="AH1302" i="1"/>
  <c r="KA1301" i="1"/>
  <c r="KC1301" i="1" s="1"/>
  <c r="JQ1301" i="1"/>
  <c r="JS1301" i="1" s="1"/>
  <c r="JT1301" i="1" s="1"/>
  <c r="IR1301" i="1"/>
  <c r="IS1301" i="1" s="1"/>
  <c r="IC1301" i="1"/>
  <c r="IB1301" i="1"/>
  <c r="IA1301" i="1"/>
  <c r="HT1301" i="1"/>
  <c r="HN1301" i="1"/>
  <c r="HF1301" i="1"/>
  <c r="HH1301" i="1" s="1"/>
  <c r="HJ1301" i="1" s="1"/>
  <c r="FA1301" i="1"/>
  <c r="EL1301" i="1"/>
  <c r="EU1301" i="1" s="1"/>
  <c r="AZ1301" i="1"/>
  <c r="BA1301" i="1" s="1"/>
  <c r="AU1301" i="1"/>
  <c r="AR1301" i="1"/>
  <c r="AI1301" i="1"/>
  <c r="AH1301" i="1"/>
  <c r="IE1301" i="1" l="1"/>
  <c r="IG1301" i="1" s="1"/>
  <c r="AN1301" i="1" s="1"/>
  <c r="HO1301" i="1"/>
  <c r="HV1301" i="1" s="1"/>
  <c r="AM1301" i="1" s="1"/>
  <c r="GS1301" i="1"/>
  <c r="AL1301" i="1" s="1"/>
  <c r="AG1302" i="1"/>
  <c r="GW1302" i="1"/>
  <c r="AJ1302" i="1" s="1"/>
  <c r="GU1302" i="1"/>
  <c r="AK1302" i="1" s="1"/>
  <c r="KJ1301" i="1"/>
  <c r="KH1301" i="1"/>
  <c r="KF1301" i="1"/>
  <c r="AG1301" i="1"/>
  <c r="GW1301" i="1"/>
  <c r="AJ1301" i="1" s="1"/>
  <c r="GU1301" i="1"/>
  <c r="AK1301" i="1" s="1"/>
  <c r="KH1302" i="1"/>
  <c r="KJ1302" i="1"/>
  <c r="KF1302" i="1"/>
  <c r="GS1302" i="1"/>
  <c r="AE1301" i="1"/>
  <c r="HO1300" i="1"/>
  <c r="HV1300" i="1" s="1"/>
  <c r="AM1300" i="1" s="1"/>
  <c r="HF1300" i="1"/>
  <c r="FA1300" i="1"/>
  <c r="EL1300" i="1"/>
  <c r="EU1300" i="1" s="1"/>
  <c r="AZ1300" i="1"/>
  <c r="BA1300" i="1" s="1"/>
  <c r="AR1300" i="1"/>
  <c r="AN1300" i="1"/>
  <c r="AI1300" i="1"/>
  <c r="AH1300" i="1"/>
  <c r="AF1300" i="1"/>
  <c r="IC1299" i="1"/>
  <c r="IB1299" i="1"/>
  <c r="IA1299" i="1"/>
  <c r="HT1299" i="1"/>
  <c r="HN1299" i="1"/>
  <c r="HF1299" i="1"/>
  <c r="HH1299" i="1" s="1"/>
  <c r="HJ1299" i="1" s="1"/>
  <c r="HO1299" i="1" s="1"/>
  <c r="HV1299" i="1" s="1"/>
  <c r="AM1299" i="1" s="1"/>
  <c r="FA1299" i="1"/>
  <c r="EL1299" i="1"/>
  <c r="EU1299" i="1" s="1"/>
  <c r="AZ1299" i="1"/>
  <c r="BA1299" i="1" s="1"/>
  <c r="AR1299" i="1"/>
  <c r="AI1299" i="1"/>
  <c r="AH1299" i="1"/>
  <c r="AF1299" i="1"/>
  <c r="KN1301" i="1" l="1"/>
  <c r="DT1301" i="1" s="1"/>
  <c r="DU1301" i="1" s="1"/>
  <c r="AF1301" i="1" s="1"/>
  <c r="KN1302" i="1"/>
  <c r="DT1302" i="1" s="1"/>
  <c r="DU1302" i="1" s="1"/>
  <c r="AF1302" i="1" s="1"/>
  <c r="IE1299" i="1"/>
  <c r="IG1299" i="1" s="1"/>
  <c r="AN1299" i="1" s="1"/>
  <c r="GX1301" i="1"/>
  <c r="GX1302" i="1"/>
  <c r="AL1302" i="1"/>
  <c r="AQ1301" i="1"/>
  <c r="AV1301" i="1" s="1"/>
  <c r="GS1299" i="1"/>
  <c r="AE1299" i="1"/>
  <c r="AE1300" i="1"/>
  <c r="GS1300" i="1"/>
  <c r="GU1300" i="1"/>
  <c r="AK1300" i="1" s="1"/>
  <c r="AG1300" i="1"/>
  <c r="GW1300" i="1"/>
  <c r="AJ1300" i="1" s="1"/>
  <c r="GW1299" i="1"/>
  <c r="AJ1299" i="1" s="1"/>
  <c r="GU1299" i="1"/>
  <c r="AK1299" i="1" s="1"/>
  <c r="AG1299" i="1"/>
  <c r="AQ1302" i="1" l="1"/>
  <c r="AV1302" i="1" s="1"/>
  <c r="AL1300" i="1"/>
  <c r="AQ1300" i="1" s="1"/>
  <c r="AV1300" i="1" s="1"/>
  <c r="GX1300" i="1"/>
  <c r="AL1299" i="1"/>
  <c r="AQ1299" i="1" s="1"/>
  <c r="AV1299" i="1" s="1"/>
  <c r="GX1299" i="1"/>
  <c r="IC1249" i="1" l="1"/>
  <c r="IB1249" i="1"/>
  <c r="IA1249" i="1"/>
  <c r="HT1249" i="1"/>
  <c r="HN1249" i="1"/>
  <c r="HF1249" i="1"/>
  <c r="HH1249" i="1" s="1"/>
  <c r="HJ1249" i="1" s="1"/>
  <c r="FA1249" i="1"/>
  <c r="EL1249" i="1"/>
  <c r="EU1249" i="1" s="1"/>
  <c r="AZ1249" i="1"/>
  <c r="BA1249" i="1" s="1"/>
  <c r="AU1249" i="1"/>
  <c r="AR1249" i="1"/>
  <c r="AI1249" i="1"/>
  <c r="AH1249" i="1"/>
  <c r="AF1249" i="1"/>
  <c r="HO1249" i="1" l="1"/>
  <c r="HV1249" i="1" s="1"/>
  <c r="AM1249" i="1" s="1"/>
  <c r="IE1249" i="1"/>
  <c r="IG1249" i="1" s="1"/>
  <c r="AN1249" i="1" s="1"/>
  <c r="GS1249" i="1"/>
  <c r="AE1249" i="1"/>
  <c r="AG1249" i="1"/>
  <c r="GW1249" i="1"/>
  <c r="AJ1249" i="1" s="1"/>
  <c r="GU1249" i="1"/>
  <c r="AK1249" i="1" s="1"/>
  <c r="IC1248" i="1"/>
  <c r="IB1248" i="1"/>
  <c r="IA1248" i="1"/>
  <c r="HR1248" i="1"/>
  <c r="HT1248" i="1" s="1"/>
  <c r="HN1248" i="1"/>
  <c r="HF1248" i="1"/>
  <c r="HH1248" i="1" s="1"/>
  <c r="HJ1248" i="1" s="1"/>
  <c r="EL1248" i="1"/>
  <c r="EU1248" i="1" s="1"/>
  <c r="AZ1248" i="1"/>
  <c r="BA1248" i="1" s="1"/>
  <c r="AU1248" i="1"/>
  <c r="AR1248" i="1"/>
  <c r="AI1248" i="1"/>
  <c r="AH1248" i="1"/>
  <c r="AF1248" i="1"/>
  <c r="IE1248" i="1" l="1"/>
  <c r="IG1248" i="1" s="1"/>
  <c r="AN1248" i="1" s="1"/>
  <c r="AL1249" i="1"/>
  <c r="AQ1249" i="1" s="1"/>
  <c r="AV1249" i="1" s="1"/>
  <c r="GX1249" i="1"/>
  <c r="BK1248" i="1"/>
  <c r="AE1248" i="1" s="1"/>
  <c r="GW1248" i="1"/>
  <c r="GU1248" i="1"/>
  <c r="AK1248" i="1" s="1"/>
  <c r="GQ1248" i="1"/>
  <c r="AL1248" i="1" s="1"/>
  <c r="AG1248" i="1"/>
  <c r="HO1248" i="1"/>
  <c r="HV1248" i="1" s="1"/>
  <c r="AM1248" i="1" s="1"/>
  <c r="HL1248" i="1"/>
  <c r="GX1248" i="1" l="1"/>
  <c r="AJ1248" i="1"/>
  <c r="AQ1248" i="1" s="1"/>
  <c r="AV1248" i="1" s="1"/>
  <c r="EY1240" i="1" l="1"/>
  <c r="FA1240" i="1" s="1"/>
  <c r="EL1240" i="1"/>
  <c r="EG1240" i="1"/>
  <c r="AX1240" i="1"/>
  <c r="AW1240" i="1"/>
  <c r="GU1240" i="1" s="1"/>
  <c r="AK1240" i="1" s="1"/>
  <c r="AR1240" i="1"/>
  <c r="AN1240" i="1"/>
  <c r="AM1240" i="1"/>
  <c r="AJ1240" i="1"/>
  <c r="AI1240" i="1"/>
  <c r="AH1240" i="1"/>
  <c r="AF1240" i="1"/>
  <c r="EU1240" i="1" l="1"/>
  <c r="AG1240" i="1" s="1"/>
  <c r="AZ1240" i="1"/>
  <c r="BA1240" i="1" s="1"/>
  <c r="GS1240" i="1" l="1"/>
  <c r="AE1240" i="1"/>
  <c r="AL1240" i="1" l="1"/>
  <c r="AQ1240" i="1" s="1"/>
  <c r="AV1240" i="1" s="1"/>
  <c r="GX1240" i="1"/>
  <c r="FA1229" i="1" l="1"/>
  <c r="EU1229" i="1"/>
  <c r="CH1229" i="1"/>
  <c r="DM1229" i="1" s="1"/>
  <c r="AX1229" i="1"/>
  <c r="AW1229" i="1"/>
  <c r="AU1229" i="1"/>
  <c r="AS1229" i="1"/>
  <c r="AN1229" i="1"/>
  <c r="AM1229" i="1"/>
  <c r="AK1229" i="1"/>
  <c r="AJ1229" i="1"/>
  <c r="AI1229" i="1"/>
  <c r="AC1229" i="1"/>
  <c r="AZ1229" i="1" l="1"/>
  <c r="BA1229" i="1" s="1"/>
  <c r="DP1229" i="1"/>
  <c r="AH1229" i="1"/>
  <c r="AG1229" i="1"/>
  <c r="FA1228" i="1"/>
  <c r="EU1228" i="1"/>
  <c r="AG1228" i="1" s="1"/>
  <c r="CH1228" i="1"/>
  <c r="DM1228" i="1" s="1"/>
  <c r="AX1228" i="1"/>
  <c r="AW1228" i="1"/>
  <c r="AU1228" i="1"/>
  <c r="AS1228" i="1"/>
  <c r="AN1228" i="1"/>
  <c r="AM1228" i="1"/>
  <c r="AK1228" i="1"/>
  <c r="AJ1228" i="1"/>
  <c r="AI1228" i="1"/>
  <c r="AC1228" i="1"/>
  <c r="AE1229" i="1" l="1"/>
  <c r="GS1229" i="1"/>
  <c r="AL1229" i="1" s="1"/>
  <c r="DP1228" i="1"/>
  <c r="AH1228" i="1"/>
  <c r="AZ1228" i="1"/>
  <c r="BA1228" i="1" s="1"/>
  <c r="AQ1229" i="1" l="1"/>
  <c r="AV1229" i="1" s="1"/>
  <c r="GX1229" i="1"/>
  <c r="AE1228" i="1"/>
  <c r="GS1228" i="1"/>
  <c r="EY1213" i="1"/>
  <c r="FA1213" i="1" s="1"/>
  <c r="EL1213" i="1"/>
  <c r="EG1213" i="1"/>
  <c r="AX1213" i="1"/>
  <c r="AW1213" i="1"/>
  <c r="GU1213" i="1" s="1"/>
  <c r="AK1213" i="1" s="1"/>
  <c r="AR1213" i="1"/>
  <c r="AN1213" i="1"/>
  <c r="AM1213" i="1"/>
  <c r="AJ1213" i="1"/>
  <c r="AI1213" i="1"/>
  <c r="AH1213" i="1"/>
  <c r="AF1213" i="1"/>
  <c r="EU1213" i="1" l="1"/>
  <c r="AG1213" i="1" s="1"/>
  <c r="AL1228" i="1"/>
  <c r="AQ1228" i="1" s="1"/>
  <c r="AV1228" i="1" s="1"/>
  <c r="GX1228" i="1"/>
  <c r="AZ1213" i="1"/>
  <c r="BA1213" i="1" s="1"/>
  <c r="HU1212" i="1"/>
  <c r="HR1212" i="1"/>
  <c r="HT1212" i="1" s="1"/>
  <c r="HO1212" i="1"/>
  <c r="EL1212" i="1"/>
  <c r="EU1212" i="1" s="1"/>
  <c r="AX1212" i="1"/>
  <c r="AW1212" i="1"/>
  <c r="AU1212" i="1"/>
  <c r="AR1212" i="1"/>
  <c r="AN1212" i="1"/>
  <c r="AI1212" i="1"/>
  <c r="AH1212" i="1"/>
  <c r="AF1212" i="1"/>
  <c r="HV1212" i="1" l="1"/>
  <c r="AM1212" i="1" s="1"/>
  <c r="AE1213" i="1"/>
  <c r="GS1213" i="1"/>
  <c r="AZ1212" i="1"/>
  <c r="BA1212" i="1" s="1"/>
  <c r="EY1206" i="1"/>
  <c r="FA1206" i="1" s="1"/>
  <c r="EL1206" i="1"/>
  <c r="EG1206" i="1"/>
  <c r="AX1206" i="1"/>
  <c r="AW1206" i="1"/>
  <c r="GU1206" i="1" s="1"/>
  <c r="AK1206" i="1" s="1"/>
  <c r="AR1206" i="1"/>
  <c r="AN1206" i="1"/>
  <c r="AM1206" i="1"/>
  <c r="AJ1206" i="1"/>
  <c r="AI1206" i="1"/>
  <c r="AH1206" i="1"/>
  <c r="AF1206" i="1"/>
  <c r="EU1206" i="1" l="1"/>
  <c r="AG1206" i="1" s="1"/>
  <c r="GX1213" i="1"/>
  <c r="AL1213" i="1"/>
  <c r="AQ1213" i="1" s="1"/>
  <c r="AV1213" i="1" s="1"/>
  <c r="BK1212" i="1"/>
  <c r="AE1212" i="1" s="1"/>
  <c r="GS1212" i="1"/>
  <c r="GW1212" i="1"/>
  <c r="AJ1212" i="1" s="1"/>
  <c r="GU1212" i="1"/>
  <c r="AK1212" i="1" s="1"/>
  <c r="EM1212" i="1"/>
  <c r="AG1212" i="1" s="1"/>
  <c r="AZ1206" i="1"/>
  <c r="BA1206" i="1" s="1"/>
  <c r="LO1203" i="1"/>
  <c r="LP1203" i="1" s="1"/>
  <c r="KX1203" i="1"/>
  <c r="KY1203" i="1" s="1"/>
  <c r="KD1203" i="1"/>
  <c r="KE1203" i="1" s="1"/>
  <c r="IX1203" i="1"/>
  <c r="JS1203" i="1" s="1"/>
  <c r="JU1203" i="1" s="1"/>
  <c r="JV1203" i="1" s="1"/>
  <c r="IT1203" i="1"/>
  <c r="IU1203" i="1" s="1"/>
  <c r="IC1203" i="1"/>
  <c r="IB1203" i="1"/>
  <c r="IA1203" i="1"/>
  <c r="HT1203" i="1"/>
  <c r="HN1203" i="1"/>
  <c r="HF1203" i="1"/>
  <c r="HH1203" i="1" s="1"/>
  <c r="HJ1203" i="1" s="1"/>
  <c r="EX1203" i="1"/>
  <c r="FA1203" i="1" s="1"/>
  <c r="EL1203" i="1"/>
  <c r="EU1203" i="1" s="1"/>
  <c r="CH1203" i="1"/>
  <c r="DM1203" i="1" s="1"/>
  <c r="AZ1203" i="1"/>
  <c r="BA1203" i="1" s="1"/>
  <c r="AE1203" i="1" s="1"/>
  <c r="AU1203" i="1"/>
  <c r="AR1203" i="1"/>
  <c r="IE1203" i="1" l="1"/>
  <c r="IG1203" i="1" s="1"/>
  <c r="AN1203" i="1" s="1"/>
  <c r="HO1203" i="1"/>
  <c r="HV1203" i="1" s="1"/>
  <c r="AM1203" i="1" s="1"/>
  <c r="GX1212" i="1"/>
  <c r="AL1212" i="1"/>
  <c r="AQ1212" i="1" s="1"/>
  <c r="AV1212" i="1" s="1"/>
  <c r="AE1206" i="1"/>
  <c r="GS1206" i="1"/>
  <c r="AH1203" i="1"/>
  <c r="DO1203" i="1"/>
  <c r="GW1203" i="1"/>
  <c r="AJ1203" i="1" s="1"/>
  <c r="GU1203" i="1"/>
  <c r="AK1203" i="1" s="1"/>
  <c r="AG1203" i="1"/>
  <c r="GS1203" i="1"/>
  <c r="KO1203" i="1"/>
  <c r="KJ1203" i="1"/>
  <c r="KH1203" i="1"/>
  <c r="LZ1203" i="1"/>
  <c r="LU1203" i="1"/>
  <c r="LS1203" i="1"/>
  <c r="KP1203" i="1" l="1"/>
  <c r="DT1203" i="1" s="1"/>
  <c r="DU1203" i="1" s="1"/>
  <c r="MA1203" i="1"/>
  <c r="DY1203" i="1" s="1"/>
  <c r="DZ1203" i="1" s="1"/>
  <c r="GX1206" i="1"/>
  <c r="AL1206" i="1"/>
  <c r="AQ1206" i="1" s="1"/>
  <c r="AV1206" i="1" s="1"/>
  <c r="GX1203" i="1"/>
  <c r="AL1203" i="1"/>
  <c r="DP1203" i="1"/>
  <c r="AI1203" i="1"/>
  <c r="AF1203" i="1" l="1"/>
  <c r="AQ1203" i="1" s="1"/>
  <c r="AV1203" i="1" s="1"/>
  <c r="LO1196" i="1" l="1"/>
  <c r="LP1196" i="1" s="1"/>
  <c r="KX1196" i="1"/>
  <c r="KY1196" i="1" s="1"/>
  <c r="KD1196" i="1"/>
  <c r="KE1196" i="1" s="1"/>
  <c r="IX1196" i="1"/>
  <c r="JS1196" i="1" s="1"/>
  <c r="JU1196" i="1" s="1"/>
  <c r="JV1196" i="1" s="1"/>
  <c r="IT1196" i="1"/>
  <c r="IU1196" i="1" s="1"/>
  <c r="IC1196" i="1"/>
  <c r="IB1196" i="1"/>
  <c r="IA1196" i="1"/>
  <c r="HT1196" i="1"/>
  <c r="HN1196" i="1"/>
  <c r="HF1196" i="1"/>
  <c r="HH1196" i="1" s="1"/>
  <c r="HJ1196" i="1" s="1"/>
  <c r="HO1196" i="1" s="1"/>
  <c r="EX1196" i="1"/>
  <c r="FA1196" i="1" s="1"/>
  <c r="EL1196" i="1"/>
  <c r="EU1196" i="1" s="1"/>
  <c r="GW1196" i="1" s="1"/>
  <c r="AJ1196" i="1" s="1"/>
  <c r="CH1196" i="1"/>
  <c r="DM1196" i="1" s="1"/>
  <c r="AZ1196" i="1"/>
  <c r="BA1196" i="1" s="1"/>
  <c r="AU1196" i="1"/>
  <c r="AR1196" i="1"/>
  <c r="HV1196" i="1" l="1"/>
  <c r="AM1196" i="1" s="1"/>
  <c r="IE1196" i="1"/>
  <c r="IG1196" i="1" s="1"/>
  <c r="AN1196" i="1" s="1"/>
  <c r="AE1196" i="1"/>
  <c r="GS1196" i="1"/>
  <c r="DO1196" i="1"/>
  <c r="AH1196" i="1"/>
  <c r="KO1196" i="1"/>
  <c r="KJ1196" i="1"/>
  <c r="KH1196" i="1"/>
  <c r="LS1196" i="1"/>
  <c r="LZ1196" i="1"/>
  <c r="LU1196" i="1"/>
  <c r="AG1196" i="1"/>
  <c r="GU1196" i="1"/>
  <c r="AK1196" i="1" s="1"/>
  <c r="KP1196" i="1" l="1"/>
  <c r="DT1196" i="1" s="1"/>
  <c r="DU1196" i="1" s="1"/>
  <c r="MA1196" i="1"/>
  <c r="DY1196" i="1" s="1"/>
  <c r="DZ1196" i="1" s="1"/>
  <c r="DP1196" i="1"/>
  <c r="AI1196" i="1"/>
  <c r="GX1196" i="1"/>
  <c r="AL1196" i="1"/>
  <c r="AF1196" i="1" l="1"/>
  <c r="AQ1196" i="1" s="1"/>
  <c r="AV1196" i="1" s="1"/>
  <c r="IC1192" i="1"/>
  <c r="IB1192" i="1"/>
  <c r="IA1192" i="1"/>
  <c r="HR1192" i="1"/>
  <c r="HT1192" i="1" s="1"/>
  <c r="HN1192" i="1"/>
  <c r="HF1192" i="1"/>
  <c r="HH1192" i="1" s="1"/>
  <c r="HJ1192" i="1" s="1"/>
  <c r="HO1192" i="1" s="1"/>
  <c r="EL1192" i="1"/>
  <c r="EU1192" i="1" s="1"/>
  <c r="AZ1192" i="1"/>
  <c r="BA1192" i="1" s="1"/>
  <c r="AR1192" i="1"/>
  <c r="AI1192" i="1"/>
  <c r="AH1192" i="1"/>
  <c r="AF1192" i="1"/>
  <c r="HV1192" i="1" l="1"/>
  <c r="AM1192" i="1" s="1"/>
  <c r="IE1192" i="1"/>
  <c r="IG1192" i="1" s="1"/>
  <c r="AN1192" i="1" s="1"/>
  <c r="GS1192" i="1"/>
  <c r="AE1192" i="1"/>
  <c r="GW1192" i="1"/>
  <c r="AJ1192" i="1" s="1"/>
  <c r="GU1192" i="1"/>
  <c r="AK1192" i="1" s="1"/>
  <c r="AG1192" i="1"/>
  <c r="AL1192" i="1" l="1"/>
  <c r="AQ1192" i="1" s="1"/>
  <c r="AV1192" i="1" s="1"/>
  <c r="GX1192" i="1"/>
  <c r="IC1190" i="1" l="1"/>
  <c r="IB1190" i="1"/>
  <c r="IA1190" i="1"/>
  <c r="HR1190" i="1"/>
  <c r="HT1190" i="1" s="1"/>
  <c r="HN1190" i="1"/>
  <c r="HF1190" i="1"/>
  <c r="HH1190" i="1" s="1"/>
  <c r="HJ1190" i="1" s="1"/>
  <c r="EL1190" i="1"/>
  <c r="EU1190" i="1" s="1"/>
  <c r="AZ1190" i="1"/>
  <c r="BA1190" i="1" s="1"/>
  <c r="AR1190" i="1"/>
  <c r="AI1190" i="1"/>
  <c r="AH1190" i="1"/>
  <c r="AF1190" i="1"/>
  <c r="HO1190" i="1" l="1"/>
  <c r="HV1190" i="1" s="1"/>
  <c r="AM1190" i="1" s="1"/>
  <c r="IE1190" i="1"/>
  <c r="IG1190" i="1" s="1"/>
  <c r="AN1190" i="1" s="1"/>
  <c r="GS1190" i="1"/>
  <c r="AE1190" i="1"/>
  <c r="GW1190" i="1"/>
  <c r="AJ1190" i="1" s="1"/>
  <c r="GU1190" i="1"/>
  <c r="AK1190" i="1" s="1"/>
  <c r="AG1190" i="1"/>
  <c r="GX1190" i="1" l="1"/>
  <c r="AL1190" i="1"/>
  <c r="AQ1190" i="1" s="1"/>
  <c r="AV1190" i="1" s="1"/>
  <c r="IC1188" i="1" l="1"/>
  <c r="IB1188" i="1"/>
  <c r="IA1188" i="1"/>
  <c r="HT1188" i="1"/>
  <c r="HN1188" i="1"/>
  <c r="HF1188" i="1"/>
  <c r="HH1188" i="1" s="1"/>
  <c r="HJ1188" i="1" s="1"/>
  <c r="EO1188" i="1"/>
  <c r="EL1188" i="1"/>
  <c r="EU1188" i="1" s="1"/>
  <c r="CM1188" i="1"/>
  <c r="CH1188" i="1"/>
  <c r="AZ1188" i="1"/>
  <c r="BA1188" i="1" s="1"/>
  <c r="AR1188" i="1"/>
  <c r="AF1188" i="1"/>
  <c r="HO1188" i="1" l="1"/>
  <c r="HV1188" i="1" s="1"/>
  <c r="AM1188" i="1" s="1"/>
  <c r="IE1188" i="1"/>
  <c r="IG1188" i="1" s="1"/>
  <c r="AN1188" i="1" s="1"/>
  <c r="DM1188" i="1"/>
  <c r="DO1188" i="1" s="1"/>
  <c r="AE1188" i="1"/>
  <c r="GS1188" i="1"/>
  <c r="GU1188" i="1"/>
  <c r="AK1188" i="1" s="1"/>
  <c r="AG1188" i="1"/>
  <c r="GW1188" i="1"/>
  <c r="AJ1188" i="1" s="1"/>
  <c r="IC1186" i="1"/>
  <c r="IB1186" i="1"/>
  <c r="IA1186" i="1"/>
  <c r="HT1186" i="1"/>
  <c r="HN1186" i="1"/>
  <c r="HF1186" i="1"/>
  <c r="HH1186" i="1" s="1"/>
  <c r="HJ1186" i="1" s="1"/>
  <c r="EL1186" i="1"/>
  <c r="EU1186" i="1" s="1"/>
  <c r="AZ1186" i="1"/>
  <c r="AR1186" i="1"/>
  <c r="AI1186" i="1"/>
  <c r="AH1186" i="1"/>
  <c r="AF1186" i="1"/>
  <c r="AC1186" i="1"/>
  <c r="AH1188" i="1" l="1"/>
  <c r="IE1186" i="1"/>
  <c r="IG1186" i="1" s="1"/>
  <c r="AN1186" i="1" s="1"/>
  <c r="HO1186" i="1"/>
  <c r="HV1186" i="1" s="1"/>
  <c r="AM1186" i="1" s="1"/>
  <c r="BA1186" i="1"/>
  <c r="GU1186" i="1" s="1"/>
  <c r="AK1186" i="1" s="1"/>
  <c r="DP1188" i="1"/>
  <c r="AI1188" i="1"/>
  <c r="AL1188" i="1"/>
  <c r="GX1188" i="1"/>
  <c r="GW1186" i="1"/>
  <c r="AJ1186" i="1" s="1"/>
  <c r="AG1186" i="1"/>
  <c r="IC1184" i="1"/>
  <c r="IB1184" i="1"/>
  <c r="IA1184" i="1"/>
  <c r="HR1184" i="1"/>
  <c r="HT1184" i="1" s="1"/>
  <c r="HN1184" i="1"/>
  <c r="HF1184" i="1"/>
  <c r="HH1184" i="1" s="1"/>
  <c r="HJ1184" i="1" s="1"/>
  <c r="EL1184" i="1"/>
  <c r="EU1184" i="1" s="1"/>
  <c r="AZ1184" i="1"/>
  <c r="BA1184" i="1" s="1"/>
  <c r="AR1184" i="1"/>
  <c r="AI1184" i="1"/>
  <c r="AH1184" i="1"/>
  <c r="AF1184" i="1"/>
  <c r="HO1184" i="1" l="1"/>
  <c r="HV1184" i="1" s="1"/>
  <c r="AM1184" i="1" s="1"/>
  <c r="AE1186" i="1"/>
  <c r="GS1186" i="1"/>
  <c r="GX1186" i="1" s="1"/>
  <c r="AQ1188" i="1"/>
  <c r="AV1188" i="1" s="1"/>
  <c r="IE1184" i="1"/>
  <c r="IG1184" i="1" s="1"/>
  <c r="AN1184" i="1" s="1"/>
  <c r="GS1184" i="1"/>
  <c r="AE1184" i="1"/>
  <c r="GU1184" i="1"/>
  <c r="AK1184" i="1" s="1"/>
  <c r="AG1184" i="1"/>
  <c r="GW1184" i="1"/>
  <c r="AJ1184" i="1" s="1"/>
  <c r="AL1186" i="1" l="1"/>
  <c r="AQ1186" i="1" s="1"/>
  <c r="AV1186" i="1" s="1"/>
  <c r="GX1184" i="1"/>
  <c r="AL1184" i="1"/>
  <c r="AQ1184" i="1" s="1"/>
  <c r="AV1184" i="1" s="1"/>
  <c r="IC1170" i="1" l="1"/>
  <c r="IB1170" i="1"/>
  <c r="IA1170" i="1"/>
  <c r="HR1170" i="1"/>
  <c r="HT1170" i="1" s="1"/>
  <c r="HN1170" i="1"/>
  <c r="HF1170" i="1"/>
  <c r="HH1170" i="1" s="1"/>
  <c r="HJ1170" i="1" s="1"/>
  <c r="FA1170" i="1"/>
  <c r="EL1170" i="1"/>
  <c r="EU1170" i="1" s="1"/>
  <c r="DM1170" i="1"/>
  <c r="DP1170" i="1" s="1"/>
  <c r="AZ1170" i="1"/>
  <c r="AU1170" i="1"/>
  <c r="AR1170" i="1"/>
  <c r="AI1170" i="1"/>
  <c r="AF1170" i="1"/>
  <c r="AC1170" i="1"/>
  <c r="IE1170" i="1" l="1"/>
  <c r="IG1170" i="1" s="1"/>
  <c r="AN1170" i="1" s="1"/>
  <c r="AH1170" i="1"/>
  <c r="HO1170" i="1"/>
  <c r="HV1170" i="1" s="1"/>
  <c r="AM1170" i="1" s="1"/>
  <c r="BA1170" i="1"/>
  <c r="AE1170" i="1" s="1"/>
  <c r="GW1170" i="1"/>
  <c r="AJ1170" i="1" s="1"/>
  <c r="AG1170" i="1"/>
  <c r="GU1170" i="1" l="1"/>
  <c r="AK1170" i="1" s="1"/>
  <c r="GS1170" i="1"/>
  <c r="AL1170" i="1" s="1"/>
  <c r="AQ1170" i="1" l="1"/>
  <c r="AV1170" i="1" s="1"/>
  <c r="GX1170" i="1"/>
  <c r="IC1100" i="1" l="1"/>
  <c r="IB1100" i="1"/>
  <c r="IA1100" i="1"/>
  <c r="HN1100" i="1"/>
  <c r="HF1100" i="1"/>
  <c r="HH1100" i="1" s="1"/>
  <c r="HJ1100" i="1" s="1"/>
  <c r="EY1100" i="1"/>
  <c r="FA1100" i="1" s="1"/>
  <c r="EL1100" i="1"/>
  <c r="EU1100" i="1" s="1"/>
  <c r="CR1100" i="1"/>
  <c r="CM1100" i="1"/>
  <c r="AZ1100" i="1"/>
  <c r="AU1100" i="1"/>
  <c r="AR1100" i="1"/>
  <c r="AI1100" i="1"/>
  <c r="AF1100" i="1"/>
  <c r="AC1100" i="1"/>
  <c r="HO1100" i="1" l="1"/>
  <c r="HV1100" i="1" s="1"/>
  <c r="AM1100" i="1" s="1"/>
  <c r="BA1100" i="1"/>
  <c r="GS1100" i="1" s="1"/>
  <c r="IE1100" i="1"/>
  <c r="IG1100" i="1" s="1"/>
  <c r="AN1100" i="1" s="1"/>
  <c r="DM1100" i="1"/>
  <c r="DP1100" i="1" s="1"/>
  <c r="GW1100" i="1"/>
  <c r="AJ1100" i="1" s="1"/>
  <c r="AG1100" i="1"/>
  <c r="GU1100" i="1" l="1"/>
  <c r="AK1100" i="1" s="1"/>
  <c r="AE1100" i="1"/>
  <c r="AH1100" i="1"/>
  <c r="AL1100" i="1"/>
  <c r="GX1100" i="1" l="1"/>
  <c r="AQ1100" i="1"/>
  <c r="AV1100" i="1" s="1"/>
  <c r="IC1099" i="1"/>
  <c r="IB1099" i="1"/>
  <c r="IA1099" i="1"/>
  <c r="HN1099" i="1"/>
  <c r="HF1099" i="1"/>
  <c r="HH1099" i="1" s="1"/>
  <c r="HJ1099" i="1" s="1"/>
  <c r="EY1099" i="1"/>
  <c r="FA1099" i="1" s="1"/>
  <c r="EL1099" i="1"/>
  <c r="EU1099" i="1" s="1"/>
  <c r="AZ1099" i="1"/>
  <c r="AU1099" i="1"/>
  <c r="AR1099" i="1"/>
  <c r="AI1099" i="1"/>
  <c r="AH1099" i="1"/>
  <c r="AF1099" i="1"/>
  <c r="AC1099" i="1"/>
  <c r="BA1099" i="1" l="1"/>
  <c r="AE1099" i="1" s="1"/>
  <c r="HO1099" i="1"/>
  <c r="HV1099" i="1" s="1"/>
  <c r="AM1099" i="1" s="1"/>
  <c r="IE1099" i="1"/>
  <c r="IG1099" i="1" s="1"/>
  <c r="AN1099" i="1" s="1"/>
  <c r="AG1099" i="1"/>
  <c r="GW1099" i="1"/>
  <c r="AJ1099" i="1" s="1"/>
  <c r="GU1099" i="1" l="1"/>
  <c r="AK1099" i="1" s="1"/>
  <c r="GS1099" i="1"/>
  <c r="AL1099" i="1" s="1"/>
  <c r="AQ1099" i="1" l="1"/>
  <c r="AV1099" i="1" s="1"/>
  <c r="GX1099" i="1"/>
  <c r="NR1098" i="1"/>
  <c r="NS1098" i="1" s="1"/>
  <c r="MI1098" i="1"/>
  <c r="MJ1098" i="1" s="1"/>
  <c r="LO1098" i="1"/>
  <c r="LP1098" i="1" s="1"/>
  <c r="KX1098" i="1"/>
  <c r="KY1098" i="1" s="1"/>
  <c r="KD1098" i="1"/>
  <c r="KE1098" i="1" s="1"/>
  <c r="IT1098" i="1"/>
  <c r="IU1098" i="1" s="1"/>
  <c r="IC1098" i="1"/>
  <c r="IB1098" i="1"/>
  <c r="IA1098" i="1"/>
  <c r="HR1098" i="1"/>
  <c r="HT1098" i="1" s="1"/>
  <c r="HN1098" i="1"/>
  <c r="HF1098" i="1"/>
  <c r="HH1098" i="1" s="1"/>
  <c r="HJ1098" i="1" s="1"/>
  <c r="EY1098" i="1"/>
  <c r="EX1098" i="1"/>
  <c r="EL1098" i="1"/>
  <c r="EU1098" i="1" s="1"/>
  <c r="CW1098" i="1"/>
  <c r="CR1098" i="1"/>
  <c r="CM1098" i="1"/>
  <c r="AZ1098" i="1"/>
  <c r="BA1098" i="1" s="1"/>
  <c r="AU1098" i="1"/>
  <c r="AR1098" i="1"/>
  <c r="FA1098" i="1" l="1"/>
  <c r="AG1098" i="1" s="1"/>
  <c r="IE1098" i="1"/>
  <c r="IG1098" i="1" s="1"/>
  <c r="AN1098" i="1" s="1"/>
  <c r="DM1098" i="1"/>
  <c r="DO1098" i="1" s="1"/>
  <c r="HO1098" i="1"/>
  <c r="HV1098" i="1" s="1"/>
  <c r="AM1098" i="1" s="1"/>
  <c r="NW1098" i="1"/>
  <c r="NU1098" i="1"/>
  <c r="NY1098" i="1"/>
  <c r="GS1098" i="1"/>
  <c r="AE1098" i="1"/>
  <c r="KO1098" i="1"/>
  <c r="KJ1098" i="1"/>
  <c r="KH1098" i="1"/>
  <c r="GW1098" i="1"/>
  <c r="AJ1098" i="1" s="1"/>
  <c r="GU1098" i="1"/>
  <c r="AK1098" i="1" s="1"/>
  <c r="LZ1098" i="1"/>
  <c r="LU1098" i="1"/>
  <c r="LS1098" i="1"/>
  <c r="MA1098" i="1" l="1"/>
  <c r="DY1098" i="1" s="1"/>
  <c r="DZ1098" i="1" s="1"/>
  <c r="AH1098" i="1"/>
  <c r="KP1098" i="1"/>
  <c r="DT1098" i="1" s="1"/>
  <c r="DU1098" i="1" s="1"/>
  <c r="DP1098" i="1"/>
  <c r="AI1098" i="1"/>
  <c r="AL1098" i="1"/>
  <c r="GX1098" i="1"/>
  <c r="NZ1098" i="1"/>
  <c r="ED1098" i="1" s="1"/>
  <c r="EE1098" i="1" s="1"/>
  <c r="AF1098" i="1" l="1"/>
  <c r="AQ1098" i="1" s="1"/>
  <c r="AV1098" i="1" s="1"/>
  <c r="IC1097" i="1"/>
  <c r="IB1097" i="1"/>
  <c r="IA1097" i="1"/>
  <c r="HR1097" i="1"/>
  <c r="HT1097" i="1" s="1"/>
  <c r="HN1097" i="1"/>
  <c r="HF1097" i="1"/>
  <c r="HH1097" i="1" s="1"/>
  <c r="HJ1097" i="1" s="1"/>
  <c r="HO1097" i="1" s="1"/>
  <c r="EY1097" i="1"/>
  <c r="FA1097" i="1" s="1"/>
  <c r="EL1097" i="1"/>
  <c r="EU1097" i="1" s="1"/>
  <c r="AZ1097" i="1"/>
  <c r="AU1097" i="1"/>
  <c r="AS1097" i="1"/>
  <c r="AR1097" i="1"/>
  <c r="AI1097" i="1"/>
  <c r="AH1097" i="1"/>
  <c r="AF1097" i="1"/>
  <c r="AC1097" i="1"/>
  <c r="BA1097" i="1" l="1"/>
  <c r="AE1097" i="1" s="1"/>
  <c r="HV1097" i="1"/>
  <c r="AM1097" i="1" s="1"/>
  <c r="IE1097" i="1"/>
  <c r="IG1097" i="1" s="1"/>
  <c r="AN1097" i="1" s="1"/>
  <c r="AG1097" i="1"/>
  <c r="GW1097" i="1"/>
  <c r="AJ1097" i="1" s="1"/>
  <c r="GS1097" i="1" l="1"/>
  <c r="AL1097" i="1" s="1"/>
  <c r="GU1097" i="1"/>
  <c r="AK1097" i="1" s="1"/>
  <c r="GX1097" i="1" l="1"/>
  <c r="AQ1097" i="1"/>
  <c r="AV1097" i="1" s="1"/>
  <c r="IC1096" i="1"/>
  <c r="IB1096" i="1"/>
  <c r="IA1096" i="1"/>
  <c r="HR1096" i="1"/>
  <c r="HT1096" i="1" s="1"/>
  <c r="HN1096" i="1"/>
  <c r="HF1096" i="1"/>
  <c r="HH1096" i="1" s="1"/>
  <c r="HJ1096" i="1" s="1"/>
  <c r="EY1096" i="1"/>
  <c r="FA1096" i="1" s="1"/>
  <c r="EL1096" i="1"/>
  <c r="EU1096" i="1" s="1"/>
  <c r="AZ1096" i="1"/>
  <c r="AU1096" i="1"/>
  <c r="AS1096" i="1"/>
  <c r="AR1096" i="1"/>
  <c r="AI1096" i="1"/>
  <c r="AH1096" i="1"/>
  <c r="AF1096" i="1"/>
  <c r="AC1096" i="1"/>
  <c r="BA1096" i="1" l="1"/>
  <c r="GU1096" i="1" s="1"/>
  <c r="AK1096" i="1" s="1"/>
  <c r="HO1096" i="1"/>
  <c r="HV1096" i="1" s="1"/>
  <c r="AM1096" i="1" s="1"/>
  <c r="IE1096" i="1"/>
  <c r="IG1096" i="1" s="1"/>
  <c r="AN1096" i="1" s="1"/>
  <c r="GW1096" i="1"/>
  <c r="AJ1096" i="1" s="1"/>
  <c r="AG1096" i="1"/>
  <c r="AE1096" i="1" l="1"/>
  <c r="GS1096" i="1"/>
  <c r="GX1096" i="1" s="1"/>
  <c r="AL1096" i="1" l="1"/>
  <c r="AQ1096" i="1" s="1"/>
  <c r="AV1096" i="1" s="1"/>
  <c r="IC1095" i="1"/>
  <c r="IB1095" i="1"/>
  <c r="IA1095" i="1"/>
  <c r="HR1095" i="1"/>
  <c r="HT1095" i="1" s="1"/>
  <c r="HN1095" i="1"/>
  <c r="HF1095" i="1"/>
  <c r="HH1095" i="1" s="1"/>
  <c r="HJ1095" i="1" s="1"/>
  <c r="EY1095" i="1"/>
  <c r="FA1095" i="1" s="1"/>
  <c r="EL1095" i="1"/>
  <c r="EU1095" i="1" s="1"/>
  <c r="AZ1095" i="1"/>
  <c r="AU1095" i="1"/>
  <c r="AS1095" i="1"/>
  <c r="AR1095" i="1"/>
  <c r="AI1095" i="1"/>
  <c r="AH1095" i="1"/>
  <c r="AF1095" i="1"/>
  <c r="AC1095" i="1"/>
  <c r="BA1095" i="1" l="1"/>
  <c r="AE1095" i="1" s="1"/>
  <c r="HO1095" i="1"/>
  <c r="HV1095" i="1" s="1"/>
  <c r="AM1095" i="1" s="1"/>
  <c r="IE1095" i="1"/>
  <c r="IG1095" i="1" s="1"/>
  <c r="AN1095" i="1" s="1"/>
  <c r="GW1095" i="1"/>
  <c r="AJ1095" i="1" s="1"/>
  <c r="AG1095" i="1"/>
  <c r="GU1095" i="1" l="1"/>
  <c r="AK1095" i="1" s="1"/>
  <c r="GS1095" i="1"/>
  <c r="GX1095" i="1" l="1"/>
  <c r="AL1095" i="1"/>
  <c r="AQ1095" i="1" s="1"/>
  <c r="AV1095" i="1" s="1"/>
  <c r="EL1093" i="1"/>
  <c r="EU1093" i="1" s="1"/>
  <c r="AZ1093" i="1"/>
  <c r="BA1093" i="1" s="1"/>
  <c r="AS1093" i="1"/>
  <c r="AR1093" i="1"/>
  <c r="AN1093" i="1"/>
  <c r="AM1093" i="1"/>
  <c r="AI1093" i="1"/>
  <c r="AH1093" i="1"/>
  <c r="AF1093" i="1"/>
  <c r="LO1092" i="1"/>
  <c r="LP1092" i="1" s="1"/>
  <c r="KX1092" i="1"/>
  <c r="KY1092" i="1" s="1"/>
  <c r="KD1092" i="1"/>
  <c r="KE1092" i="1" s="1"/>
  <c r="IX1092" i="1"/>
  <c r="JS1092" i="1" s="1"/>
  <c r="JU1092" i="1" s="1"/>
  <c r="JV1092" i="1" s="1"/>
  <c r="IT1092" i="1"/>
  <c r="IU1092" i="1" s="1"/>
  <c r="IC1092" i="1"/>
  <c r="IB1092" i="1"/>
  <c r="IA1092" i="1"/>
  <c r="HT1092" i="1"/>
  <c r="HN1092" i="1"/>
  <c r="HF1092" i="1"/>
  <c r="HH1092" i="1" s="1"/>
  <c r="HJ1092" i="1" s="1"/>
  <c r="EY1092" i="1"/>
  <c r="EX1092" i="1"/>
  <c r="EL1092" i="1"/>
  <c r="EU1092" i="1" s="1"/>
  <c r="CL1092" i="1"/>
  <c r="CM1092" i="1" s="1"/>
  <c r="DM1092" i="1" s="1"/>
  <c r="AZ1092" i="1"/>
  <c r="AU1092" i="1"/>
  <c r="AS1092" i="1"/>
  <c r="AR1092" i="1"/>
  <c r="AC1092" i="1"/>
  <c r="HO1092" i="1" l="1"/>
  <c r="HV1092" i="1" s="1"/>
  <c r="AM1092" i="1" s="1"/>
  <c r="BA1092" i="1"/>
  <c r="AE1092" i="1" s="1"/>
  <c r="FA1092" i="1"/>
  <c r="AG1092" i="1" s="1"/>
  <c r="IE1092" i="1"/>
  <c r="IG1092" i="1" s="1"/>
  <c r="AN1092" i="1" s="1"/>
  <c r="GS1093" i="1"/>
  <c r="AE1093" i="1"/>
  <c r="GW1093" i="1"/>
  <c r="AJ1093" i="1" s="1"/>
  <c r="GU1093" i="1"/>
  <c r="AK1093" i="1" s="1"/>
  <c r="AG1093" i="1"/>
  <c r="GW1092" i="1"/>
  <c r="AJ1092" i="1" s="1"/>
  <c r="LZ1092" i="1"/>
  <c r="LU1092" i="1"/>
  <c r="LS1092" i="1"/>
  <c r="DO1092" i="1"/>
  <c r="AH1092" i="1"/>
  <c r="KJ1092" i="1"/>
  <c r="KH1092" i="1"/>
  <c r="KO1092" i="1"/>
  <c r="GU1092" i="1" l="1"/>
  <c r="AK1092" i="1" s="1"/>
  <c r="GS1092" i="1"/>
  <c r="AL1092" i="1" s="1"/>
  <c r="KP1092" i="1"/>
  <c r="DT1092" i="1" s="1"/>
  <c r="DU1092" i="1" s="1"/>
  <c r="MA1092" i="1"/>
  <c r="DY1092" i="1" s="1"/>
  <c r="DZ1092" i="1" s="1"/>
  <c r="GX1093" i="1"/>
  <c r="AL1093" i="1"/>
  <c r="AQ1093" i="1" s="1"/>
  <c r="AV1093" i="1" s="1"/>
  <c r="DP1092" i="1"/>
  <c r="AI1092" i="1"/>
  <c r="GX1092" i="1" l="1"/>
  <c r="AF1092" i="1"/>
  <c r="AQ1092" i="1" s="1"/>
  <c r="AV1092" i="1" s="1"/>
  <c r="IC1075" i="1"/>
  <c r="IB1075" i="1"/>
  <c r="IA1075" i="1"/>
  <c r="HR1075" i="1"/>
  <c r="HT1075" i="1" s="1"/>
  <c r="HN1075" i="1"/>
  <c r="HF1075" i="1"/>
  <c r="HH1075" i="1" s="1"/>
  <c r="HJ1075" i="1" s="1"/>
  <c r="EL1075" i="1"/>
  <c r="EU1075" i="1" s="1"/>
  <c r="AZ1075" i="1"/>
  <c r="AU1075" i="1"/>
  <c r="AS1075" i="1"/>
  <c r="AR1075" i="1"/>
  <c r="AI1075" i="1"/>
  <c r="AH1075" i="1"/>
  <c r="AC1075" i="1"/>
  <c r="HO1075" i="1" l="1"/>
  <c r="HV1075" i="1" s="1"/>
  <c r="AM1075" i="1" s="1"/>
  <c r="BA1075" i="1"/>
  <c r="AE1075" i="1" s="1"/>
  <c r="IE1075" i="1"/>
  <c r="IG1075" i="1" s="1"/>
  <c r="AN1075" i="1" s="1"/>
  <c r="AG1075" i="1"/>
  <c r="GW1075" i="1"/>
  <c r="AJ1075" i="1" s="1"/>
  <c r="GS1075" i="1" l="1"/>
  <c r="AL1075" i="1" s="1"/>
  <c r="GU1075" i="1"/>
  <c r="AK1075" i="1" s="1"/>
  <c r="GX1075" i="1" l="1"/>
  <c r="AQ1075" i="1"/>
  <c r="AV1075" i="1" s="1"/>
  <c r="IC1073" i="1"/>
  <c r="IB1073" i="1"/>
  <c r="IA1073" i="1"/>
  <c r="HR1073" i="1"/>
  <c r="HT1073" i="1" s="1"/>
  <c r="HN1073" i="1"/>
  <c r="HF1073" i="1"/>
  <c r="HH1073" i="1" s="1"/>
  <c r="HJ1073" i="1" s="1"/>
  <c r="EL1073" i="1"/>
  <c r="EU1073" i="1" s="1"/>
  <c r="CH1073" i="1"/>
  <c r="DM1073" i="1" s="1"/>
  <c r="AZ1073" i="1"/>
  <c r="BA1073" i="1" s="1"/>
  <c r="AU1073" i="1"/>
  <c r="AS1073" i="1"/>
  <c r="AR1073" i="1"/>
  <c r="AI1073" i="1"/>
  <c r="IC1071" i="1"/>
  <c r="IB1071" i="1"/>
  <c r="IA1071" i="1"/>
  <c r="HN1071" i="1"/>
  <c r="HF1071" i="1"/>
  <c r="HH1071" i="1" s="1"/>
  <c r="HJ1071" i="1" s="1"/>
  <c r="EL1071" i="1"/>
  <c r="EU1071" i="1" s="1"/>
  <c r="CH1071" i="1"/>
  <c r="DM1071" i="1" s="1"/>
  <c r="AZ1071" i="1"/>
  <c r="BA1071" i="1" s="1"/>
  <c r="AU1071" i="1"/>
  <c r="AS1071" i="1"/>
  <c r="AR1071" i="1"/>
  <c r="HO1071" i="1" l="1"/>
  <c r="HV1071" i="1" s="1"/>
  <c r="AM1071" i="1" s="1"/>
  <c r="HO1073" i="1"/>
  <c r="HV1073" i="1" s="1"/>
  <c r="AM1073" i="1" s="1"/>
  <c r="IE1071" i="1"/>
  <c r="IG1071" i="1" s="1"/>
  <c r="AN1071" i="1" s="1"/>
  <c r="IE1073" i="1"/>
  <c r="IG1073" i="1" s="1"/>
  <c r="AN1073" i="1" s="1"/>
  <c r="GS1073" i="1"/>
  <c r="AE1073" i="1"/>
  <c r="AH1073" i="1"/>
  <c r="DP1073" i="1"/>
  <c r="AG1073" i="1"/>
  <c r="GW1073" i="1"/>
  <c r="AJ1073" i="1" s="1"/>
  <c r="GU1073" i="1"/>
  <c r="AK1073" i="1" s="1"/>
  <c r="AH1071" i="1"/>
  <c r="DO1071" i="1"/>
  <c r="AI1071" i="1" s="1"/>
  <c r="GU1071" i="1"/>
  <c r="AK1071" i="1" s="1"/>
  <c r="AG1071" i="1"/>
  <c r="GW1071" i="1"/>
  <c r="AJ1071" i="1" s="1"/>
  <c r="GS1071" i="1"/>
  <c r="AE1071" i="1"/>
  <c r="DP1071" i="1" l="1"/>
  <c r="AL1073" i="1"/>
  <c r="AQ1073" i="1" s="1"/>
  <c r="AV1073" i="1" s="1"/>
  <c r="GX1073" i="1"/>
  <c r="AL1071" i="1"/>
  <c r="AQ1071" i="1" s="1"/>
  <c r="AV1071" i="1" s="1"/>
  <c r="GX1071" i="1"/>
  <c r="IC1069" i="1" l="1"/>
  <c r="IB1069" i="1"/>
  <c r="IA1069" i="1"/>
  <c r="HN1069" i="1"/>
  <c r="HF1069" i="1"/>
  <c r="HH1069" i="1" s="1"/>
  <c r="HJ1069" i="1" s="1"/>
  <c r="EL1069" i="1"/>
  <c r="EU1069" i="1" s="1"/>
  <c r="AX1069" i="1"/>
  <c r="AW1069" i="1"/>
  <c r="AU1069" i="1"/>
  <c r="AS1069" i="1"/>
  <c r="AJ1069" i="1"/>
  <c r="AI1069" i="1"/>
  <c r="AH1069" i="1"/>
  <c r="IC1068" i="1"/>
  <c r="IB1068" i="1"/>
  <c r="IA1068" i="1"/>
  <c r="HN1068" i="1"/>
  <c r="HF1068" i="1"/>
  <c r="HH1068" i="1" s="1"/>
  <c r="HJ1068" i="1" s="1"/>
  <c r="EL1068" i="1"/>
  <c r="EU1068" i="1" s="1"/>
  <c r="AG1068" i="1" s="1"/>
  <c r="CH1068" i="1"/>
  <c r="DM1068" i="1" s="1"/>
  <c r="AZ1068" i="1"/>
  <c r="BA1068" i="1" s="1"/>
  <c r="AU1068" i="1"/>
  <c r="AS1068" i="1"/>
  <c r="IC1067" i="1"/>
  <c r="IB1067" i="1"/>
  <c r="IA1067" i="1"/>
  <c r="HO1067" i="1"/>
  <c r="HV1067" i="1" s="1"/>
  <c r="AM1067" i="1" s="1"/>
  <c r="HN1067" i="1"/>
  <c r="HF1067" i="1"/>
  <c r="HH1067" i="1" s="1"/>
  <c r="HJ1067" i="1" s="1"/>
  <c r="EL1067" i="1"/>
  <c r="EU1067" i="1" s="1"/>
  <c r="CH1067" i="1"/>
  <c r="DM1067" i="1" s="1"/>
  <c r="AZ1067" i="1"/>
  <c r="BA1067" i="1" s="1"/>
  <c r="AU1067" i="1"/>
  <c r="AT1067" i="1"/>
  <c r="AS1067" i="1"/>
  <c r="HO1068" i="1" l="1"/>
  <c r="HV1068" i="1" s="1"/>
  <c r="AM1068" i="1" s="1"/>
  <c r="HO1069" i="1"/>
  <c r="HV1069" i="1" s="1"/>
  <c r="AM1069" i="1" s="1"/>
  <c r="IE1069" i="1"/>
  <c r="IG1069" i="1" s="1"/>
  <c r="AN1069" i="1" s="1"/>
  <c r="IE1067" i="1"/>
  <c r="IG1067" i="1" s="1"/>
  <c r="AN1067" i="1" s="1"/>
  <c r="IE1068" i="1"/>
  <c r="IG1068" i="1" s="1"/>
  <c r="AN1068" i="1" s="1"/>
  <c r="AG1069" i="1"/>
  <c r="GU1069" i="1"/>
  <c r="AZ1069" i="1"/>
  <c r="BA1069" i="1" s="1"/>
  <c r="GU1068" i="1"/>
  <c r="AK1068" i="1" s="1"/>
  <c r="IJ1068" i="1"/>
  <c r="AR1068" i="1" s="1"/>
  <c r="AE1068" i="1"/>
  <c r="GS1068" i="1"/>
  <c r="DO1068" i="1"/>
  <c r="AI1068" i="1" s="1"/>
  <c r="AH1068" i="1"/>
  <c r="GW1068" i="1"/>
  <c r="AJ1068" i="1" s="1"/>
  <c r="IJ1067" i="1"/>
  <c r="AR1067" i="1" s="1"/>
  <c r="AE1067" i="1"/>
  <c r="GS1067" i="1"/>
  <c r="AH1067" i="1"/>
  <c r="DO1067" i="1"/>
  <c r="AI1067" i="1" s="1"/>
  <c r="GW1067" i="1"/>
  <c r="AJ1067" i="1" s="1"/>
  <c r="AG1067" i="1"/>
  <c r="GU1067" i="1"/>
  <c r="AK1067" i="1" s="1"/>
  <c r="AE1069" i="1" l="1"/>
  <c r="GQ1069" i="1"/>
  <c r="AK1069" i="1"/>
  <c r="GX1069" i="1"/>
  <c r="GO1069" i="1"/>
  <c r="AL1068" i="1"/>
  <c r="AQ1068" i="1" s="1"/>
  <c r="AV1068" i="1" s="1"/>
  <c r="GX1068" i="1"/>
  <c r="DP1068" i="1"/>
  <c r="DP1067" i="1"/>
  <c r="GX1067" i="1"/>
  <c r="AL1067" i="1"/>
  <c r="AQ1067" i="1" s="1"/>
  <c r="AV1067" i="1" s="1"/>
  <c r="IJ1069" i="1" l="1"/>
  <c r="AR1069" i="1" s="1"/>
  <c r="AL1069" i="1"/>
  <c r="AQ1069" i="1" s="1"/>
  <c r="IC1066" i="1"/>
  <c r="IB1066" i="1"/>
  <c r="IA1066" i="1"/>
  <c r="HN1066" i="1"/>
  <c r="HF1066" i="1"/>
  <c r="HH1066" i="1" s="1"/>
  <c r="HJ1066" i="1" s="1"/>
  <c r="EL1066" i="1"/>
  <c r="EU1066" i="1" s="1"/>
  <c r="CH1066" i="1"/>
  <c r="DM1066" i="1" s="1"/>
  <c r="AZ1066" i="1"/>
  <c r="BA1066" i="1" s="1"/>
  <c r="AU1066" i="1"/>
  <c r="AS1066" i="1"/>
  <c r="HO1066" i="1" l="1"/>
  <c r="HV1066" i="1" s="1"/>
  <c r="AM1066" i="1" s="1"/>
  <c r="AV1069" i="1"/>
  <c r="IE1066" i="1"/>
  <c r="IG1066" i="1" s="1"/>
  <c r="AN1066" i="1" s="1"/>
  <c r="IJ1066" i="1"/>
  <c r="AR1066" i="1" s="1"/>
  <c r="AE1066" i="1"/>
  <c r="GS1066" i="1"/>
  <c r="DO1066" i="1"/>
  <c r="AI1066" i="1" s="1"/>
  <c r="AH1066" i="1"/>
  <c r="AG1066" i="1"/>
  <c r="GW1066" i="1"/>
  <c r="AJ1066" i="1" s="1"/>
  <c r="GU1066" i="1"/>
  <c r="AK1066" i="1" s="1"/>
  <c r="DP1066" i="1" l="1"/>
  <c r="GX1066" i="1"/>
  <c r="AL1066" i="1"/>
  <c r="AQ1066" i="1" s="1"/>
  <c r="AV1066" i="1" s="1"/>
  <c r="IG1063" i="1"/>
  <c r="AN1063" i="1" s="1"/>
  <c r="HT1063" i="1"/>
  <c r="HN1063" i="1"/>
  <c r="HF1063" i="1"/>
  <c r="HH1063" i="1" s="1"/>
  <c r="HJ1063" i="1" s="1"/>
  <c r="EL1063" i="1"/>
  <c r="EU1063" i="1" s="1"/>
  <c r="AZ1063" i="1"/>
  <c r="BA1063" i="1" s="1"/>
  <c r="AU1063" i="1"/>
  <c r="AS1063" i="1"/>
  <c r="AI1063" i="1"/>
  <c r="AH1063" i="1"/>
  <c r="GS1063" i="1" l="1"/>
  <c r="AE1063" i="1"/>
  <c r="AG1063" i="1"/>
  <c r="GW1063" i="1"/>
  <c r="AJ1063" i="1" s="1"/>
  <c r="GU1063" i="1"/>
  <c r="AK1063" i="1" s="1"/>
  <c r="HO1063" i="1"/>
  <c r="HV1063" i="1" s="1"/>
  <c r="AM1063" i="1" s="1"/>
  <c r="HL1063" i="1"/>
  <c r="GX1063" i="1" l="1"/>
  <c r="AL1063" i="1"/>
  <c r="AQ1063" i="1" s="1"/>
  <c r="AV1063" i="1" s="1"/>
  <c r="IG1054" i="1" l="1"/>
  <c r="AN1054" i="1" s="1"/>
  <c r="HT1054" i="1"/>
  <c r="HN1054" i="1"/>
  <c r="HF1054" i="1"/>
  <c r="HH1054" i="1" s="1"/>
  <c r="HJ1054" i="1" s="1"/>
  <c r="EL1054" i="1"/>
  <c r="EU1054" i="1" s="1"/>
  <c r="DM1054" i="1"/>
  <c r="DP1054" i="1" s="1"/>
  <c r="AZ1054" i="1"/>
  <c r="BA1054" i="1" s="1"/>
  <c r="AU1054" i="1"/>
  <c r="AS1054" i="1"/>
  <c r="AI1054" i="1"/>
  <c r="AH1054" i="1"/>
  <c r="GS1054" i="1" l="1"/>
  <c r="AE1054" i="1"/>
  <c r="AG1054" i="1"/>
  <c r="GW1054" i="1"/>
  <c r="AJ1054" i="1" s="1"/>
  <c r="GU1054" i="1"/>
  <c r="AK1054" i="1" s="1"/>
  <c r="HO1054" i="1"/>
  <c r="HV1054" i="1" s="1"/>
  <c r="AM1054" i="1" s="1"/>
  <c r="HL1054" i="1"/>
  <c r="GX1054" i="1" l="1"/>
  <c r="AL1054" i="1"/>
  <c r="AQ1054" i="1" s="1"/>
  <c r="AV1054" i="1" s="1"/>
  <c r="IG1053" i="1" l="1"/>
  <c r="AN1053" i="1" s="1"/>
  <c r="HN1053" i="1"/>
  <c r="HF1053" i="1"/>
  <c r="HH1053" i="1" s="1"/>
  <c r="HJ1053" i="1" s="1"/>
  <c r="EL1053" i="1"/>
  <c r="EU1053" i="1" s="1"/>
  <c r="CG1053" i="1"/>
  <c r="CH1053" i="1" s="1"/>
  <c r="DM1053" i="1" s="1"/>
  <c r="AX1053" i="1"/>
  <c r="AZ1053" i="1" s="1"/>
  <c r="BA1053" i="1" s="1"/>
  <c r="AU1053" i="1"/>
  <c r="AT1053" i="1"/>
  <c r="AS1053" i="1"/>
  <c r="HO1053" i="1" l="1"/>
  <c r="HV1053" i="1" s="1"/>
  <c r="AM1053" i="1" s="1"/>
  <c r="HL1053" i="1"/>
  <c r="GS1053" i="1"/>
  <c r="AE1053" i="1"/>
  <c r="DO1053" i="1"/>
  <c r="AI1053" i="1" s="1"/>
  <c r="AH1053" i="1"/>
  <c r="GW1053" i="1"/>
  <c r="AJ1053" i="1" s="1"/>
  <c r="GU1053" i="1"/>
  <c r="AK1053" i="1" s="1"/>
  <c r="AG1053" i="1"/>
  <c r="DP1053" i="1" l="1"/>
  <c r="AL1053" i="1"/>
  <c r="AQ1053" i="1" s="1"/>
  <c r="AV1053" i="1" s="1"/>
  <c r="GX1053" i="1"/>
  <c r="IC1033" i="1" l="1"/>
  <c r="IB1033" i="1"/>
  <c r="IA1033" i="1"/>
  <c r="HR1033" i="1"/>
  <c r="HT1033" i="1" s="1"/>
  <c r="HN1033" i="1"/>
  <c r="HF1033" i="1"/>
  <c r="HH1033" i="1" s="1"/>
  <c r="HJ1033" i="1" s="1"/>
  <c r="EL1033" i="1"/>
  <c r="EU1033" i="1" s="1"/>
  <c r="AZ1033" i="1"/>
  <c r="BA1033" i="1" s="1"/>
  <c r="AU1033" i="1"/>
  <c r="AS1033" i="1"/>
  <c r="AI1033" i="1"/>
  <c r="AH1033" i="1"/>
  <c r="HO1033" i="1" l="1"/>
  <c r="HV1033" i="1" s="1"/>
  <c r="AM1033" i="1" s="1"/>
  <c r="IE1033" i="1"/>
  <c r="IG1033" i="1" s="1"/>
  <c r="AN1033" i="1" s="1"/>
  <c r="GS1033" i="1"/>
  <c r="AE1033" i="1"/>
  <c r="AG1033" i="1"/>
  <c r="GW1033" i="1"/>
  <c r="AJ1033" i="1" s="1"/>
  <c r="GU1033" i="1"/>
  <c r="AK1033" i="1" s="1"/>
  <c r="AL1033" i="1" l="1"/>
  <c r="AQ1033" i="1" s="1"/>
  <c r="AV1033" i="1" s="1"/>
  <c r="GX1033" i="1"/>
  <c r="AU1032" i="1" l="1"/>
  <c r="IC1032" i="1" l="1"/>
  <c r="IB1032" i="1"/>
  <c r="IA1032" i="1"/>
  <c r="HN1032" i="1"/>
  <c r="HF1032" i="1"/>
  <c r="HH1032" i="1" s="1"/>
  <c r="HJ1032" i="1" s="1"/>
  <c r="HL1032" i="1" s="1"/>
  <c r="EL1032" i="1"/>
  <c r="EU1032" i="1" s="1"/>
  <c r="CH1032" i="1"/>
  <c r="DM1032" i="1" s="1"/>
  <c r="AZ1032" i="1"/>
  <c r="BA1032" i="1" s="1"/>
  <c r="AS1032" i="1"/>
  <c r="AR1032" i="1"/>
  <c r="AI1032" i="1"/>
  <c r="HO1032" i="1" l="1"/>
  <c r="HV1032" i="1" s="1"/>
  <c r="AM1032" i="1" s="1"/>
  <c r="IE1032" i="1"/>
  <c r="IG1032" i="1" s="1"/>
  <c r="AN1032" i="1" s="1"/>
  <c r="GS1032" i="1"/>
  <c r="BK1032" i="1"/>
  <c r="AE1032" i="1" s="1"/>
  <c r="DP1032" i="1"/>
  <c r="AH1032" i="1"/>
  <c r="AG1032" i="1"/>
  <c r="GW1032" i="1"/>
  <c r="AJ1032" i="1" s="1"/>
  <c r="GU1032" i="1"/>
  <c r="AK1032" i="1" s="1"/>
  <c r="GX1032" i="1" l="1"/>
  <c r="AL1032" i="1"/>
  <c r="AQ1032" i="1" s="1"/>
  <c r="AV1032" i="1" s="1"/>
  <c r="IG1018" i="1" l="1"/>
  <c r="HV1018" i="1"/>
  <c r="AM1018" i="1" s="1"/>
  <c r="GW1018" i="1"/>
  <c r="AJ1018" i="1" s="1"/>
  <c r="GU1018" i="1"/>
  <c r="AK1018" i="1" s="1"/>
  <c r="EX1018" i="1"/>
  <c r="FA1018" i="1" s="1"/>
  <c r="EU1018" i="1"/>
  <c r="CH1018" i="1"/>
  <c r="DM1018" i="1" s="1"/>
  <c r="AX1018" i="1"/>
  <c r="AW1018" i="1"/>
  <c r="AU1018" i="1"/>
  <c r="AS1018" i="1"/>
  <c r="AN1018" i="1"/>
  <c r="AI1018" i="1"/>
  <c r="IG1017" i="1"/>
  <c r="AN1017" i="1" s="1"/>
  <c r="HV1017" i="1"/>
  <c r="AM1017" i="1" s="1"/>
  <c r="GW1017" i="1"/>
  <c r="AJ1017" i="1" s="1"/>
  <c r="GU1017" i="1"/>
  <c r="AK1017" i="1" s="1"/>
  <c r="EX1017" i="1"/>
  <c r="FA1017" i="1" s="1"/>
  <c r="EU1017" i="1"/>
  <c r="CH1017" i="1"/>
  <c r="DM1017" i="1" s="1"/>
  <c r="AX1017" i="1"/>
  <c r="AW1017" i="1"/>
  <c r="AU1017" i="1"/>
  <c r="AS1017" i="1"/>
  <c r="AI1017" i="1"/>
  <c r="AG1017" i="1" l="1"/>
  <c r="AG1018" i="1"/>
  <c r="DP1018" i="1"/>
  <c r="AH1018" i="1"/>
  <c r="AZ1018" i="1"/>
  <c r="BA1018" i="1" s="1"/>
  <c r="DP1017" i="1"/>
  <c r="AH1017" i="1"/>
  <c r="AZ1017" i="1"/>
  <c r="BA1017" i="1" s="1"/>
  <c r="AE1018" i="1" l="1"/>
  <c r="GS1018" i="1"/>
  <c r="AE1017" i="1"/>
  <c r="GS1017" i="1"/>
  <c r="GX1018" i="1" l="1"/>
  <c r="AL1018" i="1"/>
  <c r="AQ1018" i="1" s="1"/>
  <c r="AV1018" i="1" s="1"/>
  <c r="AL1017" i="1"/>
  <c r="AQ1017" i="1" s="1"/>
  <c r="AV1017" i="1" s="1"/>
  <c r="GX1017" i="1"/>
  <c r="FA1013" i="1"/>
  <c r="EU1013" i="1"/>
  <c r="AG1013" i="1" s="1"/>
  <c r="CH1013" i="1"/>
  <c r="DM1013" i="1" s="1"/>
  <c r="AX1013" i="1"/>
  <c r="AW1013" i="1"/>
  <c r="AU1013" i="1"/>
  <c r="AS1013" i="1"/>
  <c r="AN1013" i="1"/>
  <c r="AM1013" i="1"/>
  <c r="AK1013" i="1"/>
  <c r="AJ1013" i="1"/>
  <c r="AI1013" i="1"/>
  <c r="AC1013" i="1"/>
  <c r="DP1013" i="1" l="1"/>
  <c r="AH1013" i="1"/>
  <c r="AZ1013" i="1"/>
  <c r="BA1013" i="1" s="1"/>
  <c r="FA1012" i="1"/>
  <c r="EU1012" i="1"/>
  <c r="AG1012" i="1" s="1"/>
  <c r="CH1012" i="1"/>
  <c r="DM1012" i="1" s="1"/>
  <c r="AX1012" i="1"/>
  <c r="AW1012" i="1"/>
  <c r="AU1012" i="1"/>
  <c r="AS1012" i="1"/>
  <c r="AN1012" i="1"/>
  <c r="AM1012" i="1"/>
  <c r="AK1012" i="1"/>
  <c r="AJ1012" i="1"/>
  <c r="AI1012" i="1"/>
  <c r="AC1012" i="1"/>
  <c r="AE1013" i="1" l="1"/>
  <c r="GS1013" i="1"/>
  <c r="DP1012" i="1"/>
  <c r="AH1012" i="1"/>
  <c r="AZ1012" i="1"/>
  <c r="BA1012" i="1" s="1"/>
  <c r="GX1013" i="1" l="1"/>
  <c r="AL1013" i="1"/>
  <c r="AQ1013" i="1" s="1"/>
  <c r="AV1013" i="1" s="1"/>
  <c r="AE1012" i="1"/>
  <c r="GS1012" i="1"/>
  <c r="GX1012" i="1" l="1"/>
  <c r="AL1012" i="1"/>
  <c r="AQ1012" i="1" s="1"/>
  <c r="AV1012" i="1" s="1"/>
  <c r="IC1007" i="1" l="1"/>
  <c r="IB1007" i="1"/>
  <c r="IA1007" i="1"/>
  <c r="HT1007" i="1"/>
  <c r="HN1007" i="1"/>
  <c r="HF1007" i="1"/>
  <c r="HH1007" i="1" s="1"/>
  <c r="HJ1007" i="1" s="1"/>
  <c r="EL1007" i="1"/>
  <c r="EU1007" i="1" s="1"/>
  <c r="CW1007" i="1"/>
  <c r="CR1007" i="1"/>
  <c r="CH1007" i="1"/>
  <c r="AZ1007" i="1"/>
  <c r="BA1007" i="1" s="1"/>
  <c r="AU1007" i="1"/>
  <c r="AS1007" i="1"/>
  <c r="HO1007" i="1" l="1"/>
  <c r="HV1007" i="1" s="1"/>
  <c r="AM1007" i="1" s="1"/>
  <c r="DM1007" i="1"/>
  <c r="DO1007" i="1" s="1"/>
  <c r="AI1007" i="1" s="1"/>
  <c r="IE1007" i="1"/>
  <c r="IG1007" i="1" s="1"/>
  <c r="AN1007" i="1" s="1"/>
  <c r="AE1007" i="1"/>
  <c r="GS1007" i="1"/>
  <c r="IJ1007" i="1"/>
  <c r="GU1007" i="1"/>
  <c r="AK1007" i="1" s="1"/>
  <c r="GW1007" i="1"/>
  <c r="AJ1007" i="1" s="1"/>
  <c r="AG1007" i="1"/>
  <c r="AH1007" i="1" l="1"/>
  <c r="AL1007" i="1"/>
  <c r="GX1007" i="1"/>
  <c r="DP1007" i="1"/>
  <c r="AQ1007" i="1" l="1"/>
  <c r="AV1007" i="1" s="1"/>
  <c r="LO1005" i="1"/>
  <c r="LP1005" i="1" s="1"/>
  <c r="KX1005" i="1"/>
  <c r="KY1005" i="1" s="1"/>
  <c r="KD1005" i="1"/>
  <c r="KE1005" i="1" s="1"/>
  <c r="KO1005" i="1" s="1"/>
  <c r="JH1005" i="1"/>
  <c r="JC1005" i="1"/>
  <c r="IT1005" i="1"/>
  <c r="IU1005" i="1" s="1"/>
  <c r="IC1005" i="1"/>
  <c r="IB1005" i="1"/>
  <c r="IA1005" i="1"/>
  <c r="HR1005" i="1"/>
  <c r="HT1005" i="1" s="1"/>
  <c r="HN1005" i="1"/>
  <c r="HF1005" i="1"/>
  <c r="HH1005" i="1" s="1"/>
  <c r="HJ1005" i="1" s="1"/>
  <c r="FF1005" i="1"/>
  <c r="FG1005" i="1" s="1"/>
  <c r="EU1005" i="1" s="1"/>
  <c r="AG1005" i="1" s="1"/>
  <c r="DM1005" i="1"/>
  <c r="DO1005" i="1" s="1"/>
  <c r="DP1005" i="1" s="1"/>
  <c r="AU1005" i="1"/>
  <c r="AS1005" i="1"/>
  <c r="AL1005" i="1"/>
  <c r="AK1005" i="1"/>
  <c r="AJ1005" i="1"/>
  <c r="AE1005" i="1"/>
  <c r="AH1005" i="1" l="1"/>
  <c r="HO1005" i="1"/>
  <c r="HV1005" i="1" s="1"/>
  <c r="AM1005" i="1" s="1"/>
  <c r="IE1005" i="1"/>
  <c r="IG1005" i="1" s="1"/>
  <c r="AN1005" i="1" s="1"/>
  <c r="JS1005" i="1"/>
  <c r="JU1005" i="1" s="1"/>
  <c r="JV1005" i="1" s="1"/>
  <c r="LZ1005" i="1"/>
  <c r="LU1005" i="1"/>
  <c r="LS1005" i="1"/>
  <c r="KH1005" i="1"/>
  <c r="KJ1005" i="1"/>
  <c r="AI1005" i="1"/>
  <c r="LO1004" i="1"/>
  <c r="LP1004" i="1" s="1"/>
  <c r="KX1004" i="1"/>
  <c r="KY1004" i="1" s="1"/>
  <c r="KD1004" i="1"/>
  <c r="KE1004" i="1" s="1"/>
  <c r="JH1004" i="1"/>
  <c r="JC1004" i="1"/>
  <c r="IT1004" i="1"/>
  <c r="IU1004" i="1" s="1"/>
  <c r="IH1004" i="1"/>
  <c r="IC1004" i="1"/>
  <c r="IB1004" i="1"/>
  <c r="IA1004" i="1"/>
  <c r="HW1004" i="1"/>
  <c r="HR1004" i="1"/>
  <c r="HT1004" i="1" s="1"/>
  <c r="HO1004" i="1"/>
  <c r="HN1004" i="1"/>
  <c r="HF1004" i="1"/>
  <c r="HH1004" i="1" s="1"/>
  <c r="HJ1004" i="1" s="1"/>
  <c r="FF1004" i="1"/>
  <c r="FG1004" i="1" s="1"/>
  <c r="EU1004" i="1" s="1"/>
  <c r="AG1004" i="1" s="1"/>
  <c r="DM1004" i="1"/>
  <c r="AU1004" i="1"/>
  <c r="AS1004" i="1"/>
  <c r="AL1004" i="1"/>
  <c r="AK1004" i="1"/>
  <c r="AJ1004" i="1"/>
  <c r="AE1004" i="1"/>
  <c r="KJ1004" i="1" l="1"/>
  <c r="IE1004" i="1"/>
  <c r="IG1004" i="1" s="1"/>
  <c r="AN1004" i="1" s="1"/>
  <c r="JS1004" i="1"/>
  <c r="JU1004" i="1" s="1"/>
  <c r="JV1004" i="1" s="1"/>
  <c r="HV1004" i="1"/>
  <c r="AM1004" i="1" s="1"/>
  <c r="KP1005" i="1"/>
  <c r="DT1005" i="1" s="1"/>
  <c r="DU1005" i="1" s="1"/>
  <c r="MA1005" i="1"/>
  <c r="DY1005" i="1" s="1"/>
  <c r="DZ1005" i="1" s="1"/>
  <c r="LZ1004" i="1"/>
  <c r="LU1004" i="1"/>
  <c r="LS1004" i="1"/>
  <c r="KO1004" i="1"/>
  <c r="AH1004" i="1"/>
  <c r="DO1004" i="1"/>
  <c r="AI1004" i="1" s="1"/>
  <c r="KH1004" i="1"/>
  <c r="MA1004" i="1" l="1"/>
  <c r="DY1004" i="1" s="1"/>
  <c r="DZ1004" i="1" s="1"/>
  <c r="KP1004" i="1"/>
  <c r="DT1004" i="1" s="1"/>
  <c r="DU1004" i="1" s="1"/>
  <c r="AF1005" i="1"/>
  <c r="AQ1005" i="1" s="1"/>
  <c r="AV1005" i="1" s="1"/>
  <c r="DP1004" i="1"/>
  <c r="AF1004" i="1" l="1"/>
  <c r="AQ1004" i="1" s="1"/>
  <c r="AV1004" i="1" s="1"/>
  <c r="J18" i="4"/>
  <c r="EL793" i="1" l="1"/>
  <c r="EU793" i="1" s="1"/>
  <c r="CH793" i="1"/>
  <c r="DM793" i="1" s="1"/>
  <c r="AZ793" i="1"/>
  <c r="BA793" i="1" s="1"/>
  <c r="AN793" i="1"/>
  <c r="AM793" i="1"/>
  <c r="GU793" i="1" l="1"/>
  <c r="AK793" i="1" s="1"/>
  <c r="GS793" i="1"/>
  <c r="AE793" i="1"/>
  <c r="DO793" i="1"/>
  <c r="AI793" i="1" s="1"/>
  <c r="AH793" i="1"/>
  <c r="AG793" i="1"/>
  <c r="GW793" i="1"/>
  <c r="AJ793" i="1" s="1"/>
  <c r="DP793" i="1" l="1"/>
  <c r="GX793" i="1"/>
  <c r="AL793" i="1"/>
  <c r="AQ793" i="1" s="1"/>
  <c r="AV793" i="1" s="1"/>
  <c r="IC795" i="1" l="1"/>
  <c r="IB795" i="1"/>
  <c r="IA795" i="1"/>
  <c r="HN795" i="1"/>
  <c r="HF795" i="1"/>
  <c r="HH795" i="1" s="1"/>
  <c r="HJ795" i="1" s="1"/>
  <c r="EL795" i="1"/>
  <c r="EU795" i="1" s="1"/>
  <c r="DM795" i="1"/>
  <c r="DO795" i="1" s="1"/>
  <c r="AI795" i="1" s="1"/>
  <c r="AZ795" i="1"/>
  <c r="BA795" i="1" s="1"/>
  <c r="AR795" i="1"/>
  <c r="IE795" i="1" l="1"/>
  <c r="IG795" i="1" s="1"/>
  <c r="AN795" i="1" s="1"/>
  <c r="HO795" i="1"/>
  <c r="HV795" i="1" s="1"/>
  <c r="AM795" i="1" s="1"/>
  <c r="GU795" i="1"/>
  <c r="AK795" i="1" s="1"/>
  <c r="GS795" i="1"/>
  <c r="AE795" i="1"/>
  <c r="GW795" i="1"/>
  <c r="AJ795" i="1" s="1"/>
  <c r="AG795" i="1"/>
  <c r="AH795" i="1"/>
  <c r="DP795" i="1"/>
  <c r="GX795" i="1" l="1"/>
  <c r="AL795" i="1"/>
  <c r="AQ795" i="1" s="1"/>
  <c r="AV795" i="1" s="1"/>
  <c r="IC794" i="1" l="1"/>
  <c r="IB794" i="1"/>
  <c r="IA794" i="1"/>
  <c r="HN794" i="1"/>
  <c r="HF794" i="1"/>
  <c r="HH794" i="1" s="1"/>
  <c r="HJ794" i="1" s="1"/>
  <c r="EL794" i="1"/>
  <c r="DM794" i="1"/>
  <c r="AH794" i="1" s="1"/>
  <c r="AZ794" i="1"/>
  <c r="BA794" i="1" s="1"/>
  <c r="IC792" i="1"/>
  <c r="IB792" i="1"/>
  <c r="IA792" i="1"/>
  <c r="HT792" i="1"/>
  <c r="HN792" i="1"/>
  <c r="HF792" i="1"/>
  <c r="HH792" i="1" s="1"/>
  <c r="HJ792" i="1" s="1"/>
  <c r="EL792" i="1"/>
  <c r="EU792" i="1" s="1"/>
  <c r="DM792" i="1"/>
  <c r="AZ792" i="1"/>
  <c r="BA792" i="1" s="1"/>
  <c r="AU792" i="1"/>
  <c r="HO792" i="1" l="1"/>
  <c r="HV792" i="1" s="1"/>
  <c r="AM792" i="1" s="1"/>
  <c r="IE794" i="1"/>
  <c r="IG794" i="1" s="1"/>
  <c r="AN794" i="1" s="1"/>
  <c r="HO794" i="1"/>
  <c r="HV794" i="1" s="1"/>
  <c r="AM794" i="1" s="1"/>
  <c r="IE792" i="1"/>
  <c r="IG792" i="1" s="1"/>
  <c r="AN792" i="1" s="1"/>
  <c r="AE794" i="1"/>
  <c r="DO794" i="1"/>
  <c r="AI794" i="1" s="1"/>
  <c r="ER794" i="1"/>
  <c r="EU794" i="1" s="1"/>
  <c r="GW792" i="1"/>
  <c r="AJ792" i="1" s="1"/>
  <c r="AG792" i="1"/>
  <c r="GU792" i="1"/>
  <c r="AK792" i="1" s="1"/>
  <c r="AE792" i="1"/>
  <c r="GS792" i="1"/>
  <c r="AH792" i="1"/>
  <c r="DO792" i="1"/>
  <c r="AI792" i="1" s="1"/>
  <c r="GW794" i="1" l="1"/>
  <c r="AJ794" i="1" s="1"/>
  <c r="AG794" i="1"/>
  <c r="IJ794" i="1"/>
  <c r="AR794" i="1" s="1"/>
  <c r="GS794" i="1"/>
  <c r="GU794" i="1"/>
  <c r="AK794" i="1" s="1"/>
  <c r="DP794" i="1"/>
  <c r="DP792" i="1"/>
  <c r="GX792" i="1"/>
  <c r="AL792" i="1"/>
  <c r="AQ792" i="1" s="1"/>
  <c r="AV792" i="1" s="1"/>
  <c r="GX794" i="1" l="1"/>
  <c r="AL794" i="1"/>
  <c r="AQ794" i="1" s="1"/>
  <c r="AV794" i="1" s="1"/>
  <c r="IC791" i="1"/>
  <c r="IB791" i="1"/>
  <c r="IA791" i="1"/>
  <c r="HR791" i="1"/>
  <c r="HT791" i="1" s="1"/>
  <c r="HN791" i="1"/>
  <c r="HF791" i="1"/>
  <c r="HH791" i="1" s="1"/>
  <c r="HJ791" i="1" s="1"/>
  <c r="EL791" i="1"/>
  <c r="EU791" i="1" s="1"/>
  <c r="CR791" i="1"/>
  <c r="CM791" i="1"/>
  <c r="AZ791" i="1"/>
  <c r="BA791" i="1" s="1"/>
  <c r="DM791" i="1" l="1"/>
  <c r="DO791" i="1" s="1"/>
  <c r="AI791" i="1" s="1"/>
  <c r="HO791" i="1"/>
  <c r="HV791" i="1" s="1"/>
  <c r="AM791" i="1" s="1"/>
  <c r="IE791" i="1"/>
  <c r="IG791" i="1" s="1"/>
  <c r="AN791" i="1" s="1"/>
  <c r="AE791" i="1"/>
  <c r="GU791" i="1"/>
  <c r="AK791" i="1" s="1"/>
  <c r="GS791" i="1"/>
  <c r="AG791" i="1"/>
  <c r="GW791" i="1"/>
  <c r="AJ791" i="1" s="1"/>
  <c r="AH791" i="1" l="1"/>
  <c r="DP791" i="1"/>
  <c r="GX791" i="1"/>
  <c r="AL791" i="1"/>
  <c r="AQ791" i="1" l="1"/>
  <c r="AV791" i="1" s="1"/>
  <c r="IC789" i="1"/>
  <c r="IB789" i="1"/>
  <c r="IA789" i="1"/>
  <c r="HN789" i="1"/>
  <c r="HF789" i="1"/>
  <c r="HH789" i="1" s="1"/>
  <c r="HJ789" i="1" s="1"/>
  <c r="EL789" i="1"/>
  <c r="EU789" i="1" s="1"/>
  <c r="DM789" i="1"/>
  <c r="DO789" i="1" s="1"/>
  <c r="AI789" i="1" s="1"/>
  <c r="AZ789" i="1"/>
  <c r="BA789" i="1" s="1"/>
  <c r="HO789" i="1" l="1"/>
  <c r="HV789" i="1" s="1"/>
  <c r="AM789" i="1" s="1"/>
  <c r="IE789" i="1"/>
  <c r="IG789" i="1" s="1"/>
  <c r="AN789" i="1" s="1"/>
  <c r="GU789" i="1"/>
  <c r="AK789" i="1" s="1"/>
  <c r="GS789" i="1"/>
  <c r="AE789" i="1"/>
  <c r="GW789" i="1"/>
  <c r="AJ789" i="1" s="1"/>
  <c r="AG789" i="1"/>
  <c r="DP789" i="1"/>
  <c r="AH789" i="1" s="1"/>
  <c r="AL789" i="1" l="1"/>
  <c r="AQ789" i="1" s="1"/>
  <c r="AV789" i="1" s="1"/>
  <c r="GX789" i="1"/>
  <c r="IC788" i="1" l="1"/>
  <c r="IB788" i="1"/>
  <c r="IA788" i="1"/>
  <c r="HT788" i="1"/>
  <c r="HN788" i="1"/>
  <c r="HF788" i="1"/>
  <c r="HH788" i="1" s="1"/>
  <c r="HJ788" i="1" s="1"/>
  <c r="HO788" i="1" s="1"/>
  <c r="EL788" i="1"/>
  <c r="EU788" i="1" s="1"/>
  <c r="DM788" i="1"/>
  <c r="AZ788" i="1"/>
  <c r="BA788" i="1" s="1"/>
  <c r="IE788" i="1" l="1"/>
  <c r="IG788" i="1" s="1"/>
  <c r="AN788" i="1" s="1"/>
  <c r="HV788" i="1"/>
  <c r="AM788" i="1" s="1"/>
  <c r="GU788" i="1"/>
  <c r="AK788" i="1" s="1"/>
  <c r="GS788" i="1"/>
  <c r="AE788" i="1"/>
  <c r="GW788" i="1"/>
  <c r="AJ788" i="1" s="1"/>
  <c r="AG788" i="1"/>
  <c r="DO788" i="1"/>
  <c r="AI788" i="1" s="1"/>
  <c r="DP788" i="1" l="1"/>
  <c r="AH788" i="1" s="1"/>
  <c r="GX788" i="1"/>
  <c r="AL788" i="1"/>
  <c r="AQ788" i="1" l="1"/>
  <c r="AV788" i="1" s="1"/>
  <c r="IC787" i="1"/>
  <c r="IB787" i="1"/>
  <c r="IA787" i="1"/>
  <c r="HT787" i="1"/>
  <c r="HN787" i="1"/>
  <c r="HF787" i="1"/>
  <c r="HH787" i="1" s="1"/>
  <c r="HJ787" i="1" s="1"/>
  <c r="HO787" i="1" s="1"/>
  <c r="EL787" i="1"/>
  <c r="EU787" i="1" s="1"/>
  <c r="DM787" i="1"/>
  <c r="AZ787" i="1"/>
  <c r="BA787" i="1" s="1"/>
  <c r="HV787" i="1" l="1"/>
  <c r="AM787" i="1" s="1"/>
  <c r="IE787" i="1"/>
  <c r="IG787" i="1" s="1"/>
  <c r="AN787" i="1" s="1"/>
  <c r="GU787" i="1"/>
  <c r="AK787" i="1" s="1"/>
  <c r="GS787" i="1"/>
  <c r="AE787" i="1"/>
  <c r="GW787" i="1"/>
  <c r="AJ787" i="1" s="1"/>
  <c r="AG787" i="1"/>
  <c r="DO787" i="1"/>
  <c r="AI787" i="1" s="1"/>
  <c r="DP787" i="1" l="1"/>
  <c r="AH787" i="1" s="1"/>
  <c r="GX787" i="1"/>
  <c r="AL787" i="1"/>
  <c r="IC783" i="1"/>
  <c r="IB783" i="1"/>
  <c r="IA783" i="1"/>
  <c r="HN783" i="1"/>
  <c r="HF783" i="1"/>
  <c r="HH783" i="1" s="1"/>
  <c r="HJ783" i="1" s="1"/>
  <c r="EL783" i="1"/>
  <c r="EU783" i="1" s="1"/>
  <c r="DM783" i="1"/>
  <c r="AZ783" i="1"/>
  <c r="BA783" i="1" s="1"/>
  <c r="AR783" i="1"/>
  <c r="HN782" i="1"/>
  <c r="HF782" i="1"/>
  <c r="HH782" i="1" s="1"/>
  <c r="HJ782" i="1" s="1"/>
  <c r="HL782" i="1" s="1"/>
  <c r="EW782" i="1"/>
  <c r="EL782" i="1"/>
  <c r="DM782" i="1"/>
  <c r="BA782" i="1"/>
  <c r="AE782" i="1" s="1"/>
  <c r="AN782" i="1"/>
  <c r="AQ781" i="1"/>
  <c r="AV781" i="1" s="1"/>
  <c r="IC780" i="1"/>
  <c r="IB780" i="1"/>
  <c r="IA780" i="1"/>
  <c r="HT780" i="1"/>
  <c r="HN780" i="1"/>
  <c r="HF780" i="1"/>
  <c r="HH780" i="1" s="1"/>
  <c r="HJ780" i="1" s="1"/>
  <c r="HL780" i="1" s="1"/>
  <c r="EW780" i="1"/>
  <c r="EL780" i="1"/>
  <c r="EV780" i="1" s="1"/>
  <c r="DM780" i="1"/>
  <c r="DO780" i="1" s="1"/>
  <c r="AZ780" i="1"/>
  <c r="BA780" i="1" s="1"/>
  <c r="HO783" i="1" l="1"/>
  <c r="HV783" i="1" s="1"/>
  <c r="AM783" i="1" s="1"/>
  <c r="HO780" i="1"/>
  <c r="HV780" i="1" s="1"/>
  <c r="AM780" i="1" s="1"/>
  <c r="HO782" i="1"/>
  <c r="HV782" i="1" s="1"/>
  <c r="AM782" i="1" s="1"/>
  <c r="IE783" i="1"/>
  <c r="IG783" i="1" s="1"/>
  <c r="AN783" i="1" s="1"/>
  <c r="AQ787" i="1"/>
  <c r="AV787" i="1" s="1"/>
  <c r="DP780" i="1"/>
  <c r="AH780" i="1" s="1"/>
  <c r="AI780" i="1"/>
  <c r="EV782" i="1"/>
  <c r="EU782" i="1" s="1"/>
  <c r="IE780" i="1"/>
  <c r="IG780" i="1" s="1"/>
  <c r="AN780" i="1" s="1"/>
  <c r="GU783" i="1"/>
  <c r="AK783" i="1" s="1"/>
  <c r="AE783" i="1"/>
  <c r="GW783" i="1"/>
  <c r="AJ783" i="1" s="1"/>
  <c r="GS783" i="1"/>
  <c r="AG783" i="1"/>
  <c r="DO783" i="1"/>
  <c r="AI783" i="1" s="1"/>
  <c r="DO782" i="1"/>
  <c r="AI782" i="1" s="1"/>
  <c r="AE780" i="1"/>
  <c r="EU780" i="1"/>
  <c r="AG782" i="1" l="1"/>
  <c r="GW782" i="1"/>
  <c r="AJ782" i="1" s="1"/>
  <c r="IJ782" i="1"/>
  <c r="AR782" i="1" s="1"/>
  <c r="GU782" i="1"/>
  <c r="AK782" i="1" s="1"/>
  <c r="GS782" i="1"/>
  <c r="AL782" i="1" s="1"/>
  <c r="DP782" i="1"/>
  <c r="AH782" i="1" s="1"/>
  <c r="AL783" i="1"/>
  <c r="GX783" i="1"/>
  <c r="DP783" i="1"/>
  <c r="AH783" i="1" s="1"/>
  <c r="AQ783" i="1" s="1"/>
  <c r="AV783" i="1" s="1"/>
  <c r="AG780" i="1"/>
  <c r="GW780" i="1"/>
  <c r="AJ780" i="1" s="1"/>
  <c r="GU780" i="1"/>
  <c r="AK780" i="1" s="1"/>
  <c r="GS780" i="1"/>
  <c r="IJ780" i="1"/>
  <c r="AR780" i="1" s="1"/>
  <c r="GX782" i="1" l="1"/>
  <c r="AQ782" i="1"/>
  <c r="AV782" i="1" s="1"/>
  <c r="GX780" i="1"/>
  <c r="AL780" i="1"/>
  <c r="AQ780" i="1" s="1"/>
  <c r="AV780" i="1" s="1"/>
  <c r="HN778" i="1" l="1"/>
  <c r="HO778" i="1" s="1"/>
  <c r="HV778" i="1" s="1"/>
  <c r="AM778" i="1" s="1"/>
  <c r="HF778" i="1"/>
  <c r="HH778" i="1" s="1"/>
  <c r="HJ778" i="1" s="1"/>
  <c r="EW778" i="1"/>
  <c r="EL778" i="1"/>
  <c r="EV778" i="1" s="1"/>
  <c r="DM778" i="1"/>
  <c r="AZ778" i="1"/>
  <c r="BA778" i="1" s="1"/>
  <c r="AN778" i="1"/>
  <c r="AQ773" i="1"/>
  <c r="AV773" i="1" s="1"/>
  <c r="IC769" i="1"/>
  <c r="IB769" i="1"/>
  <c r="IA769" i="1"/>
  <c r="HN769" i="1"/>
  <c r="HF769" i="1"/>
  <c r="HH769" i="1" s="1"/>
  <c r="HJ769" i="1" s="1"/>
  <c r="EL769" i="1"/>
  <c r="EU769" i="1" s="1"/>
  <c r="CH769" i="1"/>
  <c r="DM769" i="1" s="1"/>
  <c r="AZ769" i="1"/>
  <c r="BA769" i="1" s="1"/>
  <c r="AU769" i="1"/>
  <c r="IE769" i="1" l="1"/>
  <c r="IG769" i="1" s="1"/>
  <c r="AN769" i="1" s="1"/>
  <c r="HO769" i="1"/>
  <c r="HV769" i="1" s="1"/>
  <c r="AM769" i="1" s="1"/>
  <c r="AE778" i="1"/>
  <c r="DO778" i="1"/>
  <c r="AI778" i="1" s="1"/>
  <c r="EU778" i="1"/>
  <c r="AE769" i="1"/>
  <c r="GU769" i="1"/>
  <c r="AK769" i="1" s="1"/>
  <c r="GS769" i="1"/>
  <c r="AG769" i="1"/>
  <c r="GW769" i="1"/>
  <c r="AJ769" i="1" s="1"/>
  <c r="AH769" i="1"/>
  <c r="DO769" i="1"/>
  <c r="AI769" i="1" s="1"/>
  <c r="AG778" i="1" l="1"/>
  <c r="GW778" i="1"/>
  <c r="AJ778" i="1" s="1"/>
  <c r="DP778" i="1"/>
  <c r="AH778" i="1" s="1"/>
  <c r="GS778" i="1"/>
  <c r="GU778" i="1"/>
  <c r="AK778" i="1" s="1"/>
  <c r="IJ778" i="1"/>
  <c r="AR778" i="1" s="1"/>
  <c r="DP769" i="1"/>
  <c r="AL769" i="1"/>
  <c r="AQ769" i="1" s="1"/>
  <c r="AV769" i="1" s="1"/>
  <c r="GX769" i="1"/>
  <c r="AL778" i="1" l="1"/>
  <c r="AQ778" i="1" s="1"/>
  <c r="AV778" i="1" s="1"/>
  <c r="GX778" i="1"/>
  <c r="IC765" i="1"/>
  <c r="IB765" i="1"/>
  <c r="IA765" i="1"/>
  <c r="HT765" i="1"/>
  <c r="HN765" i="1"/>
  <c r="HF765" i="1"/>
  <c r="HH765" i="1" s="1"/>
  <c r="HJ765" i="1" s="1"/>
  <c r="HO765" i="1" s="1"/>
  <c r="HV765" i="1" s="1"/>
  <c r="AM765" i="1" s="1"/>
  <c r="FA765" i="1"/>
  <c r="EL765" i="1"/>
  <c r="EU765" i="1" s="1"/>
  <c r="CR765" i="1"/>
  <c r="CM765" i="1"/>
  <c r="CH765" i="1"/>
  <c r="AZ765" i="1"/>
  <c r="BA765" i="1" s="1"/>
  <c r="IE765" i="1" l="1"/>
  <c r="IG765" i="1" s="1"/>
  <c r="AN765" i="1" s="1"/>
  <c r="DM765" i="1"/>
  <c r="DO765" i="1" s="1"/>
  <c r="AI765" i="1" s="1"/>
  <c r="AE765" i="1"/>
  <c r="GU765" i="1"/>
  <c r="AK765" i="1" s="1"/>
  <c r="GS765" i="1"/>
  <c r="GW765" i="1"/>
  <c r="AJ765" i="1" s="1"/>
  <c r="AG765" i="1"/>
  <c r="AH765" i="1" l="1"/>
  <c r="DP765" i="1"/>
  <c r="AL765" i="1"/>
  <c r="GX765" i="1"/>
  <c r="AQ765" i="1" l="1"/>
  <c r="AV765" i="1" s="1"/>
  <c r="IC763" i="1"/>
  <c r="IB763" i="1"/>
  <c r="IA763" i="1"/>
  <c r="HN763" i="1"/>
  <c r="HF763" i="1"/>
  <c r="HH763" i="1" s="1"/>
  <c r="HJ763" i="1" s="1"/>
  <c r="EL763" i="1"/>
  <c r="EU763" i="1" s="1"/>
  <c r="DP763" i="1"/>
  <c r="AH763" i="1" s="1"/>
  <c r="DM763" i="1"/>
  <c r="DO763" i="1" s="1"/>
  <c r="AI763" i="1" s="1"/>
  <c r="AZ763" i="1"/>
  <c r="BA763" i="1" s="1"/>
  <c r="IE763" i="1" l="1"/>
  <c r="IG763" i="1" s="1"/>
  <c r="AN763" i="1" s="1"/>
  <c r="HO763" i="1"/>
  <c r="HV763" i="1" s="1"/>
  <c r="AM763" i="1" s="1"/>
  <c r="GU763" i="1"/>
  <c r="AK763" i="1" s="1"/>
  <c r="GS763" i="1"/>
  <c r="AE763" i="1"/>
  <c r="GW763" i="1"/>
  <c r="AJ763" i="1" s="1"/>
  <c r="AG763" i="1"/>
  <c r="AL763" i="1" l="1"/>
  <c r="AQ763" i="1" s="1"/>
  <c r="AV763" i="1" s="1"/>
  <c r="GX763" i="1"/>
  <c r="IC762" i="1" l="1"/>
  <c r="IB762" i="1"/>
  <c r="IA762" i="1"/>
  <c r="HT762" i="1"/>
  <c r="HN762" i="1"/>
  <c r="HF762" i="1"/>
  <c r="HH762" i="1" s="1"/>
  <c r="HJ762" i="1" s="1"/>
  <c r="EL762" i="1"/>
  <c r="EU762" i="1" s="1"/>
  <c r="DP762" i="1"/>
  <c r="AH762" i="1" s="1"/>
  <c r="DM762" i="1"/>
  <c r="DO762" i="1" s="1"/>
  <c r="AI762" i="1" s="1"/>
  <c r="AZ762" i="1"/>
  <c r="BA762" i="1" s="1"/>
  <c r="HO762" i="1" l="1"/>
  <c r="HV762" i="1" s="1"/>
  <c r="AM762" i="1" s="1"/>
  <c r="IE762" i="1"/>
  <c r="IG762" i="1" s="1"/>
  <c r="AN762" i="1" s="1"/>
  <c r="AE762" i="1"/>
  <c r="GU762" i="1"/>
  <c r="AK762" i="1" s="1"/>
  <c r="GS762" i="1"/>
  <c r="GW762" i="1"/>
  <c r="AJ762" i="1" s="1"/>
  <c r="AG762" i="1"/>
  <c r="GX762" i="1" l="1"/>
  <c r="AL762" i="1"/>
  <c r="AQ762" i="1" s="1"/>
  <c r="AV762" i="1" s="1"/>
  <c r="IC761" i="1" l="1"/>
  <c r="IB761" i="1"/>
  <c r="IA761" i="1"/>
  <c r="HN761" i="1"/>
  <c r="HF761" i="1"/>
  <c r="HH761" i="1" s="1"/>
  <c r="HJ761" i="1" s="1"/>
  <c r="EL761" i="1"/>
  <c r="EU761" i="1" s="1"/>
  <c r="DP761" i="1"/>
  <c r="AH761" i="1" s="1"/>
  <c r="DM761" i="1"/>
  <c r="DO761" i="1" s="1"/>
  <c r="AI761" i="1" s="1"/>
  <c r="AZ761" i="1"/>
  <c r="BA761" i="1" s="1"/>
  <c r="IE761" i="1" l="1"/>
  <c r="IG761" i="1" s="1"/>
  <c r="AN761" i="1" s="1"/>
  <c r="HO761" i="1"/>
  <c r="HV761" i="1" s="1"/>
  <c r="AM761" i="1" s="1"/>
  <c r="GS761" i="1"/>
  <c r="AE761" i="1"/>
  <c r="GU761" i="1"/>
  <c r="AK761" i="1" s="1"/>
  <c r="AG761" i="1"/>
  <c r="GW761" i="1"/>
  <c r="AJ761" i="1" s="1"/>
  <c r="AL761" i="1" l="1"/>
  <c r="AQ761" i="1" s="1"/>
  <c r="AV761" i="1" s="1"/>
  <c r="GX761" i="1"/>
  <c r="IC760" i="1" l="1"/>
  <c r="IB760" i="1"/>
  <c r="IA760" i="1"/>
  <c r="HT760" i="1"/>
  <c r="HN760" i="1"/>
  <c r="HF760" i="1"/>
  <c r="HH760" i="1" s="1"/>
  <c r="HJ760" i="1" s="1"/>
  <c r="EL760" i="1"/>
  <c r="EU760" i="1" s="1"/>
  <c r="DP760" i="1"/>
  <c r="AH760" i="1" s="1"/>
  <c r="DM760" i="1"/>
  <c r="DO760" i="1" s="1"/>
  <c r="AI760" i="1" s="1"/>
  <c r="AZ760" i="1"/>
  <c r="BA760" i="1" s="1"/>
  <c r="HO760" i="1" l="1"/>
  <c r="HV760" i="1" s="1"/>
  <c r="AM760" i="1" s="1"/>
  <c r="IE760" i="1"/>
  <c r="IG760" i="1" s="1"/>
  <c r="AN760" i="1" s="1"/>
  <c r="GU760" i="1"/>
  <c r="AK760" i="1" s="1"/>
  <c r="GS760" i="1"/>
  <c r="AE760" i="1"/>
  <c r="GW760" i="1"/>
  <c r="AJ760" i="1" s="1"/>
  <c r="AG760" i="1"/>
  <c r="GX760" i="1" l="1"/>
  <c r="AL760" i="1"/>
  <c r="AQ760" i="1" s="1"/>
  <c r="AV760" i="1" s="1"/>
  <c r="IC759" i="1" l="1"/>
  <c r="IB759" i="1"/>
  <c r="IA759" i="1"/>
  <c r="HN759" i="1"/>
  <c r="HF759" i="1"/>
  <c r="HH759" i="1" s="1"/>
  <c r="HJ759" i="1" s="1"/>
  <c r="EL759" i="1"/>
  <c r="EU759" i="1" s="1"/>
  <c r="DP759" i="1"/>
  <c r="AH759" i="1" s="1"/>
  <c r="DM759" i="1"/>
  <c r="DO759" i="1" s="1"/>
  <c r="AI759" i="1" s="1"/>
  <c r="AZ759" i="1"/>
  <c r="BA759" i="1" s="1"/>
  <c r="IE759" i="1" l="1"/>
  <c r="IG759" i="1" s="1"/>
  <c r="AN759" i="1" s="1"/>
  <c r="HO759" i="1"/>
  <c r="HV759" i="1" s="1"/>
  <c r="AM759" i="1" s="1"/>
  <c r="GU759" i="1"/>
  <c r="AK759" i="1" s="1"/>
  <c r="GS759" i="1"/>
  <c r="AE759" i="1"/>
  <c r="GW759" i="1"/>
  <c r="AJ759" i="1" s="1"/>
  <c r="AG759" i="1"/>
  <c r="AL759" i="1" l="1"/>
  <c r="AQ759" i="1" s="1"/>
  <c r="AV759" i="1" s="1"/>
  <c r="GX759" i="1"/>
  <c r="IC758" i="1" l="1"/>
  <c r="IB758" i="1"/>
  <c r="IA758" i="1"/>
  <c r="HT758" i="1"/>
  <c r="HN758" i="1"/>
  <c r="HF758" i="1"/>
  <c r="HH758" i="1" s="1"/>
  <c r="HJ758" i="1" s="1"/>
  <c r="EL758" i="1"/>
  <c r="EU758" i="1" s="1"/>
  <c r="DP758" i="1"/>
  <c r="AH758" i="1" s="1"/>
  <c r="DM758" i="1"/>
  <c r="DO758" i="1" s="1"/>
  <c r="AI758" i="1" s="1"/>
  <c r="AZ758" i="1"/>
  <c r="BA758" i="1" s="1"/>
  <c r="IC757" i="1"/>
  <c r="IB757" i="1"/>
  <c r="IA757" i="1"/>
  <c r="HT757" i="1"/>
  <c r="HN757" i="1"/>
  <c r="HF757" i="1"/>
  <c r="HH757" i="1" s="1"/>
  <c r="HJ757" i="1" s="1"/>
  <c r="EL757" i="1"/>
  <c r="EU757" i="1" s="1"/>
  <c r="DP757" i="1"/>
  <c r="AH757" i="1" s="1"/>
  <c r="CH757" i="1"/>
  <c r="DM757" i="1" s="1"/>
  <c r="DO757" i="1" s="1"/>
  <c r="AI757" i="1" s="1"/>
  <c r="AZ757" i="1"/>
  <c r="BA757" i="1" s="1"/>
  <c r="HO757" i="1" l="1"/>
  <c r="HV757" i="1" s="1"/>
  <c r="AM757" i="1" s="1"/>
  <c r="HO758" i="1"/>
  <c r="HV758" i="1" s="1"/>
  <c r="AM758" i="1" s="1"/>
  <c r="IE758" i="1"/>
  <c r="IG758" i="1" s="1"/>
  <c r="AN758" i="1" s="1"/>
  <c r="IE757" i="1"/>
  <c r="IG757" i="1" s="1"/>
  <c r="AN757" i="1" s="1"/>
  <c r="GU758" i="1"/>
  <c r="AK758" i="1" s="1"/>
  <c r="GS758" i="1"/>
  <c r="AE758" i="1"/>
  <c r="GW758" i="1"/>
  <c r="AJ758" i="1" s="1"/>
  <c r="AG758" i="1"/>
  <c r="GU757" i="1"/>
  <c r="AK757" i="1" s="1"/>
  <c r="GS757" i="1"/>
  <c r="AE757" i="1"/>
  <c r="GW757" i="1"/>
  <c r="AJ757" i="1" s="1"/>
  <c r="AG757" i="1"/>
  <c r="GX758" i="1" l="1"/>
  <c r="AL758" i="1"/>
  <c r="AQ758" i="1" s="1"/>
  <c r="AV758" i="1" s="1"/>
  <c r="GX757" i="1"/>
  <c r="AL757" i="1"/>
  <c r="AQ757" i="1" s="1"/>
  <c r="AV757" i="1" s="1"/>
  <c r="IC756" i="1" l="1"/>
  <c r="IB756" i="1"/>
  <c r="IA756" i="1"/>
  <c r="HN756" i="1"/>
  <c r="HF756" i="1"/>
  <c r="HH756" i="1" s="1"/>
  <c r="HJ756" i="1" s="1"/>
  <c r="EL756" i="1"/>
  <c r="EU756" i="1" s="1"/>
  <c r="DP756" i="1"/>
  <c r="AH756" i="1" s="1"/>
  <c r="CH756" i="1"/>
  <c r="DM756" i="1" s="1"/>
  <c r="DO756" i="1" s="1"/>
  <c r="AI756" i="1" s="1"/>
  <c r="AZ756" i="1"/>
  <c r="BA756" i="1" s="1"/>
  <c r="AU756" i="1"/>
  <c r="AT756" i="1"/>
  <c r="IC755" i="1"/>
  <c r="IB755" i="1"/>
  <c r="IA755" i="1"/>
  <c r="HN755" i="1"/>
  <c r="HF755" i="1"/>
  <c r="HH755" i="1" s="1"/>
  <c r="HJ755" i="1" s="1"/>
  <c r="EL755" i="1"/>
  <c r="EU755" i="1" s="1"/>
  <c r="DP755" i="1"/>
  <c r="AH755" i="1" s="1"/>
  <c r="CH755" i="1"/>
  <c r="DM755" i="1" s="1"/>
  <c r="DO755" i="1" s="1"/>
  <c r="AI755" i="1" s="1"/>
  <c r="AZ755" i="1"/>
  <c r="BA755" i="1" s="1"/>
  <c r="AU755" i="1"/>
  <c r="IE755" i="1" l="1"/>
  <c r="IG755" i="1" s="1"/>
  <c r="AN755" i="1" s="1"/>
  <c r="IE756" i="1"/>
  <c r="IG756" i="1" s="1"/>
  <c r="AN756" i="1" s="1"/>
  <c r="HO755" i="1"/>
  <c r="HV755" i="1" s="1"/>
  <c r="AM755" i="1" s="1"/>
  <c r="HO756" i="1"/>
  <c r="HV756" i="1" s="1"/>
  <c r="AM756" i="1" s="1"/>
  <c r="GU756" i="1"/>
  <c r="AK756" i="1" s="1"/>
  <c r="GS756" i="1"/>
  <c r="AE756" i="1"/>
  <c r="GW756" i="1"/>
  <c r="AJ756" i="1" s="1"/>
  <c r="AG756" i="1"/>
  <c r="GU755" i="1"/>
  <c r="AK755" i="1" s="1"/>
  <c r="GS755" i="1"/>
  <c r="AE755" i="1"/>
  <c r="GW755" i="1"/>
  <c r="AJ755" i="1" s="1"/>
  <c r="AG755" i="1"/>
  <c r="AL756" i="1" l="1"/>
  <c r="AQ756" i="1" s="1"/>
  <c r="AV756" i="1" s="1"/>
  <c r="GX756" i="1"/>
  <c r="AL755" i="1"/>
  <c r="AQ755" i="1" s="1"/>
  <c r="AV755" i="1" s="1"/>
  <c r="GX755" i="1"/>
  <c r="IC754" i="1" l="1"/>
  <c r="IB754" i="1"/>
  <c r="IA754" i="1"/>
  <c r="HN754" i="1"/>
  <c r="HF754" i="1"/>
  <c r="HH754" i="1" s="1"/>
  <c r="HJ754" i="1" s="1"/>
  <c r="EL754" i="1"/>
  <c r="EU754" i="1" s="1"/>
  <c r="DP754" i="1"/>
  <c r="AH754" i="1" s="1"/>
  <c r="DO754" i="1"/>
  <c r="AI754" i="1" s="1"/>
  <c r="CH754" i="1"/>
  <c r="DM754" i="1" s="1"/>
  <c r="AZ754" i="1"/>
  <c r="BA754" i="1" s="1"/>
  <c r="AU754" i="1"/>
  <c r="IE754" i="1" l="1"/>
  <c r="IG754" i="1" s="1"/>
  <c r="AN754" i="1" s="1"/>
  <c r="HO754" i="1"/>
  <c r="HV754" i="1" s="1"/>
  <c r="AM754" i="1" s="1"/>
  <c r="GU754" i="1"/>
  <c r="AK754" i="1" s="1"/>
  <c r="GS754" i="1"/>
  <c r="AE754" i="1"/>
  <c r="GW754" i="1"/>
  <c r="AJ754" i="1" s="1"/>
  <c r="AG754" i="1"/>
  <c r="AL754" i="1" l="1"/>
  <c r="AQ754" i="1" s="1"/>
  <c r="AV754" i="1" s="1"/>
  <c r="GX754" i="1"/>
  <c r="IC752" i="1" l="1"/>
  <c r="IB752" i="1"/>
  <c r="IA752" i="1"/>
  <c r="HT752" i="1"/>
  <c r="HN752" i="1"/>
  <c r="HF752" i="1"/>
  <c r="HH752" i="1" s="1"/>
  <c r="HJ752" i="1" s="1"/>
  <c r="EL752" i="1"/>
  <c r="EU752" i="1" s="1"/>
  <c r="CG752" i="1"/>
  <c r="CH752" i="1" s="1"/>
  <c r="DM752" i="1" s="1"/>
  <c r="AZ752" i="1"/>
  <c r="BA752" i="1" s="1"/>
  <c r="AE752" i="1" s="1"/>
  <c r="AU752" i="1"/>
  <c r="HO752" i="1" l="1"/>
  <c r="HV752" i="1" s="1"/>
  <c r="AM752" i="1" s="1"/>
  <c r="IE752" i="1"/>
  <c r="IG752" i="1" s="1"/>
  <c r="AN752" i="1" s="1"/>
  <c r="GW752" i="1"/>
  <c r="AJ752" i="1" s="1"/>
  <c r="AG752" i="1"/>
  <c r="DO752" i="1"/>
  <c r="AI752" i="1" s="1"/>
  <c r="GS752" i="1"/>
  <c r="DP752" i="1"/>
  <c r="AH752" i="1" s="1"/>
  <c r="GU752" i="1"/>
  <c r="AK752" i="1" s="1"/>
  <c r="GX752" i="1" l="1"/>
  <c r="AL752" i="1"/>
  <c r="AQ752" i="1" s="1"/>
  <c r="AV752" i="1" s="1"/>
  <c r="IC751" i="1" l="1"/>
  <c r="IB751" i="1"/>
  <c r="IA751" i="1"/>
  <c r="HR751" i="1"/>
  <c r="HT751" i="1" s="1"/>
  <c r="HN751" i="1"/>
  <c r="HF751" i="1"/>
  <c r="HH751" i="1" s="1"/>
  <c r="HJ751" i="1" s="1"/>
  <c r="EL751" i="1"/>
  <c r="EU751" i="1" s="1"/>
  <c r="DP751" i="1"/>
  <c r="AH751" i="1" s="1"/>
  <c r="DO751" i="1"/>
  <c r="AI751" i="1" s="1"/>
  <c r="CH751" i="1"/>
  <c r="DM751" i="1" s="1"/>
  <c r="AZ751" i="1"/>
  <c r="BA751" i="1" s="1"/>
  <c r="AE751" i="1" s="1"/>
  <c r="AU751" i="1"/>
  <c r="HO751" i="1" l="1"/>
  <c r="HV751" i="1" s="1"/>
  <c r="AM751" i="1" s="1"/>
  <c r="IE751" i="1"/>
  <c r="IG751" i="1" s="1"/>
  <c r="AN751" i="1" s="1"/>
  <c r="GW751" i="1"/>
  <c r="AJ751" i="1" s="1"/>
  <c r="AG751" i="1"/>
  <c r="GS751" i="1"/>
  <c r="GU751" i="1"/>
  <c r="AK751" i="1" s="1"/>
  <c r="GX751" i="1" l="1"/>
  <c r="AL751" i="1"/>
  <c r="AQ751" i="1" s="1"/>
  <c r="AV751" i="1" s="1"/>
  <c r="IE750" i="1" l="1"/>
  <c r="IG750" i="1" s="1"/>
  <c r="AN750" i="1" s="1"/>
  <c r="HT750" i="1"/>
  <c r="HN750" i="1"/>
  <c r="HF750" i="1"/>
  <c r="HH750" i="1" s="1"/>
  <c r="HJ750" i="1" s="1"/>
  <c r="EL750" i="1"/>
  <c r="EU750" i="1" s="1"/>
  <c r="AG750" i="1" s="1"/>
  <c r="DP750" i="1"/>
  <c r="AH750" i="1" s="1"/>
  <c r="DO750" i="1"/>
  <c r="AI750" i="1" s="1"/>
  <c r="DM750" i="1"/>
  <c r="AZ750" i="1"/>
  <c r="BA750" i="1" s="1"/>
  <c r="HO750" i="1" l="1"/>
  <c r="HV750" i="1" s="1"/>
  <c r="AM750" i="1" s="1"/>
  <c r="AE750" i="1"/>
  <c r="GU750" i="1"/>
  <c r="AK750" i="1" s="1"/>
  <c r="GS750" i="1"/>
  <c r="GW750" i="1"/>
  <c r="AJ750" i="1" s="1"/>
  <c r="GX750" i="1" l="1"/>
  <c r="AL750" i="1"/>
  <c r="AQ750" i="1" s="1"/>
  <c r="AV750" i="1" s="1"/>
  <c r="IC749" i="1" l="1"/>
  <c r="IB749" i="1"/>
  <c r="IA749" i="1"/>
  <c r="HT749" i="1"/>
  <c r="HN749" i="1"/>
  <c r="HF749" i="1"/>
  <c r="HH749" i="1" s="1"/>
  <c r="HJ749" i="1" s="1"/>
  <c r="EL749" i="1"/>
  <c r="EU749" i="1" s="1"/>
  <c r="CG749" i="1"/>
  <c r="DP749" i="1" s="1"/>
  <c r="AH749" i="1" s="1"/>
  <c r="AZ749" i="1"/>
  <c r="BA749" i="1" s="1"/>
  <c r="IC748" i="1"/>
  <c r="IB748" i="1"/>
  <c r="IA748" i="1"/>
  <c r="HT748" i="1"/>
  <c r="HN748" i="1"/>
  <c r="HF748" i="1"/>
  <c r="HH748" i="1" s="1"/>
  <c r="HJ748" i="1" s="1"/>
  <c r="EL748" i="1"/>
  <c r="EU748" i="1" s="1"/>
  <c r="DP748" i="1"/>
  <c r="AH748" i="1" s="1"/>
  <c r="DO748" i="1"/>
  <c r="AI748" i="1" s="1"/>
  <c r="DM748" i="1"/>
  <c r="AZ748" i="1"/>
  <c r="BA748" i="1" s="1"/>
  <c r="GU749" i="1" l="1"/>
  <c r="AK749" i="1" s="1"/>
  <c r="HO748" i="1"/>
  <c r="HV748" i="1" s="1"/>
  <c r="AM748" i="1" s="1"/>
  <c r="HO749" i="1"/>
  <c r="HV749" i="1" s="1"/>
  <c r="AM749" i="1" s="1"/>
  <c r="IE749" i="1"/>
  <c r="IG749" i="1" s="1"/>
  <c r="AN749" i="1" s="1"/>
  <c r="IE748" i="1"/>
  <c r="IG748" i="1" s="1"/>
  <c r="AN748" i="1" s="1"/>
  <c r="GW749" i="1"/>
  <c r="AJ749" i="1" s="1"/>
  <c r="AG749" i="1"/>
  <c r="AE749" i="1"/>
  <c r="CH749" i="1"/>
  <c r="DM749" i="1" s="1"/>
  <c r="DO749" i="1"/>
  <c r="AI749" i="1" s="1"/>
  <c r="GS749" i="1"/>
  <c r="GS748" i="1"/>
  <c r="GU748" i="1"/>
  <c r="AK748" i="1" s="1"/>
  <c r="AE748" i="1"/>
  <c r="GW748" i="1"/>
  <c r="AJ748" i="1" s="1"/>
  <c r="AG748" i="1"/>
  <c r="GX749" i="1" l="1"/>
  <c r="AL749" i="1"/>
  <c r="AQ749" i="1" s="1"/>
  <c r="AV749" i="1" s="1"/>
  <c r="GX748" i="1"/>
  <c r="AL748" i="1"/>
  <c r="AQ748" i="1" s="1"/>
  <c r="AV748" i="1" s="1"/>
  <c r="IC746" i="1" l="1"/>
  <c r="IB746" i="1"/>
  <c r="IA746" i="1"/>
  <c r="HN746" i="1"/>
  <c r="HF746" i="1"/>
  <c r="HH746" i="1" s="1"/>
  <c r="HJ746" i="1" s="1"/>
  <c r="EL746" i="1"/>
  <c r="EU746" i="1" s="1"/>
  <c r="DP746" i="1"/>
  <c r="AH746" i="1" s="1"/>
  <c r="DO746" i="1"/>
  <c r="AI746" i="1" s="1"/>
  <c r="DM746" i="1"/>
  <c r="AZ746" i="1"/>
  <c r="BA746" i="1" s="1"/>
  <c r="IE746" i="1" l="1"/>
  <c r="IG746" i="1" s="1"/>
  <c r="AN746" i="1" s="1"/>
  <c r="HO746" i="1"/>
  <c r="HV746" i="1" s="1"/>
  <c r="AM746" i="1" s="1"/>
  <c r="GU746" i="1"/>
  <c r="AK746" i="1" s="1"/>
  <c r="GS746" i="1"/>
  <c r="AE746" i="1"/>
  <c r="GW746" i="1"/>
  <c r="AJ746" i="1" s="1"/>
  <c r="AG746" i="1"/>
  <c r="AL746" i="1" l="1"/>
  <c r="AQ746" i="1" s="1"/>
  <c r="AV746" i="1" s="1"/>
  <c r="GX746" i="1"/>
  <c r="IC745" i="1" l="1"/>
  <c r="IB745" i="1"/>
  <c r="IA745" i="1"/>
  <c r="HR745" i="1"/>
  <c r="HT745" i="1" s="1"/>
  <c r="HN745" i="1"/>
  <c r="HF745" i="1"/>
  <c r="HH745" i="1" s="1"/>
  <c r="HJ745" i="1" s="1"/>
  <c r="EL745" i="1"/>
  <c r="EU745" i="1" s="1"/>
  <c r="DP745" i="1"/>
  <c r="AH745" i="1" s="1"/>
  <c r="DO745" i="1"/>
  <c r="AI745" i="1" s="1"/>
  <c r="DM745" i="1"/>
  <c r="AZ745" i="1"/>
  <c r="BA745" i="1" s="1"/>
  <c r="HO745" i="1" l="1"/>
  <c r="HV745" i="1" s="1"/>
  <c r="AM745" i="1" s="1"/>
  <c r="IE745" i="1"/>
  <c r="IG745" i="1" s="1"/>
  <c r="AN745" i="1" s="1"/>
  <c r="GU745" i="1"/>
  <c r="AK745" i="1" s="1"/>
  <c r="GS745" i="1"/>
  <c r="AE745" i="1"/>
  <c r="GW745" i="1"/>
  <c r="AJ745" i="1" s="1"/>
  <c r="AG745" i="1"/>
  <c r="AL745" i="1" l="1"/>
  <c r="AQ745" i="1" s="1"/>
  <c r="AV745" i="1" s="1"/>
  <c r="GX745" i="1"/>
  <c r="IC743" i="1" l="1"/>
  <c r="IB743" i="1"/>
  <c r="IA743" i="1"/>
  <c r="HR743" i="1"/>
  <c r="HT743" i="1" s="1"/>
  <c r="HN743" i="1"/>
  <c r="HF743" i="1"/>
  <c r="HH743" i="1" s="1"/>
  <c r="HJ743" i="1" s="1"/>
  <c r="EL743" i="1"/>
  <c r="EU743" i="1" s="1"/>
  <c r="DP743" i="1"/>
  <c r="AH743" i="1" s="1"/>
  <c r="DO743" i="1"/>
  <c r="AI743" i="1" s="1"/>
  <c r="DM743" i="1"/>
  <c r="AZ743" i="1"/>
  <c r="BA743" i="1" s="1"/>
  <c r="HO743" i="1" l="1"/>
  <c r="HV743" i="1" s="1"/>
  <c r="AM743" i="1" s="1"/>
  <c r="IE743" i="1"/>
  <c r="IG743" i="1" s="1"/>
  <c r="AN743" i="1" s="1"/>
  <c r="GW743" i="1"/>
  <c r="AJ743" i="1" s="1"/>
  <c r="AG743" i="1"/>
  <c r="GU743" i="1"/>
  <c r="AK743" i="1" s="1"/>
  <c r="GS743" i="1"/>
  <c r="AE743" i="1"/>
  <c r="AL743" i="1" l="1"/>
  <c r="AQ743" i="1" s="1"/>
  <c r="AV743" i="1" s="1"/>
  <c r="GX743" i="1"/>
  <c r="IC730" i="1" l="1"/>
  <c r="IB730" i="1"/>
  <c r="IA730" i="1"/>
  <c r="HT730" i="1"/>
  <c r="HN730" i="1"/>
  <c r="HF730" i="1"/>
  <c r="HH730" i="1" s="1"/>
  <c r="HJ730" i="1" s="1"/>
  <c r="EL730" i="1"/>
  <c r="EU730" i="1" s="1"/>
  <c r="DP730" i="1"/>
  <c r="AH730" i="1" s="1"/>
  <c r="DO730" i="1"/>
  <c r="AI730" i="1" s="1"/>
  <c r="CH730" i="1"/>
  <c r="DM730" i="1" s="1"/>
  <c r="AZ730" i="1"/>
  <c r="BA730" i="1" s="1"/>
  <c r="AU730" i="1"/>
  <c r="HO730" i="1" l="1"/>
  <c r="HV730" i="1" s="1"/>
  <c r="AM730" i="1" s="1"/>
  <c r="IE730" i="1"/>
  <c r="IG730" i="1" s="1"/>
  <c r="AN730" i="1" s="1"/>
  <c r="GU730" i="1"/>
  <c r="AK730" i="1" s="1"/>
  <c r="GS730" i="1"/>
  <c r="AE730" i="1"/>
  <c r="GW730" i="1"/>
  <c r="AJ730" i="1" s="1"/>
  <c r="AG730" i="1"/>
  <c r="GX730" i="1" l="1"/>
  <c r="AL730" i="1"/>
  <c r="AQ730" i="1" s="1"/>
  <c r="AV730" i="1" s="1"/>
  <c r="IC741" i="1" l="1"/>
  <c r="IB741" i="1"/>
  <c r="IA741" i="1"/>
  <c r="HN741" i="1"/>
  <c r="HF741" i="1"/>
  <c r="HH741" i="1" s="1"/>
  <c r="HJ741" i="1" s="1"/>
  <c r="EL741" i="1"/>
  <c r="EU741" i="1" s="1"/>
  <c r="DP741" i="1"/>
  <c r="AH741" i="1" s="1"/>
  <c r="DO741" i="1"/>
  <c r="AI741" i="1" s="1"/>
  <c r="CH741" i="1"/>
  <c r="DM741" i="1" s="1"/>
  <c r="AZ741" i="1"/>
  <c r="BA741" i="1" s="1"/>
  <c r="AU741" i="1"/>
  <c r="AZ739" i="1"/>
  <c r="BA739" i="1" s="1"/>
  <c r="DM739" i="1"/>
  <c r="DO739" i="1"/>
  <c r="AI739" i="1" s="1"/>
  <c r="DP739" i="1"/>
  <c r="AH739" i="1" s="1"/>
  <c r="EL739" i="1"/>
  <c r="EU739" i="1" s="1"/>
  <c r="HF739" i="1"/>
  <c r="HH739" i="1" s="1"/>
  <c r="HJ739" i="1" s="1"/>
  <c r="HN739" i="1"/>
  <c r="HT739" i="1"/>
  <c r="IA739" i="1"/>
  <c r="IB739" i="1"/>
  <c r="IC739" i="1"/>
  <c r="IE741" i="1" l="1"/>
  <c r="IG741" i="1" s="1"/>
  <c r="AN741" i="1" s="1"/>
  <c r="IE739" i="1"/>
  <c r="IG739" i="1" s="1"/>
  <c r="AN739" i="1" s="1"/>
  <c r="AG739" i="1"/>
  <c r="GW739" i="1"/>
  <c r="AJ739" i="1" s="1"/>
  <c r="HO739" i="1"/>
  <c r="HV739" i="1" s="1"/>
  <c r="AM739" i="1" s="1"/>
  <c r="HO741" i="1"/>
  <c r="HV741" i="1" s="1"/>
  <c r="AM741" i="1" s="1"/>
  <c r="GS739" i="1"/>
  <c r="AL739" i="1" s="1"/>
  <c r="GU741" i="1"/>
  <c r="AK741" i="1" s="1"/>
  <c r="GS741" i="1"/>
  <c r="AE741" i="1"/>
  <c r="GW741" i="1"/>
  <c r="AJ741" i="1" s="1"/>
  <c r="AG741" i="1"/>
  <c r="AE739" i="1"/>
  <c r="GU739" i="1"/>
  <c r="AK739" i="1" s="1"/>
  <c r="GX739" i="1" l="1"/>
  <c r="AL741" i="1"/>
  <c r="AQ741" i="1" s="1"/>
  <c r="AV741" i="1" s="1"/>
  <c r="GX741" i="1"/>
  <c r="AQ739" i="1"/>
  <c r="AV739" i="1" s="1"/>
  <c r="IC740" i="1" l="1"/>
  <c r="IB740" i="1"/>
  <c r="IA740" i="1"/>
  <c r="HT740" i="1"/>
  <c r="HN740" i="1"/>
  <c r="HF740" i="1"/>
  <c r="HH740" i="1" s="1"/>
  <c r="HJ740" i="1" s="1"/>
  <c r="EL740" i="1"/>
  <c r="EU740" i="1" s="1"/>
  <c r="DP740" i="1"/>
  <c r="AH740" i="1" s="1"/>
  <c r="DO740" i="1"/>
  <c r="AI740" i="1" s="1"/>
  <c r="DM740" i="1"/>
  <c r="AZ740" i="1"/>
  <c r="BA740" i="1" s="1"/>
  <c r="HO740" i="1" l="1"/>
  <c r="HV740" i="1" s="1"/>
  <c r="AM740" i="1" s="1"/>
  <c r="IE740" i="1"/>
  <c r="IG740" i="1" s="1"/>
  <c r="AN740" i="1" s="1"/>
  <c r="GU740" i="1"/>
  <c r="AK740" i="1" s="1"/>
  <c r="GS740" i="1"/>
  <c r="AE740" i="1"/>
  <c r="AG740" i="1"/>
  <c r="GW740" i="1"/>
  <c r="AJ740" i="1" s="1"/>
  <c r="AL740" i="1" l="1"/>
  <c r="AQ740" i="1" s="1"/>
  <c r="AV740" i="1" s="1"/>
  <c r="GX740" i="1"/>
  <c r="IC738" i="1" l="1"/>
  <c r="IB738" i="1"/>
  <c r="IA738" i="1"/>
  <c r="HT738" i="1"/>
  <c r="HN738" i="1"/>
  <c r="HF738" i="1"/>
  <c r="HH738" i="1" s="1"/>
  <c r="HJ738" i="1" s="1"/>
  <c r="EL738" i="1"/>
  <c r="EU738" i="1" s="1"/>
  <c r="DP738" i="1"/>
  <c r="AH738" i="1" s="1"/>
  <c r="DO738" i="1"/>
  <c r="AI738" i="1" s="1"/>
  <c r="DM738" i="1"/>
  <c r="AZ738" i="1"/>
  <c r="BA738" i="1" s="1"/>
  <c r="HO738" i="1" l="1"/>
  <c r="HV738" i="1" s="1"/>
  <c r="AM738" i="1" s="1"/>
  <c r="IE738" i="1"/>
  <c r="IG738" i="1" s="1"/>
  <c r="AN738" i="1" s="1"/>
  <c r="GU738" i="1"/>
  <c r="AK738" i="1" s="1"/>
  <c r="GS738" i="1"/>
  <c r="AE738" i="1"/>
  <c r="GW738" i="1"/>
  <c r="AJ738" i="1" s="1"/>
  <c r="AG738" i="1"/>
  <c r="GX738" i="1" l="1"/>
  <c r="AL738" i="1"/>
  <c r="AQ738" i="1" s="1"/>
  <c r="AV738" i="1" s="1"/>
  <c r="IC737" i="1" l="1"/>
  <c r="IB737" i="1"/>
  <c r="IA737" i="1"/>
  <c r="HT737" i="1"/>
  <c r="HN737" i="1"/>
  <c r="HF737" i="1"/>
  <c r="HH737" i="1" s="1"/>
  <c r="HJ737" i="1" s="1"/>
  <c r="EL737" i="1"/>
  <c r="EU737" i="1" s="1"/>
  <c r="DP737" i="1"/>
  <c r="AH737" i="1" s="1"/>
  <c r="DO737" i="1"/>
  <c r="AI737" i="1" s="1"/>
  <c r="DM737" i="1"/>
  <c r="AZ737" i="1"/>
  <c r="BA737" i="1" s="1"/>
  <c r="HO737" i="1" l="1"/>
  <c r="HV737" i="1" s="1"/>
  <c r="AM737" i="1" s="1"/>
  <c r="IE737" i="1"/>
  <c r="IG737" i="1" s="1"/>
  <c r="AN737" i="1" s="1"/>
  <c r="GU737" i="1"/>
  <c r="AK737" i="1" s="1"/>
  <c r="GS737" i="1"/>
  <c r="AE737" i="1"/>
  <c r="GW737" i="1"/>
  <c r="AJ737" i="1" s="1"/>
  <c r="AG737" i="1"/>
  <c r="AL737" i="1" l="1"/>
  <c r="AQ737" i="1" s="1"/>
  <c r="AV737" i="1" s="1"/>
  <c r="GX737" i="1"/>
  <c r="LO736" i="1" l="1"/>
  <c r="LP736" i="1" s="1"/>
  <c r="LZ736" i="1" s="1"/>
  <c r="KX736" i="1"/>
  <c r="KY736" i="1" s="1"/>
  <c r="KD736" i="1"/>
  <c r="KE736" i="1" s="1"/>
  <c r="IT736" i="1"/>
  <c r="IU736" i="1" s="1"/>
  <c r="IC736" i="1"/>
  <c r="IB736" i="1"/>
  <c r="IA736" i="1"/>
  <c r="HT736" i="1"/>
  <c r="HN736" i="1"/>
  <c r="HF736" i="1"/>
  <c r="HH736" i="1" s="1"/>
  <c r="HJ736" i="1" s="1"/>
  <c r="EX736" i="1"/>
  <c r="FA736" i="1" s="1"/>
  <c r="GS736" i="1" s="1"/>
  <c r="AI736" i="1"/>
  <c r="AH736" i="1"/>
  <c r="HO736" i="1" l="1"/>
  <c r="HV736" i="1" s="1"/>
  <c r="AM736" i="1" s="1"/>
  <c r="IE736" i="1"/>
  <c r="IG736" i="1" s="1"/>
  <c r="AN736" i="1" s="1"/>
  <c r="KJ736" i="1"/>
  <c r="AE736" i="1"/>
  <c r="KH736" i="1"/>
  <c r="KO736" i="1"/>
  <c r="AJ736" i="1" s="1"/>
  <c r="AG736" i="1"/>
  <c r="LU736" i="1"/>
  <c r="LS736" i="1"/>
  <c r="MA736" i="1" l="1"/>
  <c r="DY736" i="1" s="1"/>
  <c r="DZ736" i="1" s="1"/>
  <c r="AL736" i="1"/>
  <c r="KP736" i="1"/>
  <c r="DT736" i="1" s="1"/>
  <c r="GU736" i="1" l="1"/>
  <c r="AK736" i="1" s="1"/>
  <c r="AQ736" i="1" s="1"/>
  <c r="AV736" i="1" s="1"/>
  <c r="DU736" i="1"/>
  <c r="IC735" i="1" l="1"/>
  <c r="IB735" i="1"/>
  <c r="IA735" i="1"/>
  <c r="HN735" i="1"/>
  <c r="HF735" i="1"/>
  <c r="HH735" i="1" s="1"/>
  <c r="HJ735" i="1" s="1"/>
  <c r="EL735" i="1"/>
  <c r="EU735" i="1" s="1"/>
  <c r="DP735" i="1"/>
  <c r="AH735" i="1" s="1"/>
  <c r="DO735" i="1"/>
  <c r="AI735" i="1" s="1"/>
  <c r="DM735" i="1"/>
  <c r="AZ735" i="1"/>
  <c r="BA735" i="1" s="1"/>
  <c r="HO735" i="1" l="1"/>
  <c r="HV735" i="1" s="1"/>
  <c r="AM735" i="1" s="1"/>
  <c r="IE735" i="1"/>
  <c r="IG735" i="1" s="1"/>
  <c r="AN735" i="1" s="1"/>
  <c r="GU735" i="1"/>
  <c r="AK735" i="1" s="1"/>
  <c r="AE735" i="1"/>
  <c r="GS735" i="1"/>
  <c r="GW735" i="1"/>
  <c r="AJ735" i="1" s="1"/>
  <c r="AG735" i="1"/>
  <c r="GX735" i="1" l="1"/>
  <c r="AL735" i="1"/>
  <c r="AQ735" i="1" s="1"/>
  <c r="AV735" i="1" s="1"/>
  <c r="IC732" i="1" l="1"/>
  <c r="IB732" i="1"/>
  <c r="IA732" i="1"/>
  <c r="HN732" i="1"/>
  <c r="HF732" i="1"/>
  <c r="HH732" i="1" s="1"/>
  <c r="HJ732" i="1" s="1"/>
  <c r="EL732" i="1"/>
  <c r="EU732" i="1" s="1"/>
  <c r="DP732" i="1"/>
  <c r="AH732" i="1" s="1"/>
  <c r="DO732" i="1"/>
  <c r="AI732" i="1" s="1"/>
  <c r="CH732" i="1"/>
  <c r="DM732" i="1" s="1"/>
  <c r="AZ732" i="1"/>
  <c r="BA732" i="1" s="1"/>
  <c r="IE732" i="1" l="1"/>
  <c r="IG732" i="1" s="1"/>
  <c r="AN732" i="1" s="1"/>
  <c r="HO732" i="1"/>
  <c r="HV732" i="1" s="1"/>
  <c r="AM732" i="1" s="1"/>
  <c r="AE732" i="1"/>
  <c r="GU732" i="1"/>
  <c r="AK732" i="1" s="1"/>
  <c r="GS732" i="1"/>
  <c r="AG732" i="1"/>
  <c r="GW732" i="1"/>
  <c r="AJ732" i="1" s="1"/>
  <c r="GX732" i="1" l="1"/>
  <c r="AL732" i="1"/>
  <c r="AQ732" i="1" s="1"/>
  <c r="AV732" i="1" s="1"/>
  <c r="IC731" i="1" l="1"/>
  <c r="IB731" i="1"/>
  <c r="IA731" i="1"/>
  <c r="HN731" i="1"/>
  <c r="HF731" i="1"/>
  <c r="HH731" i="1" s="1"/>
  <c r="HJ731" i="1" s="1"/>
  <c r="EL731" i="1"/>
  <c r="EU731" i="1" s="1"/>
  <c r="DP731" i="1"/>
  <c r="AH731" i="1" s="1"/>
  <c r="DO731" i="1"/>
  <c r="AI731" i="1" s="1"/>
  <c r="CH731" i="1"/>
  <c r="DM731" i="1" s="1"/>
  <c r="AZ731" i="1"/>
  <c r="BA731" i="1" s="1"/>
  <c r="IE731" i="1" l="1"/>
  <c r="IG731" i="1" s="1"/>
  <c r="AN731" i="1" s="1"/>
  <c r="HO731" i="1"/>
  <c r="HV731" i="1" s="1"/>
  <c r="AM731" i="1" s="1"/>
  <c r="GU731" i="1"/>
  <c r="AK731" i="1" s="1"/>
  <c r="GS731" i="1"/>
  <c r="AE731" i="1"/>
  <c r="GW731" i="1"/>
  <c r="AJ731" i="1" s="1"/>
  <c r="AG731" i="1"/>
  <c r="AL731" i="1" l="1"/>
  <c r="AQ731" i="1" s="1"/>
  <c r="AV731" i="1" s="1"/>
  <c r="GX731" i="1"/>
  <c r="IC727" i="1" l="1"/>
  <c r="IB727" i="1"/>
  <c r="IA727" i="1"/>
  <c r="HT727" i="1"/>
  <c r="HN727" i="1"/>
  <c r="HF727" i="1"/>
  <c r="HH727" i="1" s="1"/>
  <c r="HJ727" i="1" s="1"/>
  <c r="EL727" i="1"/>
  <c r="EU727" i="1" s="1"/>
  <c r="DP727" i="1"/>
  <c r="AH727" i="1" s="1"/>
  <c r="DM727" i="1"/>
  <c r="DO727" i="1" s="1"/>
  <c r="AI727" i="1" s="1"/>
  <c r="AZ727" i="1"/>
  <c r="BA727" i="1" s="1"/>
  <c r="HO727" i="1" l="1"/>
  <c r="HV727" i="1" s="1"/>
  <c r="AM727" i="1" s="1"/>
  <c r="IE727" i="1"/>
  <c r="IG727" i="1" s="1"/>
  <c r="AN727" i="1" s="1"/>
  <c r="GU727" i="1"/>
  <c r="AK727" i="1" s="1"/>
  <c r="GS727" i="1"/>
  <c r="AE727" i="1"/>
  <c r="GW727" i="1"/>
  <c r="AJ727" i="1" s="1"/>
  <c r="AG727" i="1"/>
  <c r="GX727" i="1" l="1"/>
  <c r="AL727" i="1"/>
  <c r="AQ727" i="1" s="1"/>
  <c r="AV727" i="1" s="1"/>
  <c r="IC726" i="1" l="1"/>
  <c r="IB726" i="1"/>
  <c r="IA726" i="1"/>
  <c r="HT726" i="1"/>
  <c r="HN726" i="1"/>
  <c r="HF726" i="1"/>
  <c r="HH726" i="1" s="1"/>
  <c r="HJ726" i="1" s="1"/>
  <c r="EL726" i="1"/>
  <c r="EU726" i="1" s="1"/>
  <c r="DP726" i="1"/>
  <c r="AH726" i="1" s="1"/>
  <c r="DM726" i="1"/>
  <c r="DO726" i="1" s="1"/>
  <c r="AI726" i="1" s="1"/>
  <c r="AZ726" i="1"/>
  <c r="BA726" i="1" s="1"/>
  <c r="HO726" i="1" l="1"/>
  <c r="HV726" i="1" s="1"/>
  <c r="AM726" i="1" s="1"/>
  <c r="IE726" i="1"/>
  <c r="IG726" i="1" s="1"/>
  <c r="AN726" i="1" s="1"/>
  <c r="GS726" i="1"/>
  <c r="AE726" i="1"/>
  <c r="GU726" i="1"/>
  <c r="AK726" i="1" s="1"/>
  <c r="AG726" i="1"/>
  <c r="GW726" i="1"/>
  <c r="AJ726" i="1" s="1"/>
  <c r="AL726" i="1" l="1"/>
  <c r="AQ726" i="1" s="1"/>
  <c r="AV726" i="1" s="1"/>
  <c r="GX726" i="1"/>
  <c r="IC725" i="1" l="1"/>
  <c r="IB725" i="1"/>
  <c r="IA725" i="1"/>
  <c r="HT725" i="1"/>
  <c r="HN725" i="1"/>
  <c r="HF725" i="1"/>
  <c r="HH725" i="1" s="1"/>
  <c r="HJ725" i="1" s="1"/>
  <c r="EL725" i="1"/>
  <c r="EU725" i="1" s="1"/>
  <c r="CH725" i="1"/>
  <c r="DM725" i="1" s="1"/>
  <c r="AZ725" i="1"/>
  <c r="BA725" i="1" s="1"/>
  <c r="AU725" i="1"/>
  <c r="HO725" i="1" l="1"/>
  <c r="HV725" i="1" s="1"/>
  <c r="AM725" i="1" s="1"/>
  <c r="IE725" i="1"/>
  <c r="IG725" i="1" s="1"/>
  <c r="AN725" i="1" s="1"/>
  <c r="GU725" i="1"/>
  <c r="AK725" i="1" s="1"/>
  <c r="GS725" i="1"/>
  <c r="AE725" i="1"/>
  <c r="AH725" i="1"/>
  <c r="DO725" i="1"/>
  <c r="AI725" i="1" s="1"/>
  <c r="GW725" i="1"/>
  <c r="AJ725" i="1" s="1"/>
  <c r="AG725" i="1"/>
  <c r="IC724" i="1"/>
  <c r="IB724" i="1"/>
  <c r="IA724" i="1"/>
  <c r="HT724" i="1"/>
  <c r="HN724" i="1"/>
  <c r="HF724" i="1"/>
  <c r="HH724" i="1" s="1"/>
  <c r="HJ724" i="1" s="1"/>
  <c r="EL724" i="1"/>
  <c r="EU724" i="1" s="1"/>
  <c r="CH724" i="1"/>
  <c r="DM724" i="1" s="1"/>
  <c r="AZ724" i="1"/>
  <c r="BA724" i="1" s="1"/>
  <c r="AU724" i="1"/>
  <c r="HO724" i="1" l="1"/>
  <c r="HV724" i="1" s="1"/>
  <c r="AM724" i="1" s="1"/>
  <c r="IE724" i="1"/>
  <c r="IG724" i="1" s="1"/>
  <c r="AN724" i="1" s="1"/>
  <c r="GX725" i="1"/>
  <c r="AL725" i="1"/>
  <c r="AQ725" i="1" s="1"/>
  <c r="AV725" i="1" s="1"/>
  <c r="GU724" i="1"/>
  <c r="AK724" i="1" s="1"/>
  <c r="GS724" i="1"/>
  <c r="AE724" i="1"/>
  <c r="DO724" i="1"/>
  <c r="AI724" i="1" s="1"/>
  <c r="AH724" i="1"/>
  <c r="GW724" i="1"/>
  <c r="AJ724" i="1" s="1"/>
  <c r="AG724" i="1"/>
  <c r="GX724" i="1" l="1"/>
  <c r="AL724" i="1"/>
  <c r="AQ724" i="1" s="1"/>
  <c r="AV724" i="1" s="1"/>
  <c r="IC723" i="1" l="1"/>
  <c r="IB723" i="1"/>
  <c r="IA723" i="1"/>
  <c r="HN723" i="1"/>
  <c r="HF723" i="1"/>
  <c r="HH723" i="1" s="1"/>
  <c r="HJ723" i="1" s="1"/>
  <c r="EL723" i="1"/>
  <c r="EU723" i="1" s="1"/>
  <c r="DO723" i="1"/>
  <c r="AI723" i="1" s="1"/>
  <c r="AZ723" i="1"/>
  <c r="BA723" i="1" s="1"/>
  <c r="AH723" i="1"/>
  <c r="IE723" i="1" l="1"/>
  <c r="IG723" i="1" s="1"/>
  <c r="AN723" i="1" s="1"/>
  <c r="HO723" i="1"/>
  <c r="HV723" i="1" s="1"/>
  <c r="AM723" i="1" s="1"/>
  <c r="AG723" i="1"/>
  <c r="GW723" i="1"/>
  <c r="AJ723" i="1" s="1"/>
  <c r="GU723" i="1"/>
  <c r="AK723" i="1" s="1"/>
  <c r="GS723" i="1"/>
  <c r="AE723" i="1"/>
  <c r="AL723" i="1" l="1"/>
  <c r="AQ723" i="1" s="1"/>
  <c r="AV723" i="1" s="1"/>
  <c r="GX723" i="1"/>
  <c r="IC722" i="1" l="1"/>
  <c r="IB722" i="1"/>
  <c r="IA722" i="1"/>
  <c r="HN722" i="1"/>
  <c r="HF722" i="1"/>
  <c r="HH722" i="1" s="1"/>
  <c r="HJ722" i="1" s="1"/>
  <c r="EL722" i="1"/>
  <c r="EU722" i="1" s="1"/>
  <c r="DO722" i="1"/>
  <c r="AI722" i="1" s="1"/>
  <c r="AZ722" i="1"/>
  <c r="BA722" i="1" s="1"/>
  <c r="AH722" i="1"/>
  <c r="HO722" i="1" l="1"/>
  <c r="HV722" i="1" s="1"/>
  <c r="AM722" i="1" s="1"/>
  <c r="IE722" i="1"/>
  <c r="IG722" i="1" s="1"/>
  <c r="AN722" i="1" s="1"/>
  <c r="GU722" i="1"/>
  <c r="AK722" i="1" s="1"/>
  <c r="GS722" i="1"/>
  <c r="AE722" i="1"/>
  <c r="AG722" i="1"/>
  <c r="GW722" i="1"/>
  <c r="AJ722" i="1" s="1"/>
  <c r="GX722" i="1" l="1"/>
  <c r="AL722" i="1"/>
  <c r="AQ722" i="1" s="1"/>
  <c r="AV722" i="1" s="1"/>
  <c r="IC721" i="1" l="1"/>
  <c r="IB721" i="1"/>
  <c r="IA721" i="1"/>
  <c r="HT721" i="1"/>
  <c r="HN721" i="1"/>
  <c r="HF721" i="1"/>
  <c r="HH721" i="1" s="1"/>
  <c r="HJ721" i="1" s="1"/>
  <c r="EL721" i="1"/>
  <c r="EU721" i="1" s="1"/>
  <c r="DO721" i="1"/>
  <c r="AI721" i="1" s="1"/>
  <c r="AZ721" i="1"/>
  <c r="BA721" i="1" s="1"/>
  <c r="AH721" i="1"/>
  <c r="HO721" i="1" l="1"/>
  <c r="HV721" i="1" s="1"/>
  <c r="AM721" i="1" s="1"/>
  <c r="IE721" i="1"/>
  <c r="IG721" i="1" s="1"/>
  <c r="AN721" i="1" s="1"/>
  <c r="GS721" i="1"/>
  <c r="GU721" i="1"/>
  <c r="AK721" i="1" s="1"/>
  <c r="AE721" i="1"/>
  <c r="GW721" i="1"/>
  <c r="AJ721" i="1" s="1"/>
  <c r="AG721" i="1"/>
  <c r="GX721" i="1" l="1"/>
  <c r="AL721" i="1"/>
  <c r="AQ721" i="1" s="1"/>
  <c r="AV721" i="1" s="1"/>
  <c r="IC719" i="1" l="1"/>
  <c r="IB719" i="1"/>
  <c r="IA719" i="1"/>
  <c r="HT719" i="1"/>
  <c r="HN719" i="1"/>
  <c r="HF719" i="1"/>
  <c r="HH719" i="1" s="1"/>
  <c r="HJ719" i="1" s="1"/>
  <c r="EL719" i="1"/>
  <c r="EU719" i="1" s="1"/>
  <c r="DO719" i="1"/>
  <c r="AI719" i="1" s="1"/>
  <c r="AZ719" i="1"/>
  <c r="BA719" i="1" s="1"/>
  <c r="AH719" i="1"/>
  <c r="HO719" i="1" l="1"/>
  <c r="HV719" i="1" s="1"/>
  <c r="AM719" i="1" s="1"/>
  <c r="IE719" i="1"/>
  <c r="IG719" i="1" s="1"/>
  <c r="AN719" i="1" s="1"/>
  <c r="GU719" i="1"/>
  <c r="AK719" i="1" s="1"/>
  <c r="AE719" i="1"/>
  <c r="GS719" i="1"/>
  <c r="GW719" i="1"/>
  <c r="AJ719" i="1" s="1"/>
  <c r="AG719" i="1"/>
  <c r="GX719" i="1" l="1"/>
  <c r="AL719" i="1"/>
  <c r="AQ719" i="1" s="1"/>
  <c r="AV719" i="1" s="1"/>
  <c r="AT720" i="1" l="1"/>
  <c r="AT718" i="1"/>
  <c r="IC720" i="1"/>
  <c r="IB720" i="1"/>
  <c r="IA720" i="1"/>
  <c r="HR720" i="1"/>
  <c r="HT720" i="1" s="1"/>
  <c r="HN720" i="1"/>
  <c r="HF720" i="1"/>
  <c r="HH720" i="1" s="1"/>
  <c r="HJ720" i="1" s="1"/>
  <c r="EO720" i="1"/>
  <c r="EL720" i="1"/>
  <c r="EU720" i="1" s="1"/>
  <c r="CH720" i="1"/>
  <c r="DM720" i="1" s="1"/>
  <c r="AZ720" i="1"/>
  <c r="BA720" i="1" s="1"/>
  <c r="IC718" i="1"/>
  <c r="IB718" i="1"/>
  <c r="IA718" i="1"/>
  <c r="HR718" i="1"/>
  <c r="HT718" i="1" s="1"/>
  <c r="HN718" i="1"/>
  <c r="HF718" i="1"/>
  <c r="HH718" i="1" s="1"/>
  <c r="HJ718" i="1" s="1"/>
  <c r="EO718" i="1"/>
  <c r="EL718" i="1"/>
  <c r="EU718" i="1" s="1"/>
  <c r="CH718" i="1"/>
  <c r="DM718" i="1" s="1"/>
  <c r="DO718" i="1" s="1"/>
  <c r="AI718" i="1" s="1"/>
  <c r="AZ718" i="1"/>
  <c r="BA718" i="1" s="1"/>
  <c r="HO720" i="1" l="1"/>
  <c r="HV720" i="1" s="1"/>
  <c r="AM720" i="1" s="1"/>
  <c r="GU718" i="1"/>
  <c r="AK718" i="1" s="1"/>
  <c r="HO718" i="1"/>
  <c r="HV718" i="1" s="1"/>
  <c r="AM718" i="1" s="1"/>
  <c r="DO720" i="1"/>
  <c r="AI720" i="1" s="1"/>
  <c r="AH720" i="1"/>
  <c r="IE720" i="1"/>
  <c r="IG720" i="1" s="1"/>
  <c r="AN720" i="1" s="1"/>
  <c r="IE718" i="1"/>
  <c r="IG718" i="1" s="1"/>
  <c r="AN718" i="1" s="1"/>
  <c r="AH718" i="1"/>
  <c r="GS720" i="1"/>
  <c r="AE720" i="1"/>
  <c r="GU720" i="1"/>
  <c r="AK720" i="1" s="1"/>
  <c r="AG720" i="1"/>
  <c r="GW720" i="1"/>
  <c r="AJ720" i="1" s="1"/>
  <c r="GW718" i="1"/>
  <c r="AJ718" i="1" s="1"/>
  <c r="AG718" i="1"/>
  <c r="AE718" i="1"/>
  <c r="GS718" i="1"/>
  <c r="GX720" i="1" l="1"/>
  <c r="AL720" i="1"/>
  <c r="AQ720" i="1" s="1"/>
  <c r="AV720" i="1" s="1"/>
  <c r="GX718" i="1"/>
  <c r="AL718" i="1"/>
  <c r="AQ718" i="1" s="1"/>
  <c r="AV718" i="1" s="1"/>
  <c r="IC717" i="1" l="1"/>
  <c r="IB717" i="1"/>
  <c r="IA717" i="1"/>
  <c r="HN717" i="1"/>
  <c r="HF717" i="1"/>
  <c r="HH717" i="1" s="1"/>
  <c r="HJ717" i="1" s="1"/>
  <c r="EL717" i="1"/>
  <c r="EU717" i="1" s="1"/>
  <c r="DO717" i="1"/>
  <c r="AI717" i="1" s="1"/>
  <c r="AZ717" i="1"/>
  <c r="BA717" i="1" s="1"/>
  <c r="AH717" i="1"/>
  <c r="HO717" i="1" l="1"/>
  <c r="HV717" i="1" s="1"/>
  <c r="AM717" i="1" s="1"/>
  <c r="IE717" i="1"/>
  <c r="IG717" i="1" s="1"/>
  <c r="AN717" i="1" s="1"/>
  <c r="AE717" i="1"/>
  <c r="GU717" i="1"/>
  <c r="AK717" i="1" s="1"/>
  <c r="GS717" i="1"/>
  <c r="GW717" i="1"/>
  <c r="AJ717" i="1" s="1"/>
  <c r="AG717" i="1"/>
  <c r="IC716" i="1"/>
  <c r="IB716" i="1"/>
  <c r="IA716" i="1"/>
  <c r="HN716" i="1"/>
  <c r="HF716" i="1"/>
  <c r="HH716" i="1" s="1"/>
  <c r="HJ716" i="1" s="1"/>
  <c r="EL716" i="1"/>
  <c r="EU716" i="1" s="1"/>
  <c r="DP716" i="1"/>
  <c r="AH716" i="1" s="1"/>
  <c r="DM716" i="1"/>
  <c r="DO716" i="1" s="1"/>
  <c r="AI716" i="1" s="1"/>
  <c r="AZ716" i="1"/>
  <c r="BA716" i="1" s="1"/>
  <c r="IE716" i="1" l="1"/>
  <c r="IG716" i="1" s="1"/>
  <c r="AN716" i="1" s="1"/>
  <c r="HO716" i="1"/>
  <c r="HV716" i="1" s="1"/>
  <c r="AM716" i="1" s="1"/>
  <c r="AL717" i="1"/>
  <c r="AQ717" i="1" s="1"/>
  <c r="AV717" i="1" s="1"/>
  <c r="GX717" i="1"/>
  <c r="GU716" i="1"/>
  <c r="AK716" i="1" s="1"/>
  <c r="GS716" i="1"/>
  <c r="AE716" i="1"/>
  <c r="GW716" i="1"/>
  <c r="AJ716" i="1" s="1"/>
  <c r="AG716" i="1"/>
  <c r="AL716" i="1" l="1"/>
  <c r="AQ716" i="1" s="1"/>
  <c r="AV716" i="1" s="1"/>
  <c r="GX716" i="1"/>
  <c r="IC715" i="1" l="1"/>
  <c r="IB715" i="1"/>
  <c r="IA715" i="1"/>
  <c r="HT715" i="1"/>
  <c r="HN715" i="1"/>
  <c r="HF715" i="1"/>
  <c r="HH715" i="1" s="1"/>
  <c r="HJ715" i="1" s="1"/>
  <c r="EL715" i="1"/>
  <c r="EU715" i="1" s="1"/>
  <c r="DP715" i="1"/>
  <c r="AH715" i="1" s="1"/>
  <c r="DM715" i="1"/>
  <c r="DO715" i="1" s="1"/>
  <c r="AI715" i="1" s="1"/>
  <c r="AZ715" i="1"/>
  <c r="BA715" i="1" s="1"/>
  <c r="HO715" i="1" l="1"/>
  <c r="HV715" i="1" s="1"/>
  <c r="AM715" i="1" s="1"/>
  <c r="IE715" i="1"/>
  <c r="IG715" i="1" s="1"/>
  <c r="AN715" i="1" s="1"/>
  <c r="GS715" i="1"/>
  <c r="GU715" i="1"/>
  <c r="AK715" i="1" s="1"/>
  <c r="AE715" i="1"/>
  <c r="GW715" i="1"/>
  <c r="AJ715" i="1" s="1"/>
  <c r="AG715" i="1"/>
  <c r="GX715" i="1" l="1"/>
  <c r="AL715" i="1"/>
  <c r="AQ715" i="1" s="1"/>
  <c r="AV715" i="1" s="1"/>
  <c r="IC714" i="1" l="1"/>
  <c r="IB714" i="1"/>
  <c r="IA714" i="1"/>
  <c r="HN714" i="1"/>
  <c r="HF714" i="1"/>
  <c r="HH714" i="1" s="1"/>
  <c r="HJ714" i="1" s="1"/>
  <c r="EL714" i="1"/>
  <c r="EU714" i="1" s="1"/>
  <c r="DP714" i="1"/>
  <c r="AH714" i="1" s="1"/>
  <c r="DM714" i="1"/>
  <c r="DO714" i="1" s="1"/>
  <c r="AI714" i="1" s="1"/>
  <c r="AZ714" i="1"/>
  <c r="BA714" i="1" s="1"/>
  <c r="AU714" i="1"/>
  <c r="HO714" i="1" l="1"/>
  <c r="HV714" i="1" s="1"/>
  <c r="AM714" i="1" s="1"/>
  <c r="IE714" i="1"/>
  <c r="IG714" i="1" s="1"/>
  <c r="AN714" i="1" s="1"/>
  <c r="GU714" i="1"/>
  <c r="AK714" i="1" s="1"/>
  <c r="AE714" i="1"/>
  <c r="GS714" i="1"/>
  <c r="GW714" i="1"/>
  <c r="AJ714" i="1" s="1"/>
  <c r="AG714" i="1"/>
  <c r="AL714" i="1" l="1"/>
  <c r="AQ714" i="1" s="1"/>
  <c r="AV714" i="1" s="1"/>
  <c r="GX714" i="1"/>
  <c r="IC713" i="1" l="1"/>
  <c r="IB713" i="1"/>
  <c r="IA713" i="1"/>
  <c r="HN713" i="1"/>
  <c r="HF713" i="1"/>
  <c r="HH713" i="1" s="1"/>
  <c r="HJ713" i="1" s="1"/>
  <c r="EL713" i="1"/>
  <c r="EU713" i="1" s="1"/>
  <c r="DP713" i="1"/>
  <c r="AH713" i="1" s="1"/>
  <c r="DM713" i="1"/>
  <c r="DO713" i="1" s="1"/>
  <c r="AI713" i="1" s="1"/>
  <c r="AZ713" i="1"/>
  <c r="BA713" i="1" s="1"/>
  <c r="HO713" i="1" l="1"/>
  <c r="HV713" i="1" s="1"/>
  <c r="AM713" i="1" s="1"/>
  <c r="IE713" i="1"/>
  <c r="IG713" i="1" s="1"/>
  <c r="AN713" i="1" s="1"/>
  <c r="GU713" i="1"/>
  <c r="AK713" i="1" s="1"/>
  <c r="GS713" i="1"/>
  <c r="AE713" i="1"/>
  <c r="GW713" i="1"/>
  <c r="AJ713" i="1" s="1"/>
  <c r="AG713" i="1"/>
  <c r="AL713" i="1" l="1"/>
  <c r="AQ713" i="1" s="1"/>
  <c r="AV713" i="1" s="1"/>
  <c r="GX713" i="1"/>
  <c r="IC709" i="1" l="1"/>
  <c r="IB709" i="1"/>
  <c r="IA709" i="1"/>
  <c r="HN709" i="1"/>
  <c r="HF709" i="1"/>
  <c r="HH709" i="1" s="1"/>
  <c r="HJ709" i="1" s="1"/>
  <c r="EL709" i="1"/>
  <c r="EU709" i="1" s="1"/>
  <c r="DP709" i="1"/>
  <c r="AH709" i="1" s="1"/>
  <c r="DO709" i="1"/>
  <c r="AI709" i="1" s="1"/>
  <c r="AZ709" i="1"/>
  <c r="BA709" i="1" s="1"/>
  <c r="AU709" i="1"/>
  <c r="HO709" i="1" l="1"/>
  <c r="HV709" i="1" s="1"/>
  <c r="AM709" i="1" s="1"/>
  <c r="IE709" i="1"/>
  <c r="IG709" i="1" s="1"/>
  <c r="AN709" i="1" s="1"/>
  <c r="GW709" i="1"/>
  <c r="AJ709" i="1" s="1"/>
  <c r="AG709" i="1"/>
  <c r="AE709" i="1"/>
  <c r="GU709" i="1"/>
  <c r="AK709" i="1" s="1"/>
  <c r="GS709" i="1"/>
  <c r="AL709" i="1" l="1"/>
  <c r="AQ709" i="1" s="1"/>
  <c r="AV709" i="1" s="1"/>
  <c r="GX709" i="1"/>
  <c r="IC708" i="1" l="1"/>
  <c r="IB708" i="1"/>
  <c r="IA708" i="1"/>
  <c r="HT708" i="1"/>
  <c r="HN708" i="1"/>
  <c r="HF708" i="1"/>
  <c r="HH708" i="1" s="1"/>
  <c r="HJ708" i="1" s="1"/>
  <c r="EL708" i="1"/>
  <c r="EU708" i="1" s="1"/>
  <c r="DP708" i="1"/>
  <c r="AH708" i="1" s="1"/>
  <c r="DO708" i="1"/>
  <c r="AI708" i="1" s="1"/>
  <c r="AZ708" i="1"/>
  <c r="BA708" i="1" s="1"/>
  <c r="IC707" i="1"/>
  <c r="IB707" i="1"/>
  <c r="IA707" i="1"/>
  <c r="HT707" i="1"/>
  <c r="HN707" i="1"/>
  <c r="HF707" i="1"/>
  <c r="HH707" i="1" s="1"/>
  <c r="HJ707" i="1" s="1"/>
  <c r="EL707" i="1"/>
  <c r="EU707" i="1" s="1"/>
  <c r="DP707" i="1"/>
  <c r="AH707" i="1" s="1"/>
  <c r="DO707" i="1"/>
  <c r="AI707" i="1" s="1"/>
  <c r="AZ707" i="1"/>
  <c r="BA707" i="1" s="1"/>
  <c r="HO707" i="1" l="1"/>
  <c r="HV707" i="1" s="1"/>
  <c r="AM707" i="1" s="1"/>
  <c r="HO708" i="1"/>
  <c r="HV708" i="1" s="1"/>
  <c r="AM708" i="1" s="1"/>
  <c r="IE708" i="1"/>
  <c r="IG708" i="1" s="1"/>
  <c r="AN708" i="1" s="1"/>
  <c r="GW708" i="1"/>
  <c r="AJ708" i="1" s="1"/>
  <c r="AG708" i="1"/>
  <c r="IE707" i="1"/>
  <c r="IG707" i="1" s="1"/>
  <c r="AN707" i="1" s="1"/>
  <c r="GU708" i="1"/>
  <c r="AK708" i="1" s="1"/>
  <c r="GS708" i="1"/>
  <c r="AE708" i="1"/>
  <c r="GU707" i="1"/>
  <c r="AK707" i="1" s="1"/>
  <c r="GS707" i="1"/>
  <c r="AE707" i="1"/>
  <c r="GW707" i="1"/>
  <c r="AJ707" i="1" s="1"/>
  <c r="AG707" i="1"/>
  <c r="AL708" i="1" l="1"/>
  <c r="AQ708" i="1" s="1"/>
  <c r="AV708" i="1" s="1"/>
  <c r="GX708" i="1"/>
  <c r="GX707" i="1"/>
  <c r="AL707" i="1"/>
  <c r="AQ707" i="1" s="1"/>
  <c r="AV707" i="1" s="1"/>
  <c r="IC705" i="1" l="1"/>
  <c r="IB705" i="1"/>
  <c r="IA705" i="1"/>
  <c r="HT705" i="1"/>
  <c r="HN705" i="1"/>
  <c r="HF705" i="1"/>
  <c r="HH705" i="1" s="1"/>
  <c r="HJ705" i="1" s="1"/>
  <c r="HO705" i="1" s="1"/>
  <c r="EL705" i="1"/>
  <c r="EU705" i="1" s="1"/>
  <c r="DP705" i="1"/>
  <c r="AH705" i="1" s="1"/>
  <c r="DO705" i="1"/>
  <c r="AI705" i="1" s="1"/>
  <c r="AZ705" i="1"/>
  <c r="BA705" i="1" s="1"/>
  <c r="IE705" i="1" l="1"/>
  <c r="IG705" i="1" s="1"/>
  <c r="AN705" i="1" s="1"/>
  <c r="HV705" i="1"/>
  <c r="AM705" i="1" s="1"/>
  <c r="GU705" i="1"/>
  <c r="AK705" i="1" s="1"/>
  <c r="GS705" i="1"/>
  <c r="AE705" i="1"/>
  <c r="GW705" i="1"/>
  <c r="AJ705" i="1" s="1"/>
  <c r="AG705" i="1"/>
  <c r="GX705" i="1" l="1"/>
  <c r="AL705" i="1"/>
  <c r="AQ705" i="1" s="1"/>
  <c r="AV705" i="1" s="1"/>
  <c r="IC703" i="1" l="1"/>
  <c r="IB703" i="1"/>
  <c r="IA703" i="1"/>
  <c r="HN703" i="1"/>
  <c r="HF703" i="1"/>
  <c r="HH703" i="1" s="1"/>
  <c r="HJ703" i="1" s="1"/>
  <c r="EL703" i="1"/>
  <c r="EU703" i="1" s="1"/>
  <c r="DP703" i="1"/>
  <c r="AH703" i="1" s="1"/>
  <c r="DO703" i="1"/>
  <c r="AI703" i="1" s="1"/>
  <c r="AZ703" i="1"/>
  <c r="BA703" i="1" s="1"/>
  <c r="AT703" i="1"/>
  <c r="IC702" i="1"/>
  <c r="IB702" i="1"/>
  <c r="IA702" i="1"/>
  <c r="HN702" i="1"/>
  <c r="HF702" i="1"/>
  <c r="HH702" i="1" s="1"/>
  <c r="HJ702" i="1" s="1"/>
  <c r="EL702" i="1"/>
  <c r="EU702" i="1" s="1"/>
  <c r="DP702" i="1"/>
  <c r="AH702" i="1" s="1"/>
  <c r="DO702" i="1"/>
  <c r="AI702" i="1" s="1"/>
  <c r="AZ702" i="1"/>
  <c r="BA702" i="1" s="1"/>
  <c r="HO703" i="1" l="1"/>
  <c r="HV703" i="1" s="1"/>
  <c r="AM703" i="1" s="1"/>
  <c r="HO702" i="1"/>
  <c r="HV702" i="1" s="1"/>
  <c r="AM702" i="1" s="1"/>
  <c r="IE703" i="1"/>
  <c r="IG703" i="1" s="1"/>
  <c r="AN703" i="1" s="1"/>
  <c r="IE702" i="1"/>
  <c r="IG702" i="1" s="1"/>
  <c r="AN702" i="1" s="1"/>
  <c r="GW703" i="1"/>
  <c r="AJ703" i="1" s="1"/>
  <c r="AG703" i="1"/>
  <c r="GU703" i="1"/>
  <c r="AK703" i="1" s="1"/>
  <c r="GS703" i="1"/>
  <c r="AE703" i="1"/>
  <c r="GU702" i="1"/>
  <c r="AK702" i="1" s="1"/>
  <c r="GS702" i="1"/>
  <c r="AE702" i="1"/>
  <c r="GW702" i="1"/>
  <c r="AJ702" i="1" s="1"/>
  <c r="AG702" i="1"/>
  <c r="AL703" i="1" l="1"/>
  <c r="AQ703" i="1" s="1"/>
  <c r="AV703" i="1" s="1"/>
  <c r="GX703" i="1"/>
  <c r="AL702" i="1"/>
  <c r="AQ702" i="1" s="1"/>
  <c r="AV702" i="1" s="1"/>
  <c r="GX702" i="1"/>
  <c r="AQ701" i="1" l="1"/>
  <c r="AV701" i="1" s="1"/>
  <c r="IC700" i="1"/>
  <c r="IB700" i="1"/>
  <c r="IA700" i="1"/>
  <c r="HN700" i="1"/>
  <c r="HF700" i="1"/>
  <c r="HH700" i="1" s="1"/>
  <c r="HJ700" i="1" s="1"/>
  <c r="HO700" i="1" s="1"/>
  <c r="HV700" i="1" s="1"/>
  <c r="AM700" i="1" s="1"/>
  <c r="EL700" i="1"/>
  <c r="EU700" i="1" s="1"/>
  <c r="DP700" i="1"/>
  <c r="AH700" i="1" s="1"/>
  <c r="DO700" i="1"/>
  <c r="AI700" i="1" s="1"/>
  <c r="AZ700" i="1"/>
  <c r="BA700" i="1" s="1"/>
  <c r="IE700" i="1" l="1"/>
  <c r="IG700" i="1" s="1"/>
  <c r="AN700" i="1" s="1"/>
  <c r="GU700" i="1"/>
  <c r="AK700" i="1" s="1"/>
  <c r="GS700" i="1"/>
  <c r="AE700" i="1"/>
  <c r="GW700" i="1"/>
  <c r="AJ700" i="1" s="1"/>
  <c r="AG700" i="1"/>
  <c r="AL700" i="1" l="1"/>
  <c r="AQ700" i="1" s="1"/>
  <c r="AV700" i="1" s="1"/>
  <c r="GX700" i="1"/>
  <c r="IC699" i="1" l="1"/>
  <c r="IB699" i="1"/>
  <c r="IA699" i="1"/>
  <c r="HN699" i="1"/>
  <c r="HF699" i="1"/>
  <c r="HH699" i="1" s="1"/>
  <c r="HJ699" i="1" s="1"/>
  <c r="EL699" i="1"/>
  <c r="EU699" i="1" s="1"/>
  <c r="DP699" i="1"/>
  <c r="AH699" i="1" s="1"/>
  <c r="DO699" i="1"/>
  <c r="AI699" i="1" s="1"/>
  <c r="CH699" i="1"/>
  <c r="AZ699" i="1"/>
  <c r="BA699" i="1" s="1"/>
  <c r="AU699" i="1"/>
  <c r="AT699" i="1"/>
  <c r="AP699" i="1"/>
  <c r="IE699" i="1" l="1"/>
  <c r="IG699" i="1" s="1"/>
  <c r="AN699" i="1" s="1"/>
  <c r="HO699" i="1"/>
  <c r="HV699" i="1" s="1"/>
  <c r="AM699" i="1" s="1"/>
  <c r="GU699" i="1"/>
  <c r="AK699" i="1" s="1"/>
  <c r="GS699" i="1"/>
  <c r="AE699" i="1"/>
  <c r="GW699" i="1"/>
  <c r="AJ699" i="1" s="1"/>
  <c r="AG699" i="1"/>
  <c r="IC698" i="1"/>
  <c r="IB698" i="1"/>
  <c r="IA698" i="1"/>
  <c r="HN698" i="1"/>
  <c r="HF698" i="1"/>
  <c r="HH698" i="1" s="1"/>
  <c r="HJ698" i="1" s="1"/>
  <c r="EL698" i="1"/>
  <c r="EU698" i="1" s="1"/>
  <c r="DP698" i="1"/>
  <c r="AH698" i="1" s="1"/>
  <c r="DO698" i="1"/>
  <c r="AI698" i="1" s="1"/>
  <c r="CH698" i="1"/>
  <c r="AZ698" i="1"/>
  <c r="BA698" i="1" s="1"/>
  <c r="AU698" i="1"/>
  <c r="AP698" i="1"/>
  <c r="HO698" i="1" l="1"/>
  <c r="HV698" i="1" s="1"/>
  <c r="AM698" i="1" s="1"/>
  <c r="IE698" i="1"/>
  <c r="IG698" i="1" s="1"/>
  <c r="AN698" i="1" s="1"/>
  <c r="AL699" i="1"/>
  <c r="AQ699" i="1" s="1"/>
  <c r="AV699" i="1" s="1"/>
  <c r="GX699" i="1"/>
  <c r="GU698" i="1"/>
  <c r="AK698" i="1" s="1"/>
  <c r="GS698" i="1"/>
  <c r="AE698" i="1"/>
  <c r="GW698" i="1"/>
  <c r="AJ698" i="1" s="1"/>
  <c r="AG698" i="1"/>
  <c r="AL698" i="1" l="1"/>
  <c r="AQ698" i="1" s="1"/>
  <c r="AV698" i="1" s="1"/>
  <c r="GX698" i="1"/>
  <c r="IC695" i="1" l="1"/>
  <c r="IB695" i="1"/>
  <c r="IA695" i="1"/>
  <c r="HT695" i="1"/>
  <c r="HN695" i="1"/>
  <c r="HF695" i="1"/>
  <c r="HH695" i="1" s="1"/>
  <c r="HJ695" i="1" s="1"/>
  <c r="HO695" i="1" s="1"/>
  <c r="EZ695" i="1"/>
  <c r="AP695" i="1" s="1"/>
  <c r="EX695" i="1"/>
  <c r="EL695" i="1"/>
  <c r="EU695" i="1" s="1"/>
  <c r="CG695" i="1"/>
  <c r="DP695" i="1" s="1"/>
  <c r="AH695" i="1" s="1"/>
  <c r="AZ695" i="1"/>
  <c r="BA695" i="1" s="1"/>
  <c r="AU695" i="1"/>
  <c r="HV695" i="1" l="1"/>
  <c r="AM695" i="1" s="1"/>
  <c r="IE695" i="1"/>
  <c r="IG695" i="1" s="1"/>
  <c r="AN695" i="1" s="1"/>
  <c r="GU695" i="1"/>
  <c r="AK695" i="1" s="1"/>
  <c r="AE695" i="1"/>
  <c r="GS695" i="1"/>
  <c r="GW695" i="1"/>
  <c r="AJ695" i="1" s="1"/>
  <c r="AG695" i="1"/>
  <c r="CH695" i="1"/>
  <c r="DO695" i="1"/>
  <c r="AI695" i="1" s="1"/>
  <c r="GX695" i="1" l="1"/>
  <c r="AL695" i="1"/>
  <c r="AQ695" i="1" s="1"/>
  <c r="AV695" i="1" s="1"/>
  <c r="IC692" i="1" l="1"/>
  <c r="IB692" i="1"/>
  <c r="IA692" i="1"/>
  <c r="HT692" i="1"/>
  <c r="HN692" i="1"/>
  <c r="HF692" i="1"/>
  <c r="HH692" i="1" s="1"/>
  <c r="HJ692" i="1" s="1"/>
  <c r="HO692" i="1" s="1"/>
  <c r="EL692" i="1"/>
  <c r="EU692" i="1" s="1"/>
  <c r="DP692" i="1"/>
  <c r="AH692" i="1" s="1"/>
  <c r="DO692" i="1"/>
  <c r="AI692" i="1" s="1"/>
  <c r="AZ692" i="1"/>
  <c r="BA692" i="1" s="1"/>
  <c r="HV692" i="1" l="1"/>
  <c r="AM692" i="1" s="1"/>
  <c r="IE692" i="1"/>
  <c r="IG692" i="1" s="1"/>
  <c r="AN692" i="1" s="1"/>
  <c r="GW692" i="1"/>
  <c r="AJ692" i="1" s="1"/>
  <c r="AG692" i="1"/>
  <c r="GU692" i="1"/>
  <c r="AK692" i="1" s="1"/>
  <c r="GS692" i="1"/>
  <c r="AE692" i="1"/>
  <c r="GX692" i="1" l="1"/>
  <c r="AL692" i="1"/>
  <c r="AQ692" i="1" s="1"/>
  <c r="AV692" i="1" s="1"/>
  <c r="IC691" i="1" l="1"/>
  <c r="IB691" i="1"/>
  <c r="IA691" i="1"/>
  <c r="HN691" i="1"/>
  <c r="HF691" i="1"/>
  <c r="HH691" i="1" s="1"/>
  <c r="HJ691" i="1" s="1"/>
  <c r="EL691" i="1"/>
  <c r="EU691" i="1" s="1"/>
  <c r="DP691" i="1"/>
  <c r="AH691" i="1" s="1"/>
  <c r="DO691" i="1"/>
  <c r="AI691" i="1" s="1"/>
  <c r="AZ691" i="1"/>
  <c r="BA691" i="1" s="1"/>
  <c r="HO691" i="1" l="1"/>
  <c r="HV691" i="1" s="1"/>
  <c r="AM691" i="1" s="1"/>
  <c r="IE691" i="1"/>
  <c r="IG691" i="1" s="1"/>
  <c r="AN691" i="1" s="1"/>
  <c r="GU691" i="1"/>
  <c r="AK691" i="1" s="1"/>
  <c r="GS691" i="1"/>
  <c r="AE691" i="1"/>
  <c r="AG691" i="1"/>
  <c r="GW691" i="1"/>
  <c r="AJ691" i="1" s="1"/>
  <c r="AL691" i="1" l="1"/>
  <c r="AQ691" i="1" s="1"/>
  <c r="AV691" i="1" s="1"/>
  <c r="GX691" i="1"/>
  <c r="IC690" i="1" l="1"/>
  <c r="IB690" i="1"/>
  <c r="IA690" i="1"/>
  <c r="HT690" i="1"/>
  <c r="HN690" i="1"/>
  <c r="HF690" i="1"/>
  <c r="HH690" i="1" s="1"/>
  <c r="HJ690" i="1" s="1"/>
  <c r="EL690" i="1"/>
  <c r="EU690" i="1" s="1"/>
  <c r="DP690" i="1"/>
  <c r="AH690" i="1" s="1"/>
  <c r="DO690" i="1"/>
  <c r="AI690" i="1" s="1"/>
  <c r="AZ690" i="1"/>
  <c r="BA690" i="1" s="1"/>
  <c r="HO690" i="1" l="1"/>
  <c r="HV690" i="1" s="1"/>
  <c r="AM690" i="1" s="1"/>
  <c r="GS690" i="1"/>
  <c r="AL690" i="1" s="1"/>
  <c r="AE690" i="1"/>
  <c r="IE690" i="1"/>
  <c r="IG690" i="1" s="1"/>
  <c r="AN690" i="1" s="1"/>
  <c r="AG690" i="1"/>
  <c r="GU690" i="1"/>
  <c r="AK690" i="1" s="1"/>
  <c r="GW690" i="1"/>
  <c r="AJ690" i="1" s="1"/>
  <c r="AQ690" i="1" l="1"/>
  <c r="AV690" i="1" s="1"/>
  <c r="GX690" i="1"/>
  <c r="IC902" i="1" l="1"/>
  <c r="IB902" i="1"/>
  <c r="IA902" i="1"/>
  <c r="HN902" i="1"/>
  <c r="HF902" i="1"/>
  <c r="HH902" i="1" s="1"/>
  <c r="HJ902" i="1" s="1"/>
  <c r="EL902" i="1"/>
  <c r="EU902" i="1" s="1"/>
  <c r="DM902" i="1"/>
  <c r="AZ902" i="1"/>
  <c r="BA902" i="1" s="1"/>
  <c r="AF902" i="1"/>
  <c r="HO902" i="1" l="1"/>
  <c r="HV902" i="1" s="1"/>
  <c r="AM902" i="1" s="1"/>
  <c r="IE902" i="1"/>
  <c r="IG902" i="1" s="1"/>
  <c r="AN902" i="1" s="1"/>
  <c r="GU902" i="1"/>
  <c r="AK902" i="1" s="1"/>
  <c r="GS902" i="1"/>
  <c r="AE902" i="1"/>
  <c r="GW902" i="1"/>
  <c r="AJ902" i="1" s="1"/>
  <c r="AG902" i="1"/>
  <c r="AH902" i="1"/>
  <c r="DO902" i="1"/>
  <c r="AI902" i="1" s="1"/>
  <c r="DP902" i="1" l="1"/>
  <c r="AL902" i="1"/>
  <c r="AQ902" i="1" s="1"/>
  <c r="AV902" i="1" s="1"/>
  <c r="GX902" i="1"/>
  <c r="IC901" i="1" l="1"/>
  <c r="IB901" i="1"/>
  <c r="IA901" i="1"/>
  <c r="HN901" i="1"/>
  <c r="HF901" i="1"/>
  <c r="HH901" i="1" s="1"/>
  <c r="HJ901" i="1" s="1"/>
  <c r="EL901" i="1"/>
  <c r="EU901" i="1" s="1"/>
  <c r="CH901" i="1"/>
  <c r="DM901" i="1" s="1"/>
  <c r="AZ901" i="1"/>
  <c r="AU901" i="1"/>
  <c r="AF901" i="1"/>
  <c r="AC901" i="1"/>
  <c r="IE901" i="1" l="1"/>
  <c r="IG901" i="1" s="1"/>
  <c r="AN901" i="1" s="1"/>
  <c r="BA901" i="1"/>
  <c r="GS901" i="1" s="1"/>
  <c r="HO901" i="1"/>
  <c r="HV901" i="1" s="1"/>
  <c r="AM901" i="1" s="1"/>
  <c r="DO901" i="1"/>
  <c r="AI901" i="1" s="1"/>
  <c r="AH901" i="1"/>
  <c r="AG901" i="1"/>
  <c r="GW901" i="1"/>
  <c r="AJ901" i="1" s="1"/>
  <c r="GU901" i="1" l="1"/>
  <c r="AK901" i="1" s="1"/>
  <c r="AE901" i="1"/>
  <c r="AL901" i="1"/>
  <c r="DP901" i="1"/>
  <c r="GX901" i="1" l="1"/>
  <c r="AQ901" i="1"/>
  <c r="AV901" i="1" s="1"/>
  <c r="IC900" i="1"/>
  <c r="IB900" i="1"/>
  <c r="IA900" i="1"/>
  <c r="HN900" i="1"/>
  <c r="HF900" i="1"/>
  <c r="HH900" i="1" s="1"/>
  <c r="HJ900" i="1" s="1"/>
  <c r="EL900" i="1"/>
  <c r="EU900" i="1" s="1"/>
  <c r="CH900" i="1"/>
  <c r="DM900" i="1" s="1"/>
  <c r="AZ900" i="1"/>
  <c r="BA900" i="1" s="1"/>
  <c r="AU900" i="1"/>
  <c r="AF900" i="1"/>
  <c r="HO900" i="1" l="1"/>
  <c r="HV900" i="1" s="1"/>
  <c r="AM900" i="1" s="1"/>
  <c r="IE900" i="1"/>
  <c r="IG900" i="1" s="1"/>
  <c r="AN900" i="1" s="1"/>
  <c r="GW900" i="1"/>
  <c r="AJ900" i="1" s="1"/>
  <c r="AG900" i="1"/>
  <c r="GS900" i="1"/>
  <c r="AE900" i="1"/>
  <c r="GU900" i="1"/>
  <c r="AK900" i="1" s="1"/>
  <c r="DO900" i="1"/>
  <c r="AI900" i="1" s="1"/>
  <c r="AH900" i="1"/>
  <c r="DP900" i="1" l="1"/>
  <c r="GX900" i="1"/>
  <c r="AL900" i="1"/>
  <c r="AQ900" i="1" s="1"/>
  <c r="AV900" i="1" s="1"/>
  <c r="IC898" i="1" l="1"/>
  <c r="IB898" i="1"/>
  <c r="IA898" i="1"/>
  <c r="HN898" i="1"/>
  <c r="HF898" i="1"/>
  <c r="HH898" i="1" s="1"/>
  <c r="HJ898" i="1" s="1"/>
  <c r="EL898" i="1"/>
  <c r="EU898" i="1" s="1"/>
  <c r="DM898" i="1"/>
  <c r="AH898" i="1" s="1"/>
  <c r="AZ898" i="1"/>
  <c r="BA898" i="1" s="1"/>
  <c r="AF898" i="1"/>
  <c r="IC896" i="1"/>
  <c r="IB896" i="1"/>
  <c r="IA896" i="1"/>
  <c r="HN896" i="1"/>
  <c r="HF896" i="1"/>
  <c r="HH896" i="1" s="1"/>
  <c r="HJ896" i="1" s="1"/>
  <c r="EL896" i="1"/>
  <c r="EU896" i="1" s="1"/>
  <c r="DM896" i="1"/>
  <c r="AH896" i="1" s="1"/>
  <c r="AZ896" i="1"/>
  <c r="BA896" i="1" s="1"/>
  <c r="AF896" i="1"/>
  <c r="IC895" i="1"/>
  <c r="IB895" i="1"/>
  <c r="IA895" i="1"/>
  <c r="HN895" i="1"/>
  <c r="HF895" i="1"/>
  <c r="HH895" i="1" s="1"/>
  <c r="HJ895" i="1" s="1"/>
  <c r="EL895" i="1"/>
  <c r="EU895" i="1" s="1"/>
  <c r="CH895" i="1"/>
  <c r="DM895" i="1" s="1"/>
  <c r="AZ895" i="1"/>
  <c r="BA895" i="1" s="1"/>
  <c r="AU895" i="1"/>
  <c r="AF895" i="1"/>
  <c r="IC893" i="1"/>
  <c r="IB893" i="1"/>
  <c r="IA893" i="1"/>
  <c r="HN893" i="1"/>
  <c r="HF893" i="1"/>
  <c r="HH893" i="1" s="1"/>
  <c r="HJ893" i="1" s="1"/>
  <c r="EL893" i="1"/>
  <c r="EU893" i="1" s="1"/>
  <c r="CH893" i="1"/>
  <c r="DM893" i="1" s="1"/>
  <c r="AZ893" i="1"/>
  <c r="BA893" i="1" s="1"/>
  <c r="AF893" i="1"/>
  <c r="IC891" i="1"/>
  <c r="IB891" i="1"/>
  <c r="IA891" i="1"/>
  <c r="HN891" i="1"/>
  <c r="HF891" i="1"/>
  <c r="HH891" i="1" s="1"/>
  <c r="HJ891" i="1" s="1"/>
  <c r="EL891" i="1"/>
  <c r="EU891" i="1" s="1"/>
  <c r="DM891" i="1"/>
  <c r="DO891" i="1" s="1"/>
  <c r="AI891" i="1" s="1"/>
  <c r="AZ891" i="1"/>
  <c r="BA891" i="1" s="1"/>
  <c r="AF891" i="1"/>
  <c r="IC890" i="1"/>
  <c r="IB890" i="1"/>
  <c r="IA890" i="1"/>
  <c r="HN890" i="1"/>
  <c r="HF890" i="1"/>
  <c r="HH890" i="1" s="1"/>
  <c r="HJ890" i="1" s="1"/>
  <c r="EL890" i="1"/>
  <c r="EU890" i="1" s="1"/>
  <c r="GW890" i="1" s="1"/>
  <c r="AJ890" i="1" s="1"/>
  <c r="CR890" i="1"/>
  <c r="CM890" i="1"/>
  <c r="AZ890" i="1"/>
  <c r="BA890" i="1" s="1"/>
  <c r="AU890" i="1"/>
  <c r="AF890" i="1"/>
  <c r="IE893" i="1" l="1"/>
  <c r="IG893" i="1" s="1"/>
  <c r="AN893" i="1" s="1"/>
  <c r="IE895" i="1"/>
  <c r="IG895" i="1" s="1"/>
  <c r="AN895" i="1" s="1"/>
  <c r="IE891" i="1"/>
  <c r="IG891" i="1" s="1"/>
  <c r="AN891" i="1" s="1"/>
  <c r="HO893" i="1"/>
  <c r="HV893" i="1" s="1"/>
  <c r="AM893" i="1" s="1"/>
  <c r="HO890" i="1"/>
  <c r="HV890" i="1" s="1"/>
  <c r="AM890" i="1" s="1"/>
  <c r="HO891" i="1"/>
  <c r="HV891" i="1" s="1"/>
  <c r="AM891" i="1" s="1"/>
  <c r="HO896" i="1"/>
  <c r="HV896" i="1" s="1"/>
  <c r="AM896" i="1" s="1"/>
  <c r="GS893" i="1"/>
  <c r="AL893" i="1" s="1"/>
  <c r="HO895" i="1"/>
  <c r="HV895" i="1" s="1"/>
  <c r="AM895" i="1" s="1"/>
  <c r="IE896" i="1"/>
  <c r="IG896" i="1" s="1"/>
  <c r="AN896" i="1" s="1"/>
  <c r="IE898" i="1"/>
  <c r="IG898" i="1" s="1"/>
  <c r="AN898" i="1" s="1"/>
  <c r="IE890" i="1"/>
  <c r="IG890" i="1" s="1"/>
  <c r="AN890" i="1" s="1"/>
  <c r="HO898" i="1"/>
  <c r="HV898" i="1" s="1"/>
  <c r="AM898" i="1" s="1"/>
  <c r="DM890" i="1"/>
  <c r="DO890" i="1" s="1"/>
  <c r="AI890" i="1" s="1"/>
  <c r="AE898" i="1"/>
  <c r="IJ898" i="1"/>
  <c r="AR898" i="1" s="1"/>
  <c r="GU898" i="1"/>
  <c r="AK898" i="1" s="1"/>
  <c r="GS898" i="1"/>
  <c r="AG898" i="1"/>
  <c r="GW898" i="1"/>
  <c r="AJ898" i="1" s="1"/>
  <c r="DO898" i="1"/>
  <c r="AI898" i="1" s="1"/>
  <c r="IJ896" i="1"/>
  <c r="AR896" i="1" s="1"/>
  <c r="GU896" i="1"/>
  <c r="AK896" i="1" s="1"/>
  <c r="GS896" i="1"/>
  <c r="AE896" i="1"/>
  <c r="GW896" i="1"/>
  <c r="AJ896" i="1" s="1"/>
  <c r="AG896" i="1"/>
  <c r="DO896" i="1"/>
  <c r="AI896" i="1" s="1"/>
  <c r="DO895" i="1"/>
  <c r="AI895" i="1" s="1"/>
  <c r="AH895" i="1"/>
  <c r="IJ895" i="1"/>
  <c r="AR895" i="1" s="1"/>
  <c r="AE895" i="1"/>
  <c r="GU895" i="1"/>
  <c r="AK895" i="1" s="1"/>
  <c r="GS895" i="1"/>
  <c r="GW895" i="1"/>
  <c r="AJ895" i="1" s="1"/>
  <c r="AG895" i="1"/>
  <c r="DO893" i="1"/>
  <c r="AI893" i="1" s="1"/>
  <c r="AH893" i="1"/>
  <c r="GW893" i="1"/>
  <c r="AJ893" i="1" s="1"/>
  <c r="AG893" i="1"/>
  <c r="GU893" i="1"/>
  <c r="AK893" i="1" s="1"/>
  <c r="AE893" i="1"/>
  <c r="IJ893" i="1"/>
  <c r="AR893" i="1" s="1"/>
  <c r="IJ891" i="1"/>
  <c r="AR891" i="1" s="1"/>
  <c r="GU891" i="1"/>
  <c r="AK891" i="1" s="1"/>
  <c r="GS891" i="1"/>
  <c r="AE891" i="1"/>
  <c r="GW891" i="1"/>
  <c r="AJ891" i="1" s="1"/>
  <c r="AG891" i="1"/>
  <c r="DP891" i="1"/>
  <c r="AH891" i="1"/>
  <c r="AE890" i="1"/>
  <c r="GU890" i="1"/>
  <c r="AK890" i="1" s="1"/>
  <c r="GS890" i="1"/>
  <c r="AG890" i="1"/>
  <c r="AH890" i="1" l="1"/>
  <c r="AQ893" i="1"/>
  <c r="AV893" i="1" s="1"/>
  <c r="GX893" i="1"/>
  <c r="DP898" i="1"/>
  <c r="AL898" i="1"/>
  <c r="AQ898" i="1" s="1"/>
  <c r="AV898" i="1" s="1"/>
  <c r="GX898" i="1"/>
  <c r="DP896" i="1"/>
  <c r="GX896" i="1"/>
  <c r="AL896" i="1"/>
  <c r="AQ896" i="1" s="1"/>
  <c r="AV896" i="1" s="1"/>
  <c r="GX895" i="1"/>
  <c r="AL895" i="1"/>
  <c r="AQ895" i="1" s="1"/>
  <c r="AV895" i="1" s="1"/>
  <c r="DP895" i="1"/>
  <c r="DP893" i="1"/>
  <c r="GX891" i="1"/>
  <c r="AL891" i="1"/>
  <c r="AQ891" i="1" s="1"/>
  <c r="AV891" i="1" s="1"/>
  <c r="DP890" i="1"/>
  <c r="AL890" i="1"/>
  <c r="GX890" i="1"/>
  <c r="AQ890" i="1" l="1"/>
  <c r="AV890" i="1" s="1"/>
  <c r="IC889" i="1"/>
  <c r="IB889" i="1"/>
  <c r="IA889" i="1"/>
  <c r="HN889" i="1"/>
  <c r="HF889" i="1"/>
  <c r="HH889" i="1" s="1"/>
  <c r="HJ889" i="1" s="1"/>
  <c r="EL889" i="1"/>
  <c r="EU889" i="1" s="1"/>
  <c r="GW889" i="1" s="1"/>
  <c r="AJ889" i="1" s="1"/>
  <c r="CH889" i="1"/>
  <c r="DM889" i="1" s="1"/>
  <c r="AH889" i="1" s="1"/>
  <c r="AZ889" i="1"/>
  <c r="BA889" i="1" s="1"/>
  <c r="AF889" i="1"/>
  <c r="HO889" i="1" l="1"/>
  <c r="HV889" i="1" s="1"/>
  <c r="AM889" i="1" s="1"/>
  <c r="IE889" i="1"/>
  <c r="IG889" i="1" s="1"/>
  <c r="AN889" i="1" s="1"/>
  <c r="GU889" i="1"/>
  <c r="AK889" i="1" s="1"/>
  <c r="GS889" i="1"/>
  <c r="AE889" i="1"/>
  <c r="AG889" i="1"/>
  <c r="DO889" i="1"/>
  <c r="AI889" i="1" s="1"/>
  <c r="GX889" i="1" l="1"/>
  <c r="AL889" i="1"/>
  <c r="AQ889" i="1" s="1"/>
  <c r="AV889" i="1" s="1"/>
  <c r="DP889" i="1"/>
  <c r="IC888" i="1" l="1"/>
  <c r="IB888" i="1"/>
  <c r="IA888" i="1"/>
  <c r="HN888" i="1"/>
  <c r="HF888" i="1"/>
  <c r="HH888" i="1" s="1"/>
  <c r="HJ888" i="1" s="1"/>
  <c r="EL888" i="1"/>
  <c r="EU888" i="1" s="1"/>
  <c r="CH888" i="1"/>
  <c r="DM888" i="1" s="1"/>
  <c r="AZ888" i="1"/>
  <c r="BA888" i="1" s="1"/>
  <c r="AU888" i="1"/>
  <c r="AF888" i="1"/>
  <c r="HO888" i="1" l="1"/>
  <c r="HV888" i="1" s="1"/>
  <c r="AM888" i="1" s="1"/>
  <c r="IE888" i="1"/>
  <c r="IG888" i="1" s="1"/>
  <c r="AN888" i="1" s="1"/>
  <c r="GU888" i="1"/>
  <c r="AK888" i="1" s="1"/>
  <c r="AE888" i="1"/>
  <c r="GS888" i="1"/>
  <c r="DO888" i="1"/>
  <c r="AI888" i="1" s="1"/>
  <c r="AH888" i="1"/>
  <c r="GW888" i="1"/>
  <c r="AJ888" i="1" s="1"/>
  <c r="AG888" i="1"/>
  <c r="DP888" i="1" l="1"/>
  <c r="AL888" i="1"/>
  <c r="AQ888" i="1" s="1"/>
  <c r="AV888" i="1" s="1"/>
  <c r="GX888" i="1"/>
  <c r="LO837" i="1" l="1"/>
  <c r="LP837" i="1" s="1"/>
  <c r="LZ837" i="1" s="1"/>
  <c r="LD837" i="1"/>
  <c r="DM837" i="1" s="1"/>
  <c r="AH837" i="1" s="1"/>
  <c r="KX837" i="1"/>
  <c r="KY837" i="1" s="1"/>
  <c r="KD837" i="1"/>
  <c r="KE837" i="1" s="1"/>
  <c r="IT837" i="1"/>
  <c r="IC837" i="1"/>
  <c r="IB837" i="1"/>
  <c r="IA837" i="1"/>
  <c r="HT837" i="1"/>
  <c r="HN837" i="1"/>
  <c r="HF837" i="1"/>
  <c r="HH837" i="1" s="1"/>
  <c r="HJ837" i="1" s="1"/>
  <c r="GX837" i="1"/>
  <c r="AX837" i="1"/>
  <c r="AW837" i="1"/>
  <c r="AP837" i="1"/>
  <c r="AI837" i="1"/>
  <c r="AF837" i="1"/>
  <c r="AB837" i="1"/>
  <c r="HO837" i="1" l="1"/>
  <c r="HV837" i="1" s="1"/>
  <c r="AM837" i="1" s="1"/>
  <c r="IE837" i="1"/>
  <c r="IG837" i="1" s="1"/>
  <c r="AN837" i="1" s="1"/>
  <c r="AZ837" i="1"/>
  <c r="LU837" i="1"/>
  <c r="LS837" i="1"/>
  <c r="KO837" i="1"/>
  <c r="GW837" i="1" s="1"/>
  <c r="AJ837" i="1" s="1"/>
  <c r="EU837" i="1"/>
  <c r="AG837" i="1" s="1"/>
  <c r="LF837" i="1"/>
  <c r="LG837" i="1" s="1"/>
  <c r="DP837" i="1" s="1"/>
  <c r="IU837" i="1"/>
  <c r="KH837" i="1" s="1"/>
  <c r="CH837" i="1"/>
  <c r="GS837" i="1" l="1"/>
  <c r="AL837" i="1" s="1"/>
  <c r="KJ837" i="1"/>
  <c r="GU837" i="1" s="1"/>
  <c r="AK837" i="1" s="1"/>
  <c r="BA837" i="1"/>
  <c r="AE837" i="1" s="1"/>
  <c r="MA837" i="1"/>
  <c r="KP837" i="1" l="1"/>
  <c r="AQ837" i="1"/>
  <c r="AV837" i="1" s="1"/>
  <c r="IC883" i="1"/>
  <c r="IB883" i="1"/>
  <c r="IA883" i="1"/>
  <c r="HN883" i="1"/>
  <c r="HF883" i="1"/>
  <c r="HH883" i="1" s="1"/>
  <c r="HJ883" i="1" s="1"/>
  <c r="EL883" i="1"/>
  <c r="EU883" i="1" s="1"/>
  <c r="DM883" i="1"/>
  <c r="AH883" i="1" s="1"/>
  <c r="AZ883" i="1"/>
  <c r="BA883" i="1" s="1"/>
  <c r="AU883" i="1"/>
  <c r="AF883" i="1"/>
  <c r="HO883" i="1" l="1"/>
  <c r="HV883" i="1" s="1"/>
  <c r="AM883" i="1" s="1"/>
  <c r="IE883" i="1"/>
  <c r="IG883" i="1" s="1"/>
  <c r="AN883" i="1" s="1"/>
  <c r="GU883" i="1"/>
  <c r="AK883" i="1" s="1"/>
  <c r="GS883" i="1"/>
  <c r="AE883" i="1"/>
  <c r="GW883" i="1"/>
  <c r="AJ883" i="1" s="1"/>
  <c r="AG883" i="1"/>
  <c r="DO883" i="1"/>
  <c r="AI883" i="1" s="1"/>
  <c r="DP883" i="1" l="1"/>
  <c r="AL883" i="1"/>
  <c r="AQ883" i="1" s="1"/>
  <c r="AV883" i="1" s="1"/>
  <c r="GX883" i="1"/>
  <c r="IC882" i="1" l="1"/>
  <c r="IB882" i="1"/>
  <c r="IA882" i="1"/>
  <c r="HN882" i="1"/>
  <c r="HF882" i="1"/>
  <c r="HH882" i="1" s="1"/>
  <c r="HJ882" i="1" s="1"/>
  <c r="EL882" i="1"/>
  <c r="EU882" i="1" s="1"/>
  <c r="DM882" i="1"/>
  <c r="AZ882" i="1"/>
  <c r="BA882" i="1" s="1"/>
  <c r="AF882" i="1"/>
  <c r="HO882" i="1" l="1"/>
  <c r="HV882" i="1" s="1"/>
  <c r="AM882" i="1" s="1"/>
  <c r="IE882" i="1"/>
  <c r="IG882" i="1" s="1"/>
  <c r="AN882" i="1" s="1"/>
  <c r="GW882" i="1"/>
  <c r="AJ882" i="1" s="1"/>
  <c r="AG882" i="1"/>
  <c r="GU882" i="1"/>
  <c r="AK882" i="1" s="1"/>
  <c r="GS882" i="1"/>
  <c r="AE882" i="1"/>
  <c r="AH882" i="1"/>
  <c r="DO882" i="1"/>
  <c r="AI882" i="1" s="1"/>
  <c r="DP882" i="1" l="1"/>
  <c r="AL882" i="1"/>
  <c r="AQ882" i="1" s="1"/>
  <c r="AV882" i="1" s="1"/>
  <c r="GX882" i="1"/>
  <c r="IC881" i="1" l="1"/>
  <c r="IB881" i="1"/>
  <c r="IA881" i="1"/>
  <c r="HN881" i="1"/>
  <c r="HF881" i="1"/>
  <c r="HH881" i="1" s="1"/>
  <c r="HJ881" i="1" s="1"/>
  <c r="EL881" i="1"/>
  <c r="EU881" i="1" s="1"/>
  <c r="DM881" i="1"/>
  <c r="AZ881" i="1"/>
  <c r="BA881" i="1" s="1"/>
  <c r="AF881" i="1"/>
  <c r="IC880" i="1"/>
  <c r="IB880" i="1"/>
  <c r="IA880" i="1"/>
  <c r="HN880" i="1"/>
  <c r="HF880" i="1"/>
  <c r="HH880" i="1" s="1"/>
  <c r="HJ880" i="1" s="1"/>
  <c r="EL880" i="1"/>
  <c r="EU880" i="1" s="1"/>
  <c r="DM880" i="1"/>
  <c r="DO880" i="1" s="1"/>
  <c r="DP880" i="1" s="1"/>
  <c r="AZ880" i="1"/>
  <c r="BA880" i="1" s="1"/>
  <c r="AF880" i="1"/>
  <c r="AH880" i="1" l="1"/>
  <c r="IE880" i="1"/>
  <c r="IG880" i="1" s="1"/>
  <c r="AN880" i="1" s="1"/>
  <c r="HO881" i="1"/>
  <c r="HV881" i="1" s="1"/>
  <c r="AM881" i="1" s="1"/>
  <c r="IE881" i="1"/>
  <c r="IG881" i="1" s="1"/>
  <c r="AN881" i="1" s="1"/>
  <c r="HO880" i="1"/>
  <c r="HV880" i="1" s="1"/>
  <c r="AM880" i="1" s="1"/>
  <c r="GU881" i="1"/>
  <c r="AK881" i="1" s="1"/>
  <c r="GS881" i="1"/>
  <c r="AE881" i="1"/>
  <c r="GW881" i="1"/>
  <c r="AJ881" i="1" s="1"/>
  <c r="AG881" i="1"/>
  <c r="AH881" i="1"/>
  <c r="DO881" i="1"/>
  <c r="AI881" i="1" s="1"/>
  <c r="AE880" i="1"/>
  <c r="GU880" i="1"/>
  <c r="AK880" i="1" s="1"/>
  <c r="GS880" i="1"/>
  <c r="AG880" i="1"/>
  <c r="GW880" i="1"/>
  <c r="AJ880" i="1" s="1"/>
  <c r="AI880" i="1"/>
  <c r="DP881" i="1" l="1"/>
  <c r="AL881" i="1"/>
  <c r="AQ881" i="1" s="1"/>
  <c r="AV881" i="1" s="1"/>
  <c r="GX881" i="1"/>
  <c r="GX880" i="1"/>
  <c r="AL880" i="1"/>
  <c r="AQ880" i="1" s="1"/>
  <c r="AV880" i="1" s="1"/>
  <c r="IC879" i="1" l="1"/>
  <c r="IB879" i="1"/>
  <c r="IA879" i="1"/>
  <c r="HN879" i="1"/>
  <c r="HF879" i="1"/>
  <c r="HH879" i="1" s="1"/>
  <c r="HJ879" i="1" s="1"/>
  <c r="EL879" i="1"/>
  <c r="EU879" i="1" s="1"/>
  <c r="DM879" i="1"/>
  <c r="AZ879" i="1"/>
  <c r="BA879" i="1" s="1"/>
  <c r="AF879" i="1"/>
  <c r="HO879" i="1" l="1"/>
  <c r="HV879" i="1" s="1"/>
  <c r="AM879" i="1" s="1"/>
  <c r="IE879" i="1"/>
  <c r="IG879" i="1" s="1"/>
  <c r="AN879" i="1" s="1"/>
  <c r="GS879" i="1"/>
  <c r="AE879" i="1"/>
  <c r="GU879" i="1"/>
  <c r="AK879" i="1" s="1"/>
  <c r="GW879" i="1"/>
  <c r="AJ879" i="1" s="1"/>
  <c r="AG879" i="1"/>
  <c r="AH879" i="1"/>
  <c r="DO879" i="1"/>
  <c r="AI879" i="1" s="1"/>
  <c r="AL879" i="1" l="1"/>
  <c r="AQ879" i="1" s="1"/>
  <c r="AV879" i="1" s="1"/>
  <c r="GX879" i="1"/>
  <c r="DP879" i="1"/>
  <c r="IC875" i="1" l="1"/>
  <c r="IB875" i="1"/>
  <c r="IA875" i="1"/>
  <c r="HN875" i="1"/>
  <c r="HF875" i="1"/>
  <c r="HH875" i="1" s="1"/>
  <c r="HJ875" i="1" s="1"/>
  <c r="EL875" i="1"/>
  <c r="EU875" i="1" s="1"/>
  <c r="DM875" i="1"/>
  <c r="AZ875" i="1"/>
  <c r="BA875" i="1" s="1"/>
  <c r="AF875" i="1"/>
  <c r="HO875" i="1" l="1"/>
  <c r="HV875" i="1" s="1"/>
  <c r="AM875" i="1" s="1"/>
  <c r="IE875" i="1"/>
  <c r="IG875" i="1" s="1"/>
  <c r="AN875" i="1" s="1"/>
  <c r="GU875" i="1"/>
  <c r="AK875" i="1" s="1"/>
  <c r="GS875" i="1"/>
  <c r="AE875" i="1"/>
  <c r="GW875" i="1"/>
  <c r="AJ875" i="1" s="1"/>
  <c r="AG875" i="1"/>
  <c r="AH875" i="1"/>
  <c r="DO875" i="1"/>
  <c r="AI875" i="1" s="1"/>
  <c r="DP875" i="1" l="1"/>
  <c r="AL875" i="1"/>
  <c r="AQ875" i="1" s="1"/>
  <c r="AV875" i="1" s="1"/>
  <c r="GX875" i="1"/>
  <c r="IC874" i="1" l="1"/>
  <c r="IB874" i="1"/>
  <c r="IA874" i="1"/>
  <c r="HN874" i="1"/>
  <c r="HF874" i="1"/>
  <c r="HH874" i="1" s="1"/>
  <c r="HJ874" i="1" s="1"/>
  <c r="EL874" i="1"/>
  <c r="EU874" i="1" s="1"/>
  <c r="DM874" i="1"/>
  <c r="AH874" i="1" s="1"/>
  <c r="AZ874" i="1"/>
  <c r="BA874" i="1" s="1"/>
  <c r="AF874" i="1"/>
  <c r="IC873" i="1"/>
  <c r="IB873" i="1"/>
  <c r="IA873" i="1"/>
  <c r="HN873" i="1"/>
  <c r="HF873" i="1"/>
  <c r="HH873" i="1" s="1"/>
  <c r="HJ873" i="1" s="1"/>
  <c r="EL873" i="1"/>
  <c r="EU873" i="1" s="1"/>
  <c r="DM873" i="1"/>
  <c r="AH873" i="1" s="1"/>
  <c r="AZ873" i="1"/>
  <c r="BA873" i="1" s="1"/>
  <c r="AU873" i="1"/>
  <c r="AF873" i="1"/>
  <c r="IC871" i="1"/>
  <c r="IB871" i="1"/>
  <c r="IA871" i="1"/>
  <c r="HT871" i="1"/>
  <c r="HN871" i="1"/>
  <c r="HF871" i="1"/>
  <c r="HH871" i="1" s="1"/>
  <c r="HJ871" i="1" s="1"/>
  <c r="EL871" i="1"/>
  <c r="EU871" i="1" s="1"/>
  <c r="DM871" i="1"/>
  <c r="AZ871" i="1"/>
  <c r="BA871" i="1" s="1"/>
  <c r="AF871" i="1"/>
  <c r="HO873" i="1" l="1"/>
  <c r="HV873" i="1" s="1"/>
  <c r="AM873" i="1" s="1"/>
  <c r="IE874" i="1"/>
  <c r="IG874" i="1" s="1"/>
  <c r="AN874" i="1" s="1"/>
  <c r="HO874" i="1"/>
  <c r="HV874" i="1" s="1"/>
  <c r="AM874" i="1" s="1"/>
  <c r="HO871" i="1"/>
  <c r="HV871" i="1" s="1"/>
  <c r="AM871" i="1" s="1"/>
  <c r="IE873" i="1"/>
  <c r="IG873" i="1" s="1"/>
  <c r="AN873" i="1" s="1"/>
  <c r="IE871" i="1"/>
  <c r="IG871" i="1" s="1"/>
  <c r="AN871" i="1" s="1"/>
  <c r="GS874" i="1"/>
  <c r="AE874" i="1"/>
  <c r="IJ874" i="1"/>
  <c r="AR874" i="1" s="1"/>
  <c r="GU874" i="1"/>
  <c r="AK874" i="1" s="1"/>
  <c r="AG874" i="1"/>
  <c r="GW874" i="1"/>
  <c r="AJ874" i="1" s="1"/>
  <c r="DO874" i="1"/>
  <c r="AI874" i="1" s="1"/>
  <c r="IJ873" i="1"/>
  <c r="AR873" i="1" s="1"/>
  <c r="AE873" i="1"/>
  <c r="GU873" i="1"/>
  <c r="AK873" i="1" s="1"/>
  <c r="GS873" i="1"/>
  <c r="GW873" i="1"/>
  <c r="AJ873" i="1" s="1"/>
  <c r="AG873" i="1"/>
  <c r="DO873" i="1"/>
  <c r="AI873" i="1" s="1"/>
  <c r="GU871" i="1"/>
  <c r="AK871" i="1" s="1"/>
  <c r="GS871" i="1"/>
  <c r="AE871" i="1"/>
  <c r="GW871" i="1"/>
  <c r="AJ871" i="1" s="1"/>
  <c r="AG871" i="1"/>
  <c r="AH871" i="1"/>
  <c r="DO871" i="1"/>
  <c r="AI871" i="1" s="1"/>
  <c r="DP874" i="1" l="1"/>
  <c r="AL874" i="1"/>
  <c r="AQ874" i="1" s="1"/>
  <c r="AV874" i="1" s="1"/>
  <c r="GX874" i="1"/>
  <c r="DP873" i="1"/>
  <c r="GX873" i="1"/>
  <c r="AL873" i="1"/>
  <c r="AQ873" i="1" s="1"/>
  <c r="AV873" i="1" s="1"/>
  <c r="DP871" i="1"/>
  <c r="GX871" i="1"/>
  <c r="AL871" i="1"/>
  <c r="AQ871" i="1" s="1"/>
  <c r="AV871" i="1" s="1"/>
  <c r="IC869" i="1" l="1"/>
  <c r="IB869" i="1"/>
  <c r="IA869" i="1"/>
  <c r="HN869" i="1"/>
  <c r="HF869" i="1"/>
  <c r="HH869" i="1" s="1"/>
  <c r="HJ869" i="1" s="1"/>
  <c r="EL869" i="1"/>
  <c r="EU869" i="1" s="1"/>
  <c r="DM869" i="1"/>
  <c r="AZ869" i="1"/>
  <c r="BA869" i="1" s="1"/>
  <c r="AF869" i="1"/>
  <c r="HO869" i="1" l="1"/>
  <c r="HV869" i="1" s="1"/>
  <c r="AM869" i="1" s="1"/>
  <c r="IE869" i="1"/>
  <c r="IG869" i="1" s="1"/>
  <c r="AN869" i="1" s="1"/>
  <c r="GU869" i="1"/>
  <c r="AK869" i="1" s="1"/>
  <c r="GS869" i="1"/>
  <c r="AE869" i="1"/>
  <c r="GW869" i="1"/>
  <c r="AJ869" i="1" s="1"/>
  <c r="AG869" i="1"/>
  <c r="AH869" i="1"/>
  <c r="DO869" i="1"/>
  <c r="AI869" i="1" s="1"/>
  <c r="DP869" i="1" l="1"/>
  <c r="AL869" i="1"/>
  <c r="AQ869" i="1" s="1"/>
  <c r="AV869" i="1" s="1"/>
  <c r="GX869" i="1"/>
  <c r="IC868" i="1" l="1"/>
  <c r="IB868" i="1"/>
  <c r="IA868" i="1"/>
  <c r="HN868" i="1"/>
  <c r="HF868" i="1"/>
  <c r="HH868" i="1" s="1"/>
  <c r="HJ868" i="1" s="1"/>
  <c r="EL868" i="1"/>
  <c r="EU868" i="1" s="1"/>
  <c r="DM868" i="1"/>
  <c r="AH868" i="1" s="1"/>
  <c r="AZ868" i="1"/>
  <c r="BA868" i="1" s="1"/>
  <c r="AF868" i="1"/>
  <c r="IC866" i="1"/>
  <c r="IB866" i="1"/>
  <c r="IA866" i="1"/>
  <c r="HN866" i="1"/>
  <c r="HF866" i="1"/>
  <c r="HH866" i="1" s="1"/>
  <c r="HJ866" i="1" s="1"/>
  <c r="EL866" i="1"/>
  <c r="EU866" i="1" s="1"/>
  <c r="DM866" i="1"/>
  <c r="AZ866" i="1"/>
  <c r="BA866" i="1" s="1"/>
  <c r="AF866" i="1"/>
  <c r="HO868" i="1" l="1"/>
  <c r="HV868" i="1" s="1"/>
  <c r="AM868" i="1" s="1"/>
  <c r="HO866" i="1"/>
  <c r="HV866" i="1" s="1"/>
  <c r="AM866" i="1" s="1"/>
  <c r="IE868" i="1"/>
  <c r="IG868" i="1" s="1"/>
  <c r="AN868" i="1" s="1"/>
  <c r="IE866" i="1"/>
  <c r="IG866" i="1" s="1"/>
  <c r="AN866" i="1" s="1"/>
  <c r="IJ868" i="1"/>
  <c r="AR868" i="1" s="1"/>
  <c r="GU868" i="1"/>
  <c r="AK868" i="1" s="1"/>
  <c r="GS868" i="1"/>
  <c r="AE868" i="1"/>
  <c r="GW868" i="1"/>
  <c r="AJ868" i="1" s="1"/>
  <c r="AG868" i="1"/>
  <c r="DO868" i="1"/>
  <c r="AI868" i="1" s="1"/>
  <c r="GU866" i="1"/>
  <c r="AK866" i="1" s="1"/>
  <c r="GS866" i="1"/>
  <c r="AE866" i="1"/>
  <c r="GW866" i="1"/>
  <c r="AJ866" i="1" s="1"/>
  <c r="AG866" i="1"/>
  <c r="AH866" i="1"/>
  <c r="DO866" i="1"/>
  <c r="AI866" i="1" s="1"/>
  <c r="DP868" i="1" l="1"/>
  <c r="GX868" i="1"/>
  <c r="AL868" i="1"/>
  <c r="AQ868" i="1" s="1"/>
  <c r="AV868" i="1" s="1"/>
  <c r="AL866" i="1"/>
  <c r="AQ866" i="1" s="1"/>
  <c r="AV866" i="1" s="1"/>
  <c r="GX866" i="1"/>
  <c r="DP866" i="1"/>
  <c r="IC864" i="1" l="1"/>
  <c r="IB864" i="1"/>
  <c r="IA864" i="1"/>
  <c r="HT864" i="1"/>
  <c r="HN864" i="1"/>
  <c r="HF864" i="1"/>
  <c r="HH864" i="1" s="1"/>
  <c r="HJ864" i="1" s="1"/>
  <c r="HO864" i="1" s="1"/>
  <c r="EL864" i="1"/>
  <c r="EU864" i="1" s="1"/>
  <c r="CH864" i="1"/>
  <c r="DM864" i="1" s="1"/>
  <c r="AZ864" i="1"/>
  <c r="BA864" i="1" s="1"/>
  <c r="AU864" i="1"/>
  <c r="AF864" i="1"/>
  <c r="HV864" i="1" l="1"/>
  <c r="AM864" i="1" s="1"/>
  <c r="IE864" i="1"/>
  <c r="IG864" i="1" s="1"/>
  <c r="AN864" i="1" s="1"/>
  <c r="AE864" i="1"/>
  <c r="GU864" i="1"/>
  <c r="AK864" i="1" s="1"/>
  <c r="GS864" i="1"/>
  <c r="DO864" i="1"/>
  <c r="AI864" i="1" s="1"/>
  <c r="AH864" i="1"/>
  <c r="GW864" i="1"/>
  <c r="AJ864" i="1" s="1"/>
  <c r="AG864" i="1"/>
  <c r="DP864" i="1" l="1"/>
  <c r="GX864" i="1"/>
  <c r="AL864" i="1"/>
  <c r="AQ864" i="1" s="1"/>
  <c r="AV864" i="1" s="1"/>
  <c r="IC862" i="1" l="1"/>
  <c r="IB862" i="1"/>
  <c r="IA862" i="1"/>
  <c r="HN862" i="1"/>
  <c r="HF862" i="1"/>
  <c r="HH862" i="1" s="1"/>
  <c r="HJ862" i="1" s="1"/>
  <c r="EL862" i="1"/>
  <c r="EU862" i="1" s="1"/>
  <c r="DO862" i="1"/>
  <c r="AI862" i="1" s="1"/>
  <c r="AZ862" i="1"/>
  <c r="BA862" i="1" s="1"/>
  <c r="AH862" i="1"/>
  <c r="AF862" i="1"/>
  <c r="HO862" i="1" l="1"/>
  <c r="HV862" i="1" s="1"/>
  <c r="AM862" i="1" s="1"/>
  <c r="IE862" i="1"/>
  <c r="IG862" i="1" s="1"/>
  <c r="AN862" i="1" s="1"/>
  <c r="GU862" i="1"/>
  <c r="AK862" i="1" s="1"/>
  <c r="AE862" i="1"/>
  <c r="GS862" i="1"/>
  <c r="GW862" i="1"/>
  <c r="AJ862" i="1" s="1"/>
  <c r="AG862" i="1"/>
  <c r="DP862" i="1"/>
  <c r="GX862" i="1" l="1"/>
  <c r="AL862" i="1"/>
  <c r="AQ862" i="1" s="1"/>
  <c r="AV862" i="1" s="1"/>
  <c r="IC861" i="1" l="1"/>
  <c r="IB861" i="1"/>
  <c r="IA861" i="1"/>
  <c r="HN861" i="1"/>
  <c r="HF861" i="1"/>
  <c r="HH861" i="1" s="1"/>
  <c r="HJ861" i="1" s="1"/>
  <c r="EL861" i="1"/>
  <c r="EU861" i="1" s="1"/>
  <c r="DO861" i="1"/>
  <c r="AI861" i="1" s="1"/>
  <c r="AZ861" i="1"/>
  <c r="BA861" i="1" s="1"/>
  <c r="AH861" i="1"/>
  <c r="AF861" i="1"/>
  <c r="HO861" i="1" l="1"/>
  <c r="HV861" i="1" s="1"/>
  <c r="AM861" i="1" s="1"/>
  <c r="IE861" i="1"/>
  <c r="IG861" i="1" s="1"/>
  <c r="AN861" i="1" s="1"/>
  <c r="GS861" i="1"/>
  <c r="GU861" i="1"/>
  <c r="AK861" i="1" s="1"/>
  <c r="AE861" i="1"/>
  <c r="GW861" i="1"/>
  <c r="AJ861" i="1" s="1"/>
  <c r="AG861" i="1"/>
  <c r="DP861" i="1"/>
  <c r="GX861" i="1" l="1"/>
  <c r="AL861" i="1"/>
  <c r="AQ861" i="1" s="1"/>
  <c r="AV861" i="1" s="1"/>
  <c r="IC859" i="1" l="1"/>
  <c r="IB859" i="1"/>
  <c r="IA859" i="1"/>
  <c r="HN859" i="1"/>
  <c r="HF859" i="1"/>
  <c r="HH859" i="1" s="1"/>
  <c r="HJ859" i="1" s="1"/>
  <c r="EL859" i="1"/>
  <c r="EU859" i="1" s="1"/>
  <c r="GW859" i="1" s="1"/>
  <c r="AJ859" i="1" s="1"/>
  <c r="DM859" i="1"/>
  <c r="DO859" i="1" s="1"/>
  <c r="DP859" i="1" s="1"/>
  <c r="AZ859" i="1"/>
  <c r="BA859" i="1" s="1"/>
  <c r="AF859" i="1"/>
  <c r="AH859" i="1" l="1"/>
  <c r="HO859" i="1"/>
  <c r="HV859" i="1" s="1"/>
  <c r="AM859" i="1" s="1"/>
  <c r="IE859" i="1"/>
  <c r="IG859" i="1" s="1"/>
  <c r="AN859" i="1" s="1"/>
  <c r="GS859" i="1"/>
  <c r="AE859" i="1"/>
  <c r="GU859" i="1"/>
  <c r="AK859" i="1" s="1"/>
  <c r="AG859" i="1"/>
  <c r="AI859" i="1"/>
  <c r="AL859" i="1" l="1"/>
  <c r="AQ859" i="1" s="1"/>
  <c r="AV859" i="1" s="1"/>
  <c r="GX859" i="1"/>
  <c r="IC854" i="1" l="1"/>
  <c r="IB854" i="1"/>
  <c r="IA854" i="1"/>
  <c r="HN854" i="1"/>
  <c r="HF854" i="1"/>
  <c r="HH854" i="1" s="1"/>
  <c r="HJ854" i="1" s="1"/>
  <c r="EL854" i="1"/>
  <c r="EU854" i="1" s="1"/>
  <c r="DM854" i="1"/>
  <c r="AH854" i="1" s="1"/>
  <c r="AX854" i="1"/>
  <c r="AZ854" i="1" s="1"/>
  <c r="BA854" i="1" s="1"/>
  <c r="AF854" i="1"/>
  <c r="HO854" i="1" l="1"/>
  <c r="HV854" i="1" s="1"/>
  <c r="AM854" i="1" s="1"/>
  <c r="IE854" i="1"/>
  <c r="IG854" i="1" s="1"/>
  <c r="AN854" i="1" s="1"/>
  <c r="GW854" i="1"/>
  <c r="AJ854" i="1" s="1"/>
  <c r="AG854" i="1"/>
  <c r="GU854" i="1"/>
  <c r="AK854" i="1" s="1"/>
  <c r="GS854" i="1"/>
  <c r="IJ854" i="1"/>
  <c r="AR854" i="1" s="1"/>
  <c r="AE854" i="1"/>
  <c r="DO854" i="1"/>
  <c r="AI854" i="1" s="1"/>
  <c r="DP854" i="1" l="1"/>
  <c r="AL854" i="1"/>
  <c r="AQ854" i="1" s="1"/>
  <c r="AV854" i="1" s="1"/>
  <c r="GX854" i="1"/>
  <c r="IC848" i="1" l="1"/>
  <c r="IB848" i="1"/>
  <c r="IA848" i="1"/>
  <c r="HN848" i="1"/>
  <c r="HF848" i="1"/>
  <c r="HH848" i="1" s="1"/>
  <c r="HJ848" i="1" s="1"/>
  <c r="EL848" i="1"/>
  <c r="EU848" i="1" s="1"/>
  <c r="DM848" i="1"/>
  <c r="AZ848" i="1"/>
  <c r="BA848" i="1" s="1"/>
  <c r="AF848" i="1"/>
  <c r="IC850" i="1"/>
  <c r="IB850" i="1"/>
  <c r="IA850" i="1"/>
  <c r="HN850" i="1"/>
  <c r="HF850" i="1"/>
  <c r="HH850" i="1" s="1"/>
  <c r="HJ850" i="1" s="1"/>
  <c r="EL850" i="1"/>
  <c r="EU850" i="1" s="1"/>
  <c r="DM850" i="1"/>
  <c r="AZ850" i="1"/>
  <c r="BA850" i="1" s="1"/>
  <c r="AF850" i="1"/>
  <c r="IC844" i="1"/>
  <c r="IB844" i="1"/>
  <c r="IA844" i="1"/>
  <c r="HN844" i="1"/>
  <c r="HF844" i="1"/>
  <c r="HH844" i="1" s="1"/>
  <c r="HJ844" i="1" s="1"/>
  <c r="EL844" i="1"/>
  <c r="EU844" i="1" s="1"/>
  <c r="DM844" i="1"/>
  <c r="DO844" i="1" s="1"/>
  <c r="AZ844" i="1"/>
  <c r="BA844" i="1" s="1"/>
  <c r="AE844" i="1" s="1"/>
  <c r="AU844" i="1"/>
  <c r="AF844" i="1"/>
  <c r="HO844" i="1" l="1"/>
  <c r="HV844" i="1" s="1"/>
  <c r="AM844" i="1" s="1"/>
  <c r="HO848" i="1"/>
  <c r="HV848" i="1" s="1"/>
  <c r="AM848" i="1" s="1"/>
  <c r="IE850" i="1"/>
  <c r="IG850" i="1" s="1"/>
  <c r="AN850" i="1" s="1"/>
  <c r="IE848" i="1"/>
  <c r="IG848" i="1" s="1"/>
  <c r="AN848" i="1" s="1"/>
  <c r="HO850" i="1"/>
  <c r="HV850" i="1" s="1"/>
  <c r="AM850" i="1" s="1"/>
  <c r="AH844" i="1"/>
  <c r="DP844" i="1"/>
  <c r="AI844" i="1"/>
  <c r="IE844" i="1"/>
  <c r="IG844" i="1" s="1"/>
  <c r="AN844" i="1" s="1"/>
  <c r="GU844" i="1"/>
  <c r="AK844" i="1" s="1"/>
  <c r="GU848" i="1"/>
  <c r="AK848" i="1" s="1"/>
  <c r="GS848" i="1"/>
  <c r="AE848" i="1"/>
  <c r="GW848" i="1"/>
  <c r="AJ848" i="1" s="1"/>
  <c r="AG848" i="1"/>
  <c r="AH848" i="1"/>
  <c r="DO848" i="1"/>
  <c r="AI848" i="1" s="1"/>
  <c r="GU850" i="1"/>
  <c r="AK850" i="1" s="1"/>
  <c r="GS850" i="1"/>
  <c r="AE850" i="1"/>
  <c r="GW850" i="1"/>
  <c r="AJ850" i="1" s="1"/>
  <c r="AG850" i="1"/>
  <c r="DO850" i="1"/>
  <c r="AI850" i="1" s="1"/>
  <c r="AH850" i="1"/>
  <c r="GS844" i="1"/>
  <c r="GW844" i="1"/>
  <c r="AJ844" i="1" s="1"/>
  <c r="AG844" i="1"/>
  <c r="DP848" i="1" l="1"/>
  <c r="AL848" i="1"/>
  <c r="AQ848" i="1" s="1"/>
  <c r="AV848" i="1" s="1"/>
  <c r="GX848" i="1"/>
  <c r="GX850" i="1"/>
  <c r="AL850" i="1"/>
  <c r="AQ850" i="1" s="1"/>
  <c r="AV850" i="1" s="1"/>
  <c r="DP850" i="1"/>
  <c r="AL844" i="1"/>
  <c r="AQ844" i="1" s="1"/>
  <c r="AV844" i="1" s="1"/>
  <c r="GX844" i="1"/>
  <c r="IC843" i="1" l="1"/>
  <c r="IB843" i="1"/>
  <c r="IA843" i="1"/>
  <c r="HN843" i="1"/>
  <c r="HF843" i="1"/>
  <c r="HH843" i="1" s="1"/>
  <c r="HJ843" i="1" s="1"/>
  <c r="EL843" i="1"/>
  <c r="EU843" i="1" s="1"/>
  <c r="DM843" i="1"/>
  <c r="AZ843" i="1"/>
  <c r="BA843" i="1" s="1"/>
  <c r="AF843" i="1"/>
  <c r="HO842" i="1"/>
  <c r="HV842" i="1" s="1"/>
  <c r="AM842" i="1" s="1"/>
  <c r="EL842" i="1"/>
  <c r="EU842" i="1" s="1"/>
  <c r="DM842" i="1"/>
  <c r="AZ842" i="1"/>
  <c r="BA842" i="1" s="1"/>
  <c r="AN842" i="1"/>
  <c r="AF842" i="1"/>
  <c r="IC841" i="1"/>
  <c r="IB841" i="1"/>
  <c r="IA841" i="1"/>
  <c r="HN841" i="1"/>
  <c r="HF841" i="1"/>
  <c r="HH841" i="1" s="1"/>
  <c r="HJ841" i="1" s="1"/>
  <c r="HO841" i="1" s="1"/>
  <c r="HV841" i="1" s="1"/>
  <c r="AM841" i="1" s="1"/>
  <c r="EL841" i="1"/>
  <c r="EU841" i="1" s="1"/>
  <c r="DM841" i="1"/>
  <c r="AZ841" i="1"/>
  <c r="BA841" i="1" s="1"/>
  <c r="AF841" i="1"/>
  <c r="IC838" i="1"/>
  <c r="IB838" i="1"/>
  <c r="IA838" i="1"/>
  <c r="HT838" i="1"/>
  <c r="HN838" i="1"/>
  <c r="HF838" i="1"/>
  <c r="HH838" i="1" s="1"/>
  <c r="HJ838" i="1" s="1"/>
  <c r="EL838" i="1"/>
  <c r="EU838" i="1" s="1"/>
  <c r="CH838" i="1"/>
  <c r="DM838" i="1" s="1"/>
  <c r="AZ838" i="1"/>
  <c r="BA838" i="1" s="1"/>
  <c r="AU838" i="1"/>
  <c r="AP838" i="1"/>
  <c r="AF838" i="1"/>
  <c r="HO838" i="1" l="1"/>
  <c r="HV838" i="1" s="1"/>
  <c r="AM838" i="1" s="1"/>
  <c r="HO843" i="1"/>
  <c r="HV843" i="1" s="1"/>
  <c r="AM843" i="1" s="1"/>
  <c r="IE841" i="1"/>
  <c r="IG841" i="1" s="1"/>
  <c r="AN841" i="1" s="1"/>
  <c r="IE843" i="1"/>
  <c r="IG843" i="1" s="1"/>
  <c r="AN843" i="1" s="1"/>
  <c r="IE838" i="1"/>
  <c r="IG838" i="1" s="1"/>
  <c r="AN838" i="1" s="1"/>
  <c r="GS841" i="1"/>
  <c r="AE841" i="1"/>
  <c r="GU841" i="1"/>
  <c r="AK841" i="1" s="1"/>
  <c r="GW842" i="1"/>
  <c r="AJ842" i="1" s="1"/>
  <c r="AG842" i="1"/>
  <c r="AG841" i="1"/>
  <c r="GW841" i="1"/>
  <c r="AJ841" i="1" s="1"/>
  <c r="GU843" i="1"/>
  <c r="AK843" i="1" s="1"/>
  <c r="GS843" i="1"/>
  <c r="AE843" i="1"/>
  <c r="GW843" i="1"/>
  <c r="AJ843" i="1" s="1"/>
  <c r="AG843" i="1"/>
  <c r="GU842" i="1"/>
  <c r="AK842" i="1" s="1"/>
  <c r="GS842" i="1"/>
  <c r="AE842" i="1"/>
  <c r="AH842" i="1"/>
  <c r="DO842" i="1"/>
  <c r="AI842" i="1" s="1"/>
  <c r="AH843" i="1"/>
  <c r="DO843" i="1"/>
  <c r="AI843" i="1" s="1"/>
  <c r="AH841" i="1"/>
  <c r="DO841" i="1"/>
  <c r="AI841" i="1" s="1"/>
  <c r="AE838" i="1"/>
  <c r="GU838" i="1"/>
  <c r="AK838" i="1" s="1"/>
  <c r="GS838" i="1"/>
  <c r="DO838" i="1"/>
  <c r="AI838" i="1" s="1"/>
  <c r="AH838" i="1"/>
  <c r="GW838" i="1"/>
  <c r="AJ838" i="1" s="1"/>
  <c r="AG838" i="1"/>
  <c r="DP838" i="1" l="1"/>
  <c r="AL843" i="1"/>
  <c r="AQ843" i="1" s="1"/>
  <c r="AV843" i="1" s="1"/>
  <c r="GX843" i="1"/>
  <c r="GX842" i="1"/>
  <c r="AL842" i="1"/>
  <c r="AQ842" i="1" s="1"/>
  <c r="AV842" i="1" s="1"/>
  <c r="DP841" i="1"/>
  <c r="DP842" i="1"/>
  <c r="DP843" i="1"/>
  <c r="AL841" i="1"/>
  <c r="AQ841" i="1" s="1"/>
  <c r="AV841" i="1" s="1"/>
  <c r="GX841" i="1"/>
  <c r="GX838" i="1"/>
  <c r="AL838" i="1"/>
  <c r="AQ838" i="1" s="1"/>
  <c r="AV838" i="1" s="1"/>
  <c r="IC836" i="1" l="1"/>
  <c r="IB836" i="1"/>
  <c r="IA836" i="1"/>
  <c r="HR836" i="1"/>
  <c r="HT836" i="1" s="1"/>
  <c r="HN836" i="1"/>
  <c r="HF836" i="1"/>
  <c r="HH836" i="1" s="1"/>
  <c r="HJ836" i="1" s="1"/>
  <c r="EL836" i="1"/>
  <c r="EU836" i="1" s="1"/>
  <c r="DM836" i="1"/>
  <c r="AH836" i="1" s="1"/>
  <c r="AZ836" i="1"/>
  <c r="BA836" i="1" s="1"/>
  <c r="AU836" i="1"/>
  <c r="AP836" i="1"/>
  <c r="AF836" i="1"/>
  <c r="HO836" i="1" l="1"/>
  <c r="HV836" i="1" s="1"/>
  <c r="AM836" i="1" s="1"/>
  <c r="IE836" i="1"/>
  <c r="IG836" i="1" s="1"/>
  <c r="AN836" i="1" s="1"/>
  <c r="AE836" i="1"/>
  <c r="GU836" i="1"/>
  <c r="AK836" i="1" s="1"/>
  <c r="GS836" i="1"/>
  <c r="GW836" i="1"/>
  <c r="AJ836" i="1" s="1"/>
  <c r="AG836" i="1"/>
  <c r="DO836" i="1"/>
  <c r="AI836" i="1" s="1"/>
  <c r="DP836" i="1" l="1"/>
  <c r="GX836" i="1"/>
  <c r="AL836" i="1"/>
  <c r="AQ836" i="1" s="1"/>
  <c r="AV836" i="1" s="1"/>
  <c r="IC835" i="1" l="1"/>
  <c r="IB835" i="1"/>
  <c r="IA835" i="1"/>
  <c r="HR835" i="1"/>
  <c r="HT835" i="1" s="1"/>
  <c r="HN835" i="1"/>
  <c r="HF835" i="1"/>
  <c r="HH835" i="1" s="1"/>
  <c r="HJ835" i="1" s="1"/>
  <c r="HO835" i="1" s="1"/>
  <c r="EL835" i="1"/>
  <c r="EU835" i="1" s="1"/>
  <c r="DM835" i="1"/>
  <c r="AH835" i="1" s="1"/>
  <c r="AZ835" i="1"/>
  <c r="BA835" i="1" s="1"/>
  <c r="AU835" i="1"/>
  <c r="AP835" i="1"/>
  <c r="AF835" i="1"/>
  <c r="HV835" i="1" l="1"/>
  <c r="AM835" i="1" s="1"/>
  <c r="IE835" i="1"/>
  <c r="IG835" i="1" s="1"/>
  <c r="AN835" i="1" s="1"/>
  <c r="GW835" i="1"/>
  <c r="AJ835" i="1" s="1"/>
  <c r="AG835" i="1"/>
  <c r="GU835" i="1"/>
  <c r="AK835" i="1" s="1"/>
  <c r="GS835" i="1"/>
  <c r="AE835" i="1"/>
  <c r="DO835" i="1"/>
  <c r="AI835" i="1" s="1"/>
  <c r="DP835" i="1" l="1"/>
  <c r="AL835" i="1"/>
  <c r="AQ835" i="1" s="1"/>
  <c r="AV835" i="1" s="1"/>
  <c r="GX835" i="1"/>
  <c r="IC834" i="1" l="1"/>
  <c r="IB834" i="1"/>
  <c r="IA834" i="1"/>
  <c r="HT834" i="1"/>
  <c r="HN834" i="1"/>
  <c r="HF834" i="1"/>
  <c r="HH834" i="1" s="1"/>
  <c r="HJ834" i="1" s="1"/>
  <c r="HO834" i="1" s="1"/>
  <c r="EL834" i="1"/>
  <c r="EU834" i="1" s="1"/>
  <c r="CH834" i="1"/>
  <c r="DM834" i="1" s="1"/>
  <c r="AZ834" i="1"/>
  <c r="BA834" i="1" s="1"/>
  <c r="AP834" i="1"/>
  <c r="AF834" i="1"/>
  <c r="HV834" i="1" l="1"/>
  <c r="AM834" i="1" s="1"/>
  <c r="IE834" i="1"/>
  <c r="IG834" i="1" s="1"/>
  <c r="AN834" i="1" s="1"/>
  <c r="AE834" i="1"/>
  <c r="GU834" i="1"/>
  <c r="AK834" i="1" s="1"/>
  <c r="GS834" i="1"/>
  <c r="GW834" i="1"/>
  <c r="AJ834" i="1" s="1"/>
  <c r="AG834" i="1"/>
  <c r="DO834" i="1"/>
  <c r="AI834" i="1" s="1"/>
  <c r="AH834" i="1"/>
  <c r="DP834" i="1" l="1"/>
  <c r="GX834" i="1"/>
  <c r="AL834" i="1"/>
  <c r="AQ834" i="1" s="1"/>
  <c r="AV834" i="1" s="1"/>
  <c r="IC833" i="1" l="1"/>
  <c r="IB833" i="1"/>
  <c r="IA833" i="1"/>
  <c r="HT833" i="1"/>
  <c r="HN833" i="1"/>
  <c r="HF833" i="1"/>
  <c r="HH833" i="1" s="1"/>
  <c r="HJ833" i="1" s="1"/>
  <c r="HO833" i="1" s="1"/>
  <c r="EL833" i="1"/>
  <c r="EU833" i="1" s="1"/>
  <c r="CH833" i="1"/>
  <c r="DM833" i="1" s="1"/>
  <c r="AZ833" i="1"/>
  <c r="BA833" i="1" s="1"/>
  <c r="AU833" i="1"/>
  <c r="AP833" i="1"/>
  <c r="AF833" i="1"/>
  <c r="HV833" i="1" l="1"/>
  <c r="AM833" i="1" s="1"/>
  <c r="IE833" i="1"/>
  <c r="IG833" i="1" s="1"/>
  <c r="AN833" i="1" s="1"/>
  <c r="AE833" i="1"/>
  <c r="GU833" i="1"/>
  <c r="AK833" i="1" s="1"/>
  <c r="GS833" i="1"/>
  <c r="AH833" i="1"/>
  <c r="DO833" i="1"/>
  <c r="AI833" i="1" s="1"/>
  <c r="GW833" i="1"/>
  <c r="AJ833" i="1" s="1"/>
  <c r="AG833" i="1"/>
  <c r="DP833" i="1" l="1"/>
  <c r="GX833" i="1"/>
  <c r="AL833" i="1"/>
  <c r="AQ833" i="1" s="1"/>
  <c r="AV833" i="1" s="1"/>
  <c r="IC832" i="1" l="1"/>
  <c r="IB832" i="1"/>
  <c r="IA832" i="1"/>
  <c r="HT832" i="1"/>
  <c r="HN832" i="1"/>
  <c r="HF832" i="1"/>
  <c r="HH832" i="1" s="1"/>
  <c r="HJ832" i="1" s="1"/>
  <c r="EL832" i="1"/>
  <c r="EU832" i="1" s="1"/>
  <c r="CH832" i="1"/>
  <c r="DM832" i="1" s="1"/>
  <c r="AZ832" i="1"/>
  <c r="BA832" i="1" s="1"/>
  <c r="AP832" i="1"/>
  <c r="AF832" i="1"/>
  <c r="HO832" i="1" l="1"/>
  <c r="HV832" i="1" s="1"/>
  <c r="AM832" i="1" s="1"/>
  <c r="IE832" i="1"/>
  <c r="IG832" i="1" s="1"/>
  <c r="AN832" i="1" s="1"/>
  <c r="AE832" i="1"/>
  <c r="GU832" i="1"/>
  <c r="AK832" i="1" s="1"/>
  <c r="GS832" i="1"/>
  <c r="DO832" i="1"/>
  <c r="AI832" i="1" s="1"/>
  <c r="AH832" i="1"/>
  <c r="GW832" i="1"/>
  <c r="AJ832" i="1" s="1"/>
  <c r="AG832" i="1"/>
  <c r="DP832" i="1" l="1"/>
  <c r="GX832" i="1"/>
  <c r="AL832" i="1"/>
  <c r="AQ832" i="1" s="1"/>
  <c r="AV832" i="1" s="1"/>
  <c r="IC831" i="1" l="1"/>
  <c r="IB831" i="1"/>
  <c r="IA831" i="1"/>
  <c r="HT831" i="1"/>
  <c r="HN831" i="1"/>
  <c r="HF831" i="1"/>
  <c r="HH831" i="1" s="1"/>
  <c r="HJ831" i="1" s="1"/>
  <c r="EL831" i="1"/>
  <c r="EU831" i="1" s="1"/>
  <c r="DM831" i="1"/>
  <c r="AH831" i="1" s="1"/>
  <c r="AZ831" i="1"/>
  <c r="BA831" i="1" s="1"/>
  <c r="AU831" i="1"/>
  <c r="AP831" i="1"/>
  <c r="AF831" i="1"/>
  <c r="HO831" i="1" l="1"/>
  <c r="HV831" i="1" s="1"/>
  <c r="AM831" i="1" s="1"/>
  <c r="IE831" i="1"/>
  <c r="IG831" i="1" s="1"/>
  <c r="AN831" i="1" s="1"/>
  <c r="GU831" i="1"/>
  <c r="AK831" i="1" s="1"/>
  <c r="GS831" i="1"/>
  <c r="AE831" i="1"/>
  <c r="GW831" i="1"/>
  <c r="AJ831" i="1" s="1"/>
  <c r="AG831" i="1"/>
  <c r="DO831" i="1"/>
  <c r="AI831" i="1" s="1"/>
  <c r="DP831" i="1" l="1"/>
  <c r="AL831" i="1"/>
  <c r="AQ831" i="1" s="1"/>
  <c r="AV831" i="1" s="1"/>
  <c r="GX831" i="1"/>
  <c r="IC830" i="1" l="1"/>
  <c r="IB830" i="1"/>
  <c r="IA830" i="1"/>
  <c r="HS830" i="1"/>
  <c r="HT830" i="1" s="1"/>
  <c r="HN830" i="1"/>
  <c r="HF830" i="1"/>
  <c r="HH830" i="1" s="1"/>
  <c r="HJ830" i="1" s="1"/>
  <c r="HO830" i="1" s="1"/>
  <c r="EL830" i="1"/>
  <c r="EU830" i="1" s="1"/>
  <c r="CH830" i="1"/>
  <c r="DM830" i="1" s="1"/>
  <c r="AZ830" i="1"/>
  <c r="BA830" i="1" s="1"/>
  <c r="AP830" i="1"/>
  <c r="AF830" i="1"/>
  <c r="IC829" i="1"/>
  <c r="IB829" i="1"/>
  <c r="IA829" i="1"/>
  <c r="HS829" i="1"/>
  <c r="HT829" i="1" s="1"/>
  <c r="HN829" i="1"/>
  <c r="HF829" i="1"/>
  <c r="HH829" i="1" s="1"/>
  <c r="HJ829" i="1" s="1"/>
  <c r="EL829" i="1"/>
  <c r="EU829" i="1" s="1"/>
  <c r="CH829" i="1"/>
  <c r="DM829" i="1" s="1"/>
  <c r="AZ829" i="1"/>
  <c r="BA829" i="1" s="1"/>
  <c r="AP829" i="1"/>
  <c r="AF829" i="1"/>
  <c r="HV830" i="1" l="1"/>
  <c r="AM830" i="1" s="1"/>
  <c r="HO829" i="1"/>
  <c r="HV829" i="1" s="1"/>
  <c r="AM829" i="1" s="1"/>
  <c r="GU829" i="1"/>
  <c r="AK829" i="1" s="1"/>
  <c r="IE829" i="1"/>
  <c r="IG829" i="1" s="1"/>
  <c r="AN829" i="1" s="1"/>
  <c r="IE830" i="1"/>
  <c r="IG830" i="1" s="1"/>
  <c r="AN830" i="1" s="1"/>
  <c r="AE830" i="1"/>
  <c r="GS830" i="1"/>
  <c r="GU830" i="1"/>
  <c r="AK830" i="1" s="1"/>
  <c r="AH830" i="1"/>
  <c r="DO830" i="1"/>
  <c r="AI830" i="1" s="1"/>
  <c r="GW830" i="1"/>
  <c r="AJ830" i="1" s="1"/>
  <c r="AG830" i="1"/>
  <c r="AH829" i="1"/>
  <c r="DO829" i="1"/>
  <c r="AI829" i="1" s="1"/>
  <c r="GW829" i="1"/>
  <c r="AJ829" i="1" s="1"/>
  <c r="AG829" i="1"/>
  <c r="AE829" i="1"/>
  <c r="GS829" i="1"/>
  <c r="DP829" i="1" l="1"/>
  <c r="AL830" i="1"/>
  <c r="AQ830" i="1" s="1"/>
  <c r="AV830" i="1" s="1"/>
  <c r="GX830" i="1"/>
  <c r="DP830" i="1"/>
  <c r="AL829" i="1"/>
  <c r="AQ829" i="1" s="1"/>
  <c r="AV829" i="1" s="1"/>
  <c r="GX829" i="1"/>
  <c r="IC828" i="1"/>
  <c r="IB828" i="1"/>
  <c r="IA828" i="1"/>
  <c r="HN828" i="1"/>
  <c r="HF828" i="1"/>
  <c r="HH828" i="1" s="1"/>
  <c r="HJ828" i="1" s="1"/>
  <c r="EL828" i="1"/>
  <c r="EU828" i="1" s="1"/>
  <c r="CH828" i="1"/>
  <c r="DM828" i="1" s="1"/>
  <c r="AZ828" i="1"/>
  <c r="BA828" i="1" s="1"/>
  <c r="AU828" i="1"/>
  <c r="AP828" i="1"/>
  <c r="AF828" i="1"/>
  <c r="IE828" i="1" l="1"/>
  <c r="IG828" i="1" s="1"/>
  <c r="AN828" i="1" s="1"/>
  <c r="HO828" i="1"/>
  <c r="HV828" i="1" s="1"/>
  <c r="AM828" i="1" s="1"/>
  <c r="GU828" i="1"/>
  <c r="AK828" i="1" s="1"/>
  <c r="GS828" i="1"/>
  <c r="AE828" i="1"/>
  <c r="DO828" i="1"/>
  <c r="AI828" i="1" s="1"/>
  <c r="AH828" i="1"/>
  <c r="GW828" i="1"/>
  <c r="AJ828" i="1" s="1"/>
  <c r="AG828" i="1"/>
  <c r="AL828" i="1" l="1"/>
  <c r="AQ828" i="1" s="1"/>
  <c r="AV828" i="1" s="1"/>
  <c r="GX828" i="1"/>
  <c r="DP828" i="1"/>
  <c r="IC827" i="1" l="1"/>
  <c r="IB827" i="1"/>
  <c r="IA827" i="1"/>
  <c r="HN827" i="1"/>
  <c r="HF827" i="1"/>
  <c r="HH827" i="1" s="1"/>
  <c r="HJ827" i="1" s="1"/>
  <c r="EL827" i="1"/>
  <c r="EU827" i="1" s="1"/>
  <c r="CH827" i="1"/>
  <c r="DM827" i="1" s="1"/>
  <c r="AZ827" i="1"/>
  <c r="BA827" i="1" s="1"/>
  <c r="AP827" i="1"/>
  <c r="AF827" i="1"/>
  <c r="HO827" i="1" l="1"/>
  <c r="HV827" i="1" s="1"/>
  <c r="AM827" i="1" s="1"/>
  <c r="IE827" i="1"/>
  <c r="IG827" i="1" s="1"/>
  <c r="AN827" i="1" s="1"/>
  <c r="GW827" i="1"/>
  <c r="AJ827" i="1" s="1"/>
  <c r="AG827" i="1"/>
  <c r="GS827" i="1"/>
  <c r="GU827" i="1"/>
  <c r="AK827" i="1" s="1"/>
  <c r="AE827" i="1"/>
  <c r="DO827" i="1"/>
  <c r="AI827" i="1" s="1"/>
  <c r="AH827" i="1"/>
  <c r="DP827" i="1" l="1"/>
  <c r="GX827" i="1"/>
  <c r="AL827" i="1"/>
  <c r="AQ827" i="1" s="1"/>
  <c r="AV827" i="1" s="1"/>
  <c r="IC826" i="1"/>
  <c r="IB826" i="1"/>
  <c r="IA826" i="1"/>
  <c r="HN826" i="1"/>
  <c r="HF826" i="1"/>
  <c r="HH826" i="1" s="1"/>
  <c r="HJ826" i="1" s="1"/>
  <c r="EL826" i="1"/>
  <c r="EU826" i="1" s="1"/>
  <c r="CH826" i="1"/>
  <c r="DM826" i="1" s="1"/>
  <c r="AZ826" i="1"/>
  <c r="BA826" i="1" s="1"/>
  <c r="AP826" i="1"/>
  <c r="AF826" i="1"/>
  <c r="HO826" i="1" l="1"/>
  <c r="HV826" i="1" s="1"/>
  <c r="AM826" i="1" s="1"/>
  <c r="IE826" i="1"/>
  <c r="IG826" i="1" s="1"/>
  <c r="AN826" i="1" s="1"/>
  <c r="GS826" i="1"/>
  <c r="AE826" i="1"/>
  <c r="GU826" i="1"/>
  <c r="AK826" i="1" s="1"/>
  <c r="DO826" i="1"/>
  <c r="AI826" i="1" s="1"/>
  <c r="AH826" i="1"/>
  <c r="AG826" i="1"/>
  <c r="GW826" i="1"/>
  <c r="AJ826" i="1" s="1"/>
  <c r="DP826" i="1" l="1"/>
  <c r="AL826" i="1"/>
  <c r="AQ826" i="1" s="1"/>
  <c r="AV826" i="1" s="1"/>
  <c r="GX826" i="1"/>
  <c r="IC825" i="1" l="1"/>
  <c r="IB825" i="1"/>
  <c r="IA825" i="1"/>
  <c r="HN825" i="1"/>
  <c r="HF825" i="1"/>
  <c r="HH825" i="1" s="1"/>
  <c r="HJ825" i="1" s="1"/>
  <c r="EL825" i="1"/>
  <c r="EU825" i="1" s="1"/>
  <c r="CH825" i="1"/>
  <c r="DM825" i="1" s="1"/>
  <c r="AZ825" i="1"/>
  <c r="BA825" i="1" s="1"/>
  <c r="AP825" i="1"/>
  <c r="AF825" i="1"/>
  <c r="HO825" i="1" l="1"/>
  <c r="HV825" i="1" s="1"/>
  <c r="AM825" i="1" s="1"/>
  <c r="IE825" i="1"/>
  <c r="IG825" i="1" s="1"/>
  <c r="AN825" i="1" s="1"/>
  <c r="GS825" i="1"/>
  <c r="AE825" i="1"/>
  <c r="GU825" i="1"/>
  <c r="AK825" i="1" s="1"/>
  <c r="AG825" i="1"/>
  <c r="GW825" i="1"/>
  <c r="AJ825" i="1" s="1"/>
  <c r="DO825" i="1"/>
  <c r="AI825" i="1" s="1"/>
  <c r="AH825" i="1"/>
  <c r="AL825" i="1" l="1"/>
  <c r="AQ825" i="1" s="1"/>
  <c r="AV825" i="1" s="1"/>
  <c r="GX825" i="1"/>
  <c r="DP825" i="1"/>
  <c r="IC824" i="1"/>
  <c r="IB824" i="1"/>
  <c r="IA824" i="1"/>
  <c r="HT824" i="1"/>
  <c r="HN824" i="1"/>
  <c r="HF824" i="1"/>
  <c r="HH824" i="1" s="1"/>
  <c r="HJ824" i="1" s="1"/>
  <c r="EL824" i="1"/>
  <c r="EU824" i="1" s="1"/>
  <c r="DM824" i="1"/>
  <c r="AH824" i="1" s="1"/>
  <c r="AZ824" i="1"/>
  <c r="BA824" i="1" s="1"/>
  <c r="AU824" i="1"/>
  <c r="AP824" i="1"/>
  <c r="AF824" i="1"/>
  <c r="HO824" i="1" l="1"/>
  <c r="HV824" i="1" s="1"/>
  <c r="AM824" i="1" s="1"/>
  <c r="IE824" i="1"/>
  <c r="IG824" i="1" s="1"/>
  <c r="AN824" i="1" s="1"/>
  <c r="GS824" i="1"/>
  <c r="AE824" i="1"/>
  <c r="GU824" i="1"/>
  <c r="AK824" i="1" s="1"/>
  <c r="AG824" i="1"/>
  <c r="GW824" i="1"/>
  <c r="AJ824" i="1" s="1"/>
  <c r="DO824" i="1"/>
  <c r="AI824" i="1" s="1"/>
  <c r="DP824" i="1" l="1"/>
  <c r="AL824" i="1"/>
  <c r="AQ824" i="1" s="1"/>
  <c r="AV824" i="1" s="1"/>
  <c r="GX824" i="1"/>
  <c r="IC823" i="1" l="1"/>
  <c r="IB823" i="1"/>
  <c r="IA823" i="1"/>
  <c r="HN823" i="1"/>
  <c r="HF823" i="1"/>
  <c r="HH823" i="1" s="1"/>
  <c r="HJ823" i="1" s="1"/>
  <c r="FA823" i="1"/>
  <c r="EL823" i="1"/>
  <c r="CH823" i="1"/>
  <c r="DM823" i="1" s="1"/>
  <c r="AH823" i="1" s="1"/>
  <c r="AZ823" i="1"/>
  <c r="BA823" i="1" s="1"/>
  <c r="AU823" i="1"/>
  <c r="AP823" i="1"/>
  <c r="AF823" i="1"/>
  <c r="HO823" i="1" l="1"/>
  <c r="HV823" i="1" s="1"/>
  <c r="AM823" i="1" s="1"/>
  <c r="EU823" i="1"/>
  <c r="AG823" i="1" s="1"/>
  <c r="IE823" i="1"/>
  <c r="IG823" i="1" s="1"/>
  <c r="AN823" i="1" s="1"/>
  <c r="AE823" i="1"/>
  <c r="DO823" i="1"/>
  <c r="AI823" i="1" s="1"/>
  <c r="GS823" i="1" l="1"/>
  <c r="AL823" i="1" s="1"/>
  <c r="GU823" i="1"/>
  <c r="AK823" i="1" s="1"/>
  <c r="GW823" i="1"/>
  <c r="AJ823" i="1" s="1"/>
  <c r="DP823" i="1"/>
  <c r="AQ823" i="1" l="1"/>
  <c r="AV823" i="1" s="1"/>
  <c r="GX823" i="1"/>
  <c r="IC822" i="1"/>
  <c r="IB822" i="1"/>
  <c r="IA822" i="1"/>
  <c r="HN822" i="1"/>
  <c r="HF822" i="1"/>
  <c r="HH822" i="1" s="1"/>
  <c r="HJ822" i="1" s="1"/>
  <c r="EL822" i="1"/>
  <c r="EU822" i="1" s="1"/>
  <c r="DM822" i="1"/>
  <c r="AH822" i="1" s="1"/>
  <c r="AZ822" i="1"/>
  <c r="BA822" i="1" s="1"/>
  <c r="AR822" i="1"/>
  <c r="AP822" i="1"/>
  <c r="AF822" i="1"/>
  <c r="HO822" i="1" l="1"/>
  <c r="HV822" i="1" s="1"/>
  <c r="AM822" i="1" s="1"/>
  <c r="GS822" i="1"/>
  <c r="AL822" i="1" s="1"/>
  <c r="IE822" i="1"/>
  <c r="IG822" i="1" s="1"/>
  <c r="AN822" i="1" s="1"/>
  <c r="AG822" i="1"/>
  <c r="GW822" i="1"/>
  <c r="AJ822" i="1" s="1"/>
  <c r="GU822" i="1"/>
  <c r="AK822" i="1" s="1"/>
  <c r="AE822" i="1"/>
  <c r="DO822" i="1"/>
  <c r="AI822" i="1" s="1"/>
  <c r="AQ822" i="1" l="1"/>
  <c r="AV822" i="1" s="1"/>
  <c r="GX822" i="1"/>
  <c r="DP822" i="1"/>
  <c r="AU821" i="1" l="1"/>
  <c r="IC821" i="1"/>
  <c r="IB821" i="1"/>
  <c r="IA821" i="1"/>
  <c r="HN821" i="1"/>
  <c r="HF821" i="1"/>
  <c r="HH821" i="1" s="1"/>
  <c r="HJ821" i="1" s="1"/>
  <c r="EL821" i="1"/>
  <c r="EU821" i="1" s="1"/>
  <c r="CH821" i="1"/>
  <c r="DM821" i="1" s="1"/>
  <c r="AZ821" i="1"/>
  <c r="BA821" i="1" s="1"/>
  <c r="AP821" i="1"/>
  <c r="AF821" i="1"/>
  <c r="HO821" i="1" l="1"/>
  <c r="HV821" i="1" s="1"/>
  <c r="AM821" i="1" s="1"/>
  <c r="IE821" i="1"/>
  <c r="IG821" i="1" s="1"/>
  <c r="AN821" i="1" s="1"/>
  <c r="GW821" i="1"/>
  <c r="AJ821" i="1" s="1"/>
  <c r="AG821" i="1"/>
  <c r="AE821" i="1"/>
  <c r="GU821" i="1"/>
  <c r="AK821" i="1" s="1"/>
  <c r="GS821" i="1"/>
  <c r="DO821" i="1"/>
  <c r="AI821" i="1" s="1"/>
  <c r="AH821" i="1"/>
  <c r="DP821" i="1" l="1"/>
  <c r="AL821" i="1"/>
  <c r="AQ821" i="1" s="1"/>
  <c r="AV821" i="1" s="1"/>
  <c r="GX821" i="1"/>
  <c r="IC820" i="1" l="1"/>
  <c r="IB820" i="1"/>
  <c r="IA820" i="1"/>
  <c r="HT820" i="1"/>
  <c r="HN820" i="1"/>
  <c r="HF820" i="1"/>
  <c r="HH820" i="1" s="1"/>
  <c r="HJ820" i="1" s="1"/>
  <c r="EL820" i="1"/>
  <c r="EU820" i="1" s="1"/>
  <c r="CV820" i="1"/>
  <c r="CW820" i="1" s="1"/>
  <c r="CQ820" i="1"/>
  <c r="CR820" i="1" s="1"/>
  <c r="CL820" i="1"/>
  <c r="CM820" i="1" s="1"/>
  <c r="AZ820" i="1"/>
  <c r="BA820" i="1" s="1"/>
  <c r="AU820" i="1"/>
  <c r="AP820" i="1"/>
  <c r="AF820" i="1"/>
  <c r="HO820" i="1" l="1"/>
  <c r="HV820" i="1"/>
  <c r="AM820" i="1" s="1"/>
  <c r="DM820" i="1"/>
  <c r="DO820" i="1" s="1"/>
  <c r="AI820" i="1" s="1"/>
  <c r="IE820" i="1"/>
  <c r="IG820" i="1" s="1"/>
  <c r="AN820" i="1" s="1"/>
  <c r="GU820" i="1"/>
  <c r="AK820" i="1" s="1"/>
  <c r="GS820" i="1"/>
  <c r="AE820" i="1"/>
  <c r="AG820" i="1"/>
  <c r="GW820" i="1"/>
  <c r="AJ820" i="1" s="1"/>
  <c r="AH820" i="1" l="1"/>
  <c r="DP820" i="1"/>
  <c r="AL820" i="1"/>
  <c r="GX820" i="1"/>
  <c r="AQ820" i="1" l="1"/>
  <c r="AV820" i="1" s="1"/>
  <c r="IC819" i="1"/>
  <c r="IB819" i="1"/>
  <c r="IA819" i="1"/>
  <c r="HN819" i="1"/>
  <c r="HF819" i="1"/>
  <c r="HH819" i="1" s="1"/>
  <c r="HJ819" i="1" s="1"/>
  <c r="EL819" i="1"/>
  <c r="EU819" i="1" s="1"/>
  <c r="DO819" i="1"/>
  <c r="AI819" i="1" s="1"/>
  <c r="DM819" i="1"/>
  <c r="AZ819" i="1"/>
  <c r="BA819" i="1" s="1"/>
  <c r="AU819" i="1"/>
  <c r="AP819" i="1"/>
  <c r="AF819" i="1"/>
  <c r="HO819" i="1" l="1"/>
  <c r="HV819" i="1" s="1"/>
  <c r="AM819" i="1" s="1"/>
  <c r="IE819" i="1"/>
  <c r="IG819" i="1" s="1"/>
  <c r="AN819" i="1" s="1"/>
  <c r="DP819" i="1"/>
  <c r="AH819" i="1"/>
  <c r="GU819" i="1"/>
  <c r="AK819" i="1" s="1"/>
  <c r="GS819" i="1"/>
  <c r="AE819" i="1"/>
  <c r="GW819" i="1"/>
  <c r="AJ819" i="1" s="1"/>
  <c r="AG819" i="1"/>
  <c r="AL819" i="1" l="1"/>
  <c r="AQ819" i="1" s="1"/>
  <c r="AV819" i="1" s="1"/>
  <c r="GX819" i="1"/>
  <c r="IC818" i="1" l="1"/>
  <c r="IB818" i="1"/>
  <c r="IA818" i="1"/>
  <c r="HN818" i="1"/>
  <c r="HF818" i="1"/>
  <c r="HH818" i="1" s="1"/>
  <c r="HJ818" i="1" s="1"/>
  <c r="EL818" i="1"/>
  <c r="EU818" i="1" s="1"/>
  <c r="DO818" i="1"/>
  <c r="AI818" i="1" s="1"/>
  <c r="DM818" i="1"/>
  <c r="AZ818" i="1"/>
  <c r="BA818" i="1" s="1"/>
  <c r="AU818" i="1"/>
  <c r="AP818" i="1"/>
  <c r="AF818" i="1"/>
  <c r="HO818" i="1" l="1"/>
  <c r="HV818" i="1" s="1"/>
  <c r="AM818" i="1" s="1"/>
  <c r="DP818" i="1"/>
  <c r="GW818" i="1"/>
  <c r="AJ818" i="1" s="1"/>
  <c r="AG818" i="1"/>
  <c r="AH818" i="1"/>
  <c r="IE818" i="1"/>
  <c r="IG818" i="1" s="1"/>
  <c r="AN818" i="1" s="1"/>
  <c r="GU818" i="1"/>
  <c r="AK818" i="1" s="1"/>
  <c r="GS818" i="1"/>
  <c r="AE818" i="1"/>
  <c r="GX818" i="1" l="1"/>
  <c r="AL818" i="1"/>
  <c r="AQ818" i="1" s="1"/>
  <c r="AV818" i="1" s="1"/>
  <c r="IC817" i="1" l="1"/>
  <c r="IB817" i="1"/>
  <c r="IA817" i="1"/>
  <c r="HN817" i="1"/>
  <c r="HF817" i="1"/>
  <c r="HH817" i="1" s="1"/>
  <c r="HJ817" i="1" s="1"/>
  <c r="EL817" i="1"/>
  <c r="EU817" i="1" s="1"/>
  <c r="DO817" i="1"/>
  <c r="AI817" i="1" s="1"/>
  <c r="DM817" i="1"/>
  <c r="AZ817" i="1"/>
  <c r="BA817" i="1" s="1"/>
  <c r="AU817" i="1"/>
  <c r="AP817" i="1"/>
  <c r="AF817" i="1"/>
  <c r="HO817" i="1" l="1"/>
  <c r="HV817" i="1" s="1"/>
  <c r="AM817" i="1" s="1"/>
  <c r="DP817" i="1"/>
  <c r="GU817" i="1"/>
  <c r="AK817" i="1" s="1"/>
  <c r="IE817" i="1"/>
  <c r="IG817" i="1" s="1"/>
  <c r="AN817" i="1" s="1"/>
  <c r="AH817" i="1"/>
  <c r="GW817" i="1"/>
  <c r="AJ817" i="1" s="1"/>
  <c r="AG817" i="1"/>
  <c r="AE817" i="1"/>
  <c r="GS817" i="1"/>
  <c r="AL817" i="1" l="1"/>
  <c r="AQ817" i="1" s="1"/>
  <c r="AV817" i="1" s="1"/>
  <c r="GX817" i="1"/>
  <c r="IC816" i="1" l="1"/>
  <c r="IB816" i="1"/>
  <c r="IA816" i="1"/>
  <c r="HT816" i="1"/>
  <c r="HN816" i="1"/>
  <c r="HF816" i="1"/>
  <c r="HH816" i="1" s="1"/>
  <c r="HJ816" i="1" s="1"/>
  <c r="EL816" i="1"/>
  <c r="EU816" i="1" s="1"/>
  <c r="DO816" i="1"/>
  <c r="AI816" i="1" s="1"/>
  <c r="DM816" i="1"/>
  <c r="AZ816" i="1"/>
  <c r="BA816" i="1" s="1"/>
  <c r="AU816" i="1"/>
  <c r="AP816" i="1"/>
  <c r="AF816" i="1"/>
  <c r="HO816" i="1" l="1"/>
  <c r="HV816" i="1" s="1"/>
  <c r="AM816" i="1" s="1"/>
  <c r="DP816" i="1"/>
  <c r="AH816" i="1"/>
  <c r="IE816" i="1"/>
  <c r="IG816" i="1" s="1"/>
  <c r="AN816" i="1" s="1"/>
  <c r="GS816" i="1"/>
  <c r="AE816" i="1"/>
  <c r="GU816" i="1"/>
  <c r="AK816" i="1" s="1"/>
  <c r="AG816" i="1"/>
  <c r="GW816" i="1"/>
  <c r="AJ816" i="1" s="1"/>
  <c r="AL816" i="1" l="1"/>
  <c r="AQ816" i="1" s="1"/>
  <c r="AV816" i="1" s="1"/>
  <c r="GX816" i="1"/>
  <c r="IC815" i="1" l="1"/>
  <c r="IB815" i="1"/>
  <c r="IA815" i="1"/>
  <c r="HN815" i="1"/>
  <c r="HF815" i="1"/>
  <c r="HH815" i="1" s="1"/>
  <c r="HJ815" i="1" s="1"/>
  <c r="EL815" i="1"/>
  <c r="EU815" i="1" s="1"/>
  <c r="DO815" i="1"/>
  <c r="AI815" i="1" s="1"/>
  <c r="DM815" i="1"/>
  <c r="AZ815" i="1"/>
  <c r="BA815" i="1" s="1"/>
  <c r="AU815" i="1"/>
  <c r="AP815" i="1"/>
  <c r="AF815" i="1"/>
  <c r="HO815" i="1" l="1"/>
  <c r="HV815" i="1" s="1"/>
  <c r="AM815" i="1" s="1"/>
  <c r="DP815" i="1"/>
  <c r="IE815" i="1"/>
  <c r="IG815" i="1" s="1"/>
  <c r="AN815" i="1" s="1"/>
  <c r="AH815" i="1"/>
  <c r="GS815" i="1"/>
  <c r="AE815" i="1"/>
  <c r="GU815" i="1"/>
  <c r="AK815" i="1" s="1"/>
  <c r="AG815" i="1"/>
  <c r="GW815" i="1"/>
  <c r="AJ815" i="1" s="1"/>
  <c r="AL815" i="1" l="1"/>
  <c r="AQ815" i="1" s="1"/>
  <c r="AV815" i="1" s="1"/>
  <c r="GX815" i="1"/>
  <c r="IC814" i="1" l="1"/>
  <c r="IB814" i="1"/>
  <c r="IA814" i="1"/>
  <c r="HN814" i="1"/>
  <c r="HF814" i="1"/>
  <c r="HH814" i="1" s="1"/>
  <c r="HJ814" i="1" s="1"/>
  <c r="EL814" i="1"/>
  <c r="EU814" i="1" s="1"/>
  <c r="DO814" i="1"/>
  <c r="AI814" i="1" s="1"/>
  <c r="CH814" i="1"/>
  <c r="DM814" i="1" s="1"/>
  <c r="AZ814" i="1"/>
  <c r="BA814" i="1" s="1"/>
  <c r="AP814" i="1"/>
  <c r="AF814" i="1"/>
  <c r="HO814" i="1" l="1"/>
  <c r="HV814" i="1" s="1"/>
  <c r="AM814" i="1" s="1"/>
  <c r="IE814" i="1"/>
  <c r="IG814" i="1" s="1"/>
  <c r="AN814" i="1" s="1"/>
  <c r="GU814" i="1"/>
  <c r="AK814" i="1" s="1"/>
  <c r="GS814" i="1"/>
  <c r="AE814" i="1"/>
  <c r="DP814" i="1"/>
  <c r="AH814" i="1"/>
  <c r="GW814" i="1"/>
  <c r="AJ814" i="1" s="1"/>
  <c r="AG814" i="1"/>
  <c r="AL814" i="1" l="1"/>
  <c r="AQ814" i="1" s="1"/>
  <c r="AV814" i="1" s="1"/>
  <c r="GX814" i="1"/>
  <c r="IC813" i="1" l="1"/>
  <c r="IB813" i="1"/>
  <c r="IA813" i="1"/>
  <c r="HN813" i="1"/>
  <c r="HF813" i="1"/>
  <c r="HH813" i="1" s="1"/>
  <c r="HJ813" i="1" s="1"/>
  <c r="FA813" i="1"/>
  <c r="EL813" i="1"/>
  <c r="DO813" i="1"/>
  <c r="AI813" i="1" s="1"/>
  <c r="CH813" i="1"/>
  <c r="DM813" i="1" s="1"/>
  <c r="AZ813" i="1"/>
  <c r="BA813" i="1" s="1"/>
  <c r="AU813" i="1"/>
  <c r="AP813" i="1"/>
  <c r="AF813" i="1"/>
  <c r="HO813" i="1" l="1"/>
  <c r="HV813" i="1" s="1"/>
  <c r="AM813" i="1" s="1"/>
  <c r="EU813" i="1"/>
  <c r="GW813" i="1" s="1"/>
  <c r="AJ813" i="1" s="1"/>
  <c r="IE813" i="1"/>
  <c r="IG813" i="1" s="1"/>
  <c r="AN813" i="1" s="1"/>
  <c r="AE813" i="1"/>
  <c r="DP813" i="1"/>
  <c r="AH813" i="1"/>
  <c r="AG813" i="1" l="1"/>
  <c r="GS813" i="1"/>
  <c r="AL813" i="1" s="1"/>
  <c r="GU813" i="1"/>
  <c r="AK813" i="1" s="1"/>
  <c r="GX813" i="1" l="1"/>
  <c r="AQ813" i="1"/>
  <c r="AV813" i="1" s="1"/>
  <c r="IC812" i="1"/>
  <c r="IB812" i="1"/>
  <c r="IA812" i="1"/>
  <c r="HN812" i="1"/>
  <c r="HF812" i="1"/>
  <c r="HH812" i="1" s="1"/>
  <c r="HJ812" i="1" s="1"/>
  <c r="FA812" i="1"/>
  <c r="EL812" i="1"/>
  <c r="DO812" i="1"/>
  <c r="AI812" i="1" s="1"/>
  <c r="CH812" i="1"/>
  <c r="DM812" i="1" s="1"/>
  <c r="AZ812" i="1"/>
  <c r="BA812" i="1" s="1"/>
  <c r="AU812" i="1"/>
  <c r="AP812" i="1"/>
  <c r="AF812" i="1"/>
  <c r="HO812" i="1" l="1"/>
  <c r="HV812" i="1" s="1"/>
  <c r="AM812" i="1" s="1"/>
  <c r="EU812" i="1"/>
  <c r="GU812" i="1" s="1"/>
  <c r="AK812" i="1" s="1"/>
  <c r="IE812" i="1"/>
  <c r="IG812" i="1" s="1"/>
  <c r="AN812" i="1" s="1"/>
  <c r="AE812" i="1"/>
  <c r="DP812" i="1"/>
  <c r="AH812" i="1"/>
  <c r="AG812" i="1" l="1"/>
  <c r="GW812" i="1"/>
  <c r="AJ812" i="1" s="1"/>
  <c r="GS812" i="1"/>
  <c r="AL812" i="1" s="1"/>
  <c r="AQ812" i="1" l="1"/>
  <c r="AV812" i="1" s="1"/>
  <c r="GX812" i="1"/>
  <c r="IC811" i="1"/>
  <c r="IB811" i="1"/>
  <c r="IA811" i="1"/>
  <c r="HN811" i="1"/>
  <c r="HF811" i="1"/>
  <c r="HH811" i="1" s="1"/>
  <c r="HJ811" i="1" s="1"/>
  <c r="EL811" i="1"/>
  <c r="EU811" i="1" s="1"/>
  <c r="DO811" i="1"/>
  <c r="AI811" i="1" s="1"/>
  <c r="CH811" i="1"/>
  <c r="DM811" i="1" s="1"/>
  <c r="AZ811" i="1"/>
  <c r="BA811" i="1" s="1"/>
  <c r="AP811" i="1"/>
  <c r="AF811" i="1"/>
  <c r="HO811" i="1" l="1"/>
  <c r="HV811" i="1" s="1"/>
  <c r="AM811" i="1" s="1"/>
  <c r="IE811" i="1"/>
  <c r="IG811" i="1" s="1"/>
  <c r="AN811" i="1" s="1"/>
  <c r="GU811" i="1"/>
  <c r="AK811" i="1" s="1"/>
  <c r="GS811" i="1"/>
  <c r="AE811" i="1"/>
  <c r="DP811" i="1"/>
  <c r="AH811" i="1"/>
  <c r="GW811" i="1"/>
  <c r="AJ811" i="1" s="1"/>
  <c r="AG811" i="1"/>
  <c r="AL811" i="1" l="1"/>
  <c r="AQ811" i="1" s="1"/>
  <c r="AV811" i="1" s="1"/>
  <c r="GX811" i="1"/>
  <c r="IC810" i="1"/>
  <c r="IB810" i="1"/>
  <c r="IA810" i="1"/>
  <c r="HT810" i="1"/>
  <c r="HN810" i="1"/>
  <c r="HF810" i="1"/>
  <c r="HH810" i="1" s="1"/>
  <c r="HJ810" i="1" s="1"/>
  <c r="HO810" i="1" s="1"/>
  <c r="EL810" i="1"/>
  <c r="EU810" i="1" s="1"/>
  <c r="DO810" i="1"/>
  <c r="AI810" i="1" s="1"/>
  <c r="CH810" i="1"/>
  <c r="DM810" i="1" s="1"/>
  <c r="AZ810" i="1"/>
  <c r="BA810" i="1" s="1"/>
  <c r="AP810" i="1"/>
  <c r="AF810" i="1"/>
  <c r="HV810" i="1" l="1"/>
  <c r="AM810" i="1" s="1"/>
  <c r="IE810" i="1"/>
  <c r="IG810" i="1" s="1"/>
  <c r="AN810" i="1" s="1"/>
  <c r="GU810" i="1"/>
  <c r="AK810" i="1" s="1"/>
  <c r="GS810" i="1"/>
  <c r="AE810" i="1"/>
  <c r="DP810" i="1"/>
  <c r="AH810" i="1"/>
  <c r="GW810" i="1"/>
  <c r="AJ810" i="1" s="1"/>
  <c r="AG810" i="1"/>
  <c r="AL810" i="1" l="1"/>
  <c r="AQ810" i="1" s="1"/>
  <c r="AV810" i="1" s="1"/>
  <c r="GX810" i="1"/>
  <c r="IC809" i="1"/>
  <c r="IB809" i="1"/>
  <c r="IA809" i="1"/>
  <c r="HT809" i="1"/>
  <c r="HN809" i="1"/>
  <c r="HF809" i="1"/>
  <c r="HH809" i="1" s="1"/>
  <c r="HJ809" i="1" s="1"/>
  <c r="EL809" i="1"/>
  <c r="EU809" i="1" s="1"/>
  <c r="DO809" i="1"/>
  <c r="AI809" i="1" s="1"/>
  <c r="CH809" i="1"/>
  <c r="DM809" i="1" s="1"/>
  <c r="AZ809" i="1"/>
  <c r="BA809" i="1" s="1"/>
  <c r="AU809" i="1"/>
  <c r="AP809" i="1"/>
  <c r="AF809" i="1"/>
  <c r="HO809" i="1" l="1"/>
  <c r="HV809" i="1" s="1"/>
  <c r="AM809" i="1" s="1"/>
  <c r="IE809" i="1"/>
  <c r="IG809" i="1" s="1"/>
  <c r="AN809" i="1" s="1"/>
  <c r="AE809" i="1"/>
  <c r="GU809" i="1"/>
  <c r="AK809" i="1" s="1"/>
  <c r="GS809" i="1"/>
  <c r="AH809" i="1"/>
  <c r="DP809" i="1"/>
  <c r="GW809" i="1"/>
  <c r="AJ809" i="1" s="1"/>
  <c r="AG809" i="1"/>
  <c r="GX809" i="1" l="1"/>
  <c r="AL809" i="1"/>
  <c r="AQ809" i="1" s="1"/>
  <c r="AV809" i="1" s="1"/>
  <c r="IC808" i="1" l="1"/>
  <c r="IB808" i="1"/>
  <c r="IA808" i="1"/>
  <c r="HT808" i="1"/>
  <c r="HN808" i="1"/>
  <c r="HF808" i="1"/>
  <c r="HH808" i="1" s="1"/>
  <c r="HJ808" i="1" s="1"/>
  <c r="HO808" i="1" s="1"/>
  <c r="EL808" i="1"/>
  <c r="EU808" i="1" s="1"/>
  <c r="DO808" i="1"/>
  <c r="AI808" i="1" s="1"/>
  <c r="CH808" i="1"/>
  <c r="DM808" i="1" s="1"/>
  <c r="AZ808" i="1"/>
  <c r="BA808" i="1" s="1"/>
  <c r="AU808" i="1"/>
  <c r="AP808" i="1"/>
  <c r="AF808" i="1"/>
  <c r="HV808" i="1" l="1"/>
  <c r="AM808" i="1" s="1"/>
  <c r="IE808" i="1"/>
  <c r="IG808" i="1" s="1"/>
  <c r="AN808" i="1" s="1"/>
  <c r="AE808" i="1"/>
  <c r="GU808" i="1"/>
  <c r="AK808" i="1" s="1"/>
  <c r="GS808" i="1"/>
  <c r="DP808" i="1"/>
  <c r="AH808" i="1"/>
  <c r="GW808" i="1"/>
  <c r="AJ808" i="1" s="1"/>
  <c r="AG808" i="1"/>
  <c r="AL808" i="1" l="1"/>
  <c r="AQ808" i="1" s="1"/>
  <c r="AV808" i="1" s="1"/>
  <c r="GX808" i="1"/>
  <c r="IC807" i="1" l="1"/>
  <c r="IB807" i="1"/>
  <c r="IA807" i="1"/>
  <c r="HN807" i="1"/>
  <c r="HF807" i="1"/>
  <c r="HH807" i="1" s="1"/>
  <c r="HJ807" i="1" s="1"/>
  <c r="EL807" i="1"/>
  <c r="EU807" i="1" s="1"/>
  <c r="DO807" i="1"/>
  <c r="AI807" i="1" s="1"/>
  <c r="CH807" i="1"/>
  <c r="DM807" i="1" s="1"/>
  <c r="AZ807" i="1"/>
  <c r="BA807" i="1" s="1"/>
  <c r="AP807" i="1"/>
  <c r="AF807" i="1"/>
  <c r="HO807" i="1" l="1"/>
  <c r="HV807" i="1" s="1"/>
  <c r="AM807" i="1" s="1"/>
  <c r="IE807" i="1"/>
  <c r="IG807" i="1" s="1"/>
  <c r="AN807" i="1" s="1"/>
  <c r="GU807" i="1"/>
  <c r="AK807" i="1" s="1"/>
  <c r="GS807" i="1"/>
  <c r="AE807" i="1"/>
  <c r="DP807" i="1"/>
  <c r="AH807" i="1"/>
  <c r="GW807" i="1"/>
  <c r="AJ807" i="1" s="1"/>
  <c r="AG807" i="1"/>
  <c r="AL807" i="1" l="1"/>
  <c r="AQ807" i="1" s="1"/>
  <c r="AV807" i="1" s="1"/>
  <c r="GX807" i="1"/>
  <c r="IC805" i="1" l="1"/>
  <c r="IB805" i="1"/>
  <c r="IA805" i="1"/>
  <c r="HT805" i="1"/>
  <c r="HN805" i="1"/>
  <c r="HF805" i="1"/>
  <c r="HH805" i="1" s="1"/>
  <c r="HJ805" i="1" s="1"/>
  <c r="EL805" i="1"/>
  <c r="EU805" i="1" s="1"/>
  <c r="DO805" i="1"/>
  <c r="AI805" i="1" s="1"/>
  <c r="CH805" i="1"/>
  <c r="DM805" i="1" s="1"/>
  <c r="AZ805" i="1"/>
  <c r="AU805" i="1"/>
  <c r="AP805" i="1"/>
  <c r="AF805" i="1"/>
  <c r="AC805" i="1"/>
  <c r="HO805" i="1" l="1"/>
  <c r="HV805" i="1" s="1"/>
  <c r="AM805" i="1" s="1"/>
  <c r="BA805" i="1"/>
  <c r="GU805" i="1" s="1"/>
  <c r="AK805" i="1" s="1"/>
  <c r="IE805" i="1"/>
  <c r="IG805" i="1" s="1"/>
  <c r="AN805" i="1" s="1"/>
  <c r="DP805" i="1"/>
  <c r="AH805" i="1"/>
  <c r="GW805" i="1"/>
  <c r="AJ805" i="1" s="1"/>
  <c r="AG805" i="1"/>
  <c r="AE805" i="1" l="1"/>
  <c r="GS805" i="1"/>
  <c r="AL805" i="1" s="1"/>
  <c r="GX805" i="1" l="1"/>
  <c r="AQ805" i="1"/>
  <c r="AV805" i="1" s="1"/>
  <c r="IC804" i="1"/>
  <c r="IB804" i="1"/>
  <c r="IA804" i="1"/>
  <c r="HN804" i="1"/>
  <c r="HF804" i="1"/>
  <c r="HH804" i="1" s="1"/>
  <c r="HJ804" i="1" s="1"/>
  <c r="HO804" i="1" s="1"/>
  <c r="HV804" i="1" s="1"/>
  <c r="AM804" i="1" s="1"/>
  <c r="EL804" i="1"/>
  <c r="EU804" i="1" s="1"/>
  <c r="DO804" i="1"/>
  <c r="AI804" i="1" s="1"/>
  <c r="CH804" i="1"/>
  <c r="DM804" i="1" s="1"/>
  <c r="AZ804" i="1"/>
  <c r="BA804" i="1" s="1"/>
  <c r="AP804" i="1"/>
  <c r="AF804" i="1"/>
  <c r="IE804" i="1" l="1"/>
  <c r="IG804" i="1" s="1"/>
  <c r="AN804" i="1" s="1"/>
  <c r="GS804" i="1"/>
  <c r="AE804" i="1"/>
  <c r="GU804" i="1"/>
  <c r="AK804" i="1" s="1"/>
  <c r="DP804" i="1"/>
  <c r="AH804" i="1"/>
  <c r="AG804" i="1"/>
  <c r="GW804" i="1"/>
  <c r="AJ804" i="1" s="1"/>
  <c r="AL804" i="1" l="1"/>
  <c r="AQ804" i="1" s="1"/>
  <c r="AV804" i="1" s="1"/>
  <c r="GX804" i="1"/>
  <c r="IC803" i="1" l="1"/>
  <c r="IB803" i="1"/>
  <c r="IA803" i="1"/>
  <c r="HN803" i="1"/>
  <c r="HF803" i="1"/>
  <c r="HH803" i="1" s="1"/>
  <c r="HJ803" i="1" s="1"/>
  <c r="EL803" i="1"/>
  <c r="EU803" i="1" s="1"/>
  <c r="DO803" i="1"/>
  <c r="AI803" i="1" s="1"/>
  <c r="CH803" i="1"/>
  <c r="DM803" i="1" s="1"/>
  <c r="AZ803" i="1"/>
  <c r="BA803" i="1" s="1"/>
  <c r="AU803" i="1"/>
  <c r="AP803" i="1"/>
  <c r="AF803" i="1"/>
  <c r="HO803" i="1" l="1"/>
  <c r="HV803" i="1" s="1"/>
  <c r="AM803" i="1" s="1"/>
  <c r="IE803" i="1"/>
  <c r="IG803" i="1" s="1"/>
  <c r="AN803" i="1" s="1"/>
  <c r="AE803" i="1"/>
  <c r="GU803" i="1"/>
  <c r="AK803" i="1" s="1"/>
  <c r="GS803" i="1"/>
  <c r="DP803" i="1"/>
  <c r="AH803" i="1"/>
  <c r="GW803" i="1"/>
  <c r="AJ803" i="1" s="1"/>
  <c r="AG803" i="1"/>
  <c r="AL803" i="1" l="1"/>
  <c r="AQ803" i="1" s="1"/>
  <c r="AV803" i="1" s="1"/>
  <c r="GX803" i="1"/>
  <c r="IC802" i="1" l="1"/>
  <c r="IB802" i="1"/>
  <c r="IA802" i="1"/>
  <c r="HN802" i="1"/>
  <c r="HF802" i="1"/>
  <c r="HH802" i="1" s="1"/>
  <c r="HJ802" i="1" s="1"/>
  <c r="EL802" i="1"/>
  <c r="EU802" i="1" s="1"/>
  <c r="DO802" i="1"/>
  <c r="AI802" i="1" s="1"/>
  <c r="CH802" i="1"/>
  <c r="DM802" i="1" s="1"/>
  <c r="AZ802" i="1"/>
  <c r="BA802" i="1" s="1"/>
  <c r="AP802" i="1"/>
  <c r="AF802" i="1"/>
  <c r="IC801" i="1"/>
  <c r="IB801" i="1"/>
  <c r="IA801" i="1"/>
  <c r="HN801" i="1"/>
  <c r="HF801" i="1"/>
  <c r="HH801" i="1" s="1"/>
  <c r="HJ801" i="1" s="1"/>
  <c r="EL801" i="1"/>
  <c r="EU801" i="1" s="1"/>
  <c r="DO801" i="1"/>
  <c r="AI801" i="1" s="1"/>
  <c r="CH801" i="1"/>
  <c r="DM801" i="1" s="1"/>
  <c r="AZ801" i="1"/>
  <c r="BA801" i="1" s="1"/>
  <c r="AP801" i="1"/>
  <c r="AF801" i="1"/>
  <c r="IC800" i="1"/>
  <c r="IB800" i="1"/>
  <c r="IA800" i="1"/>
  <c r="HN800" i="1"/>
  <c r="HF800" i="1"/>
  <c r="HH800" i="1" s="1"/>
  <c r="HJ800" i="1" s="1"/>
  <c r="EL800" i="1"/>
  <c r="EU800" i="1" s="1"/>
  <c r="DO800" i="1"/>
  <c r="AI800" i="1" s="1"/>
  <c r="CH800" i="1"/>
  <c r="DM800" i="1" s="1"/>
  <c r="AZ800" i="1"/>
  <c r="AP800" i="1"/>
  <c r="AF800" i="1"/>
  <c r="AC800" i="1"/>
  <c r="HO802" i="1" l="1"/>
  <c r="HV802" i="1" s="1"/>
  <c r="AM802" i="1" s="1"/>
  <c r="HO801" i="1"/>
  <c r="HV801" i="1" s="1"/>
  <c r="AM801" i="1" s="1"/>
  <c r="DP801" i="1"/>
  <c r="HO800" i="1"/>
  <c r="HV800" i="1" s="1"/>
  <c r="AM800" i="1" s="1"/>
  <c r="IE802" i="1"/>
  <c r="IG802" i="1" s="1"/>
  <c r="AN802" i="1" s="1"/>
  <c r="BA800" i="1"/>
  <c r="GU800" i="1" s="1"/>
  <c r="AK800" i="1" s="1"/>
  <c r="IE800" i="1"/>
  <c r="IG800" i="1" s="1"/>
  <c r="AN800" i="1" s="1"/>
  <c r="IE801" i="1"/>
  <c r="IG801" i="1" s="1"/>
  <c r="AN801" i="1" s="1"/>
  <c r="GU802" i="1"/>
  <c r="AK802" i="1" s="1"/>
  <c r="GS802" i="1"/>
  <c r="AE802" i="1"/>
  <c r="DP802" i="1"/>
  <c r="AH802" i="1"/>
  <c r="GW802" i="1"/>
  <c r="AJ802" i="1" s="1"/>
  <c r="AG802" i="1"/>
  <c r="GS801" i="1"/>
  <c r="AE801" i="1"/>
  <c r="GU801" i="1"/>
  <c r="AK801" i="1" s="1"/>
  <c r="AG801" i="1"/>
  <c r="GW801" i="1"/>
  <c r="AJ801" i="1" s="1"/>
  <c r="AH801" i="1"/>
  <c r="DP800" i="1"/>
  <c r="AH800" i="1"/>
  <c r="GW800" i="1"/>
  <c r="AJ800" i="1" s="1"/>
  <c r="AG800" i="1"/>
  <c r="GS800" i="1" l="1"/>
  <c r="GX800" i="1" s="1"/>
  <c r="AE800" i="1"/>
  <c r="AL802" i="1"/>
  <c r="AQ802" i="1" s="1"/>
  <c r="AV802" i="1" s="1"/>
  <c r="GX802" i="1"/>
  <c r="AL801" i="1"/>
  <c r="AQ801" i="1" s="1"/>
  <c r="AV801" i="1" s="1"/>
  <c r="GX801" i="1"/>
  <c r="AL800" i="1" l="1"/>
  <c r="AQ800" i="1" s="1"/>
  <c r="AV800" i="1" s="1"/>
  <c r="IC799" i="1"/>
  <c r="IB799" i="1"/>
  <c r="IA799" i="1"/>
  <c r="HT799" i="1"/>
  <c r="HN799" i="1"/>
  <c r="HF799" i="1"/>
  <c r="HH799" i="1" s="1"/>
  <c r="HJ799" i="1" s="1"/>
  <c r="EL799" i="1"/>
  <c r="EU799" i="1" s="1"/>
  <c r="DO799" i="1"/>
  <c r="AI799" i="1" s="1"/>
  <c r="CH799" i="1"/>
  <c r="DM799" i="1" s="1"/>
  <c r="AZ799" i="1"/>
  <c r="BA799" i="1" s="1"/>
  <c r="AP799" i="1"/>
  <c r="AF799" i="1"/>
  <c r="HO799" i="1" l="1"/>
  <c r="HV799" i="1" s="1"/>
  <c r="AM799" i="1" s="1"/>
  <c r="IE799" i="1"/>
  <c r="IG799" i="1" s="1"/>
  <c r="AN799" i="1" s="1"/>
  <c r="AE799" i="1"/>
  <c r="GS799" i="1"/>
  <c r="GU799" i="1"/>
  <c r="AK799" i="1" s="1"/>
  <c r="DP799" i="1"/>
  <c r="AH799" i="1"/>
  <c r="GW799" i="1"/>
  <c r="AJ799" i="1" s="1"/>
  <c r="AG799" i="1"/>
  <c r="GX799" i="1" l="1"/>
  <c r="AL799" i="1"/>
  <c r="AQ799" i="1" s="1"/>
  <c r="AV799" i="1" s="1"/>
  <c r="IC798" i="1" l="1"/>
  <c r="IB798" i="1"/>
  <c r="IA798" i="1"/>
  <c r="HT798" i="1"/>
  <c r="HN798" i="1"/>
  <c r="HF798" i="1"/>
  <c r="HH798" i="1" s="1"/>
  <c r="HJ798" i="1" s="1"/>
  <c r="HO798" i="1" s="1"/>
  <c r="EL798" i="1"/>
  <c r="EU798" i="1" s="1"/>
  <c r="DO798" i="1"/>
  <c r="AI798" i="1" s="1"/>
  <c r="CH798" i="1"/>
  <c r="DM798" i="1" s="1"/>
  <c r="AZ798" i="1"/>
  <c r="BA798" i="1" s="1"/>
  <c r="AP798" i="1"/>
  <c r="AF798" i="1"/>
  <c r="HV798" i="1" l="1"/>
  <c r="AM798" i="1" s="1"/>
  <c r="IE798" i="1"/>
  <c r="IG798" i="1" s="1"/>
  <c r="AN798" i="1" s="1"/>
  <c r="AE798" i="1"/>
  <c r="GS798" i="1"/>
  <c r="GU798" i="1"/>
  <c r="AK798" i="1" s="1"/>
  <c r="DP798" i="1"/>
  <c r="AH798" i="1"/>
  <c r="GW798" i="1"/>
  <c r="AJ798" i="1" s="1"/>
  <c r="AG798" i="1"/>
  <c r="GX798" i="1" l="1"/>
  <c r="AL798" i="1"/>
  <c r="AQ798" i="1" s="1"/>
  <c r="AV798" i="1" s="1"/>
  <c r="IC797" i="1" l="1"/>
  <c r="IB797" i="1"/>
  <c r="IA797" i="1"/>
  <c r="HN797" i="1"/>
  <c r="HF797" i="1"/>
  <c r="HH797" i="1" s="1"/>
  <c r="HJ797" i="1" s="1"/>
  <c r="EL797" i="1"/>
  <c r="EU797" i="1" s="1"/>
  <c r="DM797" i="1"/>
  <c r="DP797" i="1" s="1"/>
  <c r="AZ797" i="1"/>
  <c r="BA797" i="1" s="1"/>
  <c r="AI797" i="1"/>
  <c r="AF797" i="1"/>
  <c r="HO797" i="1" l="1"/>
  <c r="HV797" i="1" s="1"/>
  <c r="AM797" i="1" s="1"/>
  <c r="IE797" i="1"/>
  <c r="IG797" i="1" s="1"/>
  <c r="AN797" i="1" s="1"/>
  <c r="GS797" i="1"/>
  <c r="AE797" i="1"/>
  <c r="GU797" i="1"/>
  <c r="AK797" i="1" s="1"/>
  <c r="GW797" i="1"/>
  <c r="AJ797" i="1" s="1"/>
  <c r="AG797" i="1"/>
  <c r="AH797" i="1"/>
  <c r="AL797" i="1" l="1"/>
  <c r="AQ797" i="1" s="1"/>
  <c r="AV797" i="1" s="1"/>
  <c r="GX797" i="1"/>
  <c r="IC796" i="1" l="1"/>
  <c r="IB796" i="1"/>
  <c r="IA796" i="1"/>
  <c r="HN796" i="1"/>
  <c r="HF796" i="1"/>
  <c r="HH796" i="1" s="1"/>
  <c r="HJ796" i="1" s="1"/>
  <c r="EL796" i="1"/>
  <c r="EU796" i="1" s="1"/>
  <c r="DM796" i="1"/>
  <c r="DP796" i="1" s="1"/>
  <c r="AZ796" i="1"/>
  <c r="BA796" i="1" s="1"/>
  <c r="AI796" i="1"/>
  <c r="AF796" i="1"/>
  <c r="HO796" i="1" l="1"/>
  <c r="HV796" i="1" s="1"/>
  <c r="AM796" i="1" s="1"/>
  <c r="IE796" i="1"/>
  <c r="IG796" i="1" s="1"/>
  <c r="AN796" i="1" s="1"/>
  <c r="GU796" i="1"/>
  <c r="AK796" i="1" s="1"/>
  <c r="GS796" i="1"/>
  <c r="AE796" i="1"/>
  <c r="GW796" i="1"/>
  <c r="AJ796" i="1" s="1"/>
  <c r="AG796" i="1"/>
  <c r="AH796" i="1"/>
  <c r="AL796" i="1" l="1"/>
  <c r="AQ796" i="1" s="1"/>
  <c r="AV796" i="1" s="1"/>
  <c r="GX796" i="1"/>
  <c r="G34" i="5" l="1"/>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IC677" i="1" l="1"/>
  <c r="IB677" i="1"/>
  <c r="IA677" i="1"/>
  <c r="HN677" i="1"/>
  <c r="HF677" i="1"/>
  <c r="HH677" i="1" s="1"/>
  <c r="HJ677" i="1" s="1"/>
  <c r="EL677" i="1"/>
  <c r="EU677" i="1" s="1"/>
  <c r="DM677" i="1"/>
  <c r="AH677" i="1" s="1"/>
  <c r="AZ677" i="1"/>
  <c r="BA677" i="1" s="1"/>
  <c r="AR677" i="1"/>
  <c r="AI677" i="1"/>
  <c r="HO677" i="1" l="1"/>
  <c r="HV677" i="1" s="1"/>
  <c r="AM677" i="1" s="1"/>
  <c r="IE677" i="1"/>
  <c r="IG677" i="1" s="1"/>
  <c r="AN677" i="1" s="1"/>
  <c r="GU677" i="1"/>
  <c r="AK677" i="1" s="1"/>
  <c r="GS677" i="1"/>
  <c r="AE677" i="1"/>
  <c r="GW677" i="1"/>
  <c r="AJ677" i="1" s="1"/>
  <c r="AG677" i="1"/>
  <c r="AL677" i="1" l="1"/>
  <c r="AQ677" i="1" s="1"/>
  <c r="AV677" i="1" s="1"/>
  <c r="GX677" i="1"/>
  <c r="IC673" i="1" l="1"/>
  <c r="IB673" i="1"/>
  <c r="IA673" i="1"/>
  <c r="HN673" i="1"/>
  <c r="HF673" i="1"/>
  <c r="HH673" i="1" s="1"/>
  <c r="HJ673" i="1" s="1"/>
  <c r="EL673" i="1"/>
  <c r="EU673" i="1" s="1"/>
  <c r="CH673" i="1"/>
  <c r="DM673" i="1" s="1"/>
  <c r="AZ673" i="1"/>
  <c r="BA673" i="1" s="1"/>
  <c r="AR673" i="1"/>
  <c r="HO673" i="1" l="1"/>
  <c r="HV673" i="1" s="1"/>
  <c r="AM673" i="1" s="1"/>
  <c r="IE673" i="1"/>
  <c r="IG673" i="1" s="1"/>
  <c r="AN673" i="1" s="1"/>
  <c r="GU673" i="1"/>
  <c r="AK673" i="1" s="1"/>
  <c r="GS673" i="1"/>
  <c r="AE673" i="1"/>
  <c r="DO673" i="1"/>
  <c r="AI673" i="1" s="1"/>
  <c r="AH673" i="1"/>
  <c r="GW673" i="1"/>
  <c r="AJ673" i="1" s="1"/>
  <c r="AG673" i="1"/>
  <c r="DP673" i="1" l="1"/>
  <c r="AL673" i="1"/>
  <c r="AQ673" i="1" s="1"/>
  <c r="AV673" i="1" s="1"/>
  <c r="GX673" i="1"/>
  <c r="IC671" i="1" l="1"/>
  <c r="IB671" i="1"/>
  <c r="IA671" i="1"/>
  <c r="HN671" i="1"/>
  <c r="HF671" i="1"/>
  <c r="HH671" i="1" s="1"/>
  <c r="HJ671" i="1" s="1"/>
  <c r="EL671" i="1"/>
  <c r="EU671" i="1" s="1"/>
  <c r="DM671" i="1"/>
  <c r="AH671" i="1" s="1"/>
  <c r="AZ671" i="1"/>
  <c r="BA671" i="1" s="1"/>
  <c r="AR671" i="1"/>
  <c r="AI671" i="1"/>
  <c r="HO671" i="1" l="1"/>
  <c r="HV671" i="1" s="1"/>
  <c r="AM671" i="1" s="1"/>
  <c r="IE671" i="1"/>
  <c r="IG671" i="1" s="1"/>
  <c r="AN671" i="1" s="1"/>
  <c r="GU671" i="1"/>
  <c r="AK671" i="1" s="1"/>
  <c r="GS671" i="1"/>
  <c r="AE671" i="1"/>
  <c r="GW671" i="1"/>
  <c r="AJ671" i="1" s="1"/>
  <c r="AG671" i="1"/>
  <c r="AL671" i="1" l="1"/>
  <c r="AQ671" i="1" s="1"/>
  <c r="AV671" i="1" s="1"/>
  <c r="GX671" i="1"/>
  <c r="IC669" i="1" l="1"/>
  <c r="IB669" i="1"/>
  <c r="IA669" i="1"/>
  <c r="HT669" i="1"/>
  <c r="HN669" i="1"/>
  <c r="HF669" i="1"/>
  <c r="HH669" i="1" s="1"/>
  <c r="HJ669" i="1" s="1"/>
  <c r="HO669" i="1" s="1"/>
  <c r="EL669" i="1"/>
  <c r="EU669" i="1" s="1"/>
  <c r="DM669" i="1"/>
  <c r="AH669" i="1" s="1"/>
  <c r="AZ669" i="1"/>
  <c r="BA669" i="1" s="1"/>
  <c r="AR669" i="1"/>
  <c r="AI669" i="1"/>
  <c r="HV669" i="1" l="1"/>
  <c r="AM669" i="1" s="1"/>
  <c r="IE669" i="1"/>
  <c r="IG669" i="1" s="1"/>
  <c r="AN669" i="1" s="1"/>
  <c r="GW669" i="1"/>
  <c r="AJ669" i="1" s="1"/>
  <c r="AG669" i="1"/>
  <c r="GS669" i="1"/>
  <c r="AE669" i="1"/>
  <c r="GU669" i="1"/>
  <c r="AK669" i="1" s="1"/>
  <c r="GX669" i="1" l="1"/>
  <c r="AL669" i="1"/>
  <c r="AQ669" i="1" s="1"/>
  <c r="AV669" i="1" s="1"/>
  <c r="IC667" i="1" l="1"/>
  <c r="IB667" i="1"/>
  <c r="IA667" i="1"/>
  <c r="HT667" i="1"/>
  <c r="HN667" i="1"/>
  <c r="HF667" i="1"/>
  <c r="HH667" i="1" s="1"/>
  <c r="HJ667" i="1" s="1"/>
  <c r="EL667" i="1"/>
  <c r="EU667" i="1" s="1"/>
  <c r="DM667" i="1"/>
  <c r="AH667" i="1" s="1"/>
  <c r="AZ667" i="1"/>
  <c r="BA667" i="1" s="1"/>
  <c r="AU667" i="1"/>
  <c r="AR667" i="1"/>
  <c r="AI667" i="1"/>
  <c r="HO667" i="1" l="1"/>
  <c r="HV667" i="1" s="1"/>
  <c r="AM667" i="1" s="1"/>
  <c r="IE667" i="1"/>
  <c r="IG667" i="1" s="1"/>
  <c r="AN667" i="1" s="1"/>
  <c r="GS667" i="1"/>
  <c r="GU667" i="1"/>
  <c r="AK667" i="1" s="1"/>
  <c r="AE667" i="1"/>
  <c r="GW667" i="1"/>
  <c r="AJ667" i="1" s="1"/>
  <c r="AG667" i="1"/>
  <c r="GX667" i="1" l="1"/>
  <c r="AL667" i="1"/>
  <c r="AQ667" i="1" s="1"/>
  <c r="AV667" i="1" s="1"/>
  <c r="IC665" i="1" l="1"/>
  <c r="IB665" i="1"/>
  <c r="IA665" i="1"/>
  <c r="HT665" i="1"/>
  <c r="HN665" i="1"/>
  <c r="HF665" i="1"/>
  <c r="HH665" i="1" s="1"/>
  <c r="HJ665" i="1" s="1"/>
  <c r="HO665" i="1" s="1"/>
  <c r="EL665" i="1"/>
  <c r="EU665" i="1" s="1"/>
  <c r="DM665" i="1"/>
  <c r="AH665" i="1" s="1"/>
  <c r="AZ665" i="1"/>
  <c r="BA665" i="1" s="1"/>
  <c r="AR665" i="1"/>
  <c r="AI665" i="1"/>
  <c r="HV665" i="1" l="1"/>
  <c r="AM665" i="1" s="1"/>
  <c r="IE665" i="1"/>
  <c r="IG665" i="1" s="1"/>
  <c r="AN665" i="1" s="1"/>
  <c r="GU665" i="1"/>
  <c r="AK665" i="1" s="1"/>
  <c r="AE665" i="1"/>
  <c r="GS665" i="1"/>
  <c r="GW665" i="1"/>
  <c r="AJ665" i="1" s="1"/>
  <c r="AG665" i="1"/>
  <c r="GX665" i="1" l="1"/>
  <c r="AL665" i="1"/>
  <c r="AQ665" i="1" s="1"/>
  <c r="AV665" i="1" s="1"/>
  <c r="IC663" i="1" l="1"/>
  <c r="IB663" i="1"/>
  <c r="IA663" i="1"/>
  <c r="HT663" i="1"/>
  <c r="HN663" i="1"/>
  <c r="HF663" i="1"/>
  <c r="HH663" i="1" s="1"/>
  <c r="HJ663" i="1" s="1"/>
  <c r="EL663" i="1"/>
  <c r="EU663" i="1" s="1"/>
  <c r="DM663" i="1"/>
  <c r="AH663" i="1" s="1"/>
  <c r="AZ663" i="1"/>
  <c r="BA663" i="1" s="1"/>
  <c r="AR663" i="1"/>
  <c r="AI663" i="1"/>
  <c r="HO663" i="1" l="1"/>
  <c r="HV663" i="1" s="1"/>
  <c r="AM663" i="1" s="1"/>
  <c r="IE663" i="1"/>
  <c r="IG663" i="1" s="1"/>
  <c r="AN663" i="1" s="1"/>
  <c r="GU663" i="1"/>
  <c r="AK663" i="1" s="1"/>
  <c r="GS663" i="1"/>
  <c r="AE663" i="1"/>
  <c r="AG663" i="1"/>
  <c r="GW663" i="1"/>
  <c r="AJ663" i="1" s="1"/>
  <c r="AL663" i="1" l="1"/>
  <c r="AQ663" i="1" s="1"/>
  <c r="AV663" i="1" s="1"/>
  <c r="GX663" i="1"/>
  <c r="IC661" i="1" l="1"/>
  <c r="IB661" i="1"/>
  <c r="IA661" i="1"/>
  <c r="HT661" i="1"/>
  <c r="HN661" i="1"/>
  <c r="HF661" i="1"/>
  <c r="HH661" i="1" s="1"/>
  <c r="HJ661" i="1" s="1"/>
  <c r="EL661" i="1"/>
  <c r="EU661" i="1" s="1"/>
  <c r="DM661" i="1"/>
  <c r="AH661" i="1" s="1"/>
  <c r="AZ661" i="1"/>
  <c r="BA661" i="1" s="1"/>
  <c r="AR661" i="1"/>
  <c r="AI661" i="1"/>
  <c r="HO661" i="1" l="1"/>
  <c r="HV661" i="1" s="1"/>
  <c r="AM661" i="1" s="1"/>
  <c r="IE661" i="1"/>
  <c r="IG661" i="1" s="1"/>
  <c r="AN661" i="1" s="1"/>
  <c r="GS661" i="1"/>
  <c r="GU661" i="1"/>
  <c r="AK661" i="1" s="1"/>
  <c r="AE661" i="1"/>
  <c r="GW661" i="1"/>
  <c r="AJ661" i="1" s="1"/>
  <c r="AG661" i="1"/>
  <c r="GX661" i="1" l="1"/>
  <c r="AL661" i="1"/>
  <c r="AQ661" i="1" s="1"/>
  <c r="AV661" i="1" s="1"/>
  <c r="IC659" i="1" l="1"/>
  <c r="IB659" i="1"/>
  <c r="IA659" i="1"/>
  <c r="HT659" i="1"/>
  <c r="HN659" i="1"/>
  <c r="HF659" i="1"/>
  <c r="HH659" i="1" s="1"/>
  <c r="HJ659" i="1" s="1"/>
  <c r="HO659" i="1" s="1"/>
  <c r="EL659" i="1"/>
  <c r="EU659" i="1" s="1"/>
  <c r="DM659" i="1"/>
  <c r="AH659" i="1" s="1"/>
  <c r="AZ659" i="1"/>
  <c r="BA659" i="1" s="1"/>
  <c r="AR659" i="1"/>
  <c r="AI659" i="1"/>
  <c r="HV659" i="1" l="1"/>
  <c r="AM659" i="1" s="1"/>
  <c r="IE659" i="1"/>
  <c r="IG659" i="1" s="1"/>
  <c r="AN659" i="1" s="1"/>
  <c r="GU659" i="1"/>
  <c r="AK659" i="1" s="1"/>
  <c r="GS659" i="1"/>
  <c r="AE659" i="1"/>
  <c r="GW659" i="1"/>
  <c r="AJ659" i="1" s="1"/>
  <c r="AG659" i="1"/>
  <c r="GX659" i="1" l="1"/>
  <c r="AL659" i="1"/>
  <c r="AQ659" i="1" s="1"/>
  <c r="AV659" i="1" s="1"/>
  <c r="IC657" i="1" l="1"/>
  <c r="IB657" i="1"/>
  <c r="IA657" i="1"/>
  <c r="HT657" i="1"/>
  <c r="HN657" i="1"/>
  <c r="HF657" i="1"/>
  <c r="HH657" i="1" s="1"/>
  <c r="HJ657" i="1" s="1"/>
  <c r="EL657" i="1"/>
  <c r="EU657" i="1" s="1"/>
  <c r="DM657" i="1"/>
  <c r="AH657" i="1" s="1"/>
  <c r="AZ657" i="1"/>
  <c r="BA657" i="1" s="1"/>
  <c r="AR657" i="1"/>
  <c r="AI657" i="1"/>
  <c r="HO657" i="1" l="1"/>
  <c r="HV657" i="1" s="1"/>
  <c r="AM657" i="1" s="1"/>
  <c r="IE657" i="1"/>
  <c r="IG657" i="1" s="1"/>
  <c r="AN657" i="1" s="1"/>
  <c r="GU657" i="1"/>
  <c r="AK657" i="1" s="1"/>
  <c r="GS657" i="1"/>
  <c r="AE657" i="1"/>
  <c r="GW657" i="1"/>
  <c r="AJ657" i="1" s="1"/>
  <c r="AG657" i="1"/>
  <c r="GX657" i="1" l="1"/>
  <c r="AL657" i="1"/>
  <c r="AQ657" i="1" s="1"/>
  <c r="AV657" i="1" s="1"/>
  <c r="IC655" i="1" l="1"/>
  <c r="IB655" i="1"/>
  <c r="IA655" i="1"/>
  <c r="HT655" i="1"/>
  <c r="HN655" i="1"/>
  <c r="HF655" i="1"/>
  <c r="HH655" i="1" s="1"/>
  <c r="HJ655" i="1" s="1"/>
  <c r="EL655" i="1"/>
  <c r="EU655" i="1" s="1"/>
  <c r="DM655" i="1"/>
  <c r="AH655" i="1" s="1"/>
  <c r="AZ655" i="1"/>
  <c r="BA655" i="1" s="1"/>
  <c r="AR655" i="1"/>
  <c r="AI655" i="1"/>
  <c r="HO655" i="1" l="1"/>
  <c r="HV655" i="1" s="1"/>
  <c r="AM655" i="1" s="1"/>
  <c r="IE655" i="1"/>
  <c r="IG655" i="1" s="1"/>
  <c r="AN655" i="1" s="1"/>
  <c r="GU655" i="1"/>
  <c r="AK655" i="1" s="1"/>
  <c r="GS655" i="1"/>
  <c r="AE655" i="1"/>
  <c r="GW655" i="1"/>
  <c r="AJ655" i="1" s="1"/>
  <c r="AG655" i="1"/>
  <c r="GX655" i="1" l="1"/>
  <c r="AL655" i="1"/>
  <c r="AQ655" i="1" s="1"/>
  <c r="AV655" i="1" s="1"/>
  <c r="IC653" i="1" l="1"/>
  <c r="IB653" i="1"/>
  <c r="IA653" i="1"/>
  <c r="HT653" i="1"/>
  <c r="HN653" i="1"/>
  <c r="HF653" i="1"/>
  <c r="HH653" i="1" s="1"/>
  <c r="HJ653" i="1" s="1"/>
  <c r="EL653" i="1"/>
  <c r="EU653" i="1" s="1"/>
  <c r="DM653" i="1"/>
  <c r="AH653" i="1" s="1"/>
  <c r="AZ653" i="1"/>
  <c r="BA653" i="1" s="1"/>
  <c r="AR653" i="1"/>
  <c r="AI653" i="1"/>
  <c r="HO653" i="1" l="1"/>
  <c r="HV653" i="1" s="1"/>
  <c r="AM653" i="1" s="1"/>
  <c r="IE653" i="1"/>
  <c r="IG653" i="1" s="1"/>
  <c r="AN653" i="1" s="1"/>
  <c r="AE653" i="1"/>
  <c r="GU653" i="1"/>
  <c r="AK653" i="1" s="1"/>
  <c r="GS653" i="1"/>
  <c r="GW653" i="1"/>
  <c r="AJ653" i="1" s="1"/>
  <c r="AG653" i="1"/>
  <c r="GX653" i="1" l="1"/>
  <c r="AL653" i="1"/>
  <c r="AQ653" i="1" s="1"/>
  <c r="AV653" i="1" s="1"/>
  <c r="IC651" i="1" l="1"/>
  <c r="IB651" i="1"/>
  <c r="IA651" i="1"/>
  <c r="HT651" i="1"/>
  <c r="HN651" i="1"/>
  <c r="HF651" i="1"/>
  <c r="HH651" i="1" s="1"/>
  <c r="HJ651" i="1" s="1"/>
  <c r="HO651" i="1" s="1"/>
  <c r="EL651" i="1"/>
  <c r="EU651" i="1" s="1"/>
  <c r="DM651" i="1"/>
  <c r="AH651" i="1" s="1"/>
  <c r="AZ651" i="1"/>
  <c r="BA651" i="1" s="1"/>
  <c r="AR651" i="1"/>
  <c r="AI651" i="1"/>
  <c r="HV651" i="1" l="1"/>
  <c r="AM651" i="1" s="1"/>
  <c r="IE651" i="1"/>
  <c r="IG651" i="1" s="1"/>
  <c r="AN651" i="1" s="1"/>
  <c r="GU651" i="1"/>
  <c r="AK651" i="1" s="1"/>
  <c r="GS651" i="1"/>
  <c r="AE651" i="1"/>
  <c r="GW651" i="1"/>
  <c r="AJ651" i="1" s="1"/>
  <c r="AG651" i="1"/>
  <c r="GX651" i="1" l="1"/>
  <c r="AL651" i="1"/>
  <c r="AQ651" i="1" s="1"/>
  <c r="AV651" i="1" s="1"/>
  <c r="IC649" i="1" l="1"/>
  <c r="IB649" i="1"/>
  <c r="IA649" i="1"/>
  <c r="HN649" i="1"/>
  <c r="HF649" i="1"/>
  <c r="HH649" i="1" s="1"/>
  <c r="HJ649" i="1" s="1"/>
  <c r="EL649" i="1"/>
  <c r="EU649" i="1" s="1"/>
  <c r="DM649" i="1"/>
  <c r="AH649" i="1" s="1"/>
  <c r="AZ649" i="1"/>
  <c r="BA649" i="1" s="1"/>
  <c r="AR649" i="1"/>
  <c r="AI649" i="1"/>
  <c r="HO649" i="1" l="1"/>
  <c r="HV649" i="1" s="1"/>
  <c r="AM649" i="1" s="1"/>
  <c r="IE649" i="1"/>
  <c r="IG649" i="1" s="1"/>
  <c r="AN649" i="1" s="1"/>
  <c r="GU649" i="1"/>
  <c r="AK649" i="1" s="1"/>
  <c r="GS649" i="1"/>
  <c r="AE649" i="1"/>
  <c r="GW649" i="1"/>
  <c r="AJ649" i="1" s="1"/>
  <c r="AG649" i="1"/>
  <c r="AL649" i="1" l="1"/>
  <c r="AQ649" i="1" s="1"/>
  <c r="AV649" i="1" s="1"/>
  <c r="GX649" i="1"/>
  <c r="IC647" i="1" l="1"/>
  <c r="IB647" i="1"/>
  <c r="IA647" i="1"/>
  <c r="HN647" i="1"/>
  <c r="HF647" i="1"/>
  <c r="HH647" i="1" s="1"/>
  <c r="HJ647" i="1" s="1"/>
  <c r="EL647" i="1"/>
  <c r="EU647" i="1" s="1"/>
  <c r="DM647" i="1"/>
  <c r="AH647" i="1" s="1"/>
  <c r="AZ647" i="1"/>
  <c r="BA647" i="1" s="1"/>
  <c r="AU647" i="1"/>
  <c r="AR647" i="1"/>
  <c r="AI647" i="1"/>
  <c r="HO647" i="1" l="1"/>
  <c r="HV647" i="1" s="1"/>
  <c r="AM647" i="1" s="1"/>
  <c r="IE647" i="1"/>
  <c r="IG647" i="1" s="1"/>
  <c r="AN647" i="1" s="1"/>
  <c r="GU647" i="1"/>
  <c r="AK647" i="1" s="1"/>
  <c r="GS647" i="1"/>
  <c r="AE647" i="1"/>
  <c r="GW647" i="1"/>
  <c r="AJ647" i="1" s="1"/>
  <c r="AG647" i="1"/>
  <c r="GX647" i="1" l="1"/>
  <c r="AL647" i="1"/>
  <c r="AQ647" i="1" s="1"/>
  <c r="AV647" i="1" s="1"/>
  <c r="IC645" i="1" l="1"/>
  <c r="IB645" i="1"/>
  <c r="IA645" i="1"/>
  <c r="HN645" i="1"/>
  <c r="HF645" i="1"/>
  <c r="HH645" i="1" s="1"/>
  <c r="HJ645" i="1" s="1"/>
  <c r="EL645" i="1"/>
  <c r="EU645" i="1" s="1"/>
  <c r="DM645" i="1"/>
  <c r="AH645" i="1" s="1"/>
  <c r="AZ645" i="1"/>
  <c r="BA645" i="1" s="1"/>
  <c r="AU645" i="1"/>
  <c r="AR645" i="1"/>
  <c r="AI645" i="1"/>
  <c r="HO645" i="1" l="1"/>
  <c r="HV645" i="1" s="1"/>
  <c r="AM645" i="1" s="1"/>
  <c r="IE645" i="1"/>
  <c r="IG645" i="1" s="1"/>
  <c r="AN645" i="1" s="1"/>
  <c r="GW645" i="1"/>
  <c r="AJ645" i="1" s="1"/>
  <c r="AG645" i="1"/>
  <c r="GS645" i="1"/>
  <c r="AE645" i="1"/>
  <c r="GU645" i="1"/>
  <c r="AK645" i="1" s="1"/>
  <c r="AL645" i="1" l="1"/>
  <c r="AQ645" i="1" s="1"/>
  <c r="AV645" i="1" s="1"/>
  <c r="GX645" i="1"/>
  <c r="IC643" i="1" l="1"/>
  <c r="IB643" i="1"/>
  <c r="IA643" i="1"/>
  <c r="HN643" i="1"/>
  <c r="HF643" i="1"/>
  <c r="HH643" i="1" s="1"/>
  <c r="HJ643" i="1" s="1"/>
  <c r="EL643" i="1"/>
  <c r="EU643" i="1" s="1"/>
  <c r="DM643" i="1"/>
  <c r="AH643" i="1" s="1"/>
  <c r="AZ643" i="1"/>
  <c r="BA643" i="1" s="1"/>
  <c r="AU643" i="1"/>
  <c r="AR643" i="1"/>
  <c r="AI643" i="1"/>
  <c r="HO643" i="1" l="1"/>
  <c r="HV643" i="1" s="1"/>
  <c r="AM643" i="1" s="1"/>
  <c r="IE643" i="1"/>
  <c r="IG643" i="1" s="1"/>
  <c r="AN643" i="1" s="1"/>
  <c r="GU643" i="1"/>
  <c r="AK643" i="1" s="1"/>
  <c r="GS643" i="1"/>
  <c r="AE643" i="1"/>
  <c r="GW643" i="1"/>
  <c r="AJ643" i="1" s="1"/>
  <c r="AG643" i="1"/>
  <c r="AL643" i="1" l="1"/>
  <c r="AQ643" i="1" s="1"/>
  <c r="AV643" i="1" s="1"/>
  <c r="GX643" i="1"/>
  <c r="IC641" i="1" l="1"/>
  <c r="IB641" i="1"/>
  <c r="IA641" i="1"/>
  <c r="HT641" i="1"/>
  <c r="HN641" i="1"/>
  <c r="HF641" i="1"/>
  <c r="HH641" i="1" s="1"/>
  <c r="HJ641" i="1" s="1"/>
  <c r="EL641" i="1"/>
  <c r="EU641" i="1" s="1"/>
  <c r="DM641" i="1"/>
  <c r="AH641" i="1" s="1"/>
  <c r="AZ641" i="1"/>
  <c r="BA641" i="1" s="1"/>
  <c r="AR641" i="1"/>
  <c r="AI641" i="1"/>
  <c r="HO641" i="1" l="1"/>
  <c r="HV641" i="1" s="1"/>
  <c r="AM641" i="1" s="1"/>
  <c r="IE641" i="1"/>
  <c r="IG641" i="1" s="1"/>
  <c r="AN641" i="1" s="1"/>
  <c r="GU641" i="1"/>
  <c r="AK641" i="1" s="1"/>
  <c r="GS641" i="1"/>
  <c r="AE641" i="1"/>
  <c r="GW641" i="1"/>
  <c r="AJ641" i="1" s="1"/>
  <c r="AG641" i="1"/>
  <c r="GX641" i="1" l="1"/>
  <c r="AL641" i="1"/>
  <c r="AQ641" i="1" s="1"/>
  <c r="AV641" i="1" s="1"/>
  <c r="IC639" i="1" l="1"/>
  <c r="IB639" i="1"/>
  <c r="IA639" i="1"/>
  <c r="HT639" i="1"/>
  <c r="HN639" i="1"/>
  <c r="HF639" i="1"/>
  <c r="HH639" i="1" s="1"/>
  <c r="HJ639" i="1" s="1"/>
  <c r="HO639" i="1" s="1"/>
  <c r="EL639" i="1"/>
  <c r="EU639" i="1" s="1"/>
  <c r="DM639" i="1"/>
  <c r="AH639" i="1" s="1"/>
  <c r="AZ639" i="1"/>
  <c r="BA639" i="1" s="1"/>
  <c r="AR639" i="1"/>
  <c r="AI639" i="1"/>
  <c r="HV639" i="1" l="1"/>
  <c r="AM639" i="1" s="1"/>
  <c r="IE639" i="1"/>
  <c r="IG639" i="1" s="1"/>
  <c r="AN639" i="1" s="1"/>
  <c r="GU639" i="1"/>
  <c r="AK639" i="1" s="1"/>
  <c r="GS639" i="1"/>
  <c r="AE639" i="1"/>
  <c r="GW639" i="1"/>
  <c r="AJ639" i="1" s="1"/>
  <c r="AG639" i="1"/>
  <c r="AL639" i="1" l="1"/>
  <c r="AQ639" i="1" s="1"/>
  <c r="AV639" i="1" s="1"/>
  <c r="GX639" i="1"/>
  <c r="IC637" i="1" l="1"/>
  <c r="IB637" i="1"/>
  <c r="IA637" i="1"/>
  <c r="HN637" i="1"/>
  <c r="HF637" i="1"/>
  <c r="HH637" i="1" s="1"/>
  <c r="HJ637" i="1" s="1"/>
  <c r="EL637" i="1"/>
  <c r="EU637" i="1" s="1"/>
  <c r="DM637" i="1"/>
  <c r="AH637" i="1" s="1"/>
  <c r="AZ637" i="1"/>
  <c r="BA637" i="1" s="1"/>
  <c r="AE637" i="1" s="1"/>
  <c r="AR637" i="1"/>
  <c r="AI637" i="1"/>
  <c r="HO637" i="1" l="1"/>
  <c r="HV637" i="1" s="1"/>
  <c r="AM637" i="1" s="1"/>
  <c r="IE637" i="1"/>
  <c r="IG637" i="1" s="1"/>
  <c r="AN637" i="1" s="1"/>
  <c r="GW637" i="1"/>
  <c r="AJ637" i="1" s="1"/>
  <c r="AG637" i="1"/>
  <c r="GS637" i="1"/>
  <c r="GU637" i="1"/>
  <c r="AK637" i="1" s="1"/>
  <c r="GX637" i="1" l="1"/>
  <c r="AL637" i="1"/>
  <c r="AQ637" i="1" s="1"/>
  <c r="AV637" i="1" s="1"/>
  <c r="IC635" i="1" l="1"/>
  <c r="IB635" i="1"/>
  <c r="IA635" i="1"/>
  <c r="HN635" i="1"/>
  <c r="HF635" i="1"/>
  <c r="HH635" i="1" s="1"/>
  <c r="HJ635" i="1" s="1"/>
  <c r="EL635" i="1"/>
  <c r="EU635" i="1" s="1"/>
  <c r="DM635" i="1"/>
  <c r="AH635" i="1" s="1"/>
  <c r="AZ635" i="1"/>
  <c r="BA635" i="1" s="1"/>
  <c r="AR635" i="1"/>
  <c r="AI635" i="1"/>
  <c r="HO635" i="1" l="1"/>
  <c r="HV635" i="1" s="1"/>
  <c r="AM635" i="1" s="1"/>
  <c r="IE635" i="1"/>
  <c r="IG635" i="1" s="1"/>
  <c r="AN635" i="1" s="1"/>
  <c r="GS635" i="1"/>
  <c r="AE635" i="1"/>
  <c r="GU635" i="1"/>
  <c r="AK635" i="1" s="1"/>
  <c r="AG635" i="1"/>
  <c r="GW635" i="1"/>
  <c r="AJ635" i="1" s="1"/>
  <c r="GX635" i="1" l="1"/>
  <c r="AL635" i="1"/>
  <c r="AQ635" i="1" s="1"/>
  <c r="AV635" i="1" s="1"/>
  <c r="IC633" i="1" l="1"/>
  <c r="IB633" i="1"/>
  <c r="IA633" i="1"/>
  <c r="HT633" i="1"/>
  <c r="HN633" i="1"/>
  <c r="HF633" i="1"/>
  <c r="HH633" i="1" s="1"/>
  <c r="HJ633" i="1" s="1"/>
  <c r="HO633" i="1" s="1"/>
  <c r="FA633" i="1"/>
  <c r="EL633" i="1"/>
  <c r="EU633" i="1" s="1"/>
  <c r="CH633" i="1"/>
  <c r="DM633" i="1" s="1"/>
  <c r="AZ633" i="1"/>
  <c r="BA633" i="1" s="1"/>
  <c r="AE633" i="1" s="1"/>
  <c r="AR633" i="1"/>
  <c r="HV633" i="1" l="1"/>
  <c r="AM633" i="1" s="1"/>
  <c r="IE633" i="1"/>
  <c r="IG633" i="1" s="1"/>
  <c r="AN633" i="1" s="1"/>
  <c r="AH633" i="1"/>
  <c r="DO633" i="1"/>
  <c r="AI633" i="1" s="1"/>
  <c r="GW633" i="1"/>
  <c r="AJ633" i="1" s="1"/>
  <c r="AG633" i="1"/>
  <c r="GS633" i="1"/>
  <c r="GU633" i="1"/>
  <c r="AK633" i="1" s="1"/>
  <c r="GX633" i="1" l="1"/>
  <c r="AL633" i="1"/>
  <c r="AQ633" i="1" s="1"/>
  <c r="AV633" i="1" s="1"/>
  <c r="DP633" i="1"/>
  <c r="IC631" i="1" l="1"/>
  <c r="IB631" i="1"/>
  <c r="IA631" i="1"/>
  <c r="HT631" i="1"/>
  <c r="HN631" i="1"/>
  <c r="HF631" i="1"/>
  <c r="HH631" i="1" s="1"/>
  <c r="HJ631" i="1" s="1"/>
  <c r="FA631" i="1"/>
  <c r="EL631" i="1"/>
  <c r="EU631" i="1" s="1"/>
  <c r="CH631" i="1"/>
  <c r="DM631" i="1" s="1"/>
  <c r="AZ631" i="1"/>
  <c r="BA631" i="1" s="1"/>
  <c r="AE631" i="1" s="1"/>
  <c r="AR631" i="1"/>
  <c r="HO631" i="1" l="1"/>
  <c r="HV631" i="1" s="1"/>
  <c r="AM631" i="1" s="1"/>
  <c r="IE631" i="1"/>
  <c r="IG631" i="1" s="1"/>
  <c r="AN631" i="1" s="1"/>
  <c r="DO631" i="1"/>
  <c r="AI631" i="1" s="1"/>
  <c r="AH631" i="1"/>
  <c r="GW631" i="1"/>
  <c r="AJ631" i="1" s="1"/>
  <c r="AG631" i="1"/>
  <c r="GU631" i="1"/>
  <c r="AK631" i="1" s="1"/>
  <c r="GS631" i="1"/>
  <c r="DP631" i="1" l="1"/>
  <c r="GX631" i="1"/>
  <c r="AL631" i="1"/>
  <c r="AQ631" i="1" s="1"/>
  <c r="AV631" i="1" s="1"/>
  <c r="IC629" i="1" l="1"/>
  <c r="IB629" i="1"/>
  <c r="IA629" i="1"/>
  <c r="HT629" i="1"/>
  <c r="HN629" i="1"/>
  <c r="HF629" i="1"/>
  <c r="HH629" i="1" s="1"/>
  <c r="HJ629" i="1" s="1"/>
  <c r="EL629" i="1"/>
  <c r="EU629" i="1" s="1"/>
  <c r="CH629" i="1"/>
  <c r="DM629" i="1" s="1"/>
  <c r="AZ629" i="1"/>
  <c r="BA629" i="1" s="1"/>
  <c r="AR629" i="1"/>
  <c r="HO629" i="1" l="1"/>
  <c r="HV629" i="1" s="1"/>
  <c r="AM629" i="1" s="1"/>
  <c r="IE629" i="1"/>
  <c r="IG629" i="1" s="1"/>
  <c r="AN629" i="1" s="1"/>
  <c r="GU629" i="1"/>
  <c r="AK629" i="1" s="1"/>
  <c r="GS629" i="1"/>
  <c r="AE629" i="1"/>
  <c r="DO629" i="1"/>
  <c r="AI629" i="1" s="1"/>
  <c r="AH629" i="1"/>
  <c r="GW629" i="1"/>
  <c r="AJ629" i="1" s="1"/>
  <c r="AG629" i="1"/>
  <c r="DP629" i="1" l="1"/>
  <c r="GX629" i="1"/>
  <c r="AL629" i="1"/>
  <c r="AQ629" i="1" s="1"/>
  <c r="AV629" i="1" s="1"/>
  <c r="IC627" i="1" l="1"/>
  <c r="IB627" i="1"/>
  <c r="IA627" i="1"/>
  <c r="HN627" i="1"/>
  <c r="HF627" i="1"/>
  <c r="HH627" i="1" s="1"/>
  <c r="HJ627" i="1" s="1"/>
  <c r="EL627" i="1"/>
  <c r="EU627" i="1" s="1"/>
  <c r="DM627" i="1"/>
  <c r="AH627" i="1" s="1"/>
  <c r="AZ627" i="1"/>
  <c r="BA627" i="1" s="1"/>
  <c r="AU627" i="1"/>
  <c r="AR627" i="1"/>
  <c r="AI627" i="1"/>
  <c r="HO627" i="1" l="1"/>
  <c r="HV627" i="1" s="1"/>
  <c r="AM627" i="1" s="1"/>
  <c r="IE627" i="1"/>
  <c r="IG627" i="1" s="1"/>
  <c r="AN627" i="1" s="1"/>
  <c r="GU627" i="1"/>
  <c r="AK627" i="1" s="1"/>
  <c r="GS627" i="1"/>
  <c r="AE627" i="1"/>
  <c r="GW627" i="1"/>
  <c r="AJ627" i="1" s="1"/>
  <c r="AG627" i="1"/>
  <c r="GX627" i="1" l="1"/>
  <c r="AL627" i="1"/>
  <c r="AQ627" i="1" s="1"/>
  <c r="AV627" i="1" s="1"/>
  <c r="IC625" i="1" l="1"/>
  <c r="IB625" i="1"/>
  <c r="IA625" i="1"/>
  <c r="HT625" i="1"/>
  <c r="HN625" i="1"/>
  <c r="HF625" i="1"/>
  <c r="HH625" i="1" s="1"/>
  <c r="HJ625" i="1" s="1"/>
  <c r="EL625" i="1"/>
  <c r="EU625" i="1" s="1"/>
  <c r="DM625" i="1"/>
  <c r="AH625" i="1" s="1"/>
  <c r="AZ625" i="1"/>
  <c r="BA625" i="1" s="1"/>
  <c r="AR625" i="1"/>
  <c r="AI625" i="1"/>
  <c r="HO625" i="1" l="1"/>
  <c r="HV625" i="1" s="1"/>
  <c r="AM625" i="1" s="1"/>
  <c r="IE625" i="1"/>
  <c r="IG625" i="1" s="1"/>
  <c r="AN625" i="1" s="1"/>
  <c r="AE625" i="1"/>
  <c r="GU625" i="1"/>
  <c r="AK625" i="1" s="1"/>
  <c r="GS625" i="1"/>
  <c r="AG625" i="1"/>
  <c r="GW625" i="1"/>
  <c r="AJ625" i="1" s="1"/>
  <c r="GX625" i="1" l="1"/>
  <c r="AL625" i="1"/>
  <c r="AQ625" i="1" s="1"/>
  <c r="AV625" i="1" s="1"/>
  <c r="IC623" i="1" l="1"/>
  <c r="IB623" i="1"/>
  <c r="IA623" i="1"/>
  <c r="HT623" i="1"/>
  <c r="HN623" i="1"/>
  <c r="HF623" i="1"/>
  <c r="HH623" i="1" s="1"/>
  <c r="HJ623" i="1" s="1"/>
  <c r="EL623" i="1"/>
  <c r="EU623" i="1" s="1"/>
  <c r="DM623" i="1"/>
  <c r="AH623" i="1" s="1"/>
  <c r="AZ623" i="1"/>
  <c r="BA623" i="1" s="1"/>
  <c r="AR623" i="1"/>
  <c r="AI623" i="1"/>
  <c r="HO623" i="1" l="1"/>
  <c r="HV623" i="1" s="1"/>
  <c r="AM623" i="1" s="1"/>
  <c r="IE623" i="1"/>
  <c r="IG623" i="1" s="1"/>
  <c r="AN623" i="1" s="1"/>
  <c r="AE623" i="1"/>
  <c r="GU623" i="1"/>
  <c r="AK623" i="1" s="1"/>
  <c r="GS623" i="1"/>
  <c r="AG623" i="1"/>
  <c r="GW623" i="1"/>
  <c r="AJ623" i="1" s="1"/>
  <c r="GX623" i="1" l="1"/>
  <c r="AL623" i="1"/>
  <c r="AQ623" i="1" s="1"/>
  <c r="AV623" i="1" s="1"/>
  <c r="IC621" i="1" l="1"/>
  <c r="IB621" i="1"/>
  <c r="IA621" i="1"/>
  <c r="HT621" i="1"/>
  <c r="HN621" i="1"/>
  <c r="HF621" i="1"/>
  <c r="HH621" i="1" s="1"/>
  <c r="HJ621" i="1" s="1"/>
  <c r="EL621" i="1"/>
  <c r="EU621" i="1" s="1"/>
  <c r="CH621" i="1"/>
  <c r="DM621" i="1" s="1"/>
  <c r="AZ621" i="1"/>
  <c r="BA621" i="1" s="1"/>
  <c r="AR621" i="1"/>
  <c r="HO621" i="1" l="1"/>
  <c r="HV621" i="1" s="1"/>
  <c r="AM621" i="1" s="1"/>
  <c r="IE621" i="1"/>
  <c r="IG621" i="1" s="1"/>
  <c r="AN621" i="1" s="1"/>
  <c r="GU621" i="1"/>
  <c r="AK621" i="1" s="1"/>
  <c r="GS621" i="1"/>
  <c r="AE621" i="1"/>
  <c r="DO621" i="1"/>
  <c r="AI621" i="1" s="1"/>
  <c r="AH621" i="1"/>
  <c r="GW621" i="1"/>
  <c r="AJ621" i="1" s="1"/>
  <c r="AG621" i="1"/>
  <c r="DP621" i="1" l="1"/>
  <c r="GX621" i="1"/>
  <c r="AL621" i="1"/>
  <c r="AQ621" i="1" s="1"/>
  <c r="AV621" i="1" s="1"/>
  <c r="IC619" i="1" l="1"/>
  <c r="IB619" i="1"/>
  <c r="IA619" i="1"/>
  <c r="HN619" i="1"/>
  <c r="HF619" i="1"/>
  <c r="HH619" i="1" s="1"/>
  <c r="HJ619" i="1" s="1"/>
  <c r="EL619" i="1"/>
  <c r="EU619" i="1" s="1"/>
  <c r="DM619" i="1"/>
  <c r="AH619" i="1" s="1"/>
  <c r="AZ619" i="1"/>
  <c r="BA619" i="1" s="1"/>
  <c r="AU619" i="1"/>
  <c r="AR619" i="1"/>
  <c r="AI619" i="1"/>
  <c r="IE619" i="1" l="1"/>
  <c r="IG619" i="1" s="1"/>
  <c r="AN619" i="1" s="1"/>
  <c r="HO619" i="1"/>
  <c r="HV619" i="1" s="1"/>
  <c r="AM619" i="1" s="1"/>
  <c r="GU619" i="1"/>
  <c r="AK619" i="1" s="1"/>
  <c r="GS619" i="1"/>
  <c r="AE619" i="1"/>
  <c r="GW619" i="1"/>
  <c r="AJ619" i="1" s="1"/>
  <c r="AG619" i="1"/>
  <c r="AL619" i="1" l="1"/>
  <c r="AQ619" i="1" s="1"/>
  <c r="AV619" i="1" s="1"/>
  <c r="GX619" i="1"/>
  <c r="IC618" i="1" l="1"/>
  <c r="IB618" i="1"/>
  <c r="IA618" i="1"/>
  <c r="HN618" i="1"/>
  <c r="HF618" i="1"/>
  <c r="HH618" i="1" s="1"/>
  <c r="HJ618" i="1" s="1"/>
  <c r="EL618" i="1"/>
  <c r="EU618" i="1" s="1"/>
  <c r="DM618" i="1"/>
  <c r="AH618" i="1" s="1"/>
  <c r="AZ618" i="1"/>
  <c r="BA618" i="1" s="1"/>
  <c r="AU618" i="1"/>
  <c r="AR618" i="1"/>
  <c r="AI618" i="1"/>
  <c r="HO618" i="1" l="1"/>
  <c r="HV618" i="1" s="1"/>
  <c r="AM618" i="1" s="1"/>
  <c r="IE618" i="1"/>
  <c r="IG618" i="1" s="1"/>
  <c r="AN618" i="1" s="1"/>
  <c r="GU618" i="1"/>
  <c r="AK618" i="1" s="1"/>
  <c r="GS618" i="1"/>
  <c r="AE618" i="1"/>
  <c r="GW618" i="1"/>
  <c r="AJ618" i="1" s="1"/>
  <c r="AG618" i="1"/>
  <c r="AL618" i="1" l="1"/>
  <c r="AQ618" i="1" s="1"/>
  <c r="AV618" i="1" s="1"/>
  <c r="GX618" i="1"/>
  <c r="IC617" i="1"/>
  <c r="IB617" i="1"/>
  <c r="IA617" i="1"/>
  <c r="HN617" i="1"/>
  <c r="HF617" i="1"/>
  <c r="HH617" i="1" s="1"/>
  <c r="HJ617" i="1" s="1"/>
  <c r="EL617" i="1"/>
  <c r="EU617" i="1" s="1"/>
  <c r="DM617" i="1"/>
  <c r="AH617" i="1" s="1"/>
  <c r="AZ617" i="1"/>
  <c r="BA617" i="1" s="1"/>
  <c r="AU617" i="1"/>
  <c r="AI617" i="1"/>
  <c r="HO617" i="1" l="1"/>
  <c r="HV617" i="1" s="1"/>
  <c r="AM617" i="1" s="1"/>
  <c r="IE617" i="1"/>
  <c r="IG617" i="1" s="1"/>
  <c r="AN617" i="1" s="1"/>
  <c r="GU617" i="1"/>
  <c r="AK617" i="1" s="1"/>
  <c r="GS617" i="1"/>
  <c r="AE617" i="1"/>
  <c r="GW617" i="1"/>
  <c r="AJ617" i="1" s="1"/>
  <c r="AG617" i="1"/>
  <c r="IJ617" i="1" l="1"/>
  <c r="AR617" i="1" s="1"/>
  <c r="GX617" i="1"/>
  <c r="AL617" i="1"/>
  <c r="AQ617" i="1" s="1"/>
  <c r="AV617" i="1" l="1"/>
  <c r="IC616" i="1"/>
  <c r="IB616" i="1"/>
  <c r="IA616" i="1"/>
  <c r="HN616" i="1"/>
  <c r="HF616" i="1"/>
  <c r="HH616" i="1" s="1"/>
  <c r="HJ616" i="1" s="1"/>
  <c r="EL616" i="1"/>
  <c r="EU616" i="1" s="1"/>
  <c r="DM616" i="1"/>
  <c r="AH616" i="1" s="1"/>
  <c r="AZ616" i="1"/>
  <c r="BA616" i="1" s="1"/>
  <c r="AR616" i="1"/>
  <c r="AI616" i="1"/>
  <c r="HO616" i="1" l="1"/>
  <c r="HV616" i="1" s="1"/>
  <c r="AM616" i="1" s="1"/>
  <c r="IE616" i="1"/>
  <c r="IG616" i="1" s="1"/>
  <c r="AN616" i="1" s="1"/>
  <c r="GS616" i="1"/>
  <c r="AE616" i="1"/>
  <c r="GU616" i="1"/>
  <c r="AK616" i="1" s="1"/>
  <c r="AG616" i="1"/>
  <c r="GW616" i="1"/>
  <c r="AJ616" i="1" s="1"/>
  <c r="GX616" i="1" l="1"/>
  <c r="AL616" i="1"/>
  <c r="AQ616" i="1" s="1"/>
  <c r="AV616" i="1" s="1"/>
  <c r="IC615" i="1" l="1"/>
  <c r="IB615" i="1"/>
  <c r="IA615" i="1"/>
  <c r="HN615" i="1"/>
  <c r="HF615" i="1"/>
  <c r="HH615" i="1" s="1"/>
  <c r="HJ615" i="1" s="1"/>
  <c r="EL615" i="1"/>
  <c r="EU615" i="1" s="1"/>
  <c r="DM615" i="1"/>
  <c r="AH615" i="1" s="1"/>
  <c r="AZ615" i="1"/>
  <c r="BA615" i="1" s="1"/>
  <c r="AR615" i="1"/>
  <c r="AI615" i="1"/>
  <c r="HO615" i="1" l="1"/>
  <c r="HV615" i="1" s="1"/>
  <c r="AM615" i="1" s="1"/>
  <c r="IE615" i="1"/>
  <c r="IG615" i="1" s="1"/>
  <c r="AN615" i="1" s="1"/>
  <c r="GU615" i="1"/>
  <c r="AK615" i="1" s="1"/>
  <c r="GS615" i="1"/>
  <c r="AE615" i="1"/>
  <c r="GW615" i="1"/>
  <c r="AJ615" i="1" s="1"/>
  <c r="AG615" i="1"/>
  <c r="AL615" i="1" l="1"/>
  <c r="AQ615" i="1" s="1"/>
  <c r="AV615" i="1" s="1"/>
  <c r="GX615" i="1"/>
  <c r="IC614" i="1" l="1"/>
  <c r="IB614" i="1"/>
  <c r="IA614" i="1"/>
  <c r="HT614" i="1"/>
  <c r="HN614" i="1"/>
  <c r="HF614" i="1"/>
  <c r="HH614" i="1" s="1"/>
  <c r="HJ614" i="1" s="1"/>
  <c r="EL614" i="1"/>
  <c r="EU614" i="1" s="1"/>
  <c r="CH614" i="1"/>
  <c r="DM614" i="1" s="1"/>
  <c r="AH614" i="1" s="1"/>
  <c r="AZ614" i="1"/>
  <c r="BA614" i="1" s="1"/>
  <c r="AR614" i="1"/>
  <c r="AI614" i="1"/>
  <c r="HO614" i="1" l="1"/>
  <c r="HV614" i="1" s="1"/>
  <c r="AM614" i="1" s="1"/>
  <c r="IE614" i="1"/>
  <c r="IG614" i="1" s="1"/>
  <c r="AN614" i="1" s="1"/>
  <c r="GU614" i="1"/>
  <c r="AK614" i="1" s="1"/>
  <c r="GS614" i="1"/>
  <c r="AE614" i="1"/>
  <c r="GW614" i="1"/>
  <c r="AJ614" i="1" s="1"/>
  <c r="AG614" i="1"/>
  <c r="GX614" i="1" l="1"/>
  <c r="AL614" i="1"/>
  <c r="AQ614" i="1" s="1"/>
  <c r="AV614" i="1" s="1"/>
  <c r="IC613" i="1" l="1"/>
  <c r="IB613" i="1"/>
  <c r="IA613" i="1"/>
  <c r="HT613" i="1"/>
  <c r="HN613" i="1"/>
  <c r="HF613" i="1"/>
  <c r="HH613" i="1" s="1"/>
  <c r="HJ613" i="1" s="1"/>
  <c r="EL613" i="1"/>
  <c r="EU613" i="1" s="1"/>
  <c r="CH613" i="1"/>
  <c r="DM613" i="1" s="1"/>
  <c r="AH613" i="1" s="1"/>
  <c r="AZ613" i="1"/>
  <c r="BA613" i="1" s="1"/>
  <c r="AR613" i="1"/>
  <c r="AI613" i="1"/>
  <c r="HO613" i="1" l="1"/>
  <c r="HV613" i="1" s="1"/>
  <c r="AM613" i="1" s="1"/>
  <c r="IE613" i="1"/>
  <c r="IG613" i="1" s="1"/>
  <c r="AN613" i="1" s="1"/>
  <c r="GU613" i="1"/>
  <c r="AK613" i="1" s="1"/>
  <c r="GS613" i="1"/>
  <c r="AE613" i="1"/>
  <c r="GW613" i="1"/>
  <c r="AJ613" i="1" s="1"/>
  <c r="AG613" i="1"/>
  <c r="GX613" i="1" l="1"/>
  <c r="AL613" i="1"/>
  <c r="AQ613" i="1" s="1"/>
  <c r="AV613" i="1" s="1"/>
  <c r="IC612" i="1" l="1"/>
  <c r="IB612" i="1"/>
  <c r="IA612" i="1"/>
  <c r="HN612" i="1"/>
  <c r="HF612" i="1"/>
  <c r="HH612" i="1" s="1"/>
  <c r="HJ612" i="1" s="1"/>
  <c r="EL612" i="1"/>
  <c r="EU612" i="1" s="1"/>
  <c r="DM612" i="1"/>
  <c r="AH612" i="1" s="1"/>
  <c r="AZ612" i="1"/>
  <c r="BA612" i="1" s="1"/>
  <c r="AR612" i="1"/>
  <c r="AI612" i="1"/>
  <c r="HO612" i="1" l="1"/>
  <c r="HV612" i="1" s="1"/>
  <c r="AM612" i="1" s="1"/>
  <c r="IE612" i="1"/>
  <c r="IG612" i="1" s="1"/>
  <c r="AN612" i="1" s="1"/>
  <c r="GU612" i="1"/>
  <c r="AK612" i="1" s="1"/>
  <c r="GS612" i="1"/>
  <c r="AE612" i="1"/>
  <c r="GW612" i="1"/>
  <c r="AJ612" i="1" s="1"/>
  <c r="AG612" i="1"/>
  <c r="AL612" i="1" l="1"/>
  <c r="AQ612" i="1" s="1"/>
  <c r="AV612" i="1" s="1"/>
  <c r="GX612" i="1"/>
  <c r="IC611" i="1" l="1"/>
  <c r="IB611" i="1"/>
  <c r="IA611" i="1"/>
  <c r="HN611" i="1"/>
  <c r="HF611" i="1"/>
  <c r="HH611" i="1" s="1"/>
  <c r="HJ611" i="1" s="1"/>
  <c r="EL611" i="1"/>
  <c r="EU611" i="1" s="1"/>
  <c r="CH611" i="1"/>
  <c r="DM611" i="1" s="1"/>
  <c r="AZ611" i="1"/>
  <c r="BA611" i="1" s="1"/>
  <c r="AU611" i="1"/>
  <c r="AR611" i="1"/>
  <c r="HO611" i="1" l="1"/>
  <c r="HV611" i="1" s="1"/>
  <c r="AM611" i="1" s="1"/>
  <c r="IE611" i="1"/>
  <c r="IG611" i="1" s="1"/>
  <c r="AN611" i="1" s="1"/>
  <c r="GS611" i="1"/>
  <c r="AE611" i="1"/>
  <c r="GU611" i="1"/>
  <c r="AK611" i="1" s="1"/>
  <c r="DO611" i="1"/>
  <c r="AI611" i="1" s="1"/>
  <c r="AH611" i="1"/>
  <c r="GW611" i="1"/>
  <c r="AJ611" i="1" s="1"/>
  <c r="AG611" i="1"/>
  <c r="DP611" i="1" l="1"/>
  <c r="AL611" i="1"/>
  <c r="AQ611" i="1" s="1"/>
  <c r="AV611" i="1" s="1"/>
  <c r="GX611" i="1"/>
  <c r="IC610" i="1" l="1"/>
  <c r="IB610" i="1"/>
  <c r="IA610" i="1"/>
  <c r="HN610" i="1"/>
  <c r="HF610" i="1"/>
  <c r="HH610" i="1" s="1"/>
  <c r="HJ610" i="1" s="1"/>
  <c r="EL610" i="1"/>
  <c r="EU610" i="1" s="1"/>
  <c r="CH610" i="1"/>
  <c r="DM610" i="1" s="1"/>
  <c r="AH610" i="1" s="1"/>
  <c r="AZ610" i="1"/>
  <c r="BA610" i="1" s="1"/>
  <c r="AU610" i="1"/>
  <c r="AR610" i="1"/>
  <c r="AI610" i="1"/>
  <c r="IE610" i="1" l="1"/>
  <c r="IG610" i="1" s="1"/>
  <c r="AN610" i="1" s="1"/>
  <c r="HO610" i="1"/>
  <c r="HV610" i="1" s="1"/>
  <c r="AM610" i="1" s="1"/>
  <c r="GU610" i="1"/>
  <c r="AK610" i="1" s="1"/>
  <c r="GS610" i="1"/>
  <c r="AE610" i="1"/>
  <c r="GW610" i="1"/>
  <c r="AJ610" i="1" s="1"/>
  <c r="AG610" i="1"/>
  <c r="AL610" i="1" l="1"/>
  <c r="AQ610" i="1" s="1"/>
  <c r="AV610" i="1" s="1"/>
  <c r="GX610" i="1"/>
  <c r="IC609" i="1" l="1"/>
  <c r="IB609" i="1"/>
  <c r="IA609" i="1"/>
  <c r="HN609" i="1"/>
  <c r="HF609" i="1"/>
  <c r="HH609" i="1" s="1"/>
  <c r="HJ609" i="1" s="1"/>
  <c r="EL609" i="1"/>
  <c r="EU609" i="1" s="1"/>
  <c r="DM609" i="1"/>
  <c r="AH609" i="1" s="1"/>
  <c r="AZ609" i="1"/>
  <c r="BA609" i="1" s="1"/>
  <c r="AU609" i="1"/>
  <c r="AR609" i="1"/>
  <c r="AI609" i="1"/>
  <c r="HO609" i="1" l="1"/>
  <c r="HV609" i="1" s="1"/>
  <c r="AM609" i="1" s="1"/>
  <c r="IE609" i="1"/>
  <c r="IG609" i="1" s="1"/>
  <c r="AN609" i="1" s="1"/>
  <c r="GU609" i="1"/>
  <c r="AK609" i="1" s="1"/>
  <c r="GS609" i="1"/>
  <c r="AE609" i="1"/>
  <c r="GW609" i="1"/>
  <c r="AJ609" i="1" s="1"/>
  <c r="AG609" i="1"/>
  <c r="AL609" i="1" l="1"/>
  <c r="AQ609" i="1" s="1"/>
  <c r="AV609" i="1" s="1"/>
  <c r="GX609" i="1"/>
  <c r="IC608" i="1" l="1"/>
  <c r="IB608" i="1"/>
  <c r="IA608" i="1"/>
  <c r="HN608" i="1"/>
  <c r="HF608" i="1"/>
  <c r="HH608" i="1" s="1"/>
  <c r="HJ608" i="1" s="1"/>
  <c r="EX608" i="1"/>
  <c r="FA608" i="1" s="1"/>
  <c r="EL608" i="1"/>
  <c r="CM608" i="1"/>
  <c r="CH608" i="1"/>
  <c r="AZ608" i="1"/>
  <c r="BA608" i="1" s="1"/>
  <c r="AR608" i="1"/>
  <c r="HO608" i="1" l="1"/>
  <c r="HV608" i="1" s="1"/>
  <c r="AM608" i="1" s="1"/>
  <c r="EU608" i="1"/>
  <c r="GU608" i="1" s="1"/>
  <c r="AK608" i="1" s="1"/>
  <c r="DM608" i="1"/>
  <c r="DO608" i="1" s="1"/>
  <c r="AI608" i="1" s="1"/>
  <c r="IE608" i="1"/>
  <c r="IG608" i="1" s="1"/>
  <c r="AN608" i="1" s="1"/>
  <c r="AE608" i="1"/>
  <c r="IC607" i="1"/>
  <c r="IB607" i="1"/>
  <c r="IA607" i="1"/>
  <c r="HN607" i="1"/>
  <c r="HF607" i="1"/>
  <c r="HH607" i="1" s="1"/>
  <c r="HJ607" i="1" s="1"/>
  <c r="EL607" i="1"/>
  <c r="EU607" i="1" s="1"/>
  <c r="DM607" i="1"/>
  <c r="AH607" i="1" s="1"/>
  <c r="AZ607" i="1"/>
  <c r="BA607" i="1" s="1"/>
  <c r="AR607" i="1"/>
  <c r="AI607" i="1"/>
  <c r="AG608" i="1" l="1"/>
  <c r="GW608" i="1"/>
  <c r="AJ608" i="1" s="1"/>
  <c r="GS608" i="1"/>
  <c r="AL608" i="1" s="1"/>
  <c r="AH608" i="1"/>
  <c r="IE607" i="1"/>
  <c r="IG607" i="1" s="1"/>
  <c r="AN607" i="1" s="1"/>
  <c r="HO607" i="1"/>
  <c r="HV607" i="1" s="1"/>
  <c r="AM607" i="1" s="1"/>
  <c r="DP608" i="1"/>
  <c r="GU607" i="1"/>
  <c r="AK607" i="1" s="1"/>
  <c r="GS607" i="1"/>
  <c r="AE607" i="1"/>
  <c r="GW607" i="1"/>
  <c r="AJ607" i="1" s="1"/>
  <c r="AG607" i="1"/>
  <c r="GX608" i="1" l="1"/>
  <c r="AQ608" i="1"/>
  <c r="AV608" i="1" s="1"/>
  <c r="AL607" i="1"/>
  <c r="AQ607" i="1" s="1"/>
  <c r="AV607" i="1" s="1"/>
  <c r="GX607" i="1"/>
  <c r="IC605" i="1" l="1"/>
  <c r="IB605" i="1"/>
  <c r="IA605" i="1"/>
  <c r="HN605" i="1"/>
  <c r="HF605" i="1"/>
  <c r="HH605" i="1" s="1"/>
  <c r="HJ605" i="1" s="1"/>
  <c r="EL605" i="1"/>
  <c r="EU605" i="1" s="1"/>
  <c r="CH605" i="1"/>
  <c r="DM605" i="1" s="1"/>
  <c r="AH605" i="1" s="1"/>
  <c r="AZ605" i="1"/>
  <c r="BA605" i="1" s="1"/>
  <c r="AR605" i="1"/>
  <c r="AI605" i="1"/>
  <c r="HO605" i="1" l="1"/>
  <c r="HV605" i="1" s="1"/>
  <c r="AM605" i="1" s="1"/>
  <c r="IE605" i="1"/>
  <c r="IG605" i="1" s="1"/>
  <c r="AN605" i="1" s="1"/>
  <c r="AG605" i="1"/>
  <c r="GW605" i="1"/>
  <c r="AJ605" i="1" s="1"/>
  <c r="GU605" i="1"/>
  <c r="AK605" i="1" s="1"/>
  <c r="GS605" i="1"/>
  <c r="AE605" i="1"/>
  <c r="AL605" i="1" l="1"/>
  <c r="AQ605" i="1" s="1"/>
  <c r="AV605" i="1" s="1"/>
  <c r="GX605" i="1"/>
  <c r="IC604" i="1" l="1"/>
  <c r="IB604" i="1"/>
  <c r="IA604" i="1"/>
  <c r="HN604" i="1"/>
  <c r="HF604" i="1"/>
  <c r="HH604" i="1" s="1"/>
  <c r="HJ604" i="1" s="1"/>
  <c r="EL604" i="1"/>
  <c r="EU604" i="1" s="1"/>
  <c r="DM604" i="1"/>
  <c r="AH604" i="1" s="1"/>
  <c r="AZ604" i="1"/>
  <c r="BA604" i="1" s="1"/>
  <c r="AI604" i="1"/>
  <c r="HO604" i="1" l="1"/>
  <c r="HV604" i="1" s="1"/>
  <c r="AM604" i="1" s="1"/>
  <c r="IE604" i="1"/>
  <c r="IG604" i="1" s="1"/>
  <c r="GU604" i="1"/>
  <c r="AK604" i="1" s="1"/>
  <c r="GS604" i="1"/>
  <c r="AE604" i="1"/>
  <c r="GW604" i="1"/>
  <c r="AJ604" i="1" s="1"/>
  <c r="AG604" i="1"/>
  <c r="IJ604" i="1" l="1"/>
  <c r="AR604" i="1" s="1"/>
  <c r="AN604" i="1"/>
  <c r="GX604" i="1"/>
  <c r="AL604" i="1"/>
  <c r="AQ604" i="1" l="1"/>
  <c r="AV604" i="1" s="1"/>
  <c r="IC603" i="1"/>
  <c r="IB603" i="1"/>
  <c r="IA603" i="1"/>
  <c r="HT603" i="1"/>
  <c r="HN603" i="1"/>
  <c r="HF603" i="1"/>
  <c r="HH603" i="1" s="1"/>
  <c r="HJ603" i="1" s="1"/>
  <c r="EL603" i="1"/>
  <c r="EU603" i="1" s="1"/>
  <c r="CM603" i="1"/>
  <c r="CH603" i="1"/>
  <c r="AZ603" i="1"/>
  <c r="BA603" i="1" s="1"/>
  <c r="AR603" i="1"/>
  <c r="HO603" i="1" l="1"/>
  <c r="HV603" i="1" s="1"/>
  <c r="AM603" i="1" s="1"/>
  <c r="DM603" i="1"/>
  <c r="DO603" i="1" s="1"/>
  <c r="AI603" i="1" s="1"/>
  <c r="IE603" i="1"/>
  <c r="IG603" i="1" s="1"/>
  <c r="AN603" i="1" s="1"/>
  <c r="GU603" i="1"/>
  <c r="AK603" i="1" s="1"/>
  <c r="AE603" i="1"/>
  <c r="GS603" i="1"/>
  <c r="GW603" i="1"/>
  <c r="AJ603" i="1" s="1"/>
  <c r="AG603" i="1"/>
  <c r="AH603" i="1" l="1"/>
  <c r="DP603" i="1"/>
  <c r="AL603" i="1"/>
  <c r="GX603" i="1"/>
  <c r="AQ603" i="1" l="1"/>
  <c r="AV603" i="1" s="1"/>
  <c r="IC602" i="1"/>
  <c r="IB602" i="1"/>
  <c r="IA602" i="1"/>
  <c r="HN602" i="1"/>
  <c r="HF602" i="1"/>
  <c r="HH602" i="1" s="1"/>
  <c r="HJ602" i="1" s="1"/>
  <c r="FA602" i="1"/>
  <c r="EL602" i="1"/>
  <c r="EU602" i="1" s="1"/>
  <c r="CM602" i="1"/>
  <c r="DO602" i="1" s="1"/>
  <c r="AI602" i="1" s="1"/>
  <c r="CH602" i="1"/>
  <c r="AZ602" i="1"/>
  <c r="BA602" i="1" s="1"/>
  <c r="AR602" i="1"/>
  <c r="DM602" i="1" l="1"/>
  <c r="DP602" i="1" s="1"/>
  <c r="HO602" i="1"/>
  <c r="HV602" i="1" s="1"/>
  <c r="AM602" i="1" s="1"/>
  <c r="IE602" i="1"/>
  <c r="IG602" i="1" s="1"/>
  <c r="AN602" i="1" s="1"/>
  <c r="GS602" i="1"/>
  <c r="AE602" i="1"/>
  <c r="GU602" i="1"/>
  <c r="AK602" i="1" s="1"/>
  <c r="AG602" i="1"/>
  <c r="GW602" i="1"/>
  <c r="AJ602" i="1" s="1"/>
  <c r="AH602" i="1" l="1"/>
  <c r="AL602" i="1"/>
  <c r="GX602" i="1"/>
  <c r="AQ602" i="1" l="1"/>
  <c r="AV602" i="1" s="1"/>
  <c r="IC601" i="1"/>
  <c r="IB601" i="1"/>
  <c r="IA601" i="1"/>
  <c r="HN601" i="1"/>
  <c r="HF601" i="1"/>
  <c r="HH601" i="1" s="1"/>
  <c r="HJ601" i="1" s="1"/>
  <c r="EL601" i="1"/>
  <c r="EU601" i="1" s="1"/>
  <c r="AG601" i="1" s="1"/>
  <c r="DM601" i="1"/>
  <c r="AH601" i="1" s="1"/>
  <c r="AZ601" i="1"/>
  <c r="BA601" i="1" s="1"/>
  <c r="AR601" i="1"/>
  <c r="AI601" i="1"/>
  <c r="HO601" i="1" l="1"/>
  <c r="HV601" i="1" s="1"/>
  <c r="AM601" i="1" s="1"/>
  <c r="IE601" i="1"/>
  <c r="IG601" i="1" s="1"/>
  <c r="AN601" i="1" s="1"/>
  <c r="GS601" i="1"/>
  <c r="AE601" i="1"/>
  <c r="GU601" i="1"/>
  <c r="AK601" i="1" s="1"/>
  <c r="GW601" i="1"/>
  <c r="AJ601" i="1" s="1"/>
  <c r="GX601" i="1" l="1"/>
  <c r="AL601" i="1"/>
  <c r="AQ601" i="1" s="1"/>
  <c r="AV601" i="1" s="1"/>
  <c r="IC600" i="1" l="1"/>
  <c r="IB600" i="1"/>
  <c r="IA600" i="1"/>
  <c r="HN600" i="1"/>
  <c r="HF600" i="1"/>
  <c r="HH600" i="1" s="1"/>
  <c r="HJ600" i="1" s="1"/>
  <c r="EL600" i="1"/>
  <c r="EU600" i="1" s="1"/>
  <c r="DM600" i="1"/>
  <c r="AH600" i="1" s="1"/>
  <c r="AZ600" i="1"/>
  <c r="BA600" i="1" s="1"/>
  <c r="AR600" i="1"/>
  <c r="AI600" i="1"/>
  <c r="HO600" i="1" l="1"/>
  <c r="HV600" i="1" s="1"/>
  <c r="AM600" i="1" s="1"/>
  <c r="IE600" i="1"/>
  <c r="IG600" i="1" s="1"/>
  <c r="AN600" i="1" s="1"/>
  <c r="GU600" i="1"/>
  <c r="AK600" i="1" s="1"/>
  <c r="GS600" i="1"/>
  <c r="AE600" i="1"/>
  <c r="GW600" i="1"/>
  <c r="AJ600" i="1" s="1"/>
  <c r="AG600" i="1"/>
  <c r="AL600" i="1" l="1"/>
  <c r="AQ600" i="1" s="1"/>
  <c r="AV600" i="1" s="1"/>
  <c r="GX600" i="1"/>
  <c r="IC599" i="1" l="1"/>
  <c r="IB599" i="1"/>
  <c r="IA599" i="1"/>
  <c r="HN599" i="1"/>
  <c r="HF599" i="1"/>
  <c r="HH599" i="1" s="1"/>
  <c r="HJ599" i="1" s="1"/>
  <c r="EL599" i="1"/>
  <c r="EU599" i="1" s="1"/>
  <c r="DM599" i="1"/>
  <c r="AH599" i="1" s="1"/>
  <c r="AZ599" i="1"/>
  <c r="BA599" i="1" s="1"/>
  <c r="AR599" i="1"/>
  <c r="AI599" i="1"/>
  <c r="HO599" i="1" l="1"/>
  <c r="HV599" i="1" s="1"/>
  <c r="AM599" i="1" s="1"/>
  <c r="IE599" i="1"/>
  <c r="IG599" i="1" s="1"/>
  <c r="AN599" i="1" s="1"/>
  <c r="GU599" i="1"/>
  <c r="AK599" i="1" s="1"/>
  <c r="GS599" i="1"/>
  <c r="AE599" i="1"/>
  <c r="GW599" i="1"/>
  <c r="AJ599" i="1" s="1"/>
  <c r="AG599" i="1"/>
  <c r="AL599" i="1" l="1"/>
  <c r="AQ599" i="1" s="1"/>
  <c r="AV599" i="1" s="1"/>
  <c r="GX599" i="1"/>
  <c r="IC598" i="1" l="1"/>
  <c r="IB598" i="1"/>
  <c r="IA598" i="1"/>
  <c r="HN598" i="1"/>
  <c r="HF598" i="1"/>
  <c r="HH598" i="1" s="1"/>
  <c r="HJ598" i="1" s="1"/>
  <c r="EL598" i="1"/>
  <c r="EU598" i="1" s="1"/>
  <c r="DM598" i="1"/>
  <c r="AH598" i="1" s="1"/>
  <c r="AZ598" i="1"/>
  <c r="BA598" i="1" s="1"/>
  <c r="AR598" i="1"/>
  <c r="AI598" i="1"/>
  <c r="HO598" i="1" l="1"/>
  <c r="HV598" i="1" s="1"/>
  <c r="AM598" i="1" s="1"/>
  <c r="IE598" i="1"/>
  <c r="IG598" i="1" s="1"/>
  <c r="AN598" i="1" s="1"/>
  <c r="GU598" i="1"/>
  <c r="AK598" i="1" s="1"/>
  <c r="GS598" i="1"/>
  <c r="AE598" i="1"/>
  <c r="GW598" i="1"/>
  <c r="AJ598" i="1" s="1"/>
  <c r="AG598" i="1"/>
  <c r="AL598" i="1" l="1"/>
  <c r="AQ598" i="1" s="1"/>
  <c r="AV598" i="1" s="1"/>
  <c r="GX598" i="1"/>
  <c r="IC597" i="1" l="1"/>
  <c r="IB597" i="1"/>
  <c r="IA597" i="1"/>
  <c r="HN597" i="1"/>
  <c r="HF597" i="1"/>
  <c r="HH597" i="1" s="1"/>
  <c r="HJ597" i="1" s="1"/>
  <c r="EL597" i="1"/>
  <c r="EU597" i="1" s="1"/>
  <c r="DM597" i="1"/>
  <c r="AH597" i="1" s="1"/>
  <c r="AZ597" i="1"/>
  <c r="BA597" i="1" s="1"/>
  <c r="AR597" i="1"/>
  <c r="AI597" i="1"/>
  <c r="IC596" i="1"/>
  <c r="IB596" i="1"/>
  <c r="IA596" i="1"/>
  <c r="HN596" i="1"/>
  <c r="HF596" i="1"/>
  <c r="HH596" i="1" s="1"/>
  <c r="HJ596" i="1" s="1"/>
  <c r="EL596" i="1"/>
  <c r="EU596" i="1" s="1"/>
  <c r="CH596" i="1"/>
  <c r="DM596" i="1" s="1"/>
  <c r="AH596" i="1" s="1"/>
  <c r="AZ596" i="1"/>
  <c r="BA596" i="1" s="1"/>
  <c r="AR596" i="1"/>
  <c r="AI596" i="1"/>
  <c r="HO597" i="1" l="1"/>
  <c r="HV597" i="1" s="1"/>
  <c r="AM597" i="1" s="1"/>
  <c r="HO596" i="1"/>
  <c r="HV596" i="1" s="1"/>
  <c r="AM596" i="1" s="1"/>
  <c r="IE597" i="1"/>
  <c r="IG597" i="1" s="1"/>
  <c r="AN597" i="1" s="1"/>
  <c r="IE596" i="1"/>
  <c r="IG596" i="1" s="1"/>
  <c r="AN596" i="1" s="1"/>
  <c r="GS597" i="1"/>
  <c r="GU597" i="1"/>
  <c r="AK597" i="1" s="1"/>
  <c r="AE597" i="1"/>
  <c r="GW597" i="1"/>
  <c r="AJ597" i="1" s="1"/>
  <c r="AG597" i="1"/>
  <c r="GU596" i="1"/>
  <c r="AK596" i="1" s="1"/>
  <c r="GS596" i="1"/>
  <c r="AE596" i="1"/>
  <c r="GW596" i="1"/>
  <c r="AJ596" i="1" s="1"/>
  <c r="AG596" i="1"/>
  <c r="GX597" i="1" l="1"/>
  <c r="AL597" i="1"/>
  <c r="AQ597" i="1" s="1"/>
  <c r="AV597" i="1" s="1"/>
  <c r="AL596" i="1"/>
  <c r="AQ596" i="1" s="1"/>
  <c r="AV596" i="1" s="1"/>
  <c r="GX596" i="1"/>
  <c r="IC595" i="1" l="1"/>
  <c r="IB595" i="1"/>
  <c r="IA595" i="1"/>
  <c r="HT595" i="1"/>
  <c r="HN595" i="1"/>
  <c r="HF595" i="1"/>
  <c r="HH595" i="1" s="1"/>
  <c r="HJ595" i="1" s="1"/>
  <c r="EL595" i="1"/>
  <c r="EU595" i="1" s="1"/>
  <c r="CH595" i="1"/>
  <c r="DM595" i="1" s="1"/>
  <c r="AH595" i="1" s="1"/>
  <c r="AZ595" i="1"/>
  <c r="BA595" i="1" s="1"/>
  <c r="AR595" i="1"/>
  <c r="AI595" i="1"/>
  <c r="IC594" i="1"/>
  <c r="IB594" i="1"/>
  <c r="IA594" i="1"/>
  <c r="HN594" i="1"/>
  <c r="HF594" i="1"/>
  <c r="HH594" i="1" s="1"/>
  <c r="HJ594" i="1" s="1"/>
  <c r="EL594" i="1"/>
  <c r="EU594" i="1" s="1"/>
  <c r="CM594" i="1"/>
  <c r="CH594" i="1"/>
  <c r="AZ594" i="1"/>
  <c r="BA594" i="1" s="1"/>
  <c r="HO594" i="1" l="1"/>
  <c r="HV594" i="1" s="1"/>
  <c r="AM594" i="1" s="1"/>
  <c r="DM594" i="1"/>
  <c r="DO594" i="1" s="1"/>
  <c r="AI594" i="1" s="1"/>
  <c r="HO595" i="1"/>
  <c r="HV595" i="1" s="1"/>
  <c r="AM595" i="1" s="1"/>
  <c r="IE595" i="1"/>
  <c r="IG595" i="1" s="1"/>
  <c r="AN595" i="1" s="1"/>
  <c r="IE594" i="1"/>
  <c r="IG594" i="1" s="1"/>
  <c r="AN594" i="1" s="1"/>
  <c r="GU595" i="1"/>
  <c r="AK595" i="1" s="1"/>
  <c r="GS595" i="1"/>
  <c r="AE595" i="1"/>
  <c r="GW595" i="1"/>
  <c r="AJ595" i="1" s="1"/>
  <c r="AG595" i="1"/>
  <c r="GU594" i="1"/>
  <c r="AK594" i="1" s="1"/>
  <c r="GS594" i="1"/>
  <c r="AE594" i="1"/>
  <c r="GW594" i="1"/>
  <c r="AJ594" i="1" s="1"/>
  <c r="AG594" i="1"/>
  <c r="AH594" i="1" l="1"/>
  <c r="GX595" i="1"/>
  <c r="AL595" i="1"/>
  <c r="AQ595" i="1" s="1"/>
  <c r="AV595" i="1" s="1"/>
  <c r="AL594" i="1"/>
  <c r="GX594" i="1"/>
  <c r="IJ594" i="1"/>
  <c r="AR594" i="1" s="1"/>
  <c r="DP594" i="1"/>
  <c r="AQ594" i="1" l="1"/>
  <c r="AV594" i="1" s="1"/>
  <c r="IC593" i="1"/>
  <c r="IB593" i="1"/>
  <c r="IA593" i="1"/>
  <c r="HN593" i="1"/>
  <c r="HF593" i="1"/>
  <c r="HH593" i="1" s="1"/>
  <c r="HJ593" i="1" s="1"/>
  <c r="EL593" i="1"/>
  <c r="EU593" i="1" s="1"/>
  <c r="DM593" i="1"/>
  <c r="AH593" i="1" s="1"/>
  <c r="AZ593" i="1"/>
  <c r="BA593" i="1" s="1"/>
  <c r="AI593" i="1"/>
  <c r="HO593" i="1" l="1"/>
  <c r="HV593" i="1" s="1"/>
  <c r="AM593" i="1" s="1"/>
  <c r="IE593" i="1"/>
  <c r="IG593" i="1" s="1"/>
  <c r="AN593" i="1" s="1"/>
  <c r="AE593" i="1"/>
  <c r="GU593" i="1"/>
  <c r="AK593" i="1" s="1"/>
  <c r="GS593" i="1"/>
  <c r="GW593" i="1"/>
  <c r="AJ593" i="1" s="1"/>
  <c r="AG593" i="1"/>
  <c r="IJ593" i="1" l="1"/>
  <c r="AR593" i="1" s="1"/>
  <c r="GX593" i="1"/>
  <c r="AL593" i="1"/>
  <c r="AQ593" i="1" s="1"/>
  <c r="AV593" i="1" l="1"/>
  <c r="IC591" i="1"/>
  <c r="IB591" i="1"/>
  <c r="IA591" i="1"/>
  <c r="HN591" i="1"/>
  <c r="HF591" i="1"/>
  <c r="HH591" i="1" s="1"/>
  <c r="HJ591" i="1" s="1"/>
  <c r="FA591" i="1"/>
  <c r="EL591" i="1"/>
  <c r="EU591" i="1" s="1"/>
  <c r="DM591" i="1"/>
  <c r="AH591" i="1" s="1"/>
  <c r="AZ591" i="1"/>
  <c r="BA591" i="1" s="1"/>
  <c r="AI591" i="1"/>
  <c r="IC589" i="1"/>
  <c r="IB589" i="1"/>
  <c r="IA589" i="1"/>
  <c r="HN589" i="1"/>
  <c r="HF589" i="1"/>
  <c r="HH589" i="1" s="1"/>
  <c r="HJ589" i="1" s="1"/>
  <c r="FA589" i="1"/>
  <c r="EL589" i="1"/>
  <c r="EU589" i="1" s="1"/>
  <c r="DM589" i="1"/>
  <c r="AH589" i="1" s="1"/>
  <c r="AZ589" i="1"/>
  <c r="BA589" i="1" s="1"/>
  <c r="AI589" i="1"/>
  <c r="HO591" i="1" l="1"/>
  <c r="HV591" i="1" s="1"/>
  <c r="AM591" i="1" s="1"/>
  <c r="HO589" i="1"/>
  <c r="HV589" i="1" s="1"/>
  <c r="AM589" i="1" s="1"/>
  <c r="IE589" i="1"/>
  <c r="IG589" i="1" s="1"/>
  <c r="AN589" i="1" s="1"/>
  <c r="IE591" i="1"/>
  <c r="IG591" i="1" s="1"/>
  <c r="AN591" i="1" s="1"/>
  <c r="GU591" i="1"/>
  <c r="AK591" i="1" s="1"/>
  <c r="GS591" i="1"/>
  <c r="AE591" i="1"/>
  <c r="GW591" i="1"/>
  <c r="AJ591" i="1" s="1"/>
  <c r="AG591" i="1"/>
  <c r="GU589" i="1"/>
  <c r="AK589" i="1" s="1"/>
  <c r="GS589" i="1"/>
  <c r="AE589" i="1"/>
  <c r="GW589" i="1"/>
  <c r="AJ589" i="1" s="1"/>
  <c r="AG589" i="1"/>
  <c r="IJ591" i="1" l="1"/>
  <c r="AR591" i="1" s="1"/>
  <c r="GX591" i="1"/>
  <c r="AL591" i="1"/>
  <c r="AQ591" i="1" s="1"/>
  <c r="AL589" i="1"/>
  <c r="AQ589" i="1" s="1"/>
  <c r="GX589" i="1"/>
  <c r="IJ589" i="1"/>
  <c r="AR589" i="1" s="1"/>
  <c r="AV591" i="1" l="1"/>
  <c r="AV589" i="1"/>
  <c r="IC588" i="1"/>
  <c r="IB588" i="1"/>
  <c r="IA588" i="1"/>
  <c r="HN588" i="1"/>
  <c r="HF588" i="1"/>
  <c r="HH588" i="1" s="1"/>
  <c r="HJ588" i="1" s="1"/>
  <c r="EL588" i="1"/>
  <c r="EU588" i="1" s="1"/>
  <c r="DM588" i="1"/>
  <c r="AH588" i="1" s="1"/>
  <c r="AZ588" i="1"/>
  <c r="BA588" i="1" s="1"/>
  <c r="AI588" i="1"/>
  <c r="IC586" i="1"/>
  <c r="IB586" i="1"/>
  <c r="IA586" i="1"/>
  <c r="HN586" i="1"/>
  <c r="HF586" i="1"/>
  <c r="HH586" i="1" s="1"/>
  <c r="HJ586" i="1" s="1"/>
  <c r="EL586" i="1"/>
  <c r="EU586" i="1" s="1"/>
  <c r="CH586" i="1"/>
  <c r="DM586" i="1" s="1"/>
  <c r="AZ586" i="1"/>
  <c r="BA586" i="1" s="1"/>
  <c r="AU586" i="1"/>
  <c r="HO588" i="1" l="1"/>
  <c r="HV588" i="1" s="1"/>
  <c r="AM588" i="1" s="1"/>
  <c r="HO586" i="1"/>
  <c r="HV586" i="1" s="1"/>
  <c r="AM586" i="1" s="1"/>
  <c r="IE588" i="1"/>
  <c r="IG588" i="1" s="1"/>
  <c r="IE586" i="1"/>
  <c r="IG586" i="1" s="1"/>
  <c r="AN586" i="1" s="1"/>
  <c r="GS588" i="1"/>
  <c r="AE588" i="1"/>
  <c r="GU588" i="1"/>
  <c r="AK588" i="1" s="1"/>
  <c r="GW588" i="1"/>
  <c r="AJ588" i="1" s="1"/>
  <c r="AG588" i="1"/>
  <c r="AG586" i="1"/>
  <c r="GW586" i="1"/>
  <c r="AJ586" i="1" s="1"/>
  <c r="AE586" i="1"/>
  <c r="GU586" i="1"/>
  <c r="AK586" i="1" s="1"/>
  <c r="GS586" i="1"/>
  <c r="DO586" i="1"/>
  <c r="AI586" i="1" s="1"/>
  <c r="AH586" i="1"/>
  <c r="DP586" i="1" l="1"/>
  <c r="IJ588" i="1"/>
  <c r="AR588" i="1" s="1"/>
  <c r="AN588" i="1"/>
  <c r="IJ586" i="1"/>
  <c r="AR586" i="1" s="1"/>
  <c r="GX588" i="1"/>
  <c r="AL588" i="1"/>
  <c r="GX586" i="1"/>
  <c r="AL586" i="1"/>
  <c r="AQ586" i="1" s="1"/>
  <c r="AV586" i="1" l="1"/>
  <c r="AQ588" i="1"/>
  <c r="AV588" i="1" s="1"/>
  <c r="IC584" i="1"/>
  <c r="IB584" i="1"/>
  <c r="IA584" i="1"/>
  <c r="HN584" i="1"/>
  <c r="HF584" i="1"/>
  <c r="HH584" i="1" s="1"/>
  <c r="HJ584" i="1" s="1"/>
  <c r="HO584" i="1" s="1"/>
  <c r="HV584" i="1" s="1"/>
  <c r="AM584" i="1" s="1"/>
  <c r="EL584" i="1"/>
  <c r="EU584" i="1" s="1"/>
  <c r="CH584" i="1"/>
  <c r="DM584" i="1" s="1"/>
  <c r="AZ584" i="1"/>
  <c r="BA584" i="1" s="1"/>
  <c r="AU584" i="1"/>
  <c r="IE584" i="1" l="1"/>
  <c r="IG584" i="1" s="1"/>
  <c r="AN584" i="1" s="1"/>
  <c r="AE584" i="1"/>
  <c r="GU584" i="1"/>
  <c r="AK584" i="1" s="1"/>
  <c r="GS584" i="1"/>
  <c r="DO584" i="1"/>
  <c r="AI584" i="1" s="1"/>
  <c r="AH584" i="1"/>
  <c r="GW584" i="1"/>
  <c r="AJ584" i="1" s="1"/>
  <c r="AG584" i="1"/>
  <c r="IC583" i="1"/>
  <c r="IB583" i="1"/>
  <c r="IA583" i="1"/>
  <c r="HT583" i="1"/>
  <c r="HN583" i="1"/>
  <c r="HF583" i="1"/>
  <c r="HH583" i="1" s="1"/>
  <c r="HJ583" i="1" s="1"/>
  <c r="EL583" i="1"/>
  <c r="EU583" i="1" s="1"/>
  <c r="CH583" i="1"/>
  <c r="DM583" i="1" s="1"/>
  <c r="AH583" i="1" s="1"/>
  <c r="AZ583" i="1"/>
  <c r="BA583" i="1" s="1"/>
  <c r="AR583" i="1"/>
  <c r="AI583" i="1"/>
  <c r="IC582" i="1"/>
  <c r="IB582" i="1"/>
  <c r="IA582" i="1"/>
  <c r="HT582" i="1"/>
  <c r="HN582" i="1"/>
  <c r="HF582" i="1"/>
  <c r="HH582" i="1" s="1"/>
  <c r="HJ582" i="1" s="1"/>
  <c r="EL582" i="1"/>
  <c r="EU582" i="1" s="1"/>
  <c r="CH582" i="1"/>
  <c r="DM582" i="1" s="1"/>
  <c r="AH582" i="1" s="1"/>
  <c r="AZ582" i="1"/>
  <c r="BA582" i="1" s="1"/>
  <c r="AR582" i="1"/>
  <c r="AI582" i="1"/>
  <c r="IE582" i="1" l="1"/>
  <c r="IG582" i="1" s="1"/>
  <c r="AN582" i="1" s="1"/>
  <c r="HO583" i="1"/>
  <c r="HV583" i="1" s="1"/>
  <c r="AM583" i="1" s="1"/>
  <c r="HO582" i="1"/>
  <c r="HV582" i="1" s="1"/>
  <c r="AM582" i="1" s="1"/>
  <c r="IJ584" i="1"/>
  <c r="AR584" i="1" s="1"/>
  <c r="IE583" i="1"/>
  <c r="IG583" i="1" s="1"/>
  <c r="AN583" i="1" s="1"/>
  <c r="DP584" i="1"/>
  <c r="GX584" i="1"/>
  <c r="AL584" i="1"/>
  <c r="AQ584" i="1" s="1"/>
  <c r="GU583" i="1"/>
  <c r="AK583" i="1" s="1"/>
  <c r="GS583" i="1"/>
  <c r="AE583" i="1"/>
  <c r="GW583" i="1"/>
  <c r="AJ583" i="1" s="1"/>
  <c r="AG583" i="1"/>
  <c r="GU582" i="1"/>
  <c r="AK582" i="1" s="1"/>
  <c r="GS582" i="1"/>
  <c r="AE582" i="1"/>
  <c r="GW582" i="1"/>
  <c r="AJ582" i="1" s="1"/>
  <c r="AG582" i="1"/>
  <c r="AV584" i="1" l="1"/>
  <c r="GX583" i="1"/>
  <c r="AL583" i="1"/>
  <c r="AQ583" i="1" s="1"/>
  <c r="AV583" i="1" s="1"/>
  <c r="AL582" i="1"/>
  <c r="AQ582" i="1" s="1"/>
  <c r="AV582" i="1" s="1"/>
  <c r="GX582" i="1"/>
  <c r="IC581" i="1" l="1"/>
  <c r="IB581" i="1"/>
  <c r="IA581" i="1"/>
  <c r="HR581" i="1"/>
  <c r="HT581" i="1" s="1"/>
  <c r="HN581" i="1"/>
  <c r="HF581" i="1"/>
  <c r="HH581" i="1" s="1"/>
  <c r="HJ581" i="1" s="1"/>
  <c r="EL581" i="1"/>
  <c r="EU581" i="1" s="1"/>
  <c r="CM581" i="1"/>
  <c r="CH581" i="1"/>
  <c r="AZ581" i="1"/>
  <c r="BA581" i="1" s="1"/>
  <c r="AR581" i="1"/>
  <c r="HO581" i="1" l="1"/>
  <c r="HV581" i="1" s="1"/>
  <c r="AM581" i="1" s="1"/>
  <c r="DM581" i="1"/>
  <c r="DO581" i="1" s="1"/>
  <c r="AI581" i="1" s="1"/>
  <c r="IE581" i="1"/>
  <c r="IG581" i="1" s="1"/>
  <c r="AN581" i="1" s="1"/>
  <c r="AE581" i="1"/>
  <c r="GU581" i="1"/>
  <c r="AK581" i="1" s="1"/>
  <c r="GS581" i="1"/>
  <c r="AG581" i="1"/>
  <c r="GW581" i="1"/>
  <c r="AJ581" i="1" s="1"/>
  <c r="AH581" i="1" l="1"/>
  <c r="DP581" i="1"/>
  <c r="GX581" i="1"/>
  <c r="AL581" i="1"/>
  <c r="AQ581" i="1" l="1"/>
  <c r="AV581" i="1" s="1"/>
  <c r="IC578" i="1"/>
  <c r="IB578" i="1"/>
  <c r="IA578" i="1"/>
  <c r="HN578" i="1"/>
  <c r="HF578" i="1"/>
  <c r="HH578" i="1" s="1"/>
  <c r="HJ578" i="1" s="1"/>
  <c r="EL578" i="1"/>
  <c r="EU578" i="1" s="1"/>
  <c r="DM578" i="1"/>
  <c r="AH578" i="1" s="1"/>
  <c r="AZ578" i="1"/>
  <c r="BA578" i="1" s="1"/>
  <c r="AI578" i="1"/>
  <c r="HO578" i="1" l="1"/>
  <c r="HV578" i="1" s="1"/>
  <c r="AM578" i="1" s="1"/>
  <c r="IE578" i="1"/>
  <c r="IG578" i="1" s="1"/>
  <c r="AN578" i="1" s="1"/>
  <c r="GU578" i="1"/>
  <c r="AK578" i="1" s="1"/>
  <c r="GS578" i="1"/>
  <c r="AE578" i="1"/>
  <c r="GW578" i="1"/>
  <c r="AJ578" i="1" s="1"/>
  <c r="AG578" i="1"/>
  <c r="GX578" i="1" l="1"/>
  <c r="AL578" i="1"/>
  <c r="AQ578" i="1" s="1"/>
  <c r="IJ578" i="1"/>
  <c r="AR578" i="1" s="1"/>
  <c r="AV578" i="1" l="1"/>
  <c r="IC576" i="1"/>
  <c r="IB576" i="1"/>
  <c r="IA576" i="1"/>
  <c r="HT576" i="1"/>
  <c r="HN576" i="1"/>
  <c r="HF576" i="1"/>
  <c r="HH576" i="1" s="1"/>
  <c r="HJ576" i="1" s="1"/>
  <c r="EL576" i="1"/>
  <c r="EU576" i="1" s="1"/>
  <c r="DM576" i="1"/>
  <c r="AH576" i="1" s="1"/>
  <c r="AZ576" i="1"/>
  <c r="BA576" i="1" s="1"/>
  <c r="AI576" i="1"/>
  <c r="HO576" i="1" l="1"/>
  <c r="HV576" i="1" s="1"/>
  <c r="AM576" i="1" s="1"/>
  <c r="IE576" i="1"/>
  <c r="IG576" i="1" s="1"/>
  <c r="AG576" i="1"/>
  <c r="GW576" i="1"/>
  <c r="AJ576" i="1" s="1"/>
  <c r="GU576" i="1"/>
  <c r="AK576" i="1" s="1"/>
  <c r="AE576" i="1"/>
  <c r="GS576" i="1"/>
  <c r="IJ576" i="1" l="1"/>
  <c r="AR576" i="1" s="1"/>
  <c r="AN576" i="1"/>
  <c r="AL576" i="1"/>
  <c r="GX576" i="1"/>
  <c r="AQ576" i="1" l="1"/>
  <c r="AV576" i="1" s="1"/>
  <c r="AU575" i="1"/>
  <c r="IC575" i="1" l="1"/>
  <c r="IB575" i="1"/>
  <c r="IA575" i="1"/>
  <c r="HT575" i="1"/>
  <c r="HN575" i="1"/>
  <c r="HF575" i="1"/>
  <c r="HH575" i="1" s="1"/>
  <c r="HJ575" i="1" s="1"/>
  <c r="EL575" i="1"/>
  <c r="EU575" i="1" s="1"/>
  <c r="CH575" i="1"/>
  <c r="DM575" i="1" s="1"/>
  <c r="AH575" i="1" s="1"/>
  <c r="AZ575" i="1"/>
  <c r="BA575" i="1" s="1"/>
  <c r="AR575" i="1"/>
  <c r="AI575" i="1"/>
  <c r="IC573" i="1"/>
  <c r="IB573" i="1"/>
  <c r="IA573" i="1"/>
  <c r="HT573" i="1"/>
  <c r="HN573" i="1"/>
  <c r="HF573" i="1"/>
  <c r="HH573" i="1" s="1"/>
  <c r="HJ573" i="1" s="1"/>
  <c r="EL573" i="1"/>
  <c r="EU573" i="1" s="1"/>
  <c r="CQ573" i="1"/>
  <c r="CR573" i="1" s="1"/>
  <c r="CM573" i="1"/>
  <c r="CH573" i="1"/>
  <c r="AZ573" i="1"/>
  <c r="BA573" i="1" s="1"/>
  <c r="AR573" i="1"/>
  <c r="HO573" i="1" l="1"/>
  <c r="HV573" i="1" s="1"/>
  <c r="AM573" i="1" s="1"/>
  <c r="HO575" i="1"/>
  <c r="HV575" i="1" s="1"/>
  <c r="AM575" i="1" s="1"/>
  <c r="IE575" i="1"/>
  <c r="IG575" i="1" s="1"/>
  <c r="AN575" i="1" s="1"/>
  <c r="DM573" i="1"/>
  <c r="AH573" i="1" s="1"/>
  <c r="IE573" i="1"/>
  <c r="IG573" i="1" s="1"/>
  <c r="AN573" i="1" s="1"/>
  <c r="GU575" i="1"/>
  <c r="AK575" i="1" s="1"/>
  <c r="GS575" i="1"/>
  <c r="AE575" i="1"/>
  <c r="GW575" i="1"/>
  <c r="AJ575" i="1" s="1"/>
  <c r="AG575" i="1"/>
  <c r="GU573" i="1"/>
  <c r="AK573" i="1" s="1"/>
  <c r="AE573" i="1"/>
  <c r="GS573" i="1"/>
  <c r="GW573" i="1"/>
  <c r="AJ573" i="1" s="1"/>
  <c r="AG573" i="1"/>
  <c r="DO573" i="1" l="1"/>
  <c r="AI573" i="1" s="1"/>
  <c r="GX575" i="1"/>
  <c r="AL575" i="1"/>
  <c r="AQ575" i="1" s="1"/>
  <c r="AV575" i="1" s="1"/>
  <c r="GX573" i="1"/>
  <c r="AL573" i="1"/>
  <c r="AQ573" i="1" l="1"/>
  <c r="AV573" i="1" s="1"/>
  <c r="DP573" i="1"/>
  <c r="IC571" i="1"/>
  <c r="IB571" i="1"/>
  <c r="IA571" i="1"/>
  <c r="HN571" i="1"/>
  <c r="HF571" i="1"/>
  <c r="HH571" i="1" s="1"/>
  <c r="HJ571" i="1" s="1"/>
  <c r="EL571" i="1"/>
  <c r="EU571" i="1" s="1"/>
  <c r="AZ571" i="1"/>
  <c r="BA571" i="1" s="1"/>
  <c r="AI571" i="1"/>
  <c r="AH571" i="1"/>
  <c r="HO571" i="1" l="1"/>
  <c r="HV571" i="1" s="1"/>
  <c r="AM571" i="1" s="1"/>
  <c r="IE571" i="1"/>
  <c r="IG571" i="1" s="1"/>
  <c r="AN571" i="1" s="1"/>
  <c r="GS571" i="1"/>
  <c r="GU571" i="1"/>
  <c r="AK571" i="1" s="1"/>
  <c r="AE571" i="1"/>
  <c r="GW571" i="1"/>
  <c r="AJ571" i="1" s="1"/>
  <c r="AG571" i="1"/>
  <c r="IJ571" i="1" l="1"/>
  <c r="AR571" i="1" s="1"/>
  <c r="GX571" i="1"/>
  <c r="AL571" i="1"/>
  <c r="AQ571" i="1" s="1"/>
  <c r="AV571" i="1" l="1"/>
  <c r="IC570" i="1"/>
  <c r="IB570" i="1"/>
  <c r="IA570" i="1"/>
  <c r="HN570" i="1"/>
  <c r="HF570" i="1"/>
  <c r="HH570" i="1" s="1"/>
  <c r="HJ570" i="1" s="1"/>
  <c r="FA570" i="1"/>
  <c r="EL570" i="1"/>
  <c r="EU570" i="1" s="1"/>
  <c r="AZ570" i="1"/>
  <c r="BA570" i="1" s="1"/>
  <c r="AI570" i="1"/>
  <c r="AH570" i="1"/>
  <c r="HO570" i="1" l="1"/>
  <c r="HV570" i="1" s="1"/>
  <c r="AM570" i="1" s="1"/>
  <c r="IE570" i="1"/>
  <c r="IG570" i="1" s="1"/>
  <c r="AN570" i="1" s="1"/>
  <c r="GU570" i="1"/>
  <c r="AK570" i="1" s="1"/>
  <c r="GS570" i="1"/>
  <c r="AE570" i="1"/>
  <c r="GW570" i="1"/>
  <c r="AJ570" i="1" s="1"/>
  <c r="AG570" i="1"/>
  <c r="IC568" i="1"/>
  <c r="IB568" i="1"/>
  <c r="IA568" i="1"/>
  <c r="HN568" i="1"/>
  <c r="HF568" i="1"/>
  <c r="HH568" i="1" s="1"/>
  <c r="HJ568" i="1" s="1"/>
  <c r="EL568" i="1"/>
  <c r="EU568" i="1" s="1"/>
  <c r="AZ568" i="1"/>
  <c r="BA568" i="1" s="1"/>
  <c r="AI568" i="1"/>
  <c r="AH568" i="1"/>
  <c r="IC567" i="1"/>
  <c r="IB567" i="1"/>
  <c r="IA567" i="1"/>
  <c r="HN567" i="1"/>
  <c r="HF567" i="1"/>
  <c r="HH567" i="1" s="1"/>
  <c r="HJ567" i="1" s="1"/>
  <c r="EL567" i="1"/>
  <c r="EU567" i="1" s="1"/>
  <c r="AZ567" i="1"/>
  <c r="BA567" i="1" s="1"/>
  <c r="AR567" i="1"/>
  <c r="AO567" i="1"/>
  <c r="AI567" i="1"/>
  <c r="AH567" i="1"/>
  <c r="IE567" i="1" l="1"/>
  <c r="IG567" i="1" s="1"/>
  <c r="AN567" i="1" s="1"/>
  <c r="IJ570" i="1"/>
  <c r="AR570" i="1" s="1"/>
  <c r="HO568" i="1"/>
  <c r="HV568" i="1" s="1"/>
  <c r="AM568" i="1" s="1"/>
  <c r="IE568" i="1"/>
  <c r="IG568" i="1" s="1"/>
  <c r="AN568" i="1" s="1"/>
  <c r="HO567" i="1"/>
  <c r="HV567" i="1" s="1"/>
  <c r="AM567" i="1" s="1"/>
  <c r="GX570" i="1"/>
  <c r="AL570" i="1"/>
  <c r="AQ570" i="1" s="1"/>
  <c r="GU568" i="1"/>
  <c r="AK568" i="1" s="1"/>
  <c r="GS568" i="1"/>
  <c r="AE568" i="1"/>
  <c r="GW568" i="1"/>
  <c r="AJ568" i="1" s="1"/>
  <c r="AG568" i="1"/>
  <c r="GU567" i="1"/>
  <c r="AK567" i="1" s="1"/>
  <c r="GS567" i="1"/>
  <c r="AE567" i="1"/>
  <c r="GW567" i="1"/>
  <c r="AJ567" i="1" s="1"/>
  <c r="AG567" i="1"/>
  <c r="AV570" i="1" l="1"/>
  <c r="IJ568" i="1"/>
  <c r="AR568" i="1" s="1"/>
  <c r="GX568" i="1"/>
  <c r="AL568" i="1"/>
  <c r="AQ568" i="1" s="1"/>
  <c r="GX567" i="1"/>
  <c r="AL567" i="1"/>
  <c r="AQ567" i="1" s="1"/>
  <c r="AV567" i="1" s="1"/>
  <c r="AV568" i="1" l="1"/>
  <c r="IC565" i="1"/>
  <c r="IB565" i="1"/>
  <c r="IA565" i="1"/>
  <c r="HN565" i="1"/>
  <c r="HF565" i="1"/>
  <c r="HH565" i="1" s="1"/>
  <c r="HJ565" i="1" s="1"/>
  <c r="FA565" i="1"/>
  <c r="EL565" i="1"/>
  <c r="EU565" i="1" s="1"/>
  <c r="AZ565" i="1"/>
  <c r="BA565" i="1" s="1"/>
  <c r="AU565" i="1"/>
  <c r="AO565" i="1"/>
  <c r="AI565" i="1"/>
  <c r="AH565" i="1"/>
  <c r="AU564" i="1"/>
  <c r="HO565" i="1" l="1"/>
  <c r="HV565" i="1" s="1"/>
  <c r="AM565" i="1" s="1"/>
  <c r="IE565" i="1"/>
  <c r="IG565" i="1" s="1"/>
  <c r="AN565" i="1" s="1"/>
  <c r="GS565" i="1"/>
  <c r="AE565" i="1"/>
  <c r="GU565" i="1"/>
  <c r="AK565" i="1" s="1"/>
  <c r="GW565" i="1"/>
  <c r="AJ565" i="1" s="1"/>
  <c r="AG565" i="1"/>
  <c r="IC564" i="1"/>
  <c r="IB564" i="1"/>
  <c r="IA564" i="1"/>
  <c r="HN564" i="1"/>
  <c r="HF564" i="1"/>
  <c r="HH564" i="1" s="1"/>
  <c r="HJ564" i="1" s="1"/>
  <c r="EL564" i="1"/>
  <c r="EU564" i="1" s="1"/>
  <c r="DM564" i="1"/>
  <c r="AH564" i="1" s="1"/>
  <c r="AZ564" i="1"/>
  <c r="BA564" i="1" s="1"/>
  <c r="AO564" i="1"/>
  <c r="AI564" i="1"/>
  <c r="AU563" i="1"/>
  <c r="IC563" i="1"/>
  <c r="IB563" i="1"/>
  <c r="IA563" i="1"/>
  <c r="HN563" i="1"/>
  <c r="HF563" i="1"/>
  <c r="HH563" i="1" s="1"/>
  <c r="HJ563" i="1" s="1"/>
  <c r="EL563" i="1"/>
  <c r="EU563" i="1" s="1"/>
  <c r="CG563" i="1"/>
  <c r="CH563" i="1" s="1"/>
  <c r="DM563" i="1" s="1"/>
  <c r="AZ563" i="1"/>
  <c r="BA563" i="1" s="1"/>
  <c r="AR563" i="1"/>
  <c r="AO563" i="1"/>
  <c r="HO564" i="1" l="1"/>
  <c r="HV564" i="1" s="1"/>
  <c r="AM564" i="1" s="1"/>
  <c r="HO563" i="1"/>
  <c r="HV563" i="1" s="1"/>
  <c r="AM563" i="1" s="1"/>
  <c r="IE564" i="1"/>
  <c r="IG564" i="1" s="1"/>
  <c r="AN564" i="1" s="1"/>
  <c r="IE563" i="1"/>
  <c r="IG563" i="1" s="1"/>
  <c r="AN563" i="1" s="1"/>
  <c r="GX565" i="1"/>
  <c r="AL565" i="1"/>
  <c r="AQ565" i="1" s="1"/>
  <c r="IJ565" i="1"/>
  <c r="AR565" i="1" s="1"/>
  <c r="GW564" i="1"/>
  <c r="AJ564" i="1" s="1"/>
  <c r="AG564" i="1"/>
  <c r="AE564" i="1"/>
  <c r="GU564" i="1"/>
  <c r="AK564" i="1" s="1"/>
  <c r="GS564" i="1"/>
  <c r="GU563" i="1"/>
  <c r="AK563" i="1" s="1"/>
  <c r="AE563" i="1"/>
  <c r="GS563" i="1"/>
  <c r="DO563" i="1"/>
  <c r="AI563" i="1" s="1"/>
  <c r="AH563" i="1"/>
  <c r="GW563" i="1"/>
  <c r="AJ563" i="1" s="1"/>
  <c r="AG563" i="1"/>
  <c r="AV565" i="1" l="1"/>
  <c r="GX564" i="1"/>
  <c r="AL564" i="1"/>
  <c r="AQ564" i="1" s="1"/>
  <c r="IJ564" i="1"/>
  <c r="AR564" i="1" s="1"/>
  <c r="DP563" i="1"/>
  <c r="AL563" i="1"/>
  <c r="AQ563" i="1" s="1"/>
  <c r="AV563" i="1" s="1"/>
  <c r="GX563" i="1"/>
  <c r="AV564" i="1" l="1"/>
  <c r="IJ562" i="1"/>
  <c r="AR562" i="1" s="1"/>
  <c r="IC562" i="1"/>
  <c r="IB562" i="1"/>
  <c r="IA562" i="1"/>
  <c r="HN562" i="1"/>
  <c r="HF562" i="1"/>
  <c r="HH562" i="1" s="1"/>
  <c r="HJ562" i="1" s="1"/>
  <c r="EL562" i="1"/>
  <c r="EU562" i="1" s="1"/>
  <c r="CH562" i="1"/>
  <c r="DM562" i="1" s="1"/>
  <c r="AZ562" i="1"/>
  <c r="BA562" i="1" s="1"/>
  <c r="AU562" i="1"/>
  <c r="AO562" i="1"/>
  <c r="HO562" i="1" l="1"/>
  <c r="HV562" i="1" s="1"/>
  <c r="AM562" i="1" s="1"/>
  <c r="IE562" i="1"/>
  <c r="IG562" i="1" s="1"/>
  <c r="AN562" i="1" s="1"/>
  <c r="AE562" i="1"/>
  <c r="GU562" i="1"/>
  <c r="AK562" i="1" s="1"/>
  <c r="GS562" i="1"/>
  <c r="DO562" i="1"/>
  <c r="AI562" i="1" s="1"/>
  <c r="AH562" i="1"/>
  <c r="GW562" i="1"/>
  <c r="AJ562" i="1" s="1"/>
  <c r="AG562" i="1"/>
  <c r="GX562" i="1" l="1"/>
  <c r="AL562" i="1"/>
  <c r="AQ562" i="1" s="1"/>
  <c r="AV562" i="1" s="1"/>
  <c r="IC561" i="1" l="1"/>
  <c r="IB561" i="1"/>
  <c r="IA561" i="1"/>
  <c r="HN561" i="1"/>
  <c r="HF561" i="1"/>
  <c r="HH561" i="1" s="1"/>
  <c r="HJ561" i="1" s="1"/>
  <c r="EL561" i="1"/>
  <c r="EU561" i="1" s="1"/>
  <c r="DM561" i="1"/>
  <c r="AH561" i="1" s="1"/>
  <c r="AZ561" i="1"/>
  <c r="BA561" i="1" s="1"/>
  <c r="AE561" i="1" s="1"/>
  <c r="AO561" i="1"/>
  <c r="AI561" i="1"/>
  <c r="HO561" i="1" l="1"/>
  <c r="HV561" i="1" s="1"/>
  <c r="AM561" i="1" s="1"/>
  <c r="IE561" i="1"/>
  <c r="IG561" i="1" s="1"/>
  <c r="AN561" i="1" s="1"/>
  <c r="AG561" i="1"/>
  <c r="IJ561" i="1"/>
  <c r="AR561" i="1" s="1"/>
  <c r="GW561" i="1"/>
  <c r="AJ561" i="1" s="1"/>
  <c r="GS561" i="1"/>
  <c r="GU561" i="1"/>
  <c r="AK561" i="1" s="1"/>
  <c r="GX561" i="1" l="1"/>
  <c r="AL561" i="1"/>
  <c r="AQ561" i="1" s="1"/>
  <c r="AV561" i="1" s="1"/>
  <c r="IC560" i="1" l="1"/>
  <c r="IB560" i="1"/>
  <c r="IA560" i="1"/>
  <c r="HN560" i="1"/>
  <c r="HF560" i="1"/>
  <c r="HH560" i="1" s="1"/>
  <c r="HJ560" i="1" s="1"/>
  <c r="EL560" i="1"/>
  <c r="EU560" i="1" s="1"/>
  <c r="DM560" i="1"/>
  <c r="AH560" i="1" s="1"/>
  <c r="AZ560" i="1"/>
  <c r="BA560" i="1" s="1"/>
  <c r="AO560" i="1"/>
  <c r="AI560" i="1"/>
  <c r="HO560" i="1" l="1"/>
  <c r="HV560" i="1" s="1"/>
  <c r="AM560" i="1" s="1"/>
  <c r="IE560" i="1"/>
  <c r="IG560" i="1" s="1"/>
  <c r="AN560" i="1" s="1"/>
  <c r="GU560" i="1"/>
  <c r="AK560" i="1" s="1"/>
  <c r="GS560" i="1"/>
  <c r="AE560" i="1"/>
  <c r="GW560" i="1"/>
  <c r="AJ560" i="1" s="1"/>
  <c r="AG560" i="1"/>
  <c r="GX560" i="1" l="1"/>
  <c r="AL560" i="1"/>
  <c r="AQ560" i="1" s="1"/>
  <c r="AV560" i="1" s="1"/>
  <c r="IC558" i="1" l="1"/>
  <c r="IB558" i="1"/>
  <c r="IA558" i="1"/>
  <c r="HT558" i="1"/>
  <c r="HN558" i="1"/>
  <c r="HF558" i="1"/>
  <c r="HH558" i="1" s="1"/>
  <c r="HJ558" i="1" s="1"/>
  <c r="EL558" i="1"/>
  <c r="EU558" i="1" s="1"/>
  <c r="CH558" i="1"/>
  <c r="DM558" i="1" s="1"/>
  <c r="AH558" i="1" s="1"/>
  <c r="AZ558" i="1"/>
  <c r="BA558" i="1" s="1"/>
  <c r="AU558" i="1"/>
  <c r="AO558" i="1"/>
  <c r="AI558" i="1"/>
  <c r="HO558" i="1" l="1"/>
  <c r="HV558" i="1" s="1"/>
  <c r="AM558" i="1" s="1"/>
  <c r="IE558" i="1"/>
  <c r="IG558" i="1" s="1"/>
  <c r="AN558" i="1" s="1"/>
  <c r="GU558" i="1"/>
  <c r="AK558" i="1" s="1"/>
  <c r="GS558" i="1"/>
  <c r="AE558" i="1"/>
  <c r="GW558" i="1"/>
  <c r="AJ558" i="1" s="1"/>
  <c r="AG558" i="1"/>
  <c r="AL558" i="1" l="1"/>
  <c r="AQ558" i="1" s="1"/>
  <c r="AV558" i="1" s="1"/>
  <c r="GX558" i="1"/>
  <c r="IC557" i="1" l="1"/>
  <c r="IB557" i="1"/>
  <c r="IA557" i="1"/>
  <c r="HT557" i="1"/>
  <c r="HN557" i="1"/>
  <c r="HF557" i="1"/>
  <c r="HH557" i="1" s="1"/>
  <c r="HJ557" i="1" s="1"/>
  <c r="EL557" i="1"/>
  <c r="EU557" i="1" s="1"/>
  <c r="AZ557" i="1"/>
  <c r="BA557" i="1" s="1"/>
  <c r="AU557" i="1"/>
  <c r="AO557" i="1"/>
  <c r="AI557" i="1"/>
  <c r="AH557" i="1"/>
  <c r="HO557" i="1" l="1"/>
  <c r="HV557" i="1" s="1"/>
  <c r="AM557" i="1" s="1"/>
  <c r="IE557" i="1"/>
  <c r="IG557" i="1" s="1"/>
  <c r="AN557" i="1" s="1"/>
  <c r="AE557" i="1"/>
  <c r="GU557" i="1"/>
  <c r="AK557" i="1" s="1"/>
  <c r="GS557" i="1"/>
  <c r="AG557" i="1"/>
  <c r="GW557" i="1"/>
  <c r="AJ557" i="1" s="1"/>
  <c r="GX557" i="1" l="1"/>
  <c r="AL557" i="1"/>
  <c r="AQ557" i="1" s="1"/>
  <c r="AV557" i="1" s="1"/>
  <c r="IC556" i="1" l="1"/>
  <c r="IB556" i="1"/>
  <c r="IA556" i="1"/>
  <c r="HN556" i="1"/>
  <c r="HF556" i="1"/>
  <c r="HH556" i="1" s="1"/>
  <c r="HJ556" i="1" s="1"/>
  <c r="EL556" i="1"/>
  <c r="EU556" i="1" s="1"/>
  <c r="DM556" i="1"/>
  <c r="AH556" i="1" s="1"/>
  <c r="AZ556" i="1"/>
  <c r="BA556" i="1" s="1"/>
  <c r="AO556" i="1"/>
  <c r="AI556" i="1"/>
  <c r="IC555" i="1"/>
  <c r="IB555" i="1"/>
  <c r="IA555" i="1"/>
  <c r="HN555" i="1"/>
  <c r="HF555" i="1"/>
  <c r="HH555" i="1" s="1"/>
  <c r="HJ555" i="1" s="1"/>
  <c r="FA555" i="1"/>
  <c r="EL555" i="1"/>
  <c r="EU555" i="1" s="1"/>
  <c r="CH555" i="1"/>
  <c r="DM555" i="1" s="1"/>
  <c r="AZ555" i="1"/>
  <c r="BA555" i="1" s="1"/>
  <c r="AO555" i="1"/>
  <c r="HO556" i="1" l="1"/>
  <c r="HV556" i="1" s="1"/>
  <c r="AM556" i="1" s="1"/>
  <c r="HO555" i="1"/>
  <c r="HV555" i="1" s="1"/>
  <c r="AM555" i="1" s="1"/>
  <c r="IE556" i="1"/>
  <c r="IG556" i="1" s="1"/>
  <c r="AN556" i="1" s="1"/>
  <c r="IE555" i="1"/>
  <c r="IG555" i="1" s="1"/>
  <c r="AN555" i="1" s="1"/>
  <c r="GS556" i="1"/>
  <c r="GU556" i="1"/>
  <c r="AK556" i="1" s="1"/>
  <c r="AE556" i="1"/>
  <c r="GW556" i="1"/>
  <c r="AJ556" i="1" s="1"/>
  <c r="AG556" i="1"/>
  <c r="GU555" i="1"/>
  <c r="AK555" i="1" s="1"/>
  <c r="GS555" i="1"/>
  <c r="AE555" i="1"/>
  <c r="DO555" i="1"/>
  <c r="AI555" i="1" s="1"/>
  <c r="AH555" i="1"/>
  <c r="GW555" i="1"/>
  <c r="AJ555" i="1" s="1"/>
  <c r="AG555" i="1"/>
  <c r="GX556" i="1" l="1"/>
  <c r="AL556" i="1"/>
  <c r="AQ556" i="1" s="1"/>
  <c r="AV556" i="1" s="1"/>
  <c r="DP555" i="1"/>
  <c r="AL555" i="1"/>
  <c r="AQ555" i="1" s="1"/>
  <c r="AV555" i="1" s="1"/>
  <c r="GX555" i="1"/>
  <c r="IC554" i="1" l="1"/>
  <c r="IB554" i="1"/>
  <c r="IA554" i="1"/>
  <c r="HN554" i="1"/>
  <c r="HF554" i="1"/>
  <c r="HH554" i="1" s="1"/>
  <c r="HJ554" i="1" s="1"/>
  <c r="EY554" i="1"/>
  <c r="EX554" i="1"/>
  <c r="EL554" i="1"/>
  <c r="CQ554" i="1"/>
  <c r="CR554" i="1" s="1"/>
  <c r="CL554" i="1"/>
  <c r="CM554" i="1" s="1"/>
  <c r="AZ554" i="1"/>
  <c r="BA554" i="1" s="1"/>
  <c r="DM554" i="1" l="1"/>
  <c r="DO554" i="1" s="1"/>
  <c r="AI554" i="1" s="1"/>
  <c r="FA554" i="1"/>
  <c r="EU554" i="1" s="1"/>
  <c r="AG554" i="1" s="1"/>
  <c r="HO554" i="1"/>
  <c r="HV554" i="1" s="1"/>
  <c r="AM554" i="1" s="1"/>
  <c r="IE554" i="1"/>
  <c r="IG554" i="1" s="1"/>
  <c r="AN554" i="1" s="1"/>
  <c r="AE554" i="1"/>
  <c r="AH554" i="1" l="1"/>
  <c r="GU554" i="1"/>
  <c r="AK554" i="1" s="1"/>
  <c r="GS554" i="1"/>
  <c r="AL554" i="1" s="1"/>
  <c r="GW554" i="1"/>
  <c r="AJ554" i="1" s="1"/>
  <c r="DP554" i="1"/>
  <c r="GX554" i="1" l="1"/>
  <c r="AQ554" i="1"/>
  <c r="AV554" i="1" s="1"/>
  <c r="IC551" i="1"/>
  <c r="IB551" i="1"/>
  <c r="IA551" i="1"/>
  <c r="HT551" i="1"/>
  <c r="HN551" i="1"/>
  <c r="HF551" i="1"/>
  <c r="HH551" i="1" s="1"/>
  <c r="HJ551" i="1" s="1"/>
  <c r="EL551" i="1"/>
  <c r="EU551" i="1" s="1"/>
  <c r="AZ551" i="1"/>
  <c r="BA551" i="1" s="1"/>
  <c r="AI551" i="1"/>
  <c r="AH551" i="1"/>
  <c r="HO551" i="1" l="1"/>
  <c r="HV551" i="1" s="1"/>
  <c r="AM551" i="1" s="1"/>
  <c r="IE551" i="1"/>
  <c r="IG551" i="1" s="1"/>
  <c r="AN551" i="1" s="1"/>
  <c r="GU551" i="1"/>
  <c r="AK551" i="1" s="1"/>
  <c r="GS551" i="1"/>
  <c r="AE551" i="1"/>
  <c r="GW551" i="1"/>
  <c r="AJ551" i="1" s="1"/>
  <c r="AG551" i="1"/>
  <c r="GX551" i="1" l="1"/>
  <c r="AL551" i="1"/>
  <c r="AQ551" i="1" s="1"/>
  <c r="AV551" i="1" s="1"/>
  <c r="IC545" i="1"/>
  <c r="IB545" i="1"/>
  <c r="IA545" i="1"/>
  <c r="HN545" i="1"/>
  <c r="HF545" i="1"/>
  <c r="HH545" i="1" s="1"/>
  <c r="HJ545" i="1" s="1"/>
  <c r="EL545" i="1"/>
  <c r="EU545" i="1" s="1"/>
  <c r="DU545" i="1"/>
  <c r="AF545" i="1" s="1"/>
  <c r="AZ545" i="1"/>
  <c r="BA545" i="1" s="1"/>
  <c r="AI545" i="1"/>
  <c r="AH545" i="1"/>
  <c r="HO545" i="1" l="1"/>
  <c r="HV545" i="1" s="1"/>
  <c r="AM545" i="1" s="1"/>
  <c r="IE545" i="1"/>
  <c r="IG545" i="1" s="1"/>
  <c r="AN545" i="1" s="1"/>
  <c r="GU545" i="1"/>
  <c r="AK545" i="1" s="1"/>
  <c r="GS545" i="1"/>
  <c r="AE545" i="1"/>
  <c r="GW545" i="1"/>
  <c r="AJ545" i="1" s="1"/>
  <c r="AG545" i="1"/>
  <c r="AL545" i="1" l="1"/>
  <c r="AQ545" i="1" s="1"/>
  <c r="AV545" i="1" s="1"/>
  <c r="GX545" i="1"/>
  <c r="KD544" i="1" l="1"/>
  <c r="KE544" i="1" s="1"/>
  <c r="KO544" i="1" s="1"/>
  <c r="IX544" i="1"/>
  <c r="IT544" i="1"/>
  <c r="IU544" i="1" s="1"/>
  <c r="IC544" i="1"/>
  <c r="IB544" i="1"/>
  <c r="IA544" i="1"/>
  <c r="HN544" i="1"/>
  <c r="HF544" i="1"/>
  <c r="HH544" i="1" s="1"/>
  <c r="HJ544" i="1" s="1"/>
  <c r="EL544" i="1"/>
  <c r="EU544" i="1" s="1"/>
  <c r="AZ544" i="1"/>
  <c r="BA544" i="1" s="1"/>
  <c r="AI544" i="1"/>
  <c r="AH544" i="1"/>
  <c r="KD543" i="1"/>
  <c r="KE543" i="1" s="1"/>
  <c r="KO543" i="1" s="1"/>
  <c r="IX543" i="1"/>
  <c r="IT543" i="1"/>
  <c r="IU543" i="1" s="1"/>
  <c r="IC543" i="1"/>
  <c r="IB543" i="1"/>
  <c r="IA543" i="1"/>
  <c r="HN543" i="1"/>
  <c r="HF543" i="1"/>
  <c r="HH543" i="1" s="1"/>
  <c r="HJ543" i="1" s="1"/>
  <c r="EL543" i="1"/>
  <c r="EU543" i="1" s="1"/>
  <c r="AZ543" i="1"/>
  <c r="BA543" i="1" s="1"/>
  <c r="AI543" i="1"/>
  <c r="AH543" i="1"/>
  <c r="HO544" i="1" l="1"/>
  <c r="HV544" i="1" s="1"/>
  <c r="AM544" i="1" s="1"/>
  <c r="IE543" i="1"/>
  <c r="IG543" i="1" s="1"/>
  <c r="AN543" i="1" s="1"/>
  <c r="HO543" i="1"/>
  <c r="HV543" i="1" s="1"/>
  <c r="AM543" i="1" s="1"/>
  <c r="IE544" i="1"/>
  <c r="IG544" i="1" s="1"/>
  <c r="AN544" i="1" s="1"/>
  <c r="AE544" i="1"/>
  <c r="GU544" i="1"/>
  <c r="AK544" i="1" s="1"/>
  <c r="GS544" i="1"/>
  <c r="AG543" i="1"/>
  <c r="GW543" i="1"/>
  <c r="AJ543" i="1" s="1"/>
  <c r="AG544" i="1"/>
  <c r="GW544" i="1"/>
  <c r="AJ544" i="1" s="1"/>
  <c r="KJ543" i="1"/>
  <c r="KH543" i="1"/>
  <c r="KJ544" i="1"/>
  <c r="KH544" i="1"/>
  <c r="GS543" i="1"/>
  <c r="AE543" i="1"/>
  <c r="GU543" i="1"/>
  <c r="AK543" i="1" s="1"/>
  <c r="KP543" i="1" l="1"/>
  <c r="DT543" i="1" s="1"/>
  <c r="DU543" i="1" s="1"/>
  <c r="AF543" i="1" s="1"/>
  <c r="KP544" i="1"/>
  <c r="DT544" i="1" s="1"/>
  <c r="DU544" i="1" s="1"/>
  <c r="AF544" i="1" s="1"/>
  <c r="AL543" i="1"/>
  <c r="GX543" i="1"/>
  <c r="GX544" i="1"/>
  <c r="AL544" i="1"/>
  <c r="AQ543" i="1" l="1"/>
  <c r="AV543" i="1" s="1"/>
  <c r="AQ544" i="1"/>
  <c r="AV544" i="1" s="1"/>
  <c r="KD542" i="1"/>
  <c r="KE542" i="1" s="1"/>
  <c r="IX542" i="1"/>
  <c r="IT542" i="1"/>
  <c r="IU542" i="1" s="1"/>
  <c r="IC542" i="1"/>
  <c r="IB542" i="1"/>
  <c r="IA542" i="1"/>
  <c r="HN542" i="1"/>
  <c r="HF542" i="1"/>
  <c r="HH542" i="1" s="1"/>
  <c r="HJ542" i="1" s="1"/>
  <c r="EL542" i="1"/>
  <c r="EU542" i="1" s="1"/>
  <c r="AZ542" i="1"/>
  <c r="BA542" i="1" s="1"/>
  <c r="AI542" i="1"/>
  <c r="AH542" i="1"/>
  <c r="HO542" i="1" l="1"/>
  <c r="HV542" i="1" s="1"/>
  <c r="AM542" i="1" s="1"/>
  <c r="IE542" i="1"/>
  <c r="IG542" i="1" s="1"/>
  <c r="AN542" i="1" s="1"/>
  <c r="KH542" i="1"/>
  <c r="AE542" i="1"/>
  <c r="GS542" i="1"/>
  <c r="GU542" i="1"/>
  <c r="AK542" i="1" s="1"/>
  <c r="AG542" i="1"/>
  <c r="GW542" i="1"/>
  <c r="AJ542" i="1" s="1"/>
  <c r="KO542" i="1"/>
  <c r="KJ542" i="1"/>
  <c r="JU542" i="1"/>
  <c r="JV542" i="1" s="1"/>
  <c r="KP542" i="1" l="1"/>
  <c r="DT542" i="1" s="1"/>
  <c r="DU542" i="1" s="1"/>
  <c r="AF542" i="1" s="1"/>
  <c r="GX542" i="1"/>
  <c r="AL542" i="1"/>
  <c r="AQ542" i="1" l="1"/>
  <c r="AV542" i="1" s="1"/>
  <c r="IC540" i="1" l="1"/>
  <c r="IB540" i="1"/>
  <c r="IA540" i="1"/>
  <c r="HN540" i="1"/>
  <c r="HF540" i="1"/>
  <c r="HH540" i="1" s="1"/>
  <c r="HJ540" i="1" s="1"/>
  <c r="FA540" i="1"/>
  <c r="EL540" i="1"/>
  <c r="EU540" i="1" s="1"/>
  <c r="CH540" i="1"/>
  <c r="DM540" i="1" s="1"/>
  <c r="AZ540" i="1"/>
  <c r="BA540" i="1" s="1"/>
  <c r="HO540" i="1" l="1"/>
  <c r="HV540" i="1" s="1"/>
  <c r="AM540" i="1" s="1"/>
  <c r="IE540" i="1"/>
  <c r="IG540" i="1" s="1"/>
  <c r="AN540" i="1" s="1"/>
  <c r="GU540" i="1"/>
  <c r="AK540" i="1" s="1"/>
  <c r="GS540" i="1"/>
  <c r="AE540" i="1"/>
  <c r="DO540" i="1"/>
  <c r="AI540" i="1" s="1"/>
  <c r="AH540" i="1"/>
  <c r="GW540" i="1"/>
  <c r="AJ540" i="1" s="1"/>
  <c r="AG540" i="1"/>
  <c r="DP540" i="1" l="1"/>
  <c r="AL540" i="1"/>
  <c r="AQ540" i="1" s="1"/>
  <c r="AV540" i="1" s="1"/>
  <c r="GX540" i="1"/>
  <c r="IC538" i="1" l="1"/>
  <c r="IB538" i="1"/>
  <c r="IA538" i="1"/>
  <c r="HN538" i="1"/>
  <c r="HF538" i="1"/>
  <c r="HH538" i="1" s="1"/>
  <c r="HJ538" i="1" s="1"/>
  <c r="FA538" i="1"/>
  <c r="EL538" i="1"/>
  <c r="EU538" i="1" s="1"/>
  <c r="AZ538" i="1"/>
  <c r="BA538" i="1" s="1"/>
  <c r="AI538" i="1"/>
  <c r="AH538" i="1"/>
  <c r="HO538" i="1" l="1"/>
  <c r="HV538" i="1" s="1"/>
  <c r="AM538" i="1" s="1"/>
  <c r="IE538" i="1"/>
  <c r="IG538" i="1" s="1"/>
  <c r="AN538" i="1" s="1"/>
  <c r="GU538" i="1"/>
  <c r="AK538" i="1" s="1"/>
  <c r="GS538" i="1"/>
  <c r="AE538" i="1"/>
  <c r="GW538" i="1"/>
  <c r="AJ538" i="1" s="1"/>
  <c r="AG538" i="1"/>
  <c r="AL538" i="1" l="1"/>
  <c r="AQ538" i="1" s="1"/>
  <c r="AV538" i="1" s="1"/>
  <c r="GX538" i="1"/>
  <c r="IC535" i="1" l="1"/>
  <c r="IB535" i="1"/>
  <c r="IA535" i="1"/>
  <c r="HN535" i="1"/>
  <c r="HF535" i="1"/>
  <c r="HH535" i="1" s="1"/>
  <c r="HJ535" i="1" s="1"/>
  <c r="FA535" i="1"/>
  <c r="EL535" i="1"/>
  <c r="EU535" i="1" s="1"/>
  <c r="AZ535" i="1"/>
  <c r="BA535" i="1" s="1"/>
  <c r="AI535" i="1"/>
  <c r="AH535" i="1"/>
  <c r="HO535" i="1" l="1"/>
  <c r="HV535" i="1" s="1"/>
  <c r="AM535" i="1" s="1"/>
  <c r="IE535" i="1"/>
  <c r="IG535" i="1" s="1"/>
  <c r="AN535" i="1" s="1"/>
  <c r="GS535" i="1"/>
  <c r="AE535" i="1"/>
  <c r="GU535" i="1"/>
  <c r="AK535" i="1" s="1"/>
  <c r="AG535" i="1"/>
  <c r="GW535" i="1"/>
  <c r="AJ535" i="1" s="1"/>
  <c r="AL535" i="1" l="1"/>
  <c r="AQ535" i="1" s="1"/>
  <c r="AV535" i="1" s="1"/>
  <c r="GX535" i="1"/>
  <c r="IC532" i="1" l="1"/>
  <c r="IB532" i="1"/>
  <c r="IA532" i="1"/>
  <c r="HN532" i="1"/>
  <c r="HF532" i="1"/>
  <c r="HH532" i="1" s="1"/>
  <c r="HJ532" i="1" s="1"/>
  <c r="FA532" i="1"/>
  <c r="EL532" i="1"/>
  <c r="EU532" i="1" s="1"/>
  <c r="AZ532" i="1"/>
  <c r="BA532" i="1" s="1"/>
  <c r="AI532" i="1"/>
  <c r="AH532" i="1"/>
  <c r="HO532" i="1" l="1"/>
  <c r="HV532" i="1" s="1"/>
  <c r="AM532" i="1" s="1"/>
  <c r="IE532" i="1"/>
  <c r="IG532" i="1" s="1"/>
  <c r="AN532" i="1" s="1"/>
  <c r="GU532" i="1"/>
  <c r="AK532" i="1" s="1"/>
  <c r="GS532" i="1"/>
  <c r="AE532" i="1"/>
  <c r="AG532" i="1"/>
  <c r="GW532" i="1"/>
  <c r="AJ532" i="1" s="1"/>
  <c r="IC529" i="1"/>
  <c r="IB529" i="1"/>
  <c r="IA529" i="1"/>
  <c r="HN529" i="1"/>
  <c r="HF529" i="1"/>
  <c r="HH529" i="1" s="1"/>
  <c r="HJ529" i="1" s="1"/>
  <c r="FA529" i="1"/>
  <c r="EL529" i="1"/>
  <c r="EU529" i="1" s="1"/>
  <c r="AZ529" i="1"/>
  <c r="BA529" i="1" s="1"/>
  <c r="AI529" i="1"/>
  <c r="AH529" i="1"/>
  <c r="IC528" i="1"/>
  <c r="IB528" i="1"/>
  <c r="IA528" i="1"/>
  <c r="HN528" i="1"/>
  <c r="HF528" i="1"/>
  <c r="HH528" i="1" s="1"/>
  <c r="HJ528" i="1" s="1"/>
  <c r="FA528" i="1"/>
  <c r="EL528" i="1"/>
  <c r="EU528" i="1" s="1"/>
  <c r="CH528" i="1"/>
  <c r="DM528" i="1" s="1"/>
  <c r="AZ528" i="1"/>
  <c r="BA528" i="1" s="1"/>
  <c r="HO528" i="1" l="1"/>
  <c r="HV528" i="1" s="1"/>
  <c r="AM528" i="1" s="1"/>
  <c r="HO529" i="1"/>
  <c r="HV529" i="1" s="1"/>
  <c r="AM529" i="1" s="1"/>
  <c r="IE528" i="1"/>
  <c r="IG528" i="1" s="1"/>
  <c r="AN528" i="1" s="1"/>
  <c r="IE529" i="1"/>
  <c r="IG529" i="1" s="1"/>
  <c r="AN529" i="1" s="1"/>
  <c r="GX532" i="1"/>
  <c r="AL532" i="1"/>
  <c r="AQ532" i="1" s="1"/>
  <c r="AV532" i="1" s="1"/>
  <c r="GS529" i="1"/>
  <c r="AE529" i="1"/>
  <c r="GU529" i="1"/>
  <c r="AK529" i="1" s="1"/>
  <c r="AG529" i="1"/>
  <c r="GW529" i="1"/>
  <c r="AJ529" i="1" s="1"/>
  <c r="GU528" i="1"/>
  <c r="AK528" i="1" s="1"/>
  <c r="GS528" i="1"/>
  <c r="AE528" i="1"/>
  <c r="DO528" i="1"/>
  <c r="AI528" i="1" s="1"/>
  <c r="AH528" i="1"/>
  <c r="GW528" i="1"/>
  <c r="AJ528" i="1" s="1"/>
  <c r="AG528" i="1"/>
  <c r="GX529" i="1" l="1"/>
  <c r="AL529" i="1"/>
  <c r="AQ529" i="1" s="1"/>
  <c r="AV529" i="1" s="1"/>
  <c r="DP528" i="1"/>
  <c r="AL528" i="1"/>
  <c r="AQ528" i="1" s="1"/>
  <c r="AV528" i="1" s="1"/>
  <c r="GX528" i="1"/>
  <c r="IC525" i="1" l="1"/>
  <c r="IB525" i="1"/>
  <c r="IA525" i="1"/>
  <c r="HN525" i="1"/>
  <c r="HF525" i="1"/>
  <c r="HH525" i="1" s="1"/>
  <c r="HJ525" i="1" s="1"/>
  <c r="FA525" i="1"/>
  <c r="EL525" i="1"/>
  <c r="EU525" i="1" s="1"/>
  <c r="DP525" i="1"/>
  <c r="AZ525" i="1"/>
  <c r="BA525" i="1" s="1"/>
  <c r="AI525" i="1"/>
  <c r="AH525" i="1"/>
  <c r="HO525" i="1" l="1"/>
  <c r="HV525" i="1" s="1"/>
  <c r="AM525" i="1" s="1"/>
  <c r="IE525" i="1"/>
  <c r="IG525" i="1" s="1"/>
  <c r="AN525" i="1" s="1"/>
  <c r="GU525" i="1"/>
  <c r="AK525" i="1" s="1"/>
  <c r="GS525" i="1"/>
  <c r="AE525" i="1"/>
  <c r="GW525" i="1"/>
  <c r="AJ525" i="1" s="1"/>
  <c r="AG525" i="1"/>
  <c r="IC522" i="1"/>
  <c r="IB522" i="1"/>
  <c r="IA522" i="1"/>
  <c r="HN522" i="1"/>
  <c r="HF522" i="1"/>
  <c r="HH522" i="1" s="1"/>
  <c r="HJ522" i="1" s="1"/>
  <c r="FA522" i="1"/>
  <c r="EL522" i="1"/>
  <c r="EU522" i="1" s="1"/>
  <c r="DP522" i="1"/>
  <c r="AZ522" i="1"/>
  <c r="BA522" i="1" s="1"/>
  <c r="AI522" i="1"/>
  <c r="AH522" i="1"/>
  <c r="HO522" i="1" l="1"/>
  <c r="HV522" i="1" s="1"/>
  <c r="AM522" i="1" s="1"/>
  <c r="IE522" i="1"/>
  <c r="IG522" i="1" s="1"/>
  <c r="AN522" i="1" s="1"/>
  <c r="AL525" i="1"/>
  <c r="AQ525" i="1" s="1"/>
  <c r="AV525" i="1" s="1"/>
  <c r="GX525" i="1"/>
  <c r="GS522" i="1"/>
  <c r="AE522" i="1"/>
  <c r="GU522" i="1"/>
  <c r="AK522" i="1" s="1"/>
  <c r="AG522" i="1"/>
  <c r="GW522" i="1"/>
  <c r="AJ522" i="1" s="1"/>
  <c r="IC519" i="1"/>
  <c r="IB519" i="1"/>
  <c r="IA519" i="1"/>
  <c r="HN519" i="1"/>
  <c r="HF519" i="1"/>
  <c r="HH519" i="1" s="1"/>
  <c r="HJ519" i="1" s="1"/>
  <c r="FA519" i="1"/>
  <c r="EL519" i="1"/>
  <c r="EU519" i="1" s="1"/>
  <c r="AG519" i="1" s="1"/>
  <c r="CH519" i="1"/>
  <c r="DM519" i="1" s="1"/>
  <c r="AH519" i="1" s="1"/>
  <c r="AZ519" i="1"/>
  <c r="BA519" i="1" s="1"/>
  <c r="IE519" i="1" l="1"/>
  <c r="IG519" i="1" s="1"/>
  <c r="AN519" i="1" s="1"/>
  <c r="HO519" i="1"/>
  <c r="HV519" i="1" s="1"/>
  <c r="AM519" i="1" s="1"/>
  <c r="GX522" i="1"/>
  <c r="AL522" i="1"/>
  <c r="AQ522" i="1" s="1"/>
  <c r="AV522" i="1" s="1"/>
  <c r="GS519" i="1"/>
  <c r="AE519" i="1"/>
  <c r="GU519" i="1"/>
  <c r="AK519" i="1" s="1"/>
  <c r="GW519" i="1"/>
  <c r="AJ519" i="1" s="1"/>
  <c r="DO519" i="1"/>
  <c r="AI519" i="1" s="1"/>
  <c r="G18" i="4"/>
  <c r="AL519" i="1" l="1"/>
  <c r="AQ519" i="1" s="1"/>
  <c r="AV519" i="1" s="1"/>
  <c r="GX519" i="1"/>
  <c r="DP519" i="1"/>
  <c r="IC152" i="1"/>
  <c r="IB152" i="1"/>
  <c r="IA152" i="1"/>
  <c r="HN152" i="1"/>
  <c r="HF152" i="1"/>
  <c r="HH152" i="1" s="1"/>
  <c r="HJ152" i="1" s="1"/>
  <c r="EL152" i="1"/>
  <c r="EU152" i="1" s="1"/>
  <c r="DO152" i="1"/>
  <c r="AI152" i="1" s="1"/>
  <c r="DM152" i="1"/>
  <c r="AZ152" i="1"/>
  <c r="BA152" i="1" s="1"/>
  <c r="IE152" i="1" l="1"/>
  <c r="IG152" i="1" s="1"/>
  <c r="AN152" i="1" s="1"/>
  <c r="DP152" i="1"/>
  <c r="HO152" i="1"/>
  <c r="HV152" i="1" s="1"/>
  <c r="AM152" i="1" s="1"/>
  <c r="AE152" i="1"/>
  <c r="GU152" i="1"/>
  <c r="AK152" i="1" s="1"/>
  <c r="GS152" i="1"/>
  <c r="AG152" i="1"/>
  <c r="GW152" i="1"/>
  <c r="AJ152" i="1" s="1"/>
  <c r="AH152" i="1"/>
  <c r="AL152" i="1" l="1"/>
  <c r="AQ152" i="1" s="1"/>
  <c r="AV152" i="1" s="1"/>
  <c r="GX152" i="1"/>
  <c r="IC199" i="1" l="1"/>
  <c r="IB199" i="1"/>
  <c r="IA199" i="1"/>
  <c r="HT199" i="1"/>
  <c r="HN199" i="1"/>
  <c r="HJ199" i="1"/>
  <c r="HF199" i="1"/>
  <c r="EL199" i="1"/>
  <c r="EU199" i="1" s="1"/>
  <c r="DP199" i="1"/>
  <c r="AH199" i="1" s="1"/>
  <c r="DO199" i="1"/>
  <c r="AI199" i="1" s="1"/>
  <c r="AZ199" i="1"/>
  <c r="BA199" i="1" s="1"/>
  <c r="AU199" i="1"/>
  <c r="IC34" i="1"/>
  <c r="IB34" i="1"/>
  <c r="IA34" i="1"/>
  <c r="HN34" i="1"/>
  <c r="HH34" i="1"/>
  <c r="HJ34" i="1" s="1"/>
  <c r="EL34" i="1"/>
  <c r="EU34" i="1" s="1"/>
  <c r="DP34" i="1"/>
  <c r="AH34" i="1" s="1"/>
  <c r="DO34" i="1"/>
  <c r="AI34" i="1" s="1"/>
  <c r="AZ34" i="1"/>
  <c r="BA34" i="1" s="1"/>
  <c r="IE199" i="1" l="1"/>
  <c r="IG199" i="1" s="1"/>
  <c r="AN199" i="1" s="1"/>
  <c r="HO199" i="1"/>
  <c r="HV199" i="1" s="1"/>
  <c r="AM199" i="1" s="1"/>
  <c r="AE199" i="1"/>
  <c r="GU199" i="1"/>
  <c r="AK199" i="1" s="1"/>
  <c r="GS199" i="1"/>
  <c r="AG199" i="1"/>
  <c r="GW199" i="1"/>
  <c r="AJ199" i="1" s="1"/>
  <c r="HO34" i="1"/>
  <c r="HV34" i="1" s="1"/>
  <c r="AM34" i="1" s="1"/>
  <c r="IE34" i="1"/>
  <c r="IG34" i="1" s="1"/>
  <c r="AN34" i="1" s="1"/>
  <c r="AG34" i="1"/>
  <c r="GW34" i="1"/>
  <c r="AJ34" i="1" s="1"/>
  <c r="GU34" i="1"/>
  <c r="AK34" i="1" s="1"/>
  <c r="GS34" i="1"/>
  <c r="AE34" i="1"/>
  <c r="GX199" i="1" l="1"/>
  <c r="AL199" i="1"/>
  <c r="AQ199" i="1" s="1"/>
  <c r="AV199" i="1" s="1"/>
  <c r="AL34" i="1"/>
  <c r="AQ34" i="1" s="1"/>
  <c r="AV34" i="1" s="1"/>
  <c r="GX34" i="1"/>
  <c r="IC504" i="1" l="1"/>
  <c r="IB504" i="1"/>
  <c r="IA504" i="1"/>
  <c r="HT504" i="1"/>
  <c r="HN504" i="1"/>
  <c r="HF504" i="1"/>
  <c r="HH504" i="1" s="1"/>
  <c r="HJ504" i="1" s="1"/>
  <c r="EL504" i="1"/>
  <c r="EU504" i="1" s="1"/>
  <c r="AZ504" i="1"/>
  <c r="BA504" i="1" s="1"/>
  <c r="AS504" i="1"/>
  <c r="AR504" i="1"/>
  <c r="AO504" i="1"/>
  <c r="AI504" i="1"/>
  <c r="AH504" i="1"/>
  <c r="HO504" i="1" l="1"/>
  <c r="HV504" i="1" s="1"/>
  <c r="AM504" i="1" s="1"/>
  <c r="IE504" i="1"/>
  <c r="IG504" i="1" s="1"/>
  <c r="AN504" i="1" s="1"/>
  <c r="AG504" i="1"/>
  <c r="GW504" i="1"/>
  <c r="AJ504" i="1" s="1"/>
  <c r="GU504" i="1"/>
  <c r="AK504" i="1" s="1"/>
  <c r="GS504" i="1"/>
  <c r="AE504" i="1"/>
  <c r="AL504" i="1" l="1"/>
  <c r="AQ504" i="1" s="1"/>
  <c r="AV504" i="1" s="1"/>
  <c r="GX504" i="1"/>
  <c r="IC503" i="1"/>
  <c r="IB503" i="1"/>
  <c r="IA503" i="1"/>
  <c r="HR503" i="1"/>
  <c r="HT503" i="1" s="1"/>
  <c r="HN503" i="1"/>
  <c r="HF503" i="1"/>
  <c r="HH503" i="1" s="1"/>
  <c r="HJ503" i="1" s="1"/>
  <c r="EL503" i="1"/>
  <c r="EU503" i="1" s="1"/>
  <c r="CM503" i="1"/>
  <c r="DM503" i="1" s="1"/>
  <c r="BZ503" i="1"/>
  <c r="CA503" i="1" s="1"/>
  <c r="CB503" i="1" s="1"/>
  <c r="BR503" i="1"/>
  <c r="BS503" i="1" s="1"/>
  <c r="BT503" i="1" s="1"/>
  <c r="AU503" i="1"/>
  <c r="AS503" i="1"/>
  <c r="AR503" i="1"/>
  <c r="AO503" i="1"/>
  <c r="AJ503" i="1"/>
  <c r="AI503" i="1"/>
  <c r="IC502" i="1"/>
  <c r="IB502" i="1"/>
  <c r="IA502" i="1"/>
  <c r="HR502" i="1"/>
  <c r="HT502" i="1" s="1"/>
  <c r="HN502" i="1"/>
  <c r="HF502" i="1"/>
  <c r="HH502" i="1" s="1"/>
  <c r="HJ502" i="1" s="1"/>
  <c r="EL502" i="1"/>
  <c r="EU502" i="1" s="1"/>
  <c r="CM502" i="1"/>
  <c r="DM502" i="1" s="1"/>
  <c r="BZ502" i="1"/>
  <c r="CA502" i="1" s="1"/>
  <c r="CB502" i="1" s="1"/>
  <c r="BR502" i="1"/>
  <c r="BS502" i="1" s="1"/>
  <c r="BT502" i="1" s="1"/>
  <c r="AU502" i="1"/>
  <c r="AS502" i="1"/>
  <c r="AR502" i="1"/>
  <c r="AO502" i="1"/>
  <c r="AJ502" i="1"/>
  <c r="AI502" i="1"/>
  <c r="HO503" i="1" l="1"/>
  <c r="HV503" i="1" s="1"/>
  <c r="AM503" i="1" s="1"/>
  <c r="IE502" i="1"/>
  <c r="IG502" i="1" s="1"/>
  <c r="AN502" i="1" s="1"/>
  <c r="IE503" i="1"/>
  <c r="IG503" i="1" s="1"/>
  <c r="AN503" i="1" s="1"/>
  <c r="HO502" i="1"/>
  <c r="HV502" i="1" s="1"/>
  <c r="AM502" i="1" s="1"/>
  <c r="CC503" i="1"/>
  <c r="AH503" i="1"/>
  <c r="DP503" i="1"/>
  <c r="AH502" i="1"/>
  <c r="DP502" i="1"/>
  <c r="CC502" i="1"/>
  <c r="GU503" i="1" l="1"/>
  <c r="AK503" i="1" s="1"/>
  <c r="GS503" i="1"/>
  <c r="EM503" i="1"/>
  <c r="AG503" i="1" s="1"/>
  <c r="AE503" i="1"/>
  <c r="GU502" i="1"/>
  <c r="AK502" i="1" s="1"/>
  <c r="EM502" i="1"/>
  <c r="AG502" i="1" s="1"/>
  <c r="GS502" i="1"/>
  <c r="AE502" i="1"/>
  <c r="GX503" i="1" l="1"/>
  <c r="AL503" i="1"/>
  <c r="AQ503" i="1" s="1"/>
  <c r="AV503" i="1" s="1"/>
  <c r="GX502" i="1"/>
  <c r="AL502" i="1"/>
  <c r="AQ502" i="1" s="1"/>
  <c r="AV502" i="1" s="1"/>
  <c r="IC501" i="1" l="1"/>
  <c r="IB501" i="1"/>
  <c r="IA501" i="1"/>
  <c r="HR501" i="1"/>
  <c r="HT501" i="1" s="1"/>
  <c r="HN501" i="1"/>
  <c r="HF501" i="1"/>
  <c r="HH501" i="1" s="1"/>
  <c r="HJ501" i="1" s="1"/>
  <c r="EL501" i="1"/>
  <c r="EU501" i="1" s="1"/>
  <c r="CW501" i="1"/>
  <c r="CR501" i="1"/>
  <c r="CM501" i="1"/>
  <c r="CH501" i="1"/>
  <c r="BZ501" i="1"/>
  <c r="CA501" i="1" s="1"/>
  <c r="CB501" i="1" s="1"/>
  <c r="BR501" i="1"/>
  <c r="BS501" i="1" s="1"/>
  <c r="BT501" i="1" s="1"/>
  <c r="AU501" i="1"/>
  <c r="AS501" i="1"/>
  <c r="AR501" i="1"/>
  <c r="AO501" i="1"/>
  <c r="AJ501" i="1"/>
  <c r="IC500" i="1"/>
  <c r="IB500" i="1"/>
  <c r="IA500" i="1"/>
  <c r="HR500" i="1"/>
  <c r="HT500" i="1" s="1"/>
  <c r="HN500" i="1"/>
  <c r="HF500" i="1"/>
  <c r="HH500" i="1" s="1"/>
  <c r="HJ500" i="1" s="1"/>
  <c r="EL500" i="1"/>
  <c r="EU500" i="1" s="1"/>
  <c r="CW500" i="1"/>
  <c r="CR500" i="1"/>
  <c r="CM500" i="1"/>
  <c r="CH500" i="1"/>
  <c r="BZ500" i="1"/>
  <c r="CA500" i="1" s="1"/>
  <c r="CB500" i="1" s="1"/>
  <c r="BR500" i="1"/>
  <c r="BS500" i="1" s="1"/>
  <c r="BT500" i="1" s="1"/>
  <c r="AU500" i="1"/>
  <c r="AS500" i="1"/>
  <c r="AR500" i="1"/>
  <c r="AO500" i="1"/>
  <c r="AJ500" i="1"/>
  <c r="IC499" i="1"/>
  <c r="IB499" i="1"/>
  <c r="IA499" i="1"/>
  <c r="HT499" i="1"/>
  <c r="HN499" i="1"/>
  <c r="HF499" i="1"/>
  <c r="HH499" i="1" s="1"/>
  <c r="HJ499" i="1" s="1"/>
  <c r="EL499" i="1"/>
  <c r="EU499" i="1" s="1"/>
  <c r="CW499" i="1"/>
  <c r="CR499" i="1"/>
  <c r="CM499" i="1"/>
  <c r="CH499" i="1"/>
  <c r="AZ499" i="1"/>
  <c r="BA499" i="1" s="1"/>
  <c r="AS499" i="1"/>
  <c r="AR499" i="1"/>
  <c r="AO499" i="1"/>
  <c r="HO499" i="1" l="1"/>
  <c r="HV499" i="1" s="1"/>
  <c r="AM499" i="1" s="1"/>
  <c r="HO501" i="1"/>
  <c r="HV501" i="1" s="1"/>
  <c r="AM501" i="1" s="1"/>
  <c r="IE501" i="1"/>
  <c r="IG501" i="1" s="1"/>
  <c r="AN501" i="1" s="1"/>
  <c r="DM499" i="1"/>
  <c r="AH499" i="1" s="1"/>
  <c r="DM500" i="1"/>
  <c r="DO500" i="1" s="1"/>
  <c r="AI500" i="1" s="1"/>
  <c r="IE499" i="1"/>
  <c r="IG499" i="1" s="1"/>
  <c r="AN499" i="1" s="1"/>
  <c r="CC500" i="1"/>
  <c r="GU500" i="1" s="1"/>
  <c r="AK500" i="1" s="1"/>
  <c r="IE500" i="1"/>
  <c r="IG500" i="1" s="1"/>
  <c r="AN500" i="1" s="1"/>
  <c r="DM501" i="1"/>
  <c r="DO501" i="1" s="1"/>
  <c r="AI501" i="1" s="1"/>
  <c r="HO500" i="1"/>
  <c r="HV500" i="1" s="1"/>
  <c r="AM500" i="1" s="1"/>
  <c r="CC501" i="1"/>
  <c r="GS499" i="1"/>
  <c r="AE499" i="1"/>
  <c r="AG499" i="1"/>
  <c r="GW499" i="1"/>
  <c r="AJ499" i="1" s="1"/>
  <c r="GU499" i="1"/>
  <c r="AK499" i="1" s="1"/>
  <c r="DO499" i="1" l="1"/>
  <c r="AI499" i="1" s="1"/>
  <c r="AH501" i="1"/>
  <c r="GS500" i="1"/>
  <c r="AL500" i="1" s="1"/>
  <c r="EM500" i="1"/>
  <c r="AG500" i="1" s="1"/>
  <c r="AH500" i="1"/>
  <c r="AE500" i="1"/>
  <c r="DP501" i="1"/>
  <c r="GU501" i="1"/>
  <c r="AK501" i="1" s="1"/>
  <c r="GS501" i="1"/>
  <c r="EM501" i="1"/>
  <c r="AG501" i="1" s="1"/>
  <c r="AE501" i="1"/>
  <c r="DP500" i="1"/>
  <c r="AL499" i="1"/>
  <c r="GX499" i="1"/>
  <c r="AQ499" i="1" l="1"/>
  <c r="AV499" i="1" s="1"/>
  <c r="DP499" i="1"/>
  <c r="GX500" i="1"/>
  <c r="AQ500" i="1"/>
  <c r="AV500" i="1" s="1"/>
  <c r="GX501" i="1"/>
  <c r="AL501" i="1"/>
  <c r="AQ501" i="1" s="1"/>
  <c r="AV501" i="1" s="1"/>
  <c r="IC498" i="1"/>
  <c r="IB498" i="1"/>
  <c r="IA498" i="1"/>
  <c r="HT498" i="1"/>
  <c r="HN498" i="1"/>
  <c r="HF498" i="1"/>
  <c r="HH498" i="1" s="1"/>
  <c r="HJ498" i="1" s="1"/>
  <c r="EL498" i="1"/>
  <c r="EU498" i="1" s="1"/>
  <c r="CH498" i="1"/>
  <c r="DM498" i="1" s="1"/>
  <c r="AZ498" i="1"/>
  <c r="BA498" i="1" s="1"/>
  <c r="AS498" i="1"/>
  <c r="AR498" i="1"/>
  <c r="AO498" i="1"/>
  <c r="HO498" i="1" l="1"/>
  <c r="HV498" i="1" s="1"/>
  <c r="AM498" i="1" s="1"/>
  <c r="IE498" i="1"/>
  <c r="IG498" i="1" s="1"/>
  <c r="AN498" i="1" s="1"/>
  <c r="AE498" i="1"/>
  <c r="GS498" i="1"/>
  <c r="DO498" i="1"/>
  <c r="AI498" i="1" s="1"/>
  <c r="AH498" i="1"/>
  <c r="AG498" i="1"/>
  <c r="GW498" i="1"/>
  <c r="AJ498" i="1" s="1"/>
  <c r="GU498" i="1"/>
  <c r="AK498" i="1" s="1"/>
  <c r="DP498" i="1" l="1"/>
  <c r="GX498" i="1"/>
  <c r="AL498" i="1"/>
  <c r="AQ498" i="1" s="1"/>
  <c r="AV498" i="1" s="1"/>
  <c r="IC497" i="1" l="1"/>
  <c r="IB497" i="1"/>
  <c r="IA497" i="1"/>
  <c r="HT497" i="1"/>
  <c r="HN497" i="1"/>
  <c r="HF497" i="1"/>
  <c r="HH497" i="1" s="1"/>
  <c r="HJ497" i="1" s="1"/>
  <c r="EL497" i="1"/>
  <c r="EU497" i="1" s="1"/>
  <c r="CW497" i="1"/>
  <c r="CR497" i="1"/>
  <c r="CM497" i="1"/>
  <c r="CH497" i="1"/>
  <c r="AZ497" i="1"/>
  <c r="BA497" i="1" s="1"/>
  <c r="AS497" i="1"/>
  <c r="AR497" i="1"/>
  <c r="AO497" i="1"/>
  <c r="IC496" i="1"/>
  <c r="IB496" i="1"/>
  <c r="IA496" i="1"/>
  <c r="HT496" i="1"/>
  <c r="HN496" i="1"/>
  <c r="HF496" i="1"/>
  <c r="HH496" i="1" s="1"/>
  <c r="HJ496" i="1" s="1"/>
  <c r="EL496" i="1"/>
  <c r="EU496" i="1" s="1"/>
  <c r="CW496" i="1"/>
  <c r="CR496" i="1"/>
  <c r="CM496" i="1"/>
  <c r="CH496" i="1"/>
  <c r="AZ496" i="1"/>
  <c r="BA496" i="1" s="1"/>
  <c r="AU496" i="1"/>
  <c r="AS496" i="1"/>
  <c r="AR496" i="1"/>
  <c r="AO496" i="1"/>
  <c r="HO496" i="1" l="1"/>
  <c r="HV496" i="1" s="1"/>
  <c r="AM496" i="1" s="1"/>
  <c r="IE496" i="1"/>
  <c r="IG496" i="1" s="1"/>
  <c r="AN496" i="1" s="1"/>
  <c r="IE497" i="1"/>
  <c r="IG497" i="1" s="1"/>
  <c r="AN497" i="1" s="1"/>
  <c r="HO497" i="1"/>
  <c r="HV497" i="1" s="1"/>
  <c r="AM497" i="1" s="1"/>
  <c r="DM497" i="1"/>
  <c r="AH497" i="1" s="1"/>
  <c r="DM496" i="1"/>
  <c r="DO496" i="1" s="1"/>
  <c r="AI496" i="1" s="1"/>
  <c r="GS497" i="1"/>
  <c r="AE497" i="1"/>
  <c r="GW497" i="1"/>
  <c r="AJ497" i="1" s="1"/>
  <c r="GU497" i="1"/>
  <c r="AK497" i="1" s="1"/>
  <c r="AG497" i="1"/>
  <c r="GS496" i="1"/>
  <c r="AE496" i="1"/>
  <c r="GW496" i="1"/>
  <c r="AJ496" i="1" s="1"/>
  <c r="GU496" i="1"/>
  <c r="AK496" i="1" s="1"/>
  <c r="AG496" i="1"/>
  <c r="DO497" i="1" l="1"/>
  <c r="AI497" i="1" s="1"/>
  <c r="AH496" i="1"/>
  <c r="GX497" i="1"/>
  <c r="AL497" i="1"/>
  <c r="DP496" i="1"/>
  <c r="GX496" i="1"/>
  <c r="AL496" i="1"/>
  <c r="AQ497" i="1" l="1"/>
  <c r="AV497" i="1" s="1"/>
  <c r="DP497" i="1"/>
  <c r="AQ496" i="1"/>
  <c r="AV496" i="1" s="1"/>
  <c r="IC495" i="1"/>
  <c r="IB495" i="1"/>
  <c r="IA495" i="1"/>
  <c r="HT495" i="1"/>
  <c r="HN495" i="1"/>
  <c r="HF495" i="1"/>
  <c r="HH495" i="1" s="1"/>
  <c r="HJ495" i="1" s="1"/>
  <c r="EL495" i="1"/>
  <c r="EU495" i="1" s="1"/>
  <c r="CH495" i="1"/>
  <c r="DM495" i="1" s="1"/>
  <c r="AZ495" i="1"/>
  <c r="BA495" i="1" s="1"/>
  <c r="AU495" i="1"/>
  <c r="AS495" i="1"/>
  <c r="AR495" i="1"/>
  <c r="AO495" i="1"/>
  <c r="HO495" i="1" l="1"/>
  <c r="HV495" i="1" s="1"/>
  <c r="AM495" i="1" s="1"/>
  <c r="IE495" i="1"/>
  <c r="IG495" i="1" s="1"/>
  <c r="AN495" i="1" s="1"/>
  <c r="AE495" i="1"/>
  <c r="GS495" i="1"/>
  <c r="AH495" i="1"/>
  <c r="DO495" i="1"/>
  <c r="AI495" i="1" s="1"/>
  <c r="GW495" i="1"/>
  <c r="AJ495" i="1" s="1"/>
  <c r="AG495" i="1"/>
  <c r="GU495" i="1"/>
  <c r="AK495" i="1" s="1"/>
  <c r="DP495" i="1" l="1"/>
  <c r="GX495" i="1"/>
  <c r="AL495" i="1"/>
  <c r="AQ495" i="1" s="1"/>
  <c r="AV495" i="1" s="1"/>
  <c r="IC494" i="1" l="1"/>
  <c r="IB494" i="1"/>
  <c r="IA494" i="1"/>
  <c r="HT494" i="1"/>
  <c r="HN494" i="1"/>
  <c r="HF494" i="1"/>
  <c r="HH494" i="1" s="1"/>
  <c r="HJ494" i="1" s="1"/>
  <c r="EL494" i="1"/>
  <c r="EU494" i="1" s="1"/>
  <c r="CH494" i="1"/>
  <c r="DM494" i="1" s="1"/>
  <c r="AZ494" i="1"/>
  <c r="BA494" i="1" s="1"/>
  <c r="AU494" i="1"/>
  <c r="AS494" i="1"/>
  <c r="AR494" i="1"/>
  <c r="AO494" i="1"/>
  <c r="HO494" i="1" l="1"/>
  <c r="HV494" i="1" s="1"/>
  <c r="AM494" i="1" s="1"/>
  <c r="IE494" i="1"/>
  <c r="IG494" i="1" s="1"/>
  <c r="AN494" i="1" s="1"/>
  <c r="AH494" i="1"/>
  <c r="DO494" i="1"/>
  <c r="AI494" i="1" s="1"/>
  <c r="AE494" i="1"/>
  <c r="GS494" i="1"/>
  <c r="GW494" i="1"/>
  <c r="AJ494" i="1" s="1"/>
  <c r="GU494" i="1"/>
  <c r="AK494" i="1" s="1"/>
  <c r="AG494" i="1"/>
  <c r="DP494" i="1" l="1"/>
  <c r="GX494" i="1"/>
  <c r="AL494" i="1"/>
  <c r="AQ494" i="1" s="1"/>
  <c r="AV494" i="1" s="1"/>
  <c r="IC493" i="1" l="1"/>
  <c r="IB493" i="1"/>
  <c r="IA493" i="1"/>
  <c r="HT493" i="1"/>
  <c r="HN493" i="1"/>
  <c r="HF493" i="1"/>
  <c r="HH493" i="1" s="1"/>
  <c r="HJ493" i="1" s="1"/>
  <c r="EL493" i="1"/>
  <c r="EU493" i="1" s="1"/>
  <c r="CW493" i="1"/>
  <c r="CR493" i="1"/>
  <c r="CM493" i="1"/>
  <c r="CH493" i="1"/>
  <c r="AZ493" i="1"/>
  <c r="BA493" i="1" s="1"/>
  <c r="AU493" i="1"/>
  <c r="AS493" i="1"/>
  <c r="AR493" i="1"/>
  <c r="AO493" i="1"/>
  <c r="HO493" i="1" l="1"/>
  <c r="HV493" i="1" s="1"/>
  <c r="AM493" i="1" s="1"/>
  <c r="IE493" i="1"/>
  <c r="IG493" i="1" s="1"/>
  <c r="AN493" i="1" s="1"/>
  <c r="DM493" i="1"/>
  <c r="AH493" i="1" s="1"/>
  <c r="GS493" i="1"/>
  <c r="AE493" i="1"/>
  <c r="GW493" i="1"/>
  <c r="AJ493" i="1" s="1"/>
  <c r="GU493" i="1"/>
  <c r="AK493" i="1" s="1"/>
  <c r="AG493" i="1"/>
  <c r="DO493" i="1" l="1"/>
  <c r="AI493" i="1" s="1"/>
  <c r="GX493" i="1"/>
  <c r="AL493" i="1"/>
  <c r="AQ493" i="1" l="1"/>
  <c r="AV493" i="1" s="1"/>
  <c r="DP493" i="1"/>
  <c r="IC492" i="1"/>
  <c r="IB492" i="1"/>
  <c r="IA492" i="1"/>
  <c r="HT492" i="1"/>
  <c r="HN492" i="1"/>
  <c r="HF492" i="1"/>
  <c r="HH492" i="1" s="1"/>
  <c r="HJ492" i="1" s="1"/>
  <c r="EL492" i="1"/>
  <c r="EU492" i="1" s="1"/>
  <c r="CH492" i="1"/>
  <c r="DM492" i="1" s="1"/>
  <c r="AZ492" i="1"/>
  <c r="BA492" i="1" s="1"/>
  <c r="AU492" i="1"/>
  <c r="AS492" i="1"/>
  <c r="AR492" i="1"/>
  <c r="AO492" i="1"/>
  <c r="HO492" i="1" l="1"/>
  <c r="HV492" i="1" s="1"/>
  <c r="AM492" i="1" s="1"/>
  <c r="IE492" i="1"/>
  <c r="IG492" i="1" s="1"/>
  <c r="AN492" i="1" s="1"/>
  <c r="AE492" i="1"/>
  <c r="GS492" i="1"/>
  <c r="AH492" i="1"/>
  <c r="DO492" i="1"/>
  <c r="AI492" i="1" s="1"/>
  <c r="GW492" i="1"/>
  <c r="AJ492" i="1" s="1"/>
  <c r="AG492" i="1"/>
  <c r="GU492" i="1"/>
  <c r="AK492" i="1" s="1"/>
  <c r="DP492" i="1" l="1"/>
  <c r="GX492" i="1"/>
  <c r="AL492" i="1"/>
  <c r="AQ492" i="1" s="1"/>
  <c r="AV492" i="1" s="1"/>
  <c r="IC491" i="1" l="1"/>
  <c r="IB491" i="1"/>
  <c r="IA491" i="1"/>
  <c r="HT491" i="1"/>
  <c r="HN491" i="1"/>
  <c r="HF491" i="1"/>
  <c r="HH491" i="1" s="1"/>
  <c r="HJ491" i="1" s="1"/>
  <c r="EL491" i="1"/>
  <c r="EU491" i="1" s="1"/>
  <c r="CH491" i="1"/>
  <c r="DM491" i="1" s="1"/>
  <c r="AZ491" i="1"/>
  <c r="BA491" i="1" s="1"/>
  <c r="AU491" i="1"/>
  <c r="AS491" i="1"/>
  <c r="AR491" i="1"/>
  <c r="AO491" i="1"/>
  <c r="HO491" i="1" l="1"/>
  <c r="HV491" i="1" s="1"/>
  <c r="AM491" i="1" s="1"/>
  <c r="IE491" i="1"/>
  <c r="IG491" i="1" s="1"/>
  <c r="AN491" i="1" s="1"/>
  <c r="GW491" i="1"/>
  <c r="AJ491" i="1" s="1"/>
  <c r="AG491" i="1"/>
  <c r="GU491" i="1"/>
  <c r="AK491" i="1" s="1"/>
  <c r="AE491" i="1"/>
  <c r="GS491" i="1"/>
  <c r="DO491" i="1"/>
  <c r="AI491" i="1" s="1"/>
  <c r="AH491" i="1"/>
  <c r="DP491" i="1" l="1"/>
  <c r="AL491" i="1"/>
  <c r="AQ491" i="1" s="1"/>
  <c r="AV491" i="1" s="1"/>
  <c r="GX491" i="1"/>
  <c r="IC490" i="1" l="1"/>
  <c r="IB490" i="1"/>
  <c r="IA490" i="1"/>
  <c r="HT490" i="1"/>
  <c r="HN490" i="1"/>
  <c r="HF490" i="1"/>
  <c r="HH490" i="1" s="1"/>
  <c r="HJ490" i="1" s="1"/>
  <c r="EL490" i="1"/>
  <c r="EU490" i="1" s="1"/>
  <c r="CH490" i="1"/>
  <c r="DM490" i="1" s="1"/>
  <c r="AZ490" i="1"/>
  <c r="BA490" i="1" s="1"/>
  <c r="AU490" i="1"/>
  <c r="AS490" i="1"/>
  <c r="AR490" i="1"/>
  <c r="AO490" i="1"/>
  <c r="HO490" i="1" l="1"/>
  <c r="HV490" i="1" s="1"/>
  <c r="AM490" i="1" s="1"/>
  <c r="IE490" i="1"/>
  <c r="IG490" i="1" s="1"/>
  <c r="AN490" i="1" s="1"/>
  <c r="GS490" i="1"/>
  <c r="AE490" i="1"/>
  <c r="DO490" i="1"/>
  <c r="AI490" i="1" s="1"/>
  <c r="AH490" i="1"/>
  <c r="GW490" i="1"/>
  <c r="AJ490" i="1" s="1"/>
  <c r="AG490" i="1"/>
  <c r="GU490" i="1"/>
  <c r="AK490" i="1" s="1"/>
  <c r="DP490" i="1" l="1"/>
  <c r="AL490" i="1"/>
  <c r="AQ490" i="1" s="1"/>
  <c r="AV490" i="1" s="1"/>
  <c r="GX490" i="1"/>
  <c r="IC489" i="1" l="1"/>
  <c r="IB489" i="1"/>
  <c r="IA489" i="1"/>
  <c r="HT489" i="1"/>
  <c r="HN489" i="1"/>
  <c r="HF489" i="1"/>
  <c r="HH489" i="1" s="1"/>
  <c r="HJ489" i="1" s="1"/>
  <c r="EL489" i="1"/>
  <c r="EU489" i="1" s="1"/>
  <c r="CW489" i="1"/>
  <c r="CR489" i="1"/>
  <c r="CM489" i="1"/>
  <c r="CH489" i="1"/>
  <c r="AZ489" i="1"/>
  <c r="BA489" i="1" s="1"/>
  <c r="AS489" i="1"/>
  <c r="AR489" i="1"/>
  <c r="AO489" i="1"/>
  <c r="HO489" i="1" l="1"/>
  <c r="HV489" i="1" s="1"/>
  <c r="AM489" i="1" s="1"/>
  <c r="IE489" i="1"/>
  <c r="IG489" i="1" s="1"/>
  <c r="AN489" i="1" s="1"/>
  <c r="DM489" i="1"/>
  <c r="DO489" i="1" s="1"/>
  <c r="AI489" i="1" s="1"/>
  <c r="GW489" i="1"/>
  <c r="AJ489" i="1" s="1"/>
  <c r="GU489" i="1"/>
  <c r="AK489" i="1" s="1"/>
  <c r="AG489" i="1"/>
  <c r="GS489" i="1"/>
  <c r="AE489" i="1"/>
  <c r="AH489" i="1" l="1"/>
  <c r="GX489" i="1"/>
  <c r="AL489" i="1"/>
  <c r="DP489" i="1"/>
  <c r="AQ489" i="1" l="1"/>
  <c r="AV489" i="1" s="1"/>
  <c r="IC488" i="1"/>
  <c r="IB488" i="1"/>
  <c r="IA488" i="1"/>
  <c r="HT488" i="1"/>
  <c r="HN488" i="1"/>
  <c r="HF488" i="1"/>
  <c r="HH488" i="1" s="1"/>
  <c r="HJ488" i="1" s="1"/>
  <c r="EL488" i="1"/>
  <c r="EU488" i="1" s="1"/>
  <c r="CW488" i="1"/>
  <c r="CR488" i="1"/>
  <c r="CM488" i="1"/>
  <c r="CH488" i="1"/>
  <c r="AZ488" i="1"/>
  <c r="BA488" i="1" s="1"/>
  <c r="AS488" i="1"/>
  <c r="AR488" i="1"/>
  <c r="AO488" i="1"/>
  <c r="HO488" i="1" l="1"/>
  <c r="HV488" i="1" s="1"/>
  <c r="AM488" i="1" s="1"/>
  <c r="IE488" i="1"/>
  <c r="IG488" i="1" s="1"/>
  <c r="AN488" i="1" s="1"/>
  <c r="DM488" i="1"/>
  <c r="AH488" i="1" s="1"/>
  <c r="GS488" i="1"/>
  <c r="AE488" i="1"/>
  <c r="GW488" i="1"/>
  <c r="AJ488" i="1" s="1"/>
  <c r="GU488" i="1"/>
  <c r="AK488" i="1" s="1"/>
  <c r="AG488" i="1"/>
  <c r="DO488" i="1" l="1"/>
  <c r="AI488" i="1" s="1"/>
  <c r="GX488" i="1"/>
  <c r="AL488" i="1"/>
  <c r="DP488" i="1" l="1"/>
  <c r="AQ488" i="1"/>
  <c r="AV488" i="1" s="1"/>
  <c r="IC487" i="1"/>
  <c r="IB487" i="1"/>
  <c r="IA487" i="1"/>
  <c r="HT487" i="1"/>
  <c r="HN487" i="1"/>
  <c r="HF487" i="1"/>
  <c r="HH487" i="1" s="1"/>
  <c r="HJ487" i="1" s="1"/>
  <c r="EL487" i="1"/>
  <c r="EU487" i="1" s="1"/>
  <c r="CW487" i="1"/>
  <c r="CR487" i="1"/>
  <c r="CM487" i="1"/>
  <c r="CH487" i="1"/>
  <c r="AZ487" i="1"/>
  <c r="BA487" i="1" s="1"/>
  <c r="AS487" i="1"/>
  <c r="AR487" i="1"/>
  <c r="AO487" i="1"/>
  <c r="HO487" i="1" l="1"/>
  <c r="HV487" i="1" s="1"/>
  <c r="AM487" i="1" s="1"/>
  <c r="IE487" i="1"/>
  <c r="IG487" i="1" s="1"/>
  <c r="AN487" i="1" s="1"/>
  <c r="DM487" i="1"/>
  <c r="AH487" i="1" s="1"/>
  <c r="GS487" i="1"/>
  <c r="AE487" i="1"/>
  <c r="GW487" i="1"/>
  <c r="AJ487" i="1" s="1"/>
  <c r="GU487" i="1"/>
  <c r="AK487" i="1" s="1"/>
  <c r="AG487" i="1"/>
  <c r="DO487" i="1" l="1"/>
  <c r="AI487" i="1" s="1"/>
  <c r="GX487" i="1"/>
  <c r="AL487" i="1"/>
  <c r="DP487" i="1" l="1"/>
  <c r="AQ487" i="1"/>
  <c r="AV487" i="1" s="1"/>
  <c r="IC486" i="1"/>
  <c r="IB486" i="1"/>
  <c r="IA486" i="1"/>
  <c r="HT486" i="1"/>
  <c r="HN486" i="1"/>
  <c r="HF486" i="1"/>
  <c r="HH486" i="1" s="1"/>
  <c r="HJ486" i="1" s="1"/>
  <c r="EL486" i="1"/>
  <c r="EU486" i="1" s="1"/>
  <c r="CW486" i="1"/>
  <c r="CR486" i="1"/>
  <c r="CM486" i="1"/>
  <c r="CH486" i="1"/>
  <c r="AZ486" i="1"/>
  <c r="BA486" i="1" s="1"/>
  <c r="AS486" i="1"/>
  <c r="AR486" i="1"/>
  <c r="AO486" i="1"/>
  <c r="HO486" i="1" l="1"/>
  <c r="HV486" i="1" s="1"/>
  <c r="AM486" i="1" s="1"/>
  <c r="DM486" i="1"/>
  <c r="DO486" i="1" s="1"/>
  <c r="AI486" i="1" s="1"/>
  <c r="IE486" i="1"/>
  <c r="IG486" i="1" s="1"/>
  <c r="AN486" i="1" s="1"/>
  <c r="GS486" i="1"/>
  <c r="AE486" i="1"/>
  <c r="AG486" i="1"/>
  <c r="GW486" i="1"/>
  <c r="AJ486" i="1" s="1"/>
  <c r="GU486" i="1"/>
  <c r="AK486" i="1" s="1"/>
  <c r="AH486" i="1" l="1"/>
  <c r="DP486" i="1"/>
  <c r="AL486" i="1"/>
  <c r="GX486" i="1"/>
  <c r="AQ486" i="1" l="1"/>
  <c r="AV486" i="1" s="1"/>
  <c r="IC485" i="1"/>
  <c r="IB485" i="1"/>
  <c r="IA485" i="1"/>
  <c r="HT485" i="1"/>
  <c r="HN485" i="1"/>
  <c r="HF485" i="1"/>
  <c r="HH485" i="1" s="1"/>
  <c r="HJ485" i="1" s="1"/>
  <c r="EL485" i="1"/>
  <c r="EU485" i="1" s="1"/>
  <c r="CW485" i="1"/>
  <c r="CR485" i="1"/>
  <c r="CM485" i="1"/>
  <c r="CH485" i="1"/>
  <c r="AZ485" i="1"/>
  <c r="BA485" i="1" s="1"/>
  <c r="AS485" i="1"/>
  <c r="AR485" i="1"/>
  <c r="AO485" i="1"/>
  <c r="HO485" i="1" l="1"/>
  <c r="HV485" i="1" s="1"/>
  <c r="AM485" i="1" s="1"/>
  <c r="IE485" i="1"/>
  <c r="IG485" i="1" s="1"/>
  <c r="AN485" i="1" s="1"/>
  <c r="DM485" i="1"/>
  <c r="AH485" i="1" s="1"/>
  <c r="GW485" i="1"/>
  <c r="AJ485" i="1" s="1"/>
  <c r="GU485" i="1"/>
  <c r="AK485" i="1" s="1"/>
  <c r="AG485" i="1"/>
  <c r="AE485" i="1"/>
  <c r="GS485" i="1"/>
  <c r="DO485" i="1" l="1"/>
  <c r="AI485" i="1" s="1"/>
  <c r="GX485" i="1"/>
  <c r="AL485" i="1"/>
  <c r="DP485" i="1" l="1"/>
  <c r="AQ485" i="1"/>
  <c r="AV485" i="1" s="1"/>
  <c r="IC484" i="1"/>
  <c r="IB484" i="1"/>
  <c r="IA484" i="1"/>
  <c r="HT484" i="1"/>
  <c r="HN484" i="1"/>
  <c r="HF484" i="1"/>
  <c r="HH484" i="1" s="1"/>
  <c r="HJ484" i="1" s="1"/>
  <c r="EL484" i="1"/>
  <c r="EU484" i="1" s="1"/>
  <c r="CW484" i="1"/>
  <c r="CR484" i="1"/>
  <c r="CM484" i="1"/>
  <c r="CH484" i="1"/>
  <c r="AZ484" i="1"/>
  <c r="BA484" i="1" s="1"/>
  <c r="AS484" i="1"/>
  <c r="AR484" i="1"/>
  <c r="AO484" i="1"/>
  <c r="HO484" i="1" l="1"/>
  <c r="HV484" i="1" s="1"/>
  <c r="AM484" i="1" s="1"/>
  <c r="DM484" i="1"/>
  <c r="AH484" i="1" s="1"/>
  <c r="IE484" i="1"/>
  <c r="IG484" i="1" s="1"/>
  <c r="AN484" i="1" s="1"/>
  <c r="GS484" i="1"/>
  <c r="AE484" i="1"/>
  <c r="GU484" i="1"/>
  <c r="AK484" i="1" s="1"/>
  <c r="AG484" i="1"/>
  <c r="GW484" i="1"/>
  <c r="AJ484" i="1" s="1"/>
  <c r="DO484" i="1" l="1"/>
  <c r="AI484" i="1" s="1"/>
  <c r="GX484" i="1"/>
  <c r="AL484" i="1"/>
  <c r="DP484" i="1" l="1"/>
  <c r="AQ484" i="1"/>
  <c r="AV484" i="1" s="1"/>
  <c r="IC483" i="1"/>
  <c r="IB483" i="1"/>
  <c r="IA483" i="1"/>
  <c r="HT483" i="1"/>
  <c r="HN483" i="1"/>
  <c r="HF483" i="1"/>
  <c r="HH483" i="1" s="1"/>
  <c r="HJ483" i="1" s="1"/>
  <c r="EL483" i="1"/>
  <c r="EU483" i="1" s="1"/>
  <c r="CH483" i="1"/>
  <c r="DM483" i="1" s="1"/>
  <c r="AZ483" i="1"/>
  <c r="BA483" i="1" s="1"/>
  <c r="AU483" i="1"/>
  <c r="AS483" i="1"/>
  <c r="AR483" i="1"/>
  <c r="AO483" i="1"/>
  <c r="HO483" i="1" l="1"/>
  <c r="HV483" i="1" s="1"/>
  <c r="AM483" i="1" s="1"/>
  <c r="IE483" i="1"/>
  <c r="IG483" i="1" s="1"/>
  <c r="AN483" i="1" s="1"/>
  <c r="AE483" i="1"/>
  <c r="GS483" i="1"/>
  <c r="DO483" i="1"/>
  <c r="AI483" i="1" s="1"/>
  <c r="AH483" i="1"/>
  <c r="GW483" i="1"/>
  <c r="AJ483" i="1" s="1"/>
  <c r="AG483" i="1"/>
  <c r="GU483" i="1"/>
  <c r="AK483" i="1" s="1"/>
  <c r="DP483" i="1" l="1"/>
  <c r="AL483" i="1"/>
  <c r="AQ483" i="1" s="1"/>
  <c r="AV483" i="1" s="1"/>
  <c r="GX483" i="1"/>
  <c r="IC482" i="1" l="1"/>
  <c r="IB482" i="1"/>
  <c r="IA482" i="1"/>
  <c r="HT482" i="1"/>
  <c r="HN482" i="1"/>
  <c r="HF482" i="1"/>
  <c r="HH482" i="1" s="1"/>
  <c r="HJ482" i="1" s="1"/>
  <c r="EL482" i="1"/>
  <c r="EU482" i="1" s="1"/>
  <c r="CW482" i="1"/>
  <c r="CR482" i="1"/>
  <c r="CM482" i="1"/>
  <c r="CH482" i="1"/>
  <c r="AZ482" i="1"/>
  <c r="BA482" i="1" s="1"/>
  <c r="AS482" i="1"/>
  <c r="AR482" i="1"/>
  <c r="AO482" i="1"/>
  <c r="HO482" i="1" l="1"/>
  <c r="HV482" i="1" s="1"/>
  <c r="AM482" i="1" s="1"/>
  <c r="IE482" i="1"/>
  <c r="IG482" i="1" s="1"/>
  <c r="AN482" i="1" s="1"/>
  <c r="DM482" i="1"/>
  <c r="DO482" i="1" s="1"/>
  <c r="AI482" i="1" s="1"/>
  <c r="AE482" i="1"/>
  <c r="GS482" i="1"/>
  <c r="GW482" i="1"/>
  <c r="AJ482" i="1" s="1"/>
  <c r="GU482" i="1"/>
  <c r="AK482" i="1" s="1"/>
  <c r="AG482" i="1"/>
  <c r="AH482" i="1" l="1"/>
  <c r="DP482" i="1"/>
  <c r="GX482" i="1"/>
  <c r="AL482" i="1"/>
  <c r="AQ482" i="1" l="1"/>
  <c r="AV482" i="1" s="1"/>
  <c r="IC481" i="1"/>
  <c r="IB481" i="1"/>
  <c r="IA481" i="1"/>
  <c r="HT481" i="1"/>
  <c r="HN481" i="1"/>
  <c r="HF481" i="1"/>
  <c r="HH481" i="1" s="1"/>
  <c r="HJ481" i="1" s="1"/>
  <c r="EL481" i="1"/>
  <c r="EU481" i="1" s="1"/>
  <c r="CW481" i="1"/>
  <c r="CR481" i="1"/>
  <c r="CM481" i="1"/>
  <c r="CH481" i="1"/>
  <c r="AZ481" i="1"/>
  <c r="BA481" i="1" s="1"/>
  <c r="AS481" i="1"/>
  <c r="AR481" i="1"/>
  <c r="AO481" i="1"/>
  <c r="HO481" i="1" l="1"/>
  <c r="HV481" i="1" s="1"/>
  <c r="AM481" i="1" s="1"/>
  <c r="IE481" i="1"/>
  <c r="IG481" i="1" s="1"/>
  <c r="AN481" i="1" s="1"/>
  <c r="DM481" i="1"/>
  <c r="AH481" i="1" s="1"/>
  <c r="GS481" i="1"/>
  <c r="AE481" i="1"/>
  <c r="GW481" i="1"/>
  <c r="AJ481" i="1" s="1"/>
  <c r="GU481" i="1"/>
  <c r="AK481" i="1" s="1"/>
  <c r="AG481" i="1"/>
  <c r="DO481" i="1" l="1"/>
  <c r="AI481" i="1" s="1"/>
  <c r="GX481" i="1"/>
  <c r="AL481" i="1"/>
  <c r="DP481" i="1" l="1"/>
  <c r="AQ481" i="1"/>
  <c r="AV481" i="1" s="1"/>
  <c r="IC480" i="1"/>
  <c r="IB480" i="1"/>
  <c r="IA480" i="1"/>
  <c r="HT480" i="1"/>
  <c r="HN480" i="1"/>
  <c r="HF480" i="1"/>
  <c r="HH480" i="1" s="1"/>
  <c r="HJ480" i="1" s="1"/>
  <c r="EL480" i="1"/>
  <c r="EU480" i="1" s="1"/>
  <c r="CW480" i="1"/>
  <c r="CR480" i="1"/>
  <c r="CM480" i="1"/>
  <c r="CH480" i="1"/>
  <c r="AZ480" i="1"/>
  <c r="BA480" i="1" s="1"/>
  <c r="AS480" i="1"/>
  <c r="AR480" i="1"/>
  <c r="AO480" i="1"/>
  <c r="HO480" i="1" l="1"/>
  <c r="HV480" i="1" s="1"/>
  <c r="AM480" i="1" s="1"/>
  <c r="IE480" i="1"/>
  <c r="IG480" i="1" s="1"/>
  <c r="AN480" i="1" s="1"/>
  <c r="DM480" i="1"/>
  <c r="AH480" i="1" s="1"/>
  <c r="GS480" i="1"/>
  <c r="AE480" i="1"/>
  <c r="GW480" i="1"/>
  <c r="AJ480" i="1" s="1"/>
  <c r="GU480" i="1"/>
  <c r="AK480" i="1" s="1"/>
  <c r="AG480" i="1"/>
  <c r="DO480" i="1" l="1"/>
  <c r="AI480" i="1" s="1"/>
  <c r="GX480" i="1"/>
  <c r="AL480" i="1"/>
  <c r="AQ480" i="1" l="1"/>
  <c r="AV480" i="1" s="1"/>
  <c r="DP480" i="1"/>
  <c r="IC479" i="1"/>
  <c r="IB479" i="1"/>
  <c r="IA479" i="1"/>
  <c r="HT479" i="1"/>
  <c r="HN479" i="1"/>
  <c r="HF479" i="1"/>
  <c r="HH479" i="1" s="1"/>
  <c r="HJ479" i="1" s="1"/>
  <c r="EL479" i="1"/>
  <c r="EU479" i="1" s="1"/>
  <c r="CW479" i="1"/>
  <c r="CR479" i="1"/>
  <c r="CM479" i="1"/>
  <c r="CH479" i="1"/>
  <c r="AZ479" i="1"/>
  <c r="BA479" i="1" s="1"/>
  <c r="AU479" i="1"/>
  <c r="AS479" i="1"/>
  <c r="AR479" i="1"/>
  <c r="AO479" i="1"/>
  <c r="HO479" i="1" l="1"/>
  <c r="HV479" i="1" s="1"/>
  <c r="AM479" i="1" s="1"/>
  <c r="IE479" i="1"/>
  <c r="IG479" i="1" s="1"/>
  <c r="AN479" i="1" s="1"/>
  <c r="DM479" i="1"/>
  <c r="AH479" i="1" s="1"/>
  <c r="GS479" i="1"/>
  <c r="AE479" i="1"/>
  <c r="GW479" i="1"/>
  <c r="AJ479" i="1" s="1"/>
  <c r="GU479" i="1"/>
  <c r="AK479" i="1" s="1"/>
  <c r="AG479" i="1"/>
  <c r="DO479" i="1" l="1"/>
  <c r="AI479" i="1" s="1"/>
  <c r="GX479" i="1"/>
  <c r="AL479" i="1"/>
  <c r="DP479" i="1" l="1"/>
  <c r="AQ479" i="1"/>
  <c r="AV479" i="1" s="1"/>
  <c r="IC478" i="1"/>
  <c r="IB478" i="1"/>
  <c r="IA478" i="1"/>
  <c r="HT478" i="1"/>
  <c r="HN478" i="1"/>
  <c r="HF478" i="1"/>
  <c r="HH478" i="1" s="1"/>
  <c r="HJ478" i="1" s="1"/>
  <c r="EL478" i="1"/>
  <c r="EU478" i="1" s="1"/>
  <c r="CR478" i="1"/>
  <c r="CM478" i="1"/>
  <c r="CH478" i="1"/>
  <c r="AZ478" i="1"/>
  <c r="BA478" i="1" s="1"/>
  <c r="AU478" i="1"/>
  <c r="AS478" i="1"/>
  <c r="AR478" i="1"/>
  <c r="AO478" i="1"/>
  <c r="HO478" i="1" l="1"/>
  <c r="HV478" i="1" s="1"/>
  <c r="AM478" i="1" s="1"/>
  <c r="DM478" i="1"/>
  <c r="AH478" i="1" s="1"/>
  <c r="IE478" i="1"/>
  <c r="IG478" i="1" s="1"/>
  <c r="AN478" i="1" s="1"/>
  <c r="GS478" i="1"/>
  <c r="AE478" i="1"/>
  <c r="GW478" i="1"/>
  <c r="AJ478" i="1" s="1"/>
  <c r="GU478" i="1"/>
  <c r="AK478" i="1" s="1"/>
  <c r="AG478" i="1"/>
  <c r="DO478" i="1" l="1"/>
  <c r="AI478" i="1" s="1"/>
  <c r="GX478" i="1"/>
  <c r="AL478" i="1"/>
  <c r="DP478" i="1" l="1"/>
  <c r="AQ478" i="1"/>
  <c r="AV478" i="1" s="1"/>
  <c r="IC477" i="1"/>
  <c r="IB477" i="1"/>
  <c r="IA477" i="1"/>
  <c r="HT477" i="1"/>
  <c r="HN477" i="1"/>
  <c r="HF477" i="1"/>
  <c r="HH477" i="1" s="1"/>
  <c r="HJ477" i="1" s="1"/>
  <c r="EL477" i="1"/>
  <c r="EU477" i="1" s="1"/>
  <c r="CH477" i="1"/>
  <c r="DM477" i="1" s="1"/>
  <c r="AZ477" i="1"/>
  <c r="BA477" i="1" s="1"/>
  <c r="AU477" i="1"/>
  <c r="AS477" i="1"/>
  <c r="AR477" i="1"/>
  <c r="AO477" i="1"/>
  <c r="HO477" i="1" l="1"/>
  <c r="HV477" i="1" s="1"/>
  <c r="AM477" i="1" s="1"/>
  <c r="IE477" i="1"/>
  <c r="IG477" i="1" s="1"/>
  <c r="AN477" i="1" s="1"/>
  <c r="AE477" i="1"/>
  <c r="GS477" i="1"/>
  <c r="AH477" i="1"/>
  <c r="DO477" i="1"/>
  <c r="AI477" i="1" s="1"/>
  <c r="GW477" i="1"/>
  <c r="AJ477" i="1" s="1"/>
  <c r="AG477" i="1"/>
  <c r="GU477" i="1"/>
  <c r="AK477" i="1" s="1"/>
  <c r="GX477" i="1" l="1"/>
  <c r="AL477" i="1"/>
  <c r="AQ477" i="1" s="1"/>
  <c r="AV477" i="1" s="1"/>
  <c r="DP477" i="1"/>
  <c r="IC476" i="1" l="1"/>
  <c r="IB476" i="1"/>
  <c r="IA476" i="1"/>
  <c r="HT476" i="1"/>
  <c r="HN476" i="1"/>
  <c r="HF476" i="1"/>
  <c r="HH476" i="1" s="1"/>
  <c r="HJ476" i="1" s="1"/>
  <c r="EL476" i="1"/>
  <c r="EU476" i="1" s="1"/>
  <c r="CW476" i="1"/>
  <c r="CR476" i="1"/>
  <c r="CM476" i="1"/>
  <c r="CH476" i="1"/>
  <c r="AZ476" i="1"/>
  <c r="BA476" i="1" s="1"/>
  <c r="AU476" i="1"/>
  <c r="AS476" i="1"/>
  <c r="AR476" i="1"/>
  <c r="AO476" i="1"/>
  <c r="HO476" i="1" l="1"/>
  <c r="HV476" i="1" s="1"/>
  <c r="AM476" i="1" s="1"/>
  <c r="DM476" i="1"/>
  <c r="DO476" i="1" s="1"/>
  <c r="AI476" i="1" s="1"/>
  <c r="IE476" i="1"/>
  <c r="IG476" i="1" s="1"/>
  <c r="AN476" i="1" s="1"/>
  <c r="GS476" i="1"/>
  <c r="AE476" i="1"/>
  <c r="AG476" i="1"/>
  <c r="GW476" i="1"/>
  <c r="AJ476" i="1" s="1"/>
  <c r="GU476" i="1"/>
  <c r="AK476" i="1" s="1"/>
  <c r="IC475" i="1"/>
  <c r="IB475" i="1"/>
  <c r="IA475" i="1"/>
  <c r="HT475" i="1"/>
  <c r="HN475" i="1"/>
  <c r="HF475" i="1"/>
  <c r="HH475" i="1" s="1"/>
  <c r="HJ475" i="1" s="1"/>
  <c r="EL475" i="1"/>
  <c r="EU475" i="1" s="1"/>
  <c r="CW475" i="1"/>
  <c r="CR475" i="1"/>
  <c r="CM475" i="1"/>
  <c r="CH475" i="1"/>
  <c r="AZ475" i="1"/>
  <c r="BA475" i="1" s="1"/>
  <c r="AS475" i="1"/>
  <c r="AO475" i="1"/>
  <c r="DM475" i="1" l="1"/>
  <c r="AH475" i="1" s="1"/>
  <c r="HO475" i="1"/>
  <c r="HV475" i="1" s="1"/>
  <c r="AM475" i="1" s="1"/>
  <c r="AH476" i="1"/>
  <c r="IE475" i="1"/>
  <c r="IG475" i="1" s="1"/>
  <c r="AN475" i="1" s="1"/>
  <c r="DP476" i="1"/>
  <c r="AL476" i="1"/>
  <c r="GX476" i="1"/>
  <c r="GU475" i="1"/>
  <c r="AK475" i="1" s="1"/>
  <c r="AG475" i="1"/>
  <c r="GW475" i="1"/>
  <c r="AJ475" i="1" s="1"/>
  <c r="GS475" i="1"/>
  <c r="IJ475" i="1"/>
  <c r="AR475" i="1" s="1"/>
  <c r="AE475" i="1"/>
  <c r="IC474" i="1"/>
  <c r="IB474" i="1"/>
  <c r="IA474" i="1"/>
  <c r="HT474" i="1"/>
  <c r="HN474" i="1"/>
  <c r="HF474" i="1"/>
  <c r="HH474" i="1" s="1"/>
  <c r="HJ474" i="1" s="1"/>
  <c r="EL474" i="1"/>
  <c r="EU474" i="1" s="1"/>
  <c r="CH474" i="1"/>
  <c r="DM474" i="1" s="1"/>
  <c r="AZ474" i="1"/>
  <c r="BA474" i="1" s="1"/>
  <c r="AU474" i="1"/>
  <c r="AS474" i="1"/>
  <c r="AO474" i="1"/>
  <c r="HO474" i="1" l="1"/>
  <c r="HV474" i="1" s="1"/>
  <c r="AM474" i="1" s="1"/>
  <c r="IJ474" i="1"/>
  <c r="AR474" i="1" s="1"/>
  <c r="DO475" i="1"/>
  <c r="AI475" i="1" s="1"/>
  <c r="AQ476" i="1"/>
  <c r="AV476" i="1" s="1"/>
  <c r="IE474" i="1"/>
  <c r="IG474" i="1" s="1"/>
  <c r="AN474" i="1" s="1"/>
  <c r="AL475" i="1"/>
  <c r="GX475" i="1"/>
  <c r="AH474" i="1"/>
  <c r="DO474" i="1"/>
  <c r="AI474" i="1" s="1"/>
  <c r="GW474" i="1"/>
  <c r="AJ474" i="1" s="1"/>
  <c r="AG474" i="1"/>
  <c r="GU474" i="1"/>
  <c r="AK474" i="1" s="1"/>
  <c r="GS474" i="1"/>
  <c r="AE474" i="1"/>
  <c r="IC473" i="1"/>
  <c r="IB473" i="1"/>
  <c r="IA473" i="1"/>
  <c r="HT473" i="1"/>
  <c r="HN473" i="1"/>
  <c r="HF473" i="1"/>
  <c r="HH473" i="1" s="1"/>
  <c r="HJ473" i="1" s="1"/>
  <c r="EL473" i="1"/>
  <c r="EU473" i="1" s="1"/>
  <c r="CW473" i="1"/>
  <c r="CR473" i="1"/>
  <c r="CM473" i="1"/>
  <c r="CH473" i="1"/>
  <c r="AZ473" i="1"/>
  <c r="BA473" i="1" s="1"/>
  <c r="AS473" i="1"/>
  <c r="AR473" i="1"/>
  <c r="AO473" i="1"/>
  <c r="IC472" i="1"/>
  <c r="IB472" i="1"/>
  <c r="IA472" i="1"/>
  <c r="HT472" i="1"/>
  <c r="HN472" i="1"/>
  <c r="HF472" i="1"/>
  <c r="HH472" i="1" s="1"/>
  <c r="HJ472" i="1" s="1"/>
  <c r="EL472" i="1"/>
  <c r="EU472" i="1" s="1"/>
  <c r="CW472" i="1"/>
  <c r="CR472" i="1"/>
  <c r="CM472" i="1"/>
  <c r="CH472" i="1"/>
  <c r="AZ472" i="1"/>
  <c r="BA472" i="1" s="1"/>
  <c r="AS472" i="1"/>
  <c r="AR472" i="1"/>
  <c r="AO472" i="1"/>
  <c r="HO472" i="1" l="1"/>
  <c r="HV472" i="1" s="1"/>
  <c r="AM472" i="1" s="1"/>
  <c r="AQ475" i="1"/>
  <c r="AV475" i="1" s="1"/>
  <c r="DP475" i="1"/>
  <c r="DM472" i="1"/>
  <c r="AH472" i="1" s="1"/>
  <c r="IE472" i="1"/>
  <c r="IG472" i="1" s="1"/>
  <c r="AN472" i="1" s="1"/>
  <c r="HO473" i="1"/>
  <c r="HV473" i="1" s="1"/>
  <c r="AM473" i="1" s="1"/>
  <c r="IE473" i="1"/>
  <c r="IG473" i="1" s="1"/>
  <c r="AN473" i="1" s="1"/>
  <c r="DM473" i="1"/>
  <c r="DO473" i="1" s="1"/>
  <c r="AI473" i="1" s="1"/>
  <c r="GX474" i="1"/>
  <c r="AL474" i="1"/>
  <c r="AQ474" i="1" s="1"/>
  <c r="AV474" i="1" s="1"/>
  <c r="DP474" i="1"/>
  <c r="GS473" i="1"/>
  <c r="AE473" i="1"/>
  <c r="GU473" i="1"/>
  <c r="AK473" i="1" s="1"/>
  <c r="GW473" i="1"/>
  <c r="AJ473" i="1" s="1"/>
  <c r="AG473" i="1"/>
  <c r="GS472" i="1"/>
  <c r="AE472" i="1"/>
  <c r="GW472" i="1"/>
  <c r="AJ472" i="1" s="1"/>
  <c r="GU472" i="1"/>
  <c r="AK472" i="1" s="1"/>
  <c r="AG472" i="1"/>
  <c r="DO472" i="1" l="1"/>
  <c r="AI472" i="1" s="1"/>
  <c r="AH473" i="1"/>
  <c r="DP473" i="1"/>
  <c r="GX473" i="1"/>
  <c r="AL473" i="1"/>
  <c r="GX472" i="1"/>
  <c r="AL472" i="1"/>
  <c r="AQ472" i="1" l="1"/>
  <c r="AV472" i="1" s="1"/>
  <c r="DP472" i="1"/>
  <c r="AQ473" i="1"/>
  <c r="AV473" i="1" s="1"/>
  <c r="IC471" i="1"/>
  <c r="IB471" i="1"/>
  <c r="IA471" i="1"/>
  <c r="HT471" i="1"/>
  <c r="HN471" i="1"/>
  <c r="HF471" i="1"/>
  <c r="HH471" i="1" s="1"/>
  <c r="HJ471" i="1" s="1"/>
  <c r="EL471" i="1"/>
  <c r="EU471" i="1" s="1"/>
  <c r="CW471" i="1"/>
  <c r="CR471" i="1"/>
  <c r="CM471" i="1"/>
  <c r="CH471" i="1"/>
  <c r="AZ471" i="1"/>
  <c r="BA471" i="1" s="1"/>
  <c r="AS471" i="1"/>
  <c r="AR471" i="1"/>
  <c r="AO471" i="1"/>
  <c r="IC470" i="1"/>
  <c r="IB470" i="1"/>
  <c r="IA470" i="1"/>
  <c r="HT470" i="1"/>
  <c r="HN470" i="1"/>
  <c r="HF470" i="1"/>
  <c r="HH470" i="1" s="1"/>
  <c r="HJ470" i="1" s="1"/>
  <c r="EL470" i="1"/>
  <c r="EU470" i="1" s="1"/>
  <c r="CW470" i="1"/>
  <c r="CR470" i="1"/>
  <c r="CM470" i="1"/>
  <c r="CH470" i="1"/>
  <c r="AZ470" i="1"/>
  <c r="BA470" i="1" s="1"/>
  <c r="AS470" i="1"/>
  <c r="AR470" i="1"/>
  <c r="AO470" i="1"/>
  <c r="HO471" i="1" l="1"/>
  <c r="HV471" i="1" s="1"/>
  <c r="AM471" i="1" s="1"/>
  <c r="DM470" i="1"/>
  <c r="DO470" i="1" s="1"/>
  <c r="AI470" i="1" s="1"/>
  <c r="HO470" i="1"/>
  <c r="HV470" i="1" s="1"/>
  <c r="AM470" i="1" s="1"/>
  <c r="DM471" i="1"/>
  <c r="DO471" i="1" s="1"/>
  <c r="AI471" i="1" s="1"/>
  <c r="IE470" i="1"/>
  <c r="IG470" i="1" s="1"/>
  <c r="AN470" i="1" s="1"/>
  <c r="IE471" i="1"/>
  <c r="IG471" i="1" s="1"/>
  <c r="AN471" i="1" s="1"/>
  <c r="GW471" i="1"/>
  <c r="AJ471" i="1" s="1"/>
  <c r="GU471" i="1"/>
  <c r="AK471" i="1" s="1"/>
  <c r="AG471" i="1"/>
  <c r="GS471" i="1"/>
  <c r="AE471" i="1"/>
  <c r="GS470" i="1"/>
  <c r="AE470" i="1"/>
  <c r="GU470" i="1"/>
  <c r="AK470" i="1" s="1"/>
  <c r="GW470" i="1"/>
  <c r="AJ470" i="1" s="1"/>
  <c r="AG470" i="1"/>
  <c r="AH471" i="1" l="1"/>
  <c r="AH470" i="1"/>
  <c r="GX471" i="1"/>
  <c r="AL471" i="1"/>
  <c r="DP471" i="1"/>
  <c r="GX470" i="1"/>
  <c r="AL470" i="1"/>
  <c r="DP470" i="1"/>
  <c r="AQ471" i="1" l="1"/>
  <c r="AV471" i="1" s="1"/>
  <c r="AQ470" i="1"/>
  <c r="AV470" i="1" s="1"/>
  <c r="IC469" i="1"/>
  <c r="IB469" i="1"/>
  <c r="IA469" i="1"/>
  <c r="HT469" i="1"/>
  <c r="HN469" i="1"/>
  <c r="HF469" i="1"/>
  <c r="HH469" i="1" s="1"/>
  <c r="HJ469" i="1" s="1"/>
  <c r="EL469" i="1"/>
  <c r="EU469" i="1" s="1"/>
  <c r="CW469" i="1"/>
  <c r="CR469" i="1"/>
  <c r="CM469" i="1"/>
  <c r="CH469" i="1"/>
  <c r="AZ469" i="1"/>
  <c r="BA469" i="1" s="1"/>
  <c r="AS469" i="1"/>
  <c r="AR469" i="1"/>
  <c r="AO469" i="1"/>
  <c r="HO469" i="1" l="1"/>
  <c r="HV469" i="1" s="1"/>
  <c r="AM469" i="1" s="1"/>
  <c r="IE469" i="1"/>
  <c r="IG469" i="1" s="1"/>
  <c r="AN469" i="1" s="1"/>
  <c r="DM469" i="1"/>
  <c r="DO469" i="1" s="1"/>
  <c r="AE469" i="1"/>
  <c r="GS469" i="1"/>
  <c r="GW469" i="1"/>
  <c r="AJ469" i="1" s="1"/>
  <c r="AG469" i="1"/>
  <c r="GU469" i="1"/>
  <c r="AK469" i="1" s="1"/>
  <c r="AH469" i="1" l="1"/>
  <c r="AI469" i="1"/>
  <c r="DP469" i="1"/>
  <c r="GX469" i="1"/>
  <c r="AL469" i="1"/>
  <c r="AQ469" i="1" l="1"/>
  <c r="AV469" i="1" s="1"/>
  <c r="IC468" i="1"/>
  <c r="IB468" i="1"/>
  <c r="IA468" i="1"/>
  <c r="HT468" i="1"/>
  <c r="HN468" i="1"/>
  <c r="HF468" i="1"/>
  <c r="HH468" i="1" s="1"/>
  <c r="HJ468" i="1" s="1"/>
  <c r="EL468" i="1"/>
  <c r="EU468" i="1" s="1"/>
  <c r="CH468" i="1"/>
  <c r="DM468" i="1" s="1"/>
  <c r="AZ468" i="1"/>
  <c r="BA468" i="1" s="1"/>
  <c r="AE468" i="1" s="1"/>
  <c r="AU468" i="1"/>
  <c r="AS468" i="1"/>
  <c r="AR468" i="1"/>
  <c r="AO468" i="1"/>
  <c r="IE468" i="1" l="1"/>
  <c r="IG468" i="1" s="1"/>
  <c r="AN468" i="1" s="1"/>
  <c r="HO468" i="1"/>
  <c r="HV468" i="1" s="1"/>
  <c r="AM468" i="1" s="1"/>
  <c r="AH468" i="1"/>
  <c r="DO468" i="1"/>
  <c r="AI468" i="1" s="1"/>
  <c r="GU468" i="1"/>
  <c r="AK468" i="1" s="1"/>
  <c r="GW468" i="1"/>
  <c r="AJ468" i="1" s="1"/>
  <c r="AG468" i="1"/>
  <c r="GS468" i="1"/>
  <c r="DP468" i="1" l="1"/>
  <c r="AL468" i="1"/>
  <c r="AQ468" i="1" s="1"/>
  <c r="AV468" i="1" s="1"/>
  <c r="GX468" i="1"/>
  <c r="IC467" i="1" l="1"/>
  <c r="IB467" i="1"/>
  <c r="IA467" i="1"/>
  <c r="HT467" i="1"/>
  <c r="HN467" i="1"/>
  <c r="HF467" i="1"/>
  <c r="HH467" i="1" s="1"/>
  <c r="HJ467" i="1" s="1"/>
  <c r="EL467" i="1"/>
  <c r="EU467" i="1" s="1"/>
  <c r="CW467" i="1"/>
  <c r="CR467" i="1"/>
  <c r="CM467" i="1"/>
  <c r="CH467" i="1"/>
  <c r="AZ467" i="1"/>
  <c r="BA467" i="1" s="1"/>
  <c r="AS467" i="1"/>
  <c r="AR467" i="1"/>
  <c r="AO467" i="1"/>
  <c r="DM467" i="1" l="1"/>
  <c r="AH467" i="1" s="1"/>
  <c r="IE467" i="1"/>
  <c r="IG467" i="1" s="1"/>
  <c r="AN467" i="1" s="1"/>
  <c r="HO467" i="1"/>
  <c r="HV467" i="1" s="1"/>
  <c r="AM467" i="1" s="1"/>
  <c r="GS467" i="1"/>
  <c r="AE467" i="1"/>
  <c r="GW467" i="1"/>
  <c r="AJ467" i="1" s="1"/>
  <c r="GU467" i="1"/>
  <c r="AK467" i="1" s="1"/>
  <c r="AG467" i="1"/>
  <c r="DO467" i="1" l="1"/>
  <c r="AI467" i="1" s="1"/>
  <c r="AL467" i="1"/>
  <c r="GX467" i="1"/>
  <c r="AQ467" i="1" l="1"/>
  <c r="AV467" i="1" s="1"/>
  <c r="DP467" i="1"/>
  <c r="IE466" i="1"/>
  <c r="IG466" i="1" s="1"/>
  <c r="AN466" i="1" s="1"/>
  <c r="HT466" i="1"/>
  <c r="HN466" i="1"/>
  <c r="HF466" i="1"/>
  <c r="HH466" i="1" s="1"/>
  <c r="HJ466" i="1" s="1"/>
  <c r="EL466" i="1"/>
  <c r="EU466" i="1" s="1"/>
  <c r="CW466" i="1"/>
  <c r="CR466" i="1"/>
  <c r="CM466" i="1"/>
  <c r="CH466" i="1"/>
  <c r="AZ466" i="1"/>
  <c r="BA466" i="1" s="1"/>
  <c r="AS466" i="1"/>
  <c r="AR466" i="1"/>
  <c r="AO466" i="1"/>
  <c r="IE465" i="1"/>
  <c r="IG465" i="1" s="1"/>
  <c r="AN465" i="1" s="1"/>
  <c r="HT465" i="1"/>
  <c r="HN465" i="1"/>
  <c r="HF465" i="1"/>
  <c r="HH465" i="1" s="1"/>
  <c r="HJ465" i="1" s="1"/>
  <c r="EL465" i="1"/>
  <c r="EU465" i="1" s="1"/>
  <c r="CW465" i="1"/>
  <c r="CR465" i="1"/>
  <c r="CM465" i="1"/>
  <c r="CH465" i="1"/>
  <c r="AZ465" i="1"/>
  <c r="BA465" i="1" s="1"/>
  <c r="AS465" i="1"/>
  <c r="AR465" i="1"/>
  <c r="AO465" i="1"/>
  <c r="DM466" i="1" l="1"/>
  <c r="AH466" i="1" s="1"/>
  <c r="HO465" i="1"/>
  <c r="HV465" i="1" s="1"/>
  <c r="AM465" i="1" s="1"/>
  <c r="DM465" i="1"/>
  <c r="AH465" i="1" s="1"/>
  <c r="HO466" i="1"/>
  <c r="HV466" i="1" s="1"/>
  <c r="AM466" i="1" s="1"/>
  <c r="AG466" i="1"/>
  <c r="GW466" i="1"/>
  <c r="AJ466" i="1" s="1"/>
  <c r="AE466" i="1"/>
  <c r="GU466" i="1"/>
  <c r="AK466" i="1" s="1"/>
  <c r="GS466" i="1"/>
  <c r="GU465" i="1"/>
  <c r="AK465" i="1" s="1"/>
  <c r="AG465" i="1"/>
  <c r="GW465" i="1"/>
  <c r="AJ465" i="1" s="1"/>
  <c r="GS465" i="1"/>
  <c r="AE465" i="1"/>
  <c r="IE463" i="1"/>
  <c r="IG463" i="1" s="1"/>
  <c r="AN463" i="1" s="1"/>
  <c r="HT463" i="1"/>
  <c r="HN463" i="1"/>
  <c r="HF463" i="1"/>
  <c r="HH463" i="1" s="1"/>
  <c r="HJ463" i="1" s="1"/>
  <c r="EL463" i="1"/>
  <c r="EU463" i="1" s="1"/>
  <c r="CW463" i="1"/>
  <c r="CR463" i="1"/>
  <c r="CM463" i="1"/>
  <c r="CH463" i="1"/>
  <c r="AZ463" i="1"/>
  <c r="BA463" i="1" s="1"/>
  <c r="AS463" i="1"/>
  <c r="AR463" i="1"/>
  <c r="AO463" i="1"/>
  <c r="DO466" i="1" l="1"/>
  <c r="AI466" i="1" s="1"/>
  <c r="HO463" i="1"/>
  <c r="HV463" i="1" s="1"/>
  <c r="AM463" i="1" s="1"/>
  <c r="DO465" i="1"/>
  <c r="AI465" i="1" s="1"/>
  <c r="AG463" i="1"/>
  <c r="GW463" i="1"/>
  <c r="AJ463" i="1" s="1"/>
  <c r="DM463" i="1"/>
  <c r="AH463" i="1" s="1"/>
  <c r="AL465" i="1"/>
  <c r="GX465" i="1"/>
  <c r="AL466" i="1"/>
  <c r="GX466" i="1"/>
  <c r="GS463" i="1"/>
  <c r="AE463" i="1"/>
  <c r="GU463" i="1"/>
  <c r="AK463" i="1" s="1"/>
  <c r="IE462" i="1"/>
  <c r="IG462" i="1" s="1"/>
  <c r="AN462" i="1" s="1"/>
  <c r="HT462" i="1"/>
  <c r="HN462" i="1"/>
  <c r="HF462" i="1"/>
  <c r="HH462" i="1" s="1"/>
  <c r="HJ462" i="1" s="1"/>
  <c r="EL462" i="1"/>
  <c r="EU462" i="1" s="1"/>
  <c r="CW462" i="1"/>
  <c r="CR462" i="1"/>
  <c r="CM462" i="1"/>
  <c r="CH462" i="1"/>
  <c r="AZ462" i="1"/>
  <c r="BA462" i="1" s="1"/>
  <c r="AS462" i="1"/>
  <c r="AR462" i="1"/>
  <c r="AO462" i="1"/>
  <c r="HO462" i="1" l="1"/>
  <c r="HV462" i="1" s="1"/>
  <c r="AM462" i="1" s="1"/>
  <c r="AQ466" i="1"/>
  <c r="AV466" i="1" s="1"/>
  <c r="DP466" i="1"/>
  <c r="DM462" i="1"/>
  <c r="DO462" i="1" s="1"/>
  <c r="AI462" i="1" s="1"/>
  <c r="AQ465" i="1"/>
  <c r="AV465" i="1" s="1"/>
  <c r="DP465" i="1"/>
  <c r="DO463" i="1"/>
  <c r="AI463" i="1" s="1"/>
  <c r="GX463" i="1"/>
  <c r="AL463" i="1"/>
  <c r="AG462" i="1"/>
  <c r="GW462" i="1"/>
  <c r="AJ462" i="1" s="1"/>
  <c r="GU462" i="1"/>
  <c r="AK462" i="1" s="1"/>
  <c r="GS462" i="1"/>
  <c r="AE462" i="1"/>
  <c r="IE461" i="1"/>
  <c r="IG461" i="1" s="1"/>
  <c r="AN461" i="1" s="1"/>
  <c r="HT461" i="1"/>
  <c r="HN461" i="1"/>
  <c r="HF461" i="1"/>
  <c r="HH461" i="1" s="1"/>
  <c r="HJ461" i="1" s="1"/>
  <c r="EL461" i="1"/>
  <c r="EU461" i="1" s="1"/>
  <c r="CW461" i="1"/>
  <c r="CR461" i="1"/>
  <c r="CM461" i="1"/>
  <c r="CH461" i="1"/>
  <c r="AZ461" i="1"/>
  <c r="BA461" i="1" s="1"/>
  <c r="AS461" i="1"/>
  <c r="AR461" i="1"/>
  <c r="AO461" i="1"/>
  <c r="AH462" i="1" l="1"/>
  <c r="DP463" i="1"/>
  <c r="AQ463" i="1"/>
  <c r="AV463" i="1" s="1"/>
  <c r="HO461" i="1"/>
  <c r="HV461" i="1" s="1"/>
  <c r="AM461" i="1" s="1"/>
  <c r="DM461" i="1"/>
  <c r="DO461" i="1" s="1"/>
  <c r="AI461" i="1" s="1"/>
  <c r="DP462" i="1"/>
  <c r="AL462" i="1"/>
  <c r="GX462" i="1"/>
  <c r="GS461" i="1"/>
  <c r="AE461" i="1"/>
  <c r="GW461" i="1"/>
  <c r="AJ461" i="1" s="1"/>
  <c r="GU461" i="1"/>
  <c r="AK461" i="1" s="1"/>
  <c r="AG461" i="1"/>
  <c r="IC460" i="1"/>
  <c r="IB460" i="1"/>
  <c r="IA460" i="1"/>
  <c r="HT460" i="1"/>
  <c r="HN460" i="1"/>
  <c r="HF460" i="1"/>
  <c r="HH460" i="1" s="1"/>
  <c r="HJ460" i="1" s="1"/>
  <c r="EL460" i="1"/>
  <c r="EU460" i="1" s="1"/>
  <c r="CW460" i="1"/>
  <c r="CR460" i="1"/>
  <c r="CM460" i="1"/>
  <c r="CH460" i="1"/>
  <c r="AZ460" i="1"/>
  <c r="BA460" i="1" s="1"/>
  <c r="AU460" i="1"/>
  <c r="AS460" i="1"/>
  <c r="AR460" i="1"/>
  <c r="AO460" i="1"/>
  <c r="IC459" i="1"/>
  <c r="IB459" i="1"/>
  <c r="IA459" i="1"/>
  <c r="HT459" i="1"/>
  <c r="HN459" i="1"/>
  <c r="HF459" i="1"/>
  <c r="HH459" i="1" s="1"/>
  <c r="HJ459" i="1" s="1"/>
  <c r="EL459" i="1"/>
  <c r="EU459" i="1" s="1"/>
  <c r="GW459" i="1" s="1"/>
  <c r="AJ459" i="1" s="1"/>
  <c r="CW459" i="1"/>
  <c r="CR459" i="1"/>
  <c r="CM459" i="1"/>
  <c r="CH459" i="1"/>
  <c r="AZ459" i="1"/>
  <c r="BA459" i="1" s="1"/>
  <c r="AS459" i="1"/>
  <c r="AO459" i="1"/>
  <c r="HO460" i="1" l="1"/>
  <c r="HV460" i="1" s="1"/>
  <c r="AM460" i="1" s="1"/>
  <c r="AQ462" i="1"/>
  <c r="AV462" i="1" s="1"/>
  <c r="HO459" i="1"/>
  <c r="HV459" i="1" s="1"/>
  <c r="AM459" i="1" s="1"/>
  <c r="IE459" i="1"/>
  <c r="IG459" i="1" s="1"/>
  <c r="AN459" i="1" s="1"/>
  <c r="DM460" i="1"/>
  <c r="AH460" i="1" s="1"/>
  <c r="AH461" i="1"/>
  <c r="DM459" i="1"/>
  <c r="DO459" i="1" s="1"/>
  <c r="AI459" i="1" s="1"/>
  <c r="IE460" i="1"/>
  <c r="IG460" i="1" s="1"/>
  <c r="AN460" i="1" s="1"/>
  <c r="AL461" i="1"/>
  <c r="GX461" i="1"/>
  <c r="DP461" i="1"/>
  <c r="GS460" i="1"/>
  <c r="AE460" i="1"/>
  <c r="GW460" i="1"/>
  <c r="AJ460" i="1" s="1"/>
  <c r="GU460" i="1"/>
  <c r="AK460" i="1" s="1"/>
  <c r="AG460" i="1"/>
  <c r="IJ459" i="1"/>
  <c r="AR459" i="1" s="1"/>
  <c r="GS459" i="1"/>
  <c r="AE459" i="1"/>
  <c r="AG459" i="1"/>
  <c r="GU459" i="1"/>
  <c r="AK459" i="1" s="1"/>
  <c r="DO460" i="1" l="1"/>
  <c r="AI460" i="1" s="1"/>
  <c r="AQ461" i="1"/>
  <c r="AV461" i="1" s="1"/>
  <c r="AH459" i="1"/>
  <c r="GX460" i="1"/>
  <c r="AL460" i="1"/>
  <c r="AL459" i="1"/>
  <c r="GX459" i="1"/>
  <c r="DP459" i="1"/>
  <c r="AQ459" i="1" l="1"/>
  <c r="AV459" i="1" s="1"/>
  <c r="AQ460" i="1"/>
  <c r="AV460" i="1" s="1"/>
  <c r="DP460" i="1"/>
  <c r="IC458" i="1"/>
  <c r="IB458" i="1"/>
  <c r="IA458" i="1"/>
  <c r="HT458" i="1"/>
  <c r="HN458" i="1"/>
  <c r="HF458" i="1"/>
  <c r="HH458" i="1" s="1"/>
  <c r="HJ458" i="1" s="1"/>
  <c r="EL458" i="1"/>
  <c r="EU458" i="1" s="1"/>
  <c r="CW458" i="1"/>
  <c r="CR458" i="1"/>
  <c r="CM458" i="1"/>
  <c r="CH458" i="1"/>
  <c r="AZ458" i="1"/>
  <c r="BA458" i="1" s="1"/>
  <c r="AU458" i="1"/>
  <c r="AS458" i="1"/>
  <c r="AR458" i="1"/>
  <c r="AO458" i="1"/>
  <c r="IC147" i="1"/>
  <c r="IB147" i="1"/>
  <c r="IA147" i="1"/>
  <c r="HN147" i="1"/>
  <c r="HF147" i="1"/>
  <c r="HH147" i="1" s="1"/>
  <c r="HJ147" i="1" s="1"/>
  <c r="EL147" i="1"/>
  <c r="EU147" i="1" s="1"/>
  <c r="DP147" i="1"/>
  <c r="DO147" i="1"/>
  <c r="AI147" i="1" s="1"/>
  <c r="CH147" i="1"/>
  <c r="DM147" i="1" s="1"/>
  <c r="AH147" i="1" s="1"/>
  <c r="AZ147" i="1"/>
  <c r="BA147" i="1" s="1"/>
  <c r="IC143" i="1"/>
  <c r="IB143" i="1"/>
  <c r="IA143" i="1"/>
  <c r="HN143" i="1"/>
  <c r="HF143" i="1"/>
  <c r="HH143" i="1" s="1"/>
  <c r="HJ143" i="1" s="1"/>
  <c r="EL143" i="1"/>
  <c r="EU143" i="1" s="1"/>
  <c r="DP143" i="1"/>
  <c r="DO143" i="1"/>
  <c r="AI143" i="1" s="1"/>
  <c r="DM143" i="1"/>
  <c r="AH143" i="1" s="1"/>
  <c r="AZ143" i="1"/>
  <c r="BA143" i="1" s="1"/>
  <c r="IE458" i="1" l="1"/>
  <c r="IG458" i="1" s="1"/>
  <c r="AN458" i="1" s="1"/>
  <c r="HO458" i="1"/>
  <c r="HV458" i="1" s="1"/>
  <c r="AM458" i="1" s="1"/>
  <c r="DM458" i="1"/>
  <c r="DO458" i="1" s="1"/>
  <c r="AI458" i="1" s="1"/>
  <c r="GS458" i="1"/>
  <c r="AE458" i="1"/>
  <c r="GW458" i="1"/>
  <c r="AJ458" i="1" s="1"/>
  <c r="GU458" i="1"/>
  <c r="AK458" i="1" s="1"/>
  <c r="AG458" i="1"/>
  <c r="IE147" i="1"/>
  <c r="IG147" i="1" s="1"/>
  <c r="AN147" i="1" s="1"/>
  <c r="HO147" i="1"/>
  <c r="HV147" i="1" s="1"/>
  <c r="AM147" i="1" s="1"/>
  <c r="HO143" i="1"/>
  <c r="HV143" i="1" s="1"/>
  <c r="AM143" i="1" s="1"/>
  <c r="IE143" i="1"/>
  <c r="IG143" i="1" s="1"/>
  <c r="AN143" i="1" s="1"/>
  <c r="AG147" i="1"/>
  <c r="GW147" i="1"/>
  <c r="AJ147" i="1" s="1"/>
  <c r="GS147" i="1"/>
  <c r="AE147" i="1"/>
  <c r="GU147" i="1"/>
  <c r="AK147" i="1" s="1"/>
  <c r="GU143" i="1"/>
  <c r="AK143" i="1" s="1"/>
  <c r="GS143" i="1"/>
  <c r="AE143" i="1"/>
  <c r="GW143" i="1"/>
  <c r="AJ143" i="1" s="1"/>
  <c r="AG143" i="1"/>
  <c r="AH458" i="1" l="1"/>
  <c r="DP458" i="1"/>
  <c r="GX458" i="1"/>
  <c r="AL458" i="1"/>
  <c r="AL147" i="1"/>
  <c r="AQ147" i="1" s="1"/>
  <c r="AV147" i="1" s="1"/>
  <c r="GX147" i="1"/>
  <c r="AL143" i="1"/>
  <c r="AQ143" i="1" s="1"/>
  <c r="AV143" i="1" s="1"/>
  <c r="GX143" i="1"/>
  <c r="AQ458" i="1" l="1"/>
  <c r="AV458" i="1" s="1"/>
  <c r="IE230" i="1"/>
  <c r="IG230" i="1" s="1"/>
  <c r="AN230" i="1" s="1"/>
  <c r="HR230" i="1"/>
  <c r="HT230" i="1" s="1"/>
  <c r="HN230" i="1"/>
  <c r="HF230" i="1"/>
  <c r="HH230" i="1" s="1"/>
  <c r="HJ230" i="1" s="1"/>
  <c r="EL230" i="1"/>
  <c r="EU230" i="1" s="1"/>
  <c r="CH230" i="1"/>
  <c r="DM230" i="1" s="1"/>
  <c r="AZ230" i="1"/>
  <c r="BA230" i="1" s="1"/>
  <c r="R3" i="4"/>
  <c r="Q3" i="4"/>
  <c r="R7" i="4"/>
  <c r="R6" i="4"/>
  <c r="R5" i="4"/>
  <c r="R4" i="4"/>
  <c r="K8" i="4"/>
  <c r="Q7" i="4" s="1"/>
  <c r="HO230" i="1" l="1"/>
  <c r="HV230" i="1" s="1"/>
  <c r="AM230" i="1" s="1"/>
  <c r="GU230" i="1"/>
  <c r="AK230" i="1" s="1"/>
  <c r="AE230" i="1"/>
  <c r="AH230" i="1"/>
  <c r="DO230" i="1"/>
  <c r="AI230" i="1" s="1"/>
  <c r="AG230" i="1"/>
  <c r="GW230" i="1"/>
  <c r="AJ230" i="1" s="1"/>
  <c r="Q4" i="4"/>
  <c r="Q5" i="4"/>
  <c r="Q6" i="4"/>
  <c r="F7" i="4"/>
  <c r="F6" i="4"/>
  <c r="F5" i="4"/>
  <c r="F3" i="4"/>
  <c r="IC457" i="1"/>
  <c r="IB457" i="1"/>
  <c r="IA457" i="1"/>
  <c r="HT457" i="1"/>
  <c r="HN457" i="1"/>
  <c r="HF457" i="1"/>
  <c r="HH457" i="1" s="1"/>
  <c r="HJ457" i="1" s="1"/>
  <c r="EL457" i="1"/>
  <c r="EU457" i="1" s="1"/>
  <c r="AG457" i="1" s="1"/>
  <c r="CW457" i="1"/>
  <c r="CR457" i="1"/>
  <c r="CM457" i="1"/>
  <c r="CH457" i="1"/>
  <c r="AZ457" i="1"/>
  <c r="BA457" i="1" s="1"/>
  <c r="AS457" i="1"/>
  <c r="AR457" i="1"/>
  <c r="AO457" i="1"/>
  <c r="IC456" i="1"/>
  <c r="IB456" i="1"/>
  <c r="IA456" i="1"/>
  <c r="HT456" i="1"/>
  <c r="HN456" i="1"/>
  <c r="HF456" i="1"/>
  <c r="HH456" i="1" s="1"/>
  <c r="HJ456" i="1" s="1"/>
  <c r="EL456" i="1"/>
  <c r="EU456" i="1" s="1"/>
  <c r="CH456" i="1"/>
  <c r="DM456" i="1" s="1"/>
  <c r="DO456" i="1" s="1"/>
  <c r="AI456" i="1" s="1"/>
  <c r="AZ456" i="1"/>
  <c r="BA456" i="1" s="1"/>
  <c r="AE456" i="1" s="1"/>
  <c r="AU456" i="1"/>
  <c r="AS456" i="1"/>
  <c r="AR456" i="1"/>
  <c r="AO456" i="1"/>
  <c r="IC455" i="1"/>
  <c r="IB455" i="1"/>
  <c r="IA455" i="1"/>
  <c r="HT455" i="1"/>
  <c r="HN455" i="1"/>
  <c r="HF455" i="1"/>
  <c r="HH455" i="1" s="1"/>
  <c r="HJ455" i="1" s="1"/>
  <c r="EL455" i="1"/>
  <c r="EU455" i="1" s="1"/>
  <c r="AG455" i="1" s="1"/>
  <c r="CW455" i="1"/>
  <c r="CR455" i="1"/>
  <c r="CM455" i="1"/>
  <c r="CH455" i="1"/>
  <c r="AZ455" i="1"/>
  <c r="AS455" i="1"/>
  <c r="AR455" i="1"/>
  <c r="AO455" i="1"/>
  <c r="AC455" i="1"/>
  <c r="IC454" i="1"/>
  <c r="IB454" i="1"/>
  <c r="IA454" i="1"/>
  <c r="HT454" i="1"/>
  <c r="HN454" i="1"/>
  <c r="HF454" i="1"/>
  <c r="HH454" i="1" s="1"/>
  <c r="HJ454" i="1" s="1"/>
  <c r="EL454" i="1"/>
  <c r="EU454" i="1" s="1"/>
  <c r="CW454" i="1"/>
  <c r="CR454" i="1"/>
  <c r="CM454" i="1"/>
  <c r="CH454" i="1"/>
  <c r="AZ454" i="1"/>
  <c r="AU454" i="1"/>
  <c r="AS454" i="1"/>
  <c r="AR454" i="1"/>
  <c r="AO454" i="1"/>
  <c r="AC454" i="1"/>
  <c r="IC453" i="1"/>
  <c r="IB453" i="1"/>
  <c r="IA453" i="1"/>
  <c r="HT453" i="1"/>
  <c r="HN453" i="1"/>
  <c r="HF453" i="1"/>
  <c r="HH453" i="1" s="1"/>
  <c r="HJ453" i="1" s="1"/>
  <c r="EL453" i="1"/>
  <c r="EU453" i="1" s="1"/>
  <c r="CW453" i="1"/>
  <c r="CR453" i="1"/>
  <c r="CM453" i="1"/>
  <c r="CH453" i="1"/>
  <c r="AZ453" i="1"/>
  <c r="BA453" i="1" s="1"/>
  <c r="AS453" i="1"/>
  <c r="AR453" i="1"/>
  <c r="AO453" i="1"/>
  <c r="IC452" i="1"/>
  <c r="IB452" i="1"/>
  <c r="IA452" i="1"/>
  <c r="HT452" i="1"/>
  <c r="HN452" i="1"/>
  <c r="HF452" i="1"/>
  <c r="HH452" i="1" s="1"/>
  <c r="HJ452" i="1" s="1"/>
  <c r="EL452" i="1"/>
  <c r="EU452" i="1" s="1"/>
  <c r="CW452" i="1"/>
  <c r="CR452" i="1"/>
  <c r="CM452" i="1"/>
  <c r="CH452" i="1"/>
  <c r="AZ452" i="1"/>
  <c r="BA452" i="1" s="1"/>
  <c r="AE452" i="1" s="1"/>
  <c r="AS452" i="1"/>
  <c r="AR452" i="1"/>
  <c r="AO452" i="1"/>
  <c r="IC451" i="1"/>
  <c r="IB451" i="1"/>
  <c r="IA451" i="1"/>
  <c r="HT451" i="1"/>
  <c r="HN451" i="1"/>
  <c r="HF451" i="1"/>
  <c r="HH451" i="1" s="1"/>
  <c r="HJ451" i="1" s="1"/>
  <c r="EL451" i="1"/>
  <c r="EU451" i="1" s="1"/>
  <c r="CW451" i="1"/>
  <c r="CR451" i="1"/>
  <c r="CM451" i="1"/>
  <c r="CH451" i="1"/>
  <c r="AZ451" i="1"/>
  <c r="BA451" i="1" s="1"/>
  <c r="AS451" i="1"/>
  <c r="AO451" i="1"/>
  <c r="IC450" i="1"/>
  <c r="IB450" i="1"/>
  <c r="IA450" i="1"/>
  <c r="HT450" i="1"/>
  <c r="HN450" i="1"/>
  <c r="HF450" i="1"/>
  <c r="HH450" i="1" s="1"/>
  <c r="HJ450" i="1" s="1"/>
  <c r="EL450" i="1"/>
  <c r="EU450" i="1" s="1"/>
  <c r="GW450" i="1" s="1"/>
  <c r="AJ450" i="1" s="1"/>
  <c r="DU450" i="1"/>
  <c r="AF450" i="1" s="1"/>
  <c r="CR450" i="1"/>
  <c r="CL450" i="1"/>
  <c r="CM450" i="1" s="1"/>
  <c r="AZ450" i="1"/>
  <c r="BA450" i="1" s="1"/>
  <c r="AU450" i="1"/>
  <c r="AS450" i="1"/>
  <c r="AR450" i="1"/>
  <c r="AO450" i="1"/>
  <c r="IC449" i="1"/>
  <c r="IB449" i="1"/>
  <c r="IA449" i="1"/>
  <c r="HT449" i="1"/>
  <c r="HN449" i="1"/>
  <c r="HF449" i="1"/>
  <c r="HH449" i="1" s="1"/>
  <c r="HJ449" i="1" s="1"/>
  <c r="EL449" i="1"/>
  <c r="EU449" i="1" s="1"/>
  <c r="GW449" i="1" s="1"/>
  <c r="AJ449" i="1" s="1"/>
  <c r="CW449" i="1"/>
  <c r="CR449" i="1"/>
  <c r="CM449" i="1"/>
  <c r="CH449" i="1"/>
  <c r="AZ449" i="1"/>
  <c r="BA449" i="1" s="1"/>
  <c r="AE449" i="1" s="1"/>
  <c r="AU449" i="1"/>
  <c r="AS449" i="1"/>
  <c r="AR449" i="1"/>
  <c r="AO449" i="1"/>
  <c r="IC448" i="1"/>
  <c r="IB448" i="1"/>
  <c r="IA448" i="1"/>
  <c r="HT448" i="1"/>
  <c r="HN448" i="1"/>
  <c r="HF448" i="1"/>
  <c r="HH448" i="1" s="1"/>
  <c r="HJ448" i="1" s="1"/>
  <c r="EL448" i="1"/>
  <c r="EU448" i="1" s="1"/>
  <c r="CW448" i="1"/>
  <c r="CR448" i="1"/>
  <c r="CM448" i="1"/>
  <c r="CH448" i="1"/>
  <c r="AZ448" i="1"/>
  <c r="BA448" i="1" s="1"/>
  <c r="AS448" i="1"/>
  <c r="AR448" i="1"/>
  <c r="AO448" i="1"/>
  <c r="IC447" i="1"/>
  <c r="IB447" i="1"/>
  <c r="IA447" i="1"/>
  <c r="HT447" i="1"/>
  <c r="HN447" i="1"/>
  <c r="HF447" i="1"/>
  <c r="HH447" i="1" s="1"/>
  <c r="HJ447" i="1" s="1"/>
  <c r="EL447" i="1"/>
  <c r="EU447" i="1" s="1"/>
  <c r="AG447" i="1" s="1"/>
  <c r="CW447" i="1"/>
  <c r="CR447" i="1"/>
  <c r="CM447" i="1"/>
  <c r="CH447" i="1"/>
  <c r="AZ447" i="1"/>
  <c r="BA447" i="1" s="1"/>
  <c r="AS447" i="1"/>
  <c r="AR447" i="1"/>
  <c r="AO447" i="1"/>
  <c r="IC446" i="1"/>
  <c r="IB446" i="1"/>
  <c r="IA446" i="1"/>
  <c r="HT446" i="1"/>
  <c r="HO446" i="1"/>
  <c r="HN446" i="1"/>
  <c r="HF446" i="1"/>
  <c r="HH446" i="1" s="1"/>
  <c r="HJ446" i="1" s="1"/>
  <c r="EL446" i="1"/>
  <c r="EU446" i="1" s="1"/>
  <c r="CW446" i="1"/>
  <c r="CR446" i="1"/>
  <c r="CM446" i="1"/>
  <c r="CH446" i="1"/>
  <c r="AZ446" i="1"/>
  <c r="BA446" i="1" s="1"/>
  <c r="AS446" i="1"/>
  <c r="AR446" i="1"/>
  <c r="AO446" i="1"/>
  <c r="IC445" i="1"/>
  <c r="IB445" i="1"/>
  <c r="IA445" i="1"/>
  <c r="HR445" i="1"/>
  <c r="HT445" i="1" s="1"/>
  <c r="HN445" i="1"/>
  <c r="HF445" i="1"/>
  <c r="HH445" i="1" s="1"/>
  <c r="HJ445" i="1" s="1"/>
  <c r="EL445" i="1"/>
  <c r="EU445" i="1" s="1"/>
  <c r="CW445" i="1"/>
  <c r="CR445" i="1"/>
  <c r="CM445" i="1"/>
  <c r="CH445" i="1"/>
  <c r="AZ445" i="1"/>
  <c r="AS445" i="1"/>
  <c r="AR445" i="1"/>
  <c r="AO445" i="1"/>
  <c r="AC445" i="1"/>
  <c r="IC444" i="1"/>
  <c r="IB444" i="1"/>
  <c r="IA444" i="1"/>
  <c r="HT444" i="1"/>
  <c r="HN444" i="1"/>
  <c r="HF444" i="1"/>
  <c r="HH444" i="1" s="1"/>
  <c r="HJ444" i="1" s="1"/>
  <c r="EL444" i="1"/>
  <c r="EU444" i="1" s="1"/>
  <c r="GW444" i="1" s="1"/>
  <c r="AJ444" i="1" s="1"/>
  <c r="CW444" i="1"/>
  <c r="CR444" i="1"/>
  <c r="CM444" i="1"/>
  <c r="CH444" i="1"/>
  <c r="AZ444" i="1"/>
  <c r="BA444" i="1" s="1"/>
  <c r="AS444" i="1"/>
  <c r="AO444" i="1"/>
  <c r="IC443" i="1"/>
  <c r="IB443" i="1"/>
  <c r="IA443" i="1"/>
  <c r="HT443" i="1"/>
  <c r="HN443" i="1"/>
  <c r="HF443" i="1"/>
  <c r="HH443" i="1" s="1"/>
  <c r="HJ443" i="1" s="1"/>
  <c r="EL443" i="1"/>
  <c r="EU443" i="1" s="1"/>
  <c r="CW443" i="1"/>
  <c r="CR443" i="1"/>
  <c r="CM443" i="1"/>
  <c r="CG443" i="1"/>
  <c r="CH443" i="1" s="1"/>
  <c r="AZ443" i="1"/>
  <c r="BA443" i="1" s="1"/>
  <c r="AE443" i="1" s="1"/>
  <c r="AS443" i="1"/>
  <c r="AR443" i="1"/>
  <c r="AO443" i="1"/>
  <c r="IC441" i="1"/>
  <c r="IB441" i="1"/>
  <c r="IA441" i="1"/>
  <c r="HT441" i="1"/>
  <c r="HN441" i="1"/>
  <c r="HF441" i="1"/>
  <c r="HH441" i="1" s="1"/>
  <c r="HJ441" i="1" s="1"/>
  <c r="EL441" i="1"/>
  <c r="EU441" i="1" s="1"/>
  <c r="AG441" i="1" s="1"/>
  <c r="CW441" i="1"/>
  <c r="CR441" i="1"/>
  <c r="CM441" i="1"/>
  <c r="CG441" i="1"/>
  <c r="CH441" i="1" s="1"/>
  <c r="AZ441" i="1"/>
  <c r="BA441" i="1" s="1"/>
  <c r="AS441" i="1"/>
  <c r="AR441" i="1"/>
  <c r="AO441" i="1"/>
  <c r="IC439" i="1"/>
  <c r="IB439" i="1"/>
  <c r="IA439" i="1"/>
  <c r="HT439" i="1"/>
  <c r="HN439" i="1"/>
  <c r="HF439" i="1"/>
  <c r="HH439" i="1" s="1"/>
  <c r="HJ439" i="1" s="1"/>
  <c r="EL439" i="1"/>
  <c r="EU439" i="1" s="1"/>
  <c r="CW439" i="1"/>
  <c r="CR439" i="1"/>
  <c r="CM439" i="1"/>
  <c r="CH439" i="1"/>
  <c r="AZ439" i="1"/>
  <c r="BA439" i="1" s="1"/>
  <c r="AS439" i="1"/>
  <c r="AR439" i="1"/>
  <c r="AO439" i="1"/>
  <c r="IC438" i="1"/>
  <c r="IB438" i="1"/>
  <c r="IA438" i="1"/>
  <c r="HT438" i="1"/>
  <c r="HN438" i="1"/>
  <c r="HF438" i="1"/>
  <c r="HH438" i="1" s="1"/>
  <c r="HJ438" i="1" s="1"/>
  <c r="EL438" i="1"/>
  <c r="EU438" i="1" s="1"/>
  <c r="GW438" i="1" s="1"/>
  <c r="AJ438" i="1" s="1"/>
  <c r="CW438" i="1"/>
  <c r="CR438" i="1"/>
  <c r="CM438" i="1"/>
  <c r="CH438" i="1"/>
  <c r="AZ438" i="1"/>
  <c r="BA438" i="1" s="1"/>
  <c r="AS438" i="1"/>
  <c r="AR438" i="1"/>
  <c r="AO438" i="1"/>
  <c r="IC437" i="1"/>
  <c r="IB437" i="1"/>
  <c r="IA437" i="1"/>
  <c r="HT437" i="1"/>
  <c r="HN437" i="1"/>
  <c r="HF437" i="1"/>
  <c r="HH437" i="1" s="1"/>
  <c r="HJ437" i="1" s="1"/>
  <c r="EL437" i="1"/>
  <c r="EU437" i="1" s="1"/>
  <c r="CW437" i="1"/>
  <c r="CR437" i="1"/>
  <c r="CM437" i="1"/>
  <c r="CH437" i="1"/>
  <c r="AZ437" i="1"/>
  <c r="BA437" i="1" s="1"/>
  <c r="AE437" i="1" s="1"/>
  <c r="AT437" i="1"/>
  <c r="AS437" i="1"/>
  <c r="AO437" i="1"/>
  <c r="IC436" i="1"/>
  <c r="IB436" i="1"/>
  <c r="IA436" i="1"/>
  <c r="HT436" i="1"/>
  <c r="HN436" i="1"/>
  <c r="HF436" i="1"/>
  <c r="HH436" i="1" s="1"/>
  <c r="HJ436" i="1" s="1"/>
  <c r="EL436" i="1"/>
  <c r="EU436" i="1" s="1"/>
  <c r="CW436" i="1"/>
  <c r="CR436" i="1"/>
  <c r="CM436" i="1"/>
  <c r="CH436" i="1"/>
  <c r="AZ436" i="1"/>
  <c r="BA436" i="1" s="1"/>
  <c r="AS436" i="1"/>
  <c r="AR436" i="1"/>
  <c r="AO436" i="1"/>
  <c r="IC435" i="1"/>
  <c r="IB435" i="1"/>
  <c r="IA435" i="1"/>
  <c r="HR435" i="1"/>
  <c r="HT435" i="1" s="1"/>
  <c r="HN435" i="1"/>
  <c r="HF435" i="1"/>
  <c r="HH435" i="1" s="1"/>
  <c r="HJ435" i="1" s="1"/>
  <c r="EL435" i="1"/>
  <c r="EU435" i="1" s="1"/>
  <c r="CW435" i="1"/>
  <c r="CR435" i="1"/>
  <c r="CM435" i="1"/>
  <c r="CH435" i="1"/>
  <c r="AZ435" i="1"/>
  <c r="AS435" i="1"/>
  <c r="AR435" i="1"/>
  <c r="AO435" i="1"/>
  <c r="AC435" i="1"/>
  <c r="IC434" i="1"/>
  <c r="IB434" i="1"/>
  <c r="IA434" i="1"/>
  <c r="HT434" i="1"/>
  <c r="HN434" i="1"/>
  <c r="HF434" i="1"/>
  <c r="HH434" i="1" s="1"/>
  <c r="HJ434" i="1" s="1"/>
  <c r="EL434" i="1"/>
  <c r="EU434" i="1" s="1"/>
  <c r="CW434" i="1"/>
  <c r="CR434" i="1"/>
  <c r="CM434" i="1"/>
  <c r="CH434" i="1"/>
  <c r="AZ434" i="1"/>
  <c r="BA434" i="1" s="1"/>
  <c r="AS434" i="1"/>
  <c r="AR434" i="1"/>
  <c r="AO434" i="1"/>
  <c r="IC433" i="1"/>
  <c r="IB433" i="1"/>
  <c r="IA433" i="1"/>
  <c r="HT433" i="1"/>
  <c r="HN433" i="1"/>
  <c r="HF433" i="1"/>
  <c r="HH433" i="1" s="1"/>
  <c r="HJ433" i="1" s="1"/>
  <c r="EL433" i="1"/>
  <c r="EU433" i="1" s="1"/>
  <c r="CW433" i="1"/>
  <c r="CR433" i="1"/>
  <c r="CM433" i="1"/>
  <c r="CH433" i="1"/>
  <c r="AZ433" i="1"/>
  <c r="BA433" i="1" s="1"/>
  <c r="AS433" i="1"/>
  <c r="AR433" i="1"/>
  <c r="AO433" i="1"/>
  <c r="IC432" i="1"/>
  <c r="IB432" i="1"/>
  <c r="IA432" i="1"/>
  <c r="HT432" i="1"/>
  <c r="HN432" i="1"/>
  <c r="HF432" i="1"/>
  <c r="HH432" i="1" s="1"/>
  <c r="HJ432" i="1" s="1"/>
  <c r="EL432" i="1"/>
  <c r="EU432" i="1" s="1"/>
  <c r="CW432" i="1"/>
  <c r="CR432" i="1"/>
  <c r="CM432" i="1"/>
  <c r="CH432" i="1"/>
  <c r="AZ432" i="1"/>
  <c r="BA432" i="1" s="1"/>
  <c r="AS432" i="1"/>
  <c r="AR432" i="1"/>
  <c r="AO432" i="1"/>
  <c r="IE384" i="1"/>
  <c r="IG384" i="1" s="1"/>
  <c r="AN384" i="1" s="1"/>
  <c r="HN384" i="1"/>
  <c r="HJ384" i="1"/>
  <c r="HF384" i="1"/>
  <c r="EL384" i="1"/>
  <c r="EU384" i="1" s="1"/>
  <c r="AZ384" i="1"/>
  <c r="BA384" i="1" s="1"/>
  <c r="AO384" i="1"/>
  <c r="AI384" i="1"/>
  <c r="AH384" i="1"/>
  <c r="IE383" i="1"/>
  <c r="IG383" i="1" s="1"/>
  <c r="AN383" i="1" s="1"/>
  <c r="HN383" i="1"/>
  <c r="HJ383" i="1"/>
  <c r="HF383" i="1"/>
  <c r="EL383" i="1"/>
  <c r="EU383" i="1" s="1"/>
  <c r="AZ383" i="1"/>
  <c r="BA383" i="1" s="1"/>
  <c r="AO383" i="1"/>
  <c r="AI383" i="1"/>
  <c r="AH383" i="1"/>
  <c r="IE382" i="1"/>
  <c r="IG382" i="1" s="1"/>
  <c r="AN382" i="1" s="1"/>
  <c r="HN382" i="1"/>
  <c r="HJ382" i="1"/>
  <c r="HF382" i="1"/>
  <c r="EL382" i="1"/>
  <c r="EU382" i="1" s="1"/>
  <c r="DM382" i="1"/>
  <c r="DP382" i="1" s="1"/>
  <c r="AZ382" i="1"/>
  <c r="BA382" i="1" s="1"/>
  <c r="AE382" i="1" s="1"/>
  <c r="AO382" i="1"/>
  <c r="AI382" i="1"/>
  <c r="IE381" i="1"/>
  <c r="IG381" i="1" s="1"/>
  <c r="AN381" i="1" s="1"/>
  <c r="HN381" i="1"/>
  <c r="HJ381" i="1"/>
  <c r="HF381" i="1"/>
  <c r="EL381" i="1"/>
  <c r="EU381" i="1" s="1"/>
  <c r="CH381" i="1"/>
  <c r="DM381" i="1" s="1"/>
  <c r="AH381" i="1" s="1"/>
  <c r="AZ381" i="1"/>
  <c r="AO381" i="1"/>
  <c r="AI381" i="1"/>
  <c r="AC381" i="1"/>
  <c r="IE380" i="1"/>
  <c r="IG380" i="1" s="1"/>
  <c r="AN380" i="1" s="1"/>
  <c r="HN380" i="1"/>
  <c r="HJ380" i="1"/>
  <c r="HF380" i="1"/>
  <c r="EL380" i="1"/>
  <c r="EU380" i="1" s="1"/>
  <c r="CH380" i="1"/>
  <c r="AZ380" i="1"/>
  <c r="AO380" i="1"/>
  <c r="AI380" i="1"/>
  <c r="AH380" i="1"/>
  <c r="AC380" i="1"/>
  <c r="IE379" i="1"/>
  <c r="IG379" i="1" s="1"/>
  <c r="AN379" i="1" s="1"/>
  <c r="HN379" i="1"/>
  <c r="HJ379" i="1"/>
  <c r="HF379" i="1"/>
  <c r="EL379" i="1"/>
  <c r="EU379" i="1" s="1"/>
  <c r="GW379" i="1" s="1"/>
  <c r="AJ379" i="1" s="1"/>
  <c r="CH379" i="1"/>
  <c r="AZ379" i="1"/>
  <c r="AO379" i="1"/>
  <c r="AI379" i="1"/>
  <c r="AH379" i="1"/>
  <c r="AC379" i="1"/>
  <c r="IE378" i="1"/>
  <c r="IG378" i="1" s="1"/>
  <c r="AN378" i="1" s="1"/>
  <c r="HN378" i="1"/>
  <c r="HJ378" i="1"/>
  <c r="HF378" i="1"/>
  <c r="EL378" i="1"/>
  <c r="EU378" i="1" s="1"/>
  <c r="CH378" i="1"/>
  <c r="DM378" i="1" s="1"/>
  <c r="AH378" i="1" s="1"/>
  <c r="AZ378" i="1"/>
  <c r="AO378" i="1"/>
  <c r="AI378" i="1"/>
  <c r="AC378" i="1"/>
  <c r="IE377" i="1"/>
  <c r="IG377" i="1" s="1"/>
  <c r="AN377" i="1" s="1"/>
  <c r="HN377" i="1"/>
  <c r="HJ377" i="1"/>
  <c r="HF377" i="1"/>
  <c r="EL377" i="1"/>
  <c r="EU377" i="1" s="1"/>
  <c r="CH377" i="1"/>
  <c r="DM377" i="1" s="1"/>
  <c r="AH377" i="1" s="1"/>
  <c r="AZ377" i="1"/>
  <c r="AO377" i="1"/>
  <c r="AI377" i="1"/>
  <c r="AC377" i="1"/>
  <c r="IE376" i="1"/>
  <c r="IG376" i="1" s="1"/>
  <c r="AN376" i="1" s="1"/>
  <c r="HN376" i="1"/>
  <c r="HJ376" i="1"/>
  <c r="HF376" i="1"/>
  <c r="EL376" i="1"/>
  <c r="EU376" i="1" s="1"/>
  <c r="CH376" i="1"/>
  <c r="DM376" i="1" s="1"/>
  <c r="AH376" i="1" s="1"/>
  <c r="AZ376" i="1"/>
  <c r="BA376" i="1" s="1"/>
  <c r="AO376" i="1"/>
  <c r="AI376" i="1"/>
  <c r="IE375" i="1"/>
  <c r="IG375" i="1" s="1"/>
  <c r="AN375" i="1" s="1"/>
  <c r="HN375" i="1"/>
  <c r="HJ375" i="1"/>
  <c r="HF375" i="1"/>
  <c r="EL375" i="1"/>
  <c r="EU375" i="1" s="1"/>
  <c r="AG375" i="1" s="1"/>
  <c r="CH375" i="1"/>
  <c r="AZ375" i="1"/>
  <c r="AO375" i="1"/>
  <c r="AI375" i="1"/>
  <c r="AH375" i="1"/>
  <c r="AC375" i="1"/>
  <c r="IE374" i="1"/>
  <c r="IG374" i="1" s="1"/>
  <c r="AN374" i="1" s="1"/>
  <c r="HN374" i="1"/>
  <c r="HJ374" i="1"/>
  <c r="HF374" i="1"/>
  <c r="EL374" i="1"/>
  <c r="EU374" i="1" s="1"/>
  <c r="CH374" i="1"/>
  <c r="AZ374" i="1"/>
  <c r="BA374" i="1" s="1"/>
  <c r="AO374" i="1"/>
  <c r="AI374" i="1"/>
  <c r="AH374" i="1"/>
  <c r="IE373" i="1"/>
  <c r="IG373" i="1" s="1"/>
  <c r="AN373" i="1" s="1"/>
  <c r="HN373" i="1"/>
  <c r="HJ373" i="1"/>
  <c r="HF373" i="1"/>
  <c r="EL373" i="1"/>
  <c r="EU373" i="1" s="1"/>
  <c r="CH373" i="1"/>
  <c r="AZ373" i="1"/>
  <c r="AO373" i="1"/>
  <c r="AI373" i="1"/>
  <c r="AH373" i="1"/>
  <c r="AC373" i="1"/>
  <c r="IE372" i="1"/>
  <c r="IG372" i="1" s="1"/>
  <c r="AN372" i="1" s="1"/>
  <c r="HN372" i="1"/>
  <c r="HJ372" i="1"/>
  <c r="HF372" i="1"/>
  <c r="EL372" i="1"/>
  <c r="EU372" i="1" s="1"/>
  <c r="CH372" i="1"/>
  <c r="AZ372" i="1"/>
  <c r="AO372" i="1"/>
  <c r="AI372" i="1"/>
  <c r="AH372" i="1"/>
  <c r="AC372" i="1"/>
  <c r="IE371" i="1"/>
  <c r="IG371" i="1" s="1"/>
  <c r="AN371" i="1" s="1"/>
  <c r="HN371" i="1"/>
  <c r="HJ371" i="1"/>
  <c r="HF371" i="1"/>
  <c r="EL371" i="1"/>
  <c r="EU371" i="1" s="1"/>
  <c r="CH371" i="1"/>
  <c r="AZ371" i="1"/>
  <c r="AO371" i="1"/>
  <c r="AI371" i="1"/>
  <c r="AH371" i="1"/>
  <c r="AC371" i="1"/>
  <c r="IE370" i="1"/>
  <c r="IG370" i="1" s="1"/>
  <c r="AN370" i="1" s="1"/>
  <c r="HN370" i="1"/>
  <c r="HJ370" i="1"/>
  <c r="HF370" i="1"/>
  <c r="EL370" i="1"/>
  <c r="EU370" i="1" s="1"/>
  <c r="CH370" i="1"/>
  <c r="AZ370" i="1"/>
  <c r="AO370" i="1"/>
  <c r="AI370" i="1"/>
  <c r="AH370" i="1"/>
  <c r="AC370" i="1"/>
  <c r="IE369" i="1"/>
  <c r="IG369" i="1" s="1"/>
  <c r="AN369" i="1" s="1"/>
  <c r="HN369" i="1"/>
  <c r="HJ369" i="1"/>
  <c r="HF369" i="1"/>
  <c r="EL369" i="1"/>
  <c r="EU369" i="1" s="1"/>
  <c r="CH369" i="1"/>
  <c r="AZ369" i="1"/>
  <c r="AO369" i="1"/>
  <c r="AI369" i="1"/>
  <c r="AH369" i="1"/>
  <c r="AC369" i="1"/>
  <c r="IE368" i="1"/>
  <c r="IG368" i="1" s="1"/>
  <c r="AN368" i="1" s="1"/>
  <c r="HN368" i="1"/>
  <c r="HJ368" i="1"/>
  <c r="HF368" i="1"/>
  <c r="EL368" i="1"/>
  <c r="EU368" i="1" s="1"/>
  <c r="CH368" i="1"/>
  <c r="AZ368" i="1"/>
  <c r="AO368" i="1"/>
  <c r="AI368" i="1"/>
  <c r="AH368" i="1"/>
  <c r="AC368" i="1"/>
  <c r="IE367" i="1"/>
  <c r="IG367" i="1" s="1"/>
  <c r="AN367" i="1" s="1"/>
  <c r="HN367" i="1"/>
  <c r="HJ367" i="1"/>
  <c r="HF367" i="1"/>
  <c r="EL367" i="1"/>
  <c r="EU367" i="1" s="1"/>
  <c r="CH367" i="1"/>
  <c r="AZ367" i="1"/>
  <c r="BA367" i="1" s="1"/>
  <c r="AO367" i="1"/>
  <c r="AI367" i="1"/>
  <c r="AH367" i="1"/>
  <c r="IE366" i="1"/>
  <c r="IG366" i="1" s="1"/>
  <c r="AN366" i="1" s="1"/>
  <c r="HN366" i="1"/>
  <c r="HJ366" i="1"/>
  <c r="HF366" i="1"/>
  <c r="EL366" i="1"/>
  <c r="EU366" i="1" s="1"/>
  <c r="CH366" i="1"/>
  <c r="AZ366" i="1"/>
  <c r="BA366" i="1" s="1"/>
  <c r="AE366" i="1" s="1"/>
  <c r="AO366" i="1"/>
  <c r="AI366" i="1"/>
  <c r="AH366" i="1"/>
  <c r="IE365" i="1"/>
  <c r="IG365" i="1" s="1"/>
  <c r="AN365" i="1" s="1"/>
  <c r="HN365" i="1"/>
  <c r="HJ365" i="1"/>
  <c r="HF365" i="1"/>
  <c r="EL365" i="1"/>
  <c r="EU365" i="1" s="1"/>
  <c r="CH365" i="1"/>
  <c r="AZ365" i="1"/>
  <c r="BA365" i="1" s="1"/>
  <c r="AO365" i="1"/>
  <c r="AI365" i="1"/>
  <c r="AH365" i="1"/>
  <c r="IE364" i="1"/>
  <c r="IG364" i="1" s="1"/>
  <c r="AN364" i="1" s="1"/>
  <c r="HN364" i="1"/>
  <c r="HJ364" i="1"/>
  <c r="HF364" i="1"/>
  <c r="EL364" i="1"/>
  <c r="EU364" i="1" s="1"/>
  <c r="DU364" i="1"/>
  <c r="AF364" i="1" s="1"/>
  <c r="CH364" i="1"/>
  <c r="AZ364" i="1"/>
  <c r="BA364" i="1" s="1"/>
  <c r="AE364" i="1" s="1"/>
  <c r="AO364" i="1"/>
  <c r="AI364" i="1"/>
  <c r="AH364" i="1"/>
  <c r="IE363" i="1"/>
  <c r="IG363" i="1" s="1"/>
  <c r="AN363" i="1" s="1"/>
  <c r="HN363" i="1"/>
  <c r="HJ363" i="1"/>
  <c r="HF363" i="1"/>
  <c r="EL363" i="1"/>
  <c r="EU363" i="1" s="1"/>
  <c r="CH363" i="1"/>
  <c r="AZ363" i="1"/>
  <c r="AO363" i="1"/>
  <c r="AI363" i="1"/>
  <c r="AH363" i="1"/>
  <c r="AC363" i="1"/>
  <c r="IE362" i="1"/>
  <c r="IG362" i="1" s="1"/>
  <c r="AN362" i="1" s="1"/>
  <c r="HN362" i="1"/>
  <c r="HJ362" i="1"/>
  <c r="HF362" i="1"/>
  <c r="EX362" i="1"/>
  <c r="FA362" i="1" s="1"/>
  <c r="EL362" i="1"/>
  <c r="EU362" i="1" s="1"/>
  <c r="GW362" i="1" s="1"/>
  <c r="AJ362" i="1" s="1"/>
  <c r="CH362" i="1"/>
  <c r="DM362" i="1" s="1"/>
  <c r="AZ362" i="1"/>
  <c r="BA362" i="1" s="1"/>
  <c r="AO362" i="1"/>
  <c r="IE361" i="1"/>
  <c r="IG361" i="1" s="1"/>
  <c r="AN361" i="1" s="1"/>
  <c r="HN361" i="1"/>
  <c r="HJ361" i="1"/>
  <c r="HF361" i="1"/>
  <c r="EX361" i="1"/>
  <c r="FA361" i="1" s="1"/>
  <c r="EL361" i="1"/>
  <c r="EU361" i="1" s="1"/>
  <c r="GW361" i="1" s="1"/>
  <c r="AJ361" i="1" s="1"/>
  <c r="CH361" i="1"/>
  <c r="DM361" i="1" s="1"/>
  <c r="AZ361" i="1"/>
  <c r="BA361" i="1" s="1"/>
  <c r="AE361" i="1" s="1"/>
  <c r="AO361" i="1"/>
  <c r="IE360" i="1"/>
  <c r="IG360" i="1" s="1"/>
  <c r="AN360" i="1" s="1"/>
  <c r="HJ360" i="1"/>
  <c r="HE360" i="1"/>
  <c r="EL360" i="1"/>
  <c r="EU360" i="1" s="1"/>
  <c r="GW360" i="1" s="1"/>
  <c r="AJ360" i="1" s="1"/>
  <c r="CH360" i="1"/>
  <c r="DM360" i="1" s="1"/>
  <c r="AZ360" i="1"/>
  <c r="BA360" i="1" s="1"/>
  <c r="AO360" i="1"/>
  <c r="AI360" i="1"/>
  <c r="IE359" i="1"/>
  <c r="IG359" i="1" s="1"/>
  <c r="AN359" i="1" s="1"/>
  <c r="HJ359" i="1"/>
  <c r="HE359" i="1"/>
  <c r="HN359" i="1" s="1"/>
  <c r="EL359" i="1"/>
  <c r="EU359" i="1" s="1"/>
  <c r="GW359" i="1" s="1"/>
  <c r="AJ359" i="1" s="1"/>
  <c r="CH359" i="1"/>
  <c r="DM359" i="1" s="1"/>
  <c r="AH359" i="1" s="1"/>
  <c r="AZ359" i="1"/>
  <c r="BA359" i="1" s="1"/>
  <c r="AO359" i="1"/>
  <c r="AI359" i="1"/>
  <c r="IE358" i="1"/>
  <c r="IG358" i="1" s="1"/>
  <c r="AN358" i="1" s="1"/>
  <c r="HJ358" i="1"/>
  <c r="HE358" i="1"/>
  <c r="HF358" i="1" s="1"/>
  <c r="FA358" i="1"/>
  <c r="EL358" i="1"/>
  <c r="EU358" i="1" s="1"/>
  <c r="CH358" i="1"/>
  <c r="DM358" i="1" s="1"/>
  <c r="AH358" i="1" s="1"/>
  <c r="AZ358" i="1"/>
  <c r="BA358" i="1" s="1"/>
  <c r="AO358" i="1"/>
  <c r="AI358" i="1"/>
  <c r="IE357" i="1"/>
  <c r="IG357" i="1" s="1"/>
  <c r="AN357" i="1" s="1"/>
  <c r="HJ357" i="1"/>
  <c r="HE357" i="1"/>
  <c r="HF357" i="1" s="1"/>
  <c r="FA357" i="1"/>
  <c r="EL357" i="1"/>
  <c r="EU357" i="1" s="1"/>
  <c r="GW357" i="1" s="1"/>
  <c r="AJ357" i="1" s="1"/>
  <c r="CH357" i="1"/>
  <c r="DM357" i="1" s="1"/>
  <c r="AZ357" i="1"/>
  <c r="BA357" i="1" s="1"/>
  <c r="AE357" i="1" s="1"/>
  <c r="AO357" i="1"/>
  <c r="AI357" i="1"/>
  <c r="IE356" i="1"/>
  <c r="IG356" i="1" s="1"/>
  <c r="AN356" i="1" s="1"/>
  <c r="HN356" i="1"/>
  <c r="HJ356" i="1"/>
  <c r="HF356" i="1"/>
  <c r="EL356" i="1"/>
  <c r="EU356" i="1" s="1"/>
  <c r="CH356" i="1"/>
  <c r="AZ356" i="1"/>
  <c r="AO356" i="1"/>
  <c r="AI356" i="1"/>
  <c r="AH356" i="1"/>
  <c r="AC356" i="1"/>
  <c r="IE355" i="1"/>
  <c r="IG355" i="1" s="1"/>
  <c r="AN355" i="1" s="1"/>
  <c r="HN355" i="1"/>
  <c r="HJ355" i="1"/>
  <c r="HF355" i="1"/>
  <c r="EL355" i="1"/>
  <c r="EU355" i="1" s="1"/>
  <c r="AG355" i="1" s="1"/>
  <c r="CH355" i="1"/>
  <c r="AZ355" i="1"/>
  <c r="AO355" i="1"/>
  <c r="AI355" i="1"/>
  <c r="AH355" i="1"/>
  <c r="AC355" i="1"/>
  <c r="IE354" i="1"/>
  <c r="IG354" i="1" s="1"/>
  <c r="AN354" i="1" s="1"/>
  <c r="HN354" i="1"/>
  <c r="HF354" i="1"/>
  <c r="HH354" i="1" s="1"/>
  <c r="HJ354" i="1" s="1"/>
  <c r="EL354" i="1"/>
  <c r="EU354" i="1" s="1"/>
  <c r="GW354" i="1" s="1"/>
  <c r="AJ354" i="1" s="1"/>
  <c r="CH354" i="1"/>
  <c r="AZ354" i="1"/>
  <c r="BA354" i="1" s="1"/>
  <c r="AO354" i="1"/>
  <c r="AI354" i="1"/>
  <c r="AH354" i="1"/>
  <c r="IE353" i="1"/>
  <c r="IG353" i="1" s="1"/>
  <c r="AN353" i="1" s="1"/>
  <c r="HN353" i="1"/>
  <c r="HF353" i="1"/>
  <c r="HH353" i="1" s="1"/>
  <c r="HJ353" i="1" s="1"/>
  <c r="EL353" i="1"/>
  <c r="EU353" i="1" s="1"/>
  <c r="CH353" i="1"/>
  <c r="AZ353" i="1"/>
  <c r="AO353" i="1"/>
  <c r="AI353" i="1"/>
  <c r="AH353" i="1"/>
  <c r="AC353" i="1"/>
  <c r="IE352" i="1"/>
  <c r="IG352" i="1" s="1"/>
  <c r="AN352" i="1" s="1"/>
  <c r="HN352" i="1"/>
  <c r="HF352" i="1"/>
  <c r="HH352" i="1" s="1"/>
  <c r="HJ352" i="1" s="1"/>
  <c r="EL352" i="1"/>
  <c r="EU352" i="1" s="1"/>
  <c r="CH352" i="1"/>
  <c r="AZ352" i="1"/>
  <c r="AO352" i="1"/>
  <c r="AI352" i="1"/>
  <c r="AH352" i="1"/>
  <c r="AC352" i="1"/>
  <c r="IE351" i="1"/>
  <c r="IG351" i="1" s="1"/>
  <c r="AN351" i="1" s="1"/>
  <c r="HN351" i="1"/>
  <c r="HF351" i="1"/>
  <c r="HH351" i="1" s="1"/>
  <c r="HJ351" i="1" s="1"/>
  <c r="EL351" i="1"/>
  <c r="EU351" i="1" s="1"/>
  <c r="CH351" i="1"/>
  <c r="AZ351" i="1"/>
  <c r="AT351" i="1"/>
  <c r="AO351" i="1"/>
  <c r="AI351" i="1"/>
  <c r="AH351" i="1"/>
  <c r="AC351" i="1"/>
  <c r="IE350" i="1"/>
  <c r="IG350" i="1" s="1"/>
  <c r="AN350" i="1" s="1"/>
  <c r="HN350" i="1"/>
  <c r="HF350" i="1"/>
  <c r="HH350" i="1" s="1"/>
  <c r="HJ350" i="1" s="1"/>
  <c r="EL350" i="1"/>
  <c r="EU350" i="1" s="1"/>
  <c r="CH350" i="1"/>
  <c r="DM350" i="1" s="1"/>
  <c r="AZ350" i="1"/>
  <c r="AT350" i="1"/>
  <c r="AO350" i="1"/>
  <c r="AI350" i="1"/>
  <c r="AC350" i="1"/>
  <c r="IE349" i="1"/>
  <c r="IG349" i="1" s="1"/>
  <c r="AN349" i="1" s="1"/>
  <c r="HN349" i="1"/>
  <c r="HF349" i="1"/>
  <c r="HH349" i="1" s="1"/>
  <c r="HJ349" i="1" s="1"/>
  <c r="EL349" i="1"/>
  <c r="EU349" i="1" s="1"/>
  <c r="CH349" i="1"/>
  <c r="DM349" i="1" s="1"/>
  <c r="AZ349" i="1"/>
  <c r="AT349" i="1"/>
  <c r="AO349" i="1"/>
  <c r="AI349" i="1"/>
  <c r="AC349" i="1"/>
  <c r="IC347" i="1"/>
  <c r="IB347" i="1"/>
  <c r="IA347" i="1"/>
  <c r="HN347" i="1"/>
  <c r="HF347" i="1"/>
  <c r="HH347" i="1" s="1"/>
  <c r="HJ347" i="1" s="1"/>
  <c r="EL347" i="1"/>
  <c r="EU347" i="1" s="1"/>
  <c r="DM347" i="1"/>
  <c r="AZ347" i="1"/>
  <c r="AI347" i="1"/>
  <c r="AC347" i="1"/>
  <c r="IC346" i="1"/>
  <c r="IB346" i="1"/>
  <c r="IA346" i="1"/>
  <c r="HN346" i="1"/>
  <c r="HF346" i="1"/>
  <c r="HH346" i="1" s="1"/>
  <c r="HJ346" i="1" s="1"/>
  <c r="EL346" i="1"/>
  <c r="EU346" i="1" s="1"/>
  <c r="DO346" i="1"/>
  <c r="AI346" i="1" s="1"/>
  <c r="CH346" i="1"/>
  <c r="DM346" i="1" s="1"/>
  <c r="AZ346" i="1"/>
  <c r="AC346" i="1"/>
  <c r="IC345" i="1"/>
  <c r="IB345" i="1"/>
  <c r="IA345" i="1"/>
  <c r="HN345" i="1"/>
  <c r="HF345" i="1"/>
  <c r="HH345" i="1" s="1"/>
  <c r="HJ345" i="1" s="1"/>
  <c r="EL345" i="1"/>
  <c r="EU345" i="1" s="1"/>
  <c r="GW345" i="1" s="1"/>
  <c r="AJ345" i="1" s="1"/>
  <c r="DM345" i="1"/>
  <c r="DP345" i="1" s="1"/>
  <c r="AZ345" i="1"/>
  <c r="BA345" i="1" s="1"/>
  <c r="AE345" i="1" s="1"/>
  <c r="AI345" i="1"/>
  <c r="IC344" i="1"/>
  <c r="IB344" i="1"/>
  <c r="IA344" i="1"/>
  <c r="HN344" i="1"/>
  <c r="HF344" i="1"/>
  <c r="HH344" i="1" s="1"/>
  <c r="HJ344" i="1" s="1"/>
  <c r="EL344" i="1"/>
  <c r="EU344" i="1" s="1"/>
  <c r="AG344" i="1" s="1"/>
  <c r="DP344" i="1"/>
  <c r="AZ344" i="1"/>
  <c r="BA344" i="1" s="1"/>
  <c r="AI344" i="1"/>
  <c r="AH344" i="1"/>
  <c r="IC342" i="1"/>
  <c r="IB342" i="1"/>
  <c r="IA342" i="1"/>
  <c r="HN342" i="1"/>
  <c r="HF342" i="1"/>
  <c r="HH342" i="1" s="1"/>
  <c r="HJ342" i="1" s="1"/>
  <c r="EL342" i="1"/>
  <c r="EU342" i="1" s="1"/>
  <c r="DP342" i="1"/>
  <c r="AZ342" i="1"/>
  <c r="AI342" i="1"/>
  <c r="AH342" i="1"/>
  <c r="AC342" i="1"/>
  <c r="IC340" i="1"/>
  <c r="IB340" i="1"/>
  <c r="IA340" i="1"/>
  <c r="HN340" i="1"/>
  <c r="HF340" i="1"/>
  <c r="HH340" i="1" s="1"/>
  <c r="HJ340" i="1" s="1"/>
  <c r="EL340" i="1"/>
  <c r="EU340" i="1" s="1"/>
  <c r="AG340" i="1" s="1"/>
  <c r="DP340" i="1"/>
  <c r="AZ340" i="1"/>
  <c r="AI340" i="1"/>
  <c r="AH340" i="1"/>
  <c r="AC340" i="1"/>
  <c r="IC339" i="1"/>
  <c r="IB339" i="1"/>
  <c r="IA339" i="1"/>
  <c r="HN339" i="1"/>
  <c r="HF339" i="1"/>
  <c r="HH339" i="1" s="1"/>
  <c r="HJ339" i="1" s="1"/>
  <c r="EL339" i="1"/>
  <c r="EU339" i="1" s="1"/>
  <c r="GW339" i="1" s="1"/>
  <c r="AJ339" i="1" s="1"/>
  <c r="DP339" i="1"/>
  <c r="AZ339" i="1"/>
  <c r="AI339" i="1"/>
  <c r="AH339" i="1"/>
  <c r="AC339" i="1"/>
  <c r="IC338" i="1"/>
  <c r="IB338" i="1"/>
  <c r="IA338" i="1"/>
  <c r="HN338" i="1"/>
  <c r="HF338" i="1"/>
  <c r="HH338" i="1" s="1"/>
  <c r="HJ338" i="1" s="1"/>
  <c r="EL338" i="1"/>
  <c r="EU338" i="1" s="1"/>
  <c r="AG338" i="1" s="1"/>
  <c r="DO338" i="1"/>
  <c r="AI338" i="1" s="1"/>
  <c r="CH338" i="1"/>
  <c r="DM338" i="1" s="1"/>
  <c r="AH338" i="1" s="1"/>
  <c r="AZ338" i="1"/>
  <c r="AC338" i="1"/>
  <c r="IC337" i="1"/>
  <c r="IB337" i="1"/>
  <c r="IA337" i="1"/>
  <c r="HN337" i="1"/>
  <c r="HF337" i="1"/>
  <c r="HH337" i="1" s="1"/>
  <c r="HJ337" i="1" s="1"/>
  <c r="EL337" i="1"/>
  <c r="EU337" i="1" s="1"/>
  <c r="CH337" i="1"/>
  <c r="DM337" i="1" s="1"/>
  <c r="AZ337" i="1"/>
  <c r="AI337" i="1"/>
  <c r="AC337" i="1"/>
  <c r="IC335" i="1"/>
  <c r="IB335" i="1"/>
  <c r="IA335" i="1"/>
  <c r="HN335" i="1"/>
  <c r="HF335" i="1"/>
  <c r="HH335" i="1" s="1"/>
  <c r="HJ335" i="1" s="1"/>
  <c r="EL335" i="1"/>
  <c r="EU335" i="1" s="1"/>
  <c r="CM335" i="1"/>
  <c r="CH335" i="1"/>
  <c r="AZ335" i="1"/>
  <c r="AT335" i="1"/>
  <c r="AP335" i="1"/>
  <c r="AI335" i="1"/>
  <c r="AF335" i="1"/>
  <c r="AC335" i="1"/>
  <c r="IC334" i="1"/>
  <c r="IB334" i="1"/>
  <c r="IA334" i="1"/>
  <c r="HT334" i="1"/>
  <c r="HN334" i="1"/>
  <c r="HF334" i="1"/>
  <c r="HH334" i="1" s="1"/>
  <c r="HJ334" i="1" s="1"/>
  <c r="EL334" i="1"/>
  <c r="EU334" i="1" s="1"/>
  <c r="CH334" i="1"/>
  <c r="DM334" i="1" s="1"/>
  <c r="AZ334" i="1"/>
  <c r="BA334" i="1" s="1"/>
  <c r="AE334" i="1" s="1"/>
  <c r="AI334" i="1"/>
  <c r="KD333" i="1"/>
  <c r="KE333" i="1" s="1"/>
  <c r="IT333" i="1"/>
  <c r="IU333" i="1" s="1"/>
  <c r="HZ333" i="1"/>
  <c r="IC333" i="1" s="1"/>
  <c r="HY333" i="1"/>
  <c r="IB333" i="1" s="1"/>
  <c r="HX333" i="1"/>
  <c r="IA333" i="1" s="1"/>
  <c r="HN333" i="1"/>
  <c r="HF333" i="1"/>
  <c r="HH333" i="1" s="1"/>
  <c r="HJ333" i="1" s="1"/>
  <c r="FA333" i="1"/>
  <c r="EZ333" i="1"/>
  <c r="AP333" i="1" s="1"/>
  <c r="EL333" i="1"/>
  <c r="EU333" i="1" s="1"/>
  <c r="CH333" i="1"/>
  <c r="DM333" i="1" s="1"/>
  <c r="DP333" i="1" s="1"/>
  <c r="AZ333" i="1"/>
  <c r="BA333" i="1" s="1"/>
  <c r="AE333" i="1" s="1"/>
  <c r="AI333" i="1"/>
  <c r="IC332" i="1"/>
  <c r="IB332" i="1"/>
  <c r="IA332" i="1"/>
  <c r="HT332" i="1"/>
  <c r="HN332" i="1"/>
  <c r="HF332" i="1"/>
  <c r="HH332" i="1" s="1"/>
  <c r="HJ332" i="1" s="1"/>
  <c r="EL332" i="1"/>
  <c r="EU332" i="1" s="1"/>
  <c r="GW332" i="1" s="1"/>
  <c r="AJ332" i="1" s="1"/>
  <c r="DP332" i="1"/>
  <c r="AZ332" i="1"/>
  <c r="BA332" i="1" s="1"/>
  <c r="AE332" i="1" s="1"/>
  <c r="AI332" i="1"/>
  <c r="AH332" i="1"/>
  <c r="IC330" i="1"/>
  <c r="IB330" i="1"/>
  <c r="IA330" i="1"/>
  <c r="HN330" i="1"/>
  <c r="HF330" i="1"/>
  <c r="HH330" i="1" s="1"/>
  <c r="HJ330" i="1" s="1"/>
  <c r="EL330" i="1"/>
  <c r="EU330" i="1" s="1"/>
  <c r="GW330" i="1" s="1"/>
  <c r="AJ330" i="1" s="1"/>
  <c r="DO330" i="1"/>
  <c r="AI330" i="1" s="1"/>
  <c r="CH330" i="1"/>
  <c r="DM330" i="1" s="1"/>
  <c r="AZ330" i="1"/>
  <c r="BA330" i="1" s="1"/>
  <c r="HZ328" i="1"/>
  <c r="IC328" i="1" s="1"/>
  <c r="HY328" i="1"/>
  <c r="IB328" i="1" s="1"/>
  <c r="HX328" i="1"/>
  <c r="IA328" i="1" s="1"/>
  <c r="HN328" i="1"/>
  <c r="HF328" i="1"/>
  <c r="HH328" i="1" s="1"/>
  <c r="HJ328" i="1" s="1"/>
  <c r="EL328" i="1"/>
  <c r="EU328" i="1" s="1"/>
  <c r="AG328" i="1" s="1"/>
  <c r="CG328" i="1"/>
  <c r="CH328" i="1" s="1"/>
  <c r="DM328" i="1" s="1"/>
  <c r="AZ328" i="1"/>
  <c r="BA328" i="1" s="1"/>
  <c r="AT328" i="1"/>
  <c r="AI328" i="1"/>
  <c r="AF328" i="1"/>
  <c r="IC327" i="1"/>
  <c r="HY327" i="1"/>
  <c r="IB327" i="1" s="1"/>
  <c r="HX327" i="1"/>
  <c r="IA327" i="1" s="1"/>
  <c r="HT327" i="1"/>
  <c r="HN327" i="1"/>
  <c r="HF327" i="1"/>
  <c r="HH327" i="1" s="1"/>
  <c r="HJ327" i="1" s="1"/>
  <c r="EL327" i="1"/>
  <c r="EU327" i="1" s="1"/>
  <c r="DM327" i="1"/>
  <c r="DP327" i="1" s="1"/>
  <c r="AZ327" i="1"/>
  <c r="BA327" i="1" s="1"/>
  <c r="AI327" i="1"/>
  <c r="IC326" i="1"/>
  <c r="HY326" i="1"/>
  <c r="IB326" i="1" s="1"/>
  <c r="HX326" i="1"/>
  <c r="IA326" i="1" s="1"/>
  <c r="HN326" i="1"/>
  <c r="HF326" i="1"/>
  <c r="HH326" i="1" s="1"/>
  <c r="HJ326" i="1" s="1"/>
  <c r="EL326" i="1"/>
  <c r="EU326" i="1" s="1"/>
  <c r="DM326" i="1"/>
  <c r="DP326" i="1" s="1"/>
  <c r="AZ326" i="1"/>
  <c r="BA326" i="1" s="1"/>
  <c r="AI326" i="1"/>
  <c r="IC325" i="1"/>
  <c r="HY325" i="1"/>
  <c r="IB325" i="1" s="1"/>
  <c r="HX325" i="1"/>
  <c r="IA325" i="1" s="1"/>
  <c r="HT325" i="1"/>
  <c r="HN325" i="1"/>
  <c r="HF325" i="1"/>
  <c r="HH325" i="1" s="1"/>
  <c r="HJ325" i="1" s="1"/>
  <c r="EL325" i="1"/>
  <c r="EU325" i="1" s="1"/>
  <c r="AG325" i="1" s="1"/>
  <c r="CH325" i="1"/>
  <c r="DM325" i="1" s="1"/>
  <c r="AH325" i="1" s="1"/>
  <c r="AZ325" i="1"/>
  <c r="BA325" i="1" s="1"/>
  <c r="AI325" i="1"/>
  <c r="KD324" i="1"/>
  <c r="KE324" i="1" s="1"/>
  <c r="IT324" i="1"/>
  <c r="IU324" i="1" s="1"/>
  <c r="IC324" i="1"/>
  <c r="IB324" i="1"/>
  <c r="IA324" i="1"/>
  <c r="HT324" i="1"/>
  <c r="HN324" i="1"/>
  <c r="HF324" i="1"/>
  <c r="HH324" i="1" s="1"/>
  <c r="HJ324" i="1" s="1"/>
  <c r="FA324" i="1"/>
  <c r="EZ324" i="1"/>
  <c r="AP324" i="1" s="1"/>
  <c r="EL324" i="1"/>
  <c r="EU324" i="1" s="1"/>
  <c r="CH324" i="1"/>
  <c r="DM324" i="1" s="1"/>
  <c r="DP324" i="1" s="1"/>
  <c r="AZ324" i="1"/>
  <c r="BA324" i="1" s="1"/>
  <c r="AE324" i="1" s="1"/>
  <c r="AT324" i="1"/>
  <c r="AI324" i="1"/>
  <c r="IC323" i="1"/>
  <c r="HY323" i="1"/>
  <c r="IB323" i="1" s="1"/>
  <c r="HX323" i="1"/>
  <c r="IA323" i="1" s="1"/>
  <c r="HT323" i="1"/>
  <c r="HN323" i="1"/>
  <c r="HF323" i="1"/>
  <c r="HH323" i="1" s="1"/>
  <c r="HJ323" i="1" s="1"/>
  <c r="EL323" i="1"/>
  <c r="EU323" i="1" s="1"/>
  <c r="CH323" i="1"/>
  <c r="DM323" i="1" s="1"/>
  <c r="AH323" i="1" s="1"/>
  <c r="AZ323" i="1"/>
  <c r="BA323" i="1" s="1"/>
  <c r="AI323" i="1"/>
  <c r="IC322" i="1"/>
  <c r="HY322" i="1"/>
  <c r="IB322" i="1" s="1"/>
  <c r="HX322" i="1"/>
  <c r="IA322" i="1" s="1"/>
  <c r="HN322" i="1"/>
  <c r="HF322" i="1"/>
  <c r="HH322" i="1" s="1"/>
  <c r="HJ322" i="1" s="1"/>
  <c r="EL322" i="1"/>
  <c r="EU322" i="1" s="1"/>
  <c r="AG322" i="1" s="1"/>
  <c r="CH322" i="1"/>
  <c r="DM322" i="1" s="1"/>
  <c r="AZ322" i="1"/>
  <c r="BA322" i="1" s="1"/>
  <c r="AI322" i="1"/>
  <c r="KD321" i="1"/>
  <c r="KE321" i="1" s="1"/>
  <c r="IT321" i="1"/>
  <c r="IU321" i="1" s="1"/>
  <c r="IC321" i="1"/>
  <c r="IB321" i="1"/>
  <c r="IA321" i="1"/>
  <c r="HT321" i="1"/>
  <c r="HN321" i="1"/>
  <c r="HF321" i="1"/>
  <c r="HH321" i="1" s="1"/>
  <c r="HJ321" i="1" s="1"/>
  <c r="FA321" i="1"/>
  <c r="EZ321" i="1"/>
  <c r="AP321" i="1" s="1"/>
  <c r="EL321" i="1"/>
  <c r="EU321" i="1" s="1"/>
  <c r="DM321" i="1"/>
  <c r="DP321" i="1" s="1"/>
  <c r="AZ321" i="1"/>
  <c r="BA321" i="1" s="1"/>
  <c r="AE321" i="1" s="1"/>
  <c r="AI321" i="1"/>
  <c r="KD320" i="1"/>
  <c r="KE320" i="1" s="1"/>
  <c r="KO320" i="1" s="1"/>
  <c r="IT320" i="1"/>
  <c r="IU320" i="1" s="1"/>
  <c r="IC320" i="1"/>
  <c r="IB320" i="1"/>
  <c r="IA320" i="1"/>
  <c r="HT320" i="1"/>
  <c r="HN320" i="1"/>
  <c r="HF320" i="1"/>
  <c r="HH320" i="1" s="1"/>
  <c r="HJ320" i="1" s="1"/>
  <c r="FA320" i="1"/>
  <c r="EZ320" i="1"/>
  <c r="AP320" i="1" s="1"/>
  <c r="EL320" i="1"/>
  <c r="EU320" i="1" s="1"/>
  <c r="DM320" i="1"/>
  <c r="DP320" i="1" s="1"/>
  <c r="AZ320" i="1"/>
  <c r="BA320" i="1" s="1"/>
  <c r="AE320" i="1" s="1"/>
  <c r="AI320" i="1"/>
  <c r="IC319" i="1"/>
  <c r="IB319" i="1"/>
  <c r="IA319" i="1"/>
  <c r="HT319" i="1"/>
  <c r="HN319" i="1"/>
  <c r="HF319" i="1"/>
  <c r="HH319" i="1" s="1"/>
  <c r="HJ319" i="1" s="1"/>
  <c r="EL319" i="1"/>
  <c r="EU319" i="1" s="1"/>
  <c r="CH319" i="1"/>
  <c r="DM319" i="1" s="1"/>
  <c r="AZ319" i="1"/>
  <c r="BA319" i="1" s="1"/>
  <c r="AE319" i="1" s="1"/>
  <c r="AI319" i="1"/>
  <c r="IC318" i="1"/>
  <c r="IB318" i="1"/>
  <c r="IA318" i="1"/>
  <c r="HN318" i="1"/>
  <c r="HF318" i="1"/>
  <c r="HH318" i="1" s="1"/>
  <c r="HJ318" i="1" s="1"/>
  <c r="EL318" i="1"/>
  <c r="EU318" i="1" s="1"/>
  <c r="CH318" i="1"/>
  <c r="DM318" i="1" s="1"/>
  <c r="AH318" i="1" s="1"/>
  <c r="AZ318" i="1"/>
  <c r="BA318" i="1" s="1"/>
  <c r="AT318" i="1"/>
  <c r="AP318" i="1"/>
  <c r="AI318" i="1"/>
  <c r="AF318" i="1"/>
  <c r="IC314" i="1"/>
  <c r="IB314" i="1"/>
  <c r="IA314" i="1"/>
  <c r="HN314" i="1"/>
  <c r="HF314" i="1"/>
  <c r="HH314" i="1" s="1"/>
  <c r="HJ314" i="1" s="1"/>
  <c r="EL314" i="1"/>
  <c r="EU314" i="1" s="1"/>
  <c r="GW314" i="1" s="1"/>
  <c r="AJ314" i="1" s="1"/>
  <c r="DP314" i="1"/>
  <c r="DO314" i="1"/>
  <c r="AI314" i="1" s="1"/>
  <c r="AZ314" i="1"/>
  <c r="BA314" i="1" s="1"/>
  <c r="AE314" i="1" s="1"/>
  <c r="AH314" i="1"/>
  <c r="IC313" i="1"/>
  <c r="IB313" i="1"/>
  <c r="IA313" i="1"/>
  <c r="HN313" i="1"/>
  <c r="HF313" i="1"/>
  <c r="HH313" i="1" s="1"/>
  <c r="HJ313" i="1" s="1"/>
  <c r="EL313" i="1"/>
  <c r="EU313" i="1" s="1"/>
  <c r="GW313" i="1" s="1"/>
  <c r="DP313" i="1"/>
  <c r="DO313" i="1"/>
  <c r="AZ313" i="1"/>
  <c r="AV313" i="1"/>
  <c r="AC313" i="1"/>
  <c r="IC312" i="1"/>
  <c r="IB312" i="1"/>
  <c r="IA312" i="1"/>
  <c r="HN312" i="1"/>
  <c r="HF312" i="1"/>
  <c r="HH312" i="1" s="1"/>
  <c r="HJ312" i="1" s="1"/>
  <c r="EL312" i="1"/>
  <c r="EU312" i="1" s="1"/>
  <c r="DP312" i="1"/>
  <c r="DO312" i="1"/>
  <c r="AI312" i="1" s="1"/>
  <c r="DM312" i="1"/>
  <c r="AH312" i="1" s="1"/>
  <c r="AZ312" i="1"/>
  <c r="AC312" i="1"/>
  <c r="IC309" i="1"/>
  <c r="IB309" i="1"/>
  <c r="IA309" i="1"/>
  <c r="HN309" i="1"/>
  <c r="HF309" i="1"/>
  <c r="HH309" i="1" s="1"/>
  <c r="HJ309" i="1" s="1"/>
  <c r="EL309" i="1"/>
  <c r="EU309" i="1" s="1"/>
  <c r="AG309" i="1" s="1"/>
  <c r="DP309" i="1"/>
  <c r="DO309" i="1"/>
  <c r="AI309" i="1" s="1"/>
  <c r="DM309" i="1"/>
  <c r="AH309" i="1" s="1"/>
  <c r="AZ309" i="1"/>
  <c r="BA309" i="1" s="1"/>
  <c r="AS309" i="1"/>
  <c r="IC308" i="1"/>
  <c r="IB308" i="1"/>
  <c r="IA308" i="1"/>
  <c r="HN308" i="1"/>
  <c r="HF308" i="1"/>
  <c r="HH308" i="1" s="1"/>
  <c r="HJ308" i="1" s="1"/>
  <c r="EL308" i="1"/>
  <c r="EU308" i="1" s="1"/>
  <c r="CG308" i="1"/>
  <c r="DO308" i="1" s="1"/>
  <c r="AI308" i="1" s="1"/>
  <c r="AZ308" i="1"/>
  <c r="AC308" i="1"/>
  <c r="IC306" i="1"/>
  <c r="IB306" i="1"/>
  <c r="IA306" i="1"/>
  <c r="HT306" i="1"/>
  <c r="HN306" i="1"/>
  <c r="HF306" i="1"/>
  <c r="HH306" i="1" s="1"/>
  <c r="HJ306" i="1" s="1"/>
  <c r="EL306" i="1"/>
  <c r="EU306" i="1" s="1"/>
  <c r="DP306" i="1"/>
  <c r="DO306" i="1"/>
  <c r="AI306" i="1" s="1"/>
  <c r="CH306" i="1"/>
  <c r="DM306" i="1" s="1"/>
  <c r="AH306" i="1" s="1"/>
  <c r="AZ306" i="1"/>
  <c r="AC306" i="1"/>
  <c r="IC305" i="1"/>
  <c r="IB305" i="1"/>
  <c r="IA305" i="1"/>
  <c r="HT305" i="1"/>
  <c r="HN305" i="1"/>
  <c r="HF305" i="1"/>
  <c r="HH305" i="1" s="1"/>
  <c r="HJ305" i="1" s="1"/>
  <c r="EL305" i="1"/>
  <c r="EU305" i="1" s="1"/>
  <c r="DP305" i="1"/>
  <c r="DO305" i="1"/>
  <c r="AI305" i="1" s="1"/>
  <c r="CH305" i="1"/>
  <c r="DM305" i="1" s="1"/>
  <c r="AH305" i="1" s="1"/>
  <c r="AZ305" i="1"/>
  <c r="AC305" i="1"/>
  <c r="IC304" i="1"/>
  <c r="IB304" i="1"/>
  <c r="IA304" i="1"/>
  <c r="HT304" i="1"/>
  <c r="HN304" i="1"/>
  <c r="HF304" i="1"/>
  <c r="HH304" i="1" s="1"/>
  <c r="HJ304" i="1" s="1"/>
  <c r="EL304" i="1"/>
  <c r="EU304" i="1" s="1"/>
  <c r="DP304" i="1"/>
  <c r="DO304" i="1"/>
  <c r="AI304" i="1" s="1"/>
  <c r="CH304" i="1"/>
  <c r="DM304" i="1" s="1"/>
  <c r="AH304" i="1" s="1"/>
  <c r="AZ304" i="1"/>
  <c r="AC304" i="1"/>
  <c r="IC303" i="1"/>
  <c r="IB303" i="1"/>
  <c r="IA303" i="1"/>
  <c r="HT303" i="1"/>
  <c r="HN303" i="1"/>
  <c r="HF303" i="1"/>
  <c r="HH303" i="1" s="1"/>
  <c r="HJ303" i="1" s="1"/>
  <c r="EL303" i="1"/>
  <c r="EU303" i="1" s="1"/>
  <c r="DP303" i="1"/>
  <c r="DO303" i="1"/>
  <c r="AI303" i="1" s="1"/>
  <c r="CH303" i="1"/>
  <c r="DM303" i="1" s="1"/>
  <c r="AH303" i="1" s="1"/>
  <c r="AZ303" i="1"/>
  <c r="AC303" i="1"/>
  <c r="IC302" i="1"/>
  <c r="IB302" i="1"/>
  <c r="IA302" i="1"/>
  <c r="HN302" i="1"/>
  <c r="HF302" i="1"/>
  <c r="HH302" i="1" s="1"/>
  <c r="HJ302" i="1" s="1"/>
  <c r="EL302" i="1"/>
  <c r="EU302" i="1" s="1"/>
  <c r="GW302" i="1" s="1"/>
  <c r="AJ302" i="1" s="1"/>
  <c r="DP302" i="1"/>
  <c r="DO302" i="1"/>
  <c r="AI302" i="1" s="1"/>
  <c r="CH302" i="1"/>
  <c r="DM302" i="1" s="1"/>
  <c r="AH302" i="1" s="1"/>
  <c r="AZ302" i="1"/>
  <c r="BA302" i="1" s="1"/>
  <c r="IC300" i="1"/>
  <c r="IB300" i="1"/>
  <c r="IA300" i="1"/>
  <c r="HN300" i="1"/>
  <c r="HF300" i="1"/>
  <c r="HH300" i="1" s="1"/>
  <c r="HJ300" i="1" s="1"/>
  <c r="EL300" i="1"/>
  <c r="EU300" i="1" s="1"/>
  <c r="GW300" i="1" s="1"/>
  <c r="AJ300" i="1" s="1"/>
  <c r="DP300" i="1"/>
  <c r="DO300" i="1"/>
  <c r="AI300" i="1" s="1"/>
  <c r="CH300" i="1"/>
  <c r="DM300" i="1" s="1"/>
  <c r="AH300" i="1" s="1"/>
  <c r="AZ300" i="1"/>
  <c r="BA300" i="1" s="1"/>
  <c r="IC299" i="1"/>
  <c r="IB299" i="1"/>
  <c r="IA299" i="1"/>
  <c r="HN299" i="1"/>
  <c r="HF299" i="1"/>
  <c r="HH299" i="1" s="1"/>
  <c r="HJ299" i="1" s="1"/>
  <c r="EL299" i="1"/>
  <c r="EU299" i="1" s="1"/>
  <c r="DP299" i="1"/>
  <c r="DO299" i="1"/>
  <c r="AI299" i="1" s="1"/>
  <c r="CH299" i="1"/>
  <c r="DM299" i="1" s="1"/>
  <c r="AH299" i="1" s="1"/>
  <c r="AZ299" i="1"/>
  <c r="BA299" i="1" s="1"/>
  <c r="AU299" i="1"/>
  <c r="IC297" i="1"/>
  <c r="IB297" i="1"/>
  <c r="IA297" i="1"/>
  <c r="HN297" i="1"/>
  <c r="HF297" i="1"/>
  <c r="HH297" i="1" s="1"/>
  <c r="HJ297" i="1" s="1"/>
  <c r="EL297" i="1"/>
  <c r="EU297" i="1" s="1"/>
  <c r="DP297" i="1"/>
  <c r="DO297" i="1"/>
  <c r="AI297" i="1" s="1"/>
  <c r="CH297" i="1"/>
  <c r="DM297" i="1" s="1"/>
  <c r="AH297" i="1" s="1"/>
  <c r="AZ297" i="1"/>
  <c r="AC297" i="1"/>
  <c r="IC296" i="1"/>
  <c r="IB296" i="1"/>
  <c r="IA296" i="1"/>
  <c r="HT296" i="1"/>
  <c r="HN296" i="1"/>
  <c r="HF296" i="1"/>
  <c r="HH296" i="1" s="1"/>
  <c r="HJ296" i="1" s="1"/>
  <c r="EZ296" i="1"/>
  <c r="AP296" i="1" s="1"/>
  <c r="EX296" i="1"/>
  <c r="EL296" i="1"/>
  <c r="EU296" i="1" s="1"/>
  <c r="CM296" i="1"/>
  <c r="CG296" i="1"/>
  <c r="CH296" i="1" s="1"/>
  <c r="AZ296" i="1"/>
  <c r="BA296" i="1" s="1"/>
  <c r="AU296" i="1"/>
  <c r="KD294" i="1"/>
  <c r="KE294" i="1" s="1"/>
  <c r="IT294" i="1"/>
  <c r="IU294" i="1" s="1"/>
  <c r="IC294" i="1"/>
  <c r="IB294" i="1"/>
  <c r="IA294" i="1"/>
  <c r="HN294" i="1"/>
  <c r="HF294" i="1"/>
  <c r="HH294" i="1" s="1"/>
  <c r="HJ294" i="1" s="1"/>
  <c r="FA294" i="1"/>
  <c r="EZ294" i="1"/>
  <c r="AP294" i="1" s="1"/>
  <c r="EL294" i="1"/>
  <c r="EU294" i="1" s="1"/>
  <c r="CG294" i="1"/>
  <c r="CH294" i="1" s="1"/>
  <c r="DM294" i="1" s="1"/>
  <c r="AZ294" i="1"/>
  <c r="AU294" i="1"/>
  <c r="AC294" i="1"/>
  <c r="IC293" i="1"/>
  <c r="IB293" i="1"/>
  <c r="IA293" i="1"/>
  <c r="HN293" i="1"/>
  <c r="HF293" i="1"/>
  <c r="HH293" i="1" s="1"/>
  <c r="HJ293" i="1" s="1"/>
  <c r="EL293" i="1"/>
  <c r="EU293" i="1" s="1"/>
  <c r="DP293" i="1"/>
  <c r="DO293" i="1"/>
  <c r="AI293" i="1" s="1"/>
  <c r="CH293" i="1"/>
  <c r="DM293" i="1" s="1"/>
  <c r="AH293" i="1" s="1"/>
  <c r="AZ293" i="1"/>
  <c r="AC293" i="1"/>
  <c r="IC292" i="1"/>
  <c r="IB292" i="1"/>
  <c r="IA292" i="1"/>
  <c r="HN292" i="1"/>
  <c r="HF292" i="1"/>
  <c r="HH292" i="1" s="1"/>
  <c r="HJ292" i="1" s="1"/>
  <c r="EL292" i="1"/>
  <c r="EU292" i="1" s="1"/>
  <c r="DP292" i="1"/>
  <c r="DO292" i="1"/>
  <c r="AI292" i="1" s="1"/>
  <c r="DM292" i="1"/>
  <c r="AH292" i="1" s="1"/>
  <c r="AZ292" i="1"/>
  <c r="AL292" i="1"/>
  <c r="AC292" i="1"/>
  <c r="IC291" i="1"/>
  <c r="IB291" i="1"/>
  <c r="IA291" i="1"/>
  <c r="HN291" i="1"/>
  <c r="HF291" i="1"/>
  <c r="HH291" i="1" s="1"/>
  <c r="HJ291" i="1" s="1"/>
  <c r="EL291" i="1"/>
  <c r="EU291" i="1" s="1"/>
  <c r="DP291" i="1"/>
  <c r="DO291" i="1"/>
  <c r="AI291" i="1" s="1"/>
  <c r="DM291" i="1"/>
  <c r="AH291" i="1" s="1"/>
  <c r="AZ291" i="1"/>
  <c r="AC291" i="1"/>
  <c r="IC290" i="1"/>
  <c r="IB290" i="1"/>
  <c r="IA290" i="1"/>
  <c r="HN290" i="1"/>
  <c r="HF290" i="1"/>
  <c r="HH290" i="1" s="1"/>
  <c r="HJ290" i="1" s="1"/>
  <c r="EL290" i="1"/>
  <c r="EU290" i="1" s="1"/>
  <c r="GW290" i="1" s="1"/>
  <c r="AJ290" i="1" s="1"/>
  <c r="DP290" i="1"/>
  <c r="DO290" i="1"/>
  <c r="AI290" i="1" s="1"/>
  <c r="CH290" i="1"/>
  <c r="DM290" i="1" s="1"/>
  <c r="AH290" i="1" s="1"/>
  <c r="AZ290" i="1"/>
  <c r="AC290" i="1"/>
  <c r="IC289" i="1"/>
  <c r="IB289" i="1"/>
  <c r="IA289" i="1"/>
  <c r="HN289" i="1"/>
  <c r="HF289" i="1"/>
  <c r="HH289" i="1" s="1"/>
  <c r="HJ289" i="1" s="1"/>
  <c r="EL289" i="1"/>
  <c r="EU289" i="1" s="1"/>
  <c r="DP289" i="1"/>
  <c r="DO289" i="1"/>
  <c r="AI289" i="1" s="1"/>
  <c r="AZ289" i="1"/>
  <c r="AH289" i="1"/>
  <c r="AC289" i="1"/>
  <c r="IG288" i="1"/>
  <c r="AN288" i="1" s="1"/>
  <c r="IC288" i="1"/>
  <c r="IB288" i="1"/>
  <c r="IA288" i="1"/>
  <c r="HN288" i="1"/>
  <c r="HF288" i="1"/>
  <c r="HH288" i="1" s="1"/>
  <c r="HJ288" i="1" s="1"/>
  <c r="EL288" i="1"/>
  <c r="EU288" i="1" s="1"/>
  <c r="GW288" i="1" s="1"/>
  <c r="AJ288" i="1" s="1"/>
  <c r="DP288" i="1"/>
  <c r="DO288" i="1"/>
  <c r="AI288" i="1" s="1"/>
  <c r="AZ288" i="1"/>
  <c r="AH288" i="1"/>
  <c r="AC288" i="1"/>
  <c r="IC287" i="1"/>
  <c r="IB287" i="1"/>
  <c r="IA287" i="1"/>
  <c r="HN287" i="1"/>
  <c r="HF287" i="1"/>
  <c r="HH287" i="1" s="1"/>
  <c r="HJ287" i="1" s="1"/>
  <c r="EL287" i="1"/>
  <c r="EU287" i="1" s="1"/>
  <c r="DP287" i="1"/>
  <c r="DO287" i="1"/>
  <c r="AI287" i="1" s="1"/>
  <c r="AZ287" i="1"/>
  <c r="AH287" i="1"/>
  <c r="AC287" i="1"/>
  <c r="IC286" i="1"/>
  <c r="IB286" i="1"/>
  <c r="IA286" i="1"/>
  <c r="HN286" i="1"/>
  <c r="HF286" i="1"/>
  <c r="HH286" i="1" s="1"/>
  <c r="HJ286" i="1" s="1"/>
  <c r="EL286" i="1"/>
  <c r="EU286" i="1" s="1"/>
  <c r="DP286" i="1"/>
  <c r="DO286" i="1"/>
  <c r="AI286" i="1" s="1"/>
  <c r="AZ286" i="1"/>
  <c r="AH286" i="1"/>
  <c r="AC286" i="1"/>
  <c r="IC285" i="1"/>
  <c r="IB285" i="1"/>
  <c r="IA285" i="1"/>
  <c r="HN285" i="1"/>
  <c r="HF285" i="1"/>
  <c r="HH285" i="1" s="1"/>
  <c r="HJ285" i="1" s="1"/>
  <c r="EL285" i="1"/>
  <c r="EU285" i="1" s="1"/>
  <c r="GW285" i="1" s="1"/>
  <c r="AJ285" i="1" s="1"/>
  <c r="DP285" i="1"/>
  <c r="DO285" i="1"/>
  <c r="AI285" i="1" s="1"/>
  <c r="AZ285" i="1"/>
  <c r="AH285" i="1"/>
  <c r="AC285" i="1"/>
  <c r="IC284" i="1"/>
  <c r="IB284" i="1"/>
  <c r="IA284" i="1"/>
  <c r="HN284" i="1"/>
  <c r="HF284" i="1"/>
  <c r="HH284" i="1" s="1"/>
  <c r="HJ284" i="1" s="1"/>
  <c r="EL284" i="1"/>
  <c r="EU284" i="1" s="1"/>
  <c r="DP284" i="1"/>
  <c r="DO284" i="1"/>
  <c r="AI284" i="1" s="1"/>
  <c r="DM284" i="1"/>
  <c r="AH284" i="1" s="1"/>
  <c r="AZ284" i="1"/>
  <c r="AC284" i="1"/>
  <c r="IE283" i="1"/>
  <c r="IG283" i="1" s="1"/>
  <c r="AN283" i="1" s="1"/>
  <c r="HT283" i="1"/>
  <c r="HN283" i="1"/>
  <c r="HF283" i="1"/>
  <c r="HH283" i="1" s="1"/>
  <c r="HJ283" i="1" s="1"/>
  <c r="EL283" i="1"/>
  <c r="EU283" i="1" s="1"/>
  <c r="AG283" i="1" s="1"/>
  <c r="AZ283" i="1"/>
  <c r="AI283" i="1"/>
  <c r="AH283" i="1"/>
  <c r="AC283" i="1"/>
  <c r="IE282" i="1"/>
  <c r="IG282" i="1" s="1"/>
  <c r="AN282" i="1" s="1"/>
  <c r="HT282" i="1"/>
  <c r="HN282" i="1"/>
  <c r="HF282" i="1"/>
  <c r="HH282" i="1" s="1"/>
  <c r="HJ282" i="1" s="1"/>
  <c r="EL282" i="1"/>
  <c r="EU282" i="1" s="1"/>
  <c r="CH282" i="1"/>
  <c r="DM282" i="1" s="1"/>
  <c r="AZ282" i="1"/>
  <c r="AC282" i="1"/>
  <c r="IE281" i="1"/>
  <c r="IG281" i="1" s="1"/>
  <c r="AN281" i="1" s="1"/>
  <c r="HN281" i="1"/>
  <c r="HF281" i="1"/>
  <c r="HH281" i="1" s="1"/>
  <c r="HJ281" i="1" s="1"/>
  <c r="EL281" i="1"/>
  <c r="EU281" i="1" s="1"/>
  <c r="AZ281" i="1"/>
  <c r="AI281" i="1"/>
  <c r="AH281" i="1"/>
  <c r="AC281" i="1"/>
  <c r="IE280" i="1"/>
  <c r="IG280" i="1" s="1"/>
  <c r="AN280" i="1" s="1"/>
  <c r="HN280" i="1"/>
  <c r="HF280" i="1"/>
  <c r="HH280" i="1" s="1"/>
  <c r="HJ280" i="1" s="1"/>
  <c r="EZ280" i="1"/>
  <c r="AP280" i="1" s="1"/>
  <c r="EX280" i="1"/>
  <c r="EL280" i="1"/>
  <c r="EU280" i="1" s="1"/>
  <c r="CH280" i="1"/>
  <c r="DM280" i="1" s="1"/>
  <c r="AZ280" i="1"/>
  <c r="BA280" i="1" s="1"/>
  <c r="IE279" i="1"/>
  <c r="IG279" i="1" s="1"/>
  <c r="AN279" i="1" s="1"/>
  <c r="HN279" i="1"/>
  <c r="HF279" i="1"/>
  <c r="HH279" i="1" s="1"/>
  <c r="HJ279" i="1" s="1"/>
  <c r="EZ279" i="1"/>
  <c r="AP279" i="1" s="1"/>
  <c r="EX279" i="1"/>
  <c r="EL279" i="1"/>
  <c r="EU279" i="1" s="1"/>
  <c r="GW279" i="1" s="1"/>
  <c r="AJ279" i="1" s="1"/>
  <c r="CW279" i="1"/>
  <c r="CR279" i="1"/>
  <c r="CM279" i="1"/>
  <c r="AZ279" i="1"/>
  <c r="BA279" i="1" s="1"/>
  <c r="AU279" i="1"/>
  <c r="IE278" i="1"/>
  <c r="IG278" i="1" s="1"/>
  <c r="AN278" i="1" s="1"/>
  <c r="HN278" i="1"/>
  <c r="HF278" i="1"/>
  <c r="HH278" i="1" s="1"/>
  <c r="HJ278" i="1" s="1"/>
  <c r="EL278" i="1"/>
  <c r="EU278" i="1" s="1"/>
  <c r="AZ278" i="1"/>
  <c r="BA278" i="1" s="1"/>
  <c r="AU278" i="1"/>
  <c r="AI278" i="1"/>
  <c r="AH278" i="1"/>
  <c r="IE277" i="1"/>
  <c r="IG277" i="1" s="1"/>
  <c r="AN277" i="1" s="1"/>
  <c r="HN277" i="1"/>
  <c r="HF277" i="1"/>
  <c r="HH277" i="1" s="1"/>
  <c r="HJ277" i="1" s="1"/>
  <c r="EL277" i="1"/>
  <c r="EU277" i="1" s="1"/>
  <c r="CH277" i="1"/>
  <c r="DM277" i="1" s="1"/>
  <c r="DP277" i="1" s="1"/>
  <c r="AZ277" i="1"/>
  <c r="AU277" i="1"/>
  <c r="AI277" i="1"/>
  <c r="AC277" i="1"/>
  <c r="IE276" i="1"/>
  <c r="IG276" i="1" s="1"/>
  <c r="AN276" i="1" s="1"/>
  <c r="HN276" i="1"/>
  <c r="HF276" i="1"/>
  <c r="HH276" i="1" s="1"/>
  <c r="HJ276" i="1" s="1"/>
  <c r="EL276" i="1"/>
  <c r="EU276" i="1" s="1"/>
  <c r="AG276" i="1" s="1"/>
  <c r="AZ276" i="1"/>
  <c r="BA276" i="1" s="1"/>
  <c r="AI276" i="1"/>
  <c r="AH276" i="1"/>
  <c r="IE275" i="1"/>
  <c r="IG275" i="1" s="1"/>
  <c r="AN275" i="1" s="1"/>
  <c r="HN275" i="1"/>
  <c r="HF275" i="1"/>
  <c r="HH275" i="1" s="1"/>
  <c r="HJ275" i="1" s="1"/>
  <c r="EL275" i="1"/>
  <c r="EU275" i="1" s="1"/>
  <c r="AG275" i="1" s="1"/>
  <c r="AZ275" i="1"/>
  <c r="BA275" i="1" s="1"/>
  <c r="AU275" i="1"/>
  <c r="AI275" i="1"/>
  <c r="AH275" i="1"/>
  <c r="IE274" i="1"/>
  <c r="IG274" i="1" s="1"/>
  <c r="AN274" i="1" s="1"/>
  <c r="HN274" i="1"/>
  <c r="HF274" i="1"/>
  <c r="HH274" i="1" s="1"/>
  <c r="HJ274" i="1" s="1"/>
  <c r="EL274" i="1"/>
  <c r="EU274" i="1" s="1"/>
  <c r="CH274" i="1"/>
  <c r="DM274" i="1" s="1"/>
  <c r="AZ274" i="1"/>
  <c r="BA274" i="1" s="1"/>
  <c r="AU274" i="1"/>
  <c r="AI274" i="1"/>
  <c r="IE273" i="1"/>
  <c r="IG273" i="1" s="1"/>
  <c r="AN273" i="1" s="1"/>
  <c r="HT273" i="1"/>
  <c r="HN273" i="1"/>
  <c r="HF273" i="1"/>
  <c r="HH273" i="1" s="1"/>
  <c r="HJ273" i="1" s="1"/>
  <c r="EL273" i="1"/>
  <c r="EU273" i="1" s="1"/>
  <c r="GW273" i="1" s="1"/>
  <c r="AJ273" i="1" s="1"/>
  <c r="CH273" i="1"/>
  <c r="DM273" i="1" s="1"/>
  <c r="AZ273" i="1"/>
  <c r="BA273" i="1" s="1"/>
  <c r="AU273" i="1"/>
  <c r="AI273" i="1"/>
  <c r="IE272" i="1"/>
  <c r="IG272" i="1" s="1"/>
  <c r="AN272" i="1" s="1"/>
  <c r="HN272" i="1"/>
  <c r="HF272" i="1"/>
  <c r="HH272" i="1" s="1"/>
  <c r="HJ272" i="1" s="1"/>
  <c r="EL272" i="1"/>
  <c r="EU272" i="1" s="1"/>
  <c r="CH272" i="1"/>
  <c r="DM272" i="1" s="1"/>
  <c r="AZ272" i="1"/>
  <c r="BA272" i="1" s="1"/>
  <c r="AU272" i="1"/>
  <c r="AI272" i="1"/>
  <c r="IE271" i="1"/>
  <c r="IG271" i="1" s="1"/>
  <c r="AN271" i="1" s="1"/>
  <c r="HN271" i="1"/>
  <c r="HF271" i="1"/>
  <c r="HH271" i="1" s="1"/>
  <c r="HJ271" i="1" s="1"/>
  <c r="EL271" i="1"/>
  <c r="EU271" i="1" s="1"/>
  <c r="AG271" i="1" s="1"/>
  <c r="AZ271" i="1"/>
  <c r="BA271" i="1" s="1"/>
  <c r="AU271" i="1"/>
  <c r="AI271" i="1"/>
  <c r="AH271" i="1"/>
  <c r="IE270" i="1"/>
  <c r="IG270" i="1" s="1"/>
  <c r="AN270" i="1" s="1"/>
  <c r="HN270" i="1"/>
  <c r="HF270" i="1"/>
  <c r="HH270" i="1" s="1"/>
  <c r="HJ270" i="1" s="1"/>
  <c r="EL270" i="1"/>
  <c r="EU270" i="1" s="1"/>
  <c r="AG270" i="1" s="1"/>
  <c r="AZ270" i="1"/>
  <c r="BA270" i="1" s="1"/>
  <c r="AE270" i="1" s="1"/>
  <c r="AU270" i="1"/>
  <c r="AI270" i="1"/>
  <c r="AH270" i="1"/>
  <c r="IE269" i="1"/>
  <c r="IG269" i="1" s="1"/>
  <c r="AN269" i="1" s="1"/>
  <c r="HN269" i="1"/>
  <c r="HF269" i="1"/>
  <c r="HH269" i="1" s="1"/>
  <c r="HJ269" i="1" s="1"/>
  <c r="EL269" i="1"/>
  <c r="EU269" i="1" s="1"/>
  <c r="AG269" i="1" s="1"/>
  <c r="DM269" i="1"/>
  <c r="AZ269" i="1"/>
  <c r="BA269" i="1" s="1"/>
  <c r="AU269" i="1"/>
  <c r="AI269" i="1"/>
  <c r="IE268" i="1"/>
  <c r="IG268" i="1" s="1"/>
  <c r="AN268" i="1" s="1"/>
  <c r="HN268" i="1"/>
  <c r="HF268" i="1"/>
  <c r="HH268" i="1" s="1"/>
  <c r="HJ268" i="1" s="1"/>
  <c r="EL268" i="1"/>
  <c r="EU268" i="1" s="1"/>
  <c r="AG268" i="1" s="1"/>
  <c r="CH268" i="1"/>
  <c r="DM268" i="1" s="1"/>
  <c r="AZ268" i="1"/>
  <c r="AU268" i="1"/>
  <c r="AI268" i="1"/>
  <c r="AC268" i="1"/>
  <c r="IE267" i="1"/>
  <c r="IG267" i="1" s="1"/>
  <c r="AN267" i="1" s="1"/>
  <c r="HN267" i="1"/>
  <c r="HF267" i="1"/>
  <c r="HH267" i="1" s="1"/>
  <c r="HJ267" i="1" s="1"/>
  <c r="EL267" i="1"/>
  <c r="EU267" i="1" s="1"/>
  <c r="CH267" i="1"/>
  <c r="DM267" i="1" s="1"/>
  <c r="AZ267" i="1"/>
  <c r="AU267" i="1"/>
  <c r="AI267" i="1"/>
  <c r="AC267" i="1"/>
  <c r="IE266" i="1"/>
  <c r="IG266" i="1" s="1"/>
  <c r="AN266" i="1" s="1"/>
  <c r="HN266" i="1"/>
  <c r="HF266" i="1"/>
  <c r="HH266" i="1" s="1"/>
  <c r="HJ266" i="1" s="1"/>
  <c r="EL266" i="1"/>
  <c r="EU266" i="1" s="1"/>
  <c r="AG266" i="1" s="1"/>
  <c r="CG266" i="1"/>
  <c r="CH266" i="1" s="1"/>
  <c r="DM266" i="1" s="1"/>
  <c r="AH266" i="1" s="1"/>
  <c r="AZ266" i="1"/>
  <c r="BA266" i="1" s="1"/>
  <c r="AU266" i="1"/>
  <c r="IE265" i="1"/>
  <c r="IG265" i="1" s="1"/>
  <c r="AN265" i="1" s="1"/>
  <c r="HN265" i="1"/>
  <c r="HF265" i="1"/>
  <c r="HH265" i="1" s="1"/>
  <c r="HJ265" i="1" s="1"/>
  <c r="EL265" i="1"/>
  <c r="EU265" i="1" s="1"/>
  <c r="CR265" i="1"/>
  <c r="CM265" i="1"/>
  <c r="CH265" i="1"/>
  <c r="AZ265" i="1"/>
  <c r="BA265" i="1" s="1"/>
  <c r="AU265" i="1"/>
  <c r="IE264" i="1"/>
  <c r="IG264" i="1" s="1"/>
  <c r="AN264" i="1" s="1"/>
  <c r="HT264" i="1"/>
  <c r="HN264" i="1"/>
  <c r="HF264" i="1"/>
  <c r="HH264" i="1" s="1"/>
  <c r="HJ264" i="1" s="1"/>
  <c r="EL264" i="1"/>
  <c r="EU264" i="1" s="1"/>
  <c r="AZ264" i="1"/>
  <c r="AI264" i="1"/>
  <c r="AH264" i="1"/>
  <c r="AC264" i="1"/>
  <c r="IE263" i="1"/>
  <c r="IG263" i="1" s="1"/>
  <c r="AN263" i="1" s="1"/>
  <c r="HT263" i="1"/>
  <c r="HN263" i="1"/>
  <c r="HF263" i="1"/>
  <c r="HH263" i="1" s="1"/>
  <c r="HJ263" i="1" s="1"/>
  <c r="EL263" i="1"/>
  <c r="EU263" i="1" s="1"/>
  <c r="AZ263" i="1"/>
  <c r="BA263" i="1" s="1"/>
  <c r="AU263" i="1"/>
  <c r="AI263" i="1"/>
  <c r="AH263" i="1"/>
  <c r="IE262" i="1"/>
  <c r="IG262" i="1" s="1"/>
  <c r="AN262" i="1" s="1"/>
  <c r="HT262" i="1"/>
  <c r="HN262" i="1"/>
  <c r="HF262" i="1"/>
  <c r="HH262" i="1" s="1"/>
  <c r="HJ262" i="1" s="1"/>
  <c r="EL262" i="1"/>
  <c r="EU262" i="1" s="1"/>
  <c r="GW262" i="1" s="1"/>
  <c r="AJ262" i="1" s="1"/>
  <c r="AZ262" i="1"/>
  <c r="BA262" i="1" s="1"/>
  <c r="AI262" i="1"/>
  <c r="AH262" i="1"/>
  <c r="IE261" i="1"/>
  <c r="IG261" i="1" s="1"/>
  <c r="AN261" i="1" s="1"/>
  <c r="HN261" i="1"/>
  <c r="HF261" i="1"/>
  <c r="HH261" i="1" s="1"/>
  <c r="HJ261" i="1" s="1"/>
  <c r="EL261" i="1"/>
  <c r="EU261" i="1" s="1"/>
  <c r="GW261" i="1" s="1"/>
  <c r="AJ261" i="1" s="1"/>
  <c r="CH261" i="1"/>
  <c r="DM261" i="1" s="1"/>
  <c r="AZ261" i="1"/>
  <c r="BA261" i="1" s="1"/>
  <c r="AU261" i="1"/>
  <c r="AI261" i="1"/>
  <c r="IE260" i="1"/>
  <c r="IG260" i="1" s="1"/>
  <c r="AN260" i="1" s="1"/>
  <c r="HN260" i="1"/>
  <c r="HF260" i="1"/>
  <c r="HH260" i="1" s="1"/>
  <c r="HJ260" i="1" s="1"/>
  <c r="EL260" i="1"/>
  <c r="EU260" i="1" s="1"/>
  <c r="CH260" i="1"/>
  <c r="DM260" i="1" s="1"/>
  <c r="AZ260" i="1"/>
  <c r="AU260" i="1"/>
  <c r="AI260" i="1"/>
  <c r="AC260" i="1"/>
  <c r="IE259" i="1"/>
  <c r="IG259" i="1" s="1"/>
  <c r="AN259" i="1" s="1"/>
  <c r="HN259" i="1"/>
  <c r="HF259" i="1"/>
  <c r="HH259" i="1" s="1"/>
  <c r="HJ259" i="1" s="1"/>
  <c r="EL259" i="1"/>
  <c r="EU259" i="1" s="1"/>
  <c r="AG259" i="1" s="1"/>
  <c r="CH259" i="1"/>
  <c r="DM259" i="1" s="1"/>
  <c r="AZ259" i="1"/>
  <c r="AU259" i="1"/>
  <c r="AI259" i="1"/>
  <c r="AC259" i="1"/>
  <c r="IE258" i="1"/>
  <c r="IG258" i="1" s="1"/>
  <c r="AN258" i="1" s="1"/>
  <c r="HN258" i="1"/>
  <c r="HF258" i="1"/>
  <c r="HH258" i="1" s="1"/>
  <c r="HJ258" i="1" s="1"/>
  <c r="EL258" i="1"/>
  <c r="EU258" i="1" s="1"/>
  <c r="GW258" i="1" s="1"/>
  <c r="AJ258" i="1" s="1"/>
  <c r="CH258" i="1"/>
  <c r="DM258" i="1" s="1"/>
  <c r="AZ258" i="1"/>
  <c r="AU258" i="1"/>
  <c r="AI258" i="1"/>
  <c r="AC258" i="1"/>
  <c r="IE257" i="1"/>
  <c r="IG257" i="1" s="1"/>
  <c r="AN257" i="1" s="1"/>
  <c r="HN257" i="1"/>
  <c r="HF257" i="1"/>
  <c r="HH257" i="1" s="1"/>
  <c r="HJ257" i="1" s="1"/>
  <c r="EL257" i="1"/>
  <c r="EU257" i="1" s="1"/>
  <c r="CH257" i="1"/>
  <c r="DM257" i="1" s="1"/>
  <c r="AH257" i="1" s="1"/>
  <c r="AZ257" i="1"/>
  <c r="BA257" i="1" s="1"/>
  <c r="AE257" i="1" s="1"/>
  <c r="IE256" i="1"/>
  <c r="IG256" i="1" s="1"/>
  <c r="AN256" i="1" s="1"/>
  <c r="HN256" i="1"/>
  <c r="HF256" i="1"/>
  <c r="HH256" i="1" s="1"/>
  <c r="HJ256" i="1" s="1"/>
  <c r="EL256" i="1"/>
  <c r="EU256" i="1" s="1"/>
  <c r="CH256" i="1"/>
  <c r="DM256" i="1" s="1"/>
  <c r="AH256" i="1" s="1"/>
  <c r="AZ256" i="1"/>
  <c r="AC256" i="1"/>
  <c r="IE255" i="1"/>
  <c r="IG255" i="1" s="1"/>
  <c r="AN255" i="1" s="1"/>
  <c r="HN255" i="1"/>
  <c r="HF255" i="1"/>
  <c r="HH255" i="1" s="1"/>
  <c r="HJ255" i="1" s="1"/>
  <c r="EL255" i="1"/>
  <c r="EU255" i="1" s="1"/>
  <c r="AZ255" i="1"/>
  <c r="AI255" i="1"/>
  <c r="AH255" i="1"/>
  <c r="AC255" i="1"/>
  <c r="IE254" i="1"/>
  <c r="IG254" i="1" s="1"/>
  <c r="AN254" i="1" s="1"/>
  <c r="HN254" i="1"/>
  <c r="HF254" i="1"/>
  <c r="HH254" i="1" s="1"/>
  <c r="HJ254" i="1" s="1"/>
  <c r="EL254" i="1"/>
  <c r="EU254" i="1" s="1"/>
  <c r="AZ254" i="1"/>
  <c r="AU254" i="1"/>
  <c r="AI254" i="1"/>
  <c r="AH254" i="1"/>
  <c r="AC254" i="1"/>
  <c r="IE253" i="1"/>
  <c r="IG253" i="1" s="1"/>
  <c r="AN253" i="1" s="1"/>
  <c r="HT253" i="1"/>
  <c r="HN253" i="1"/>
  <c r="HF253" i="1"/>
  <c r="HH253" i="1" s="1"/>
  <c r="HJ253" i="1" s="1"/>
  <c r="EL253" i="1"/>
  <c r="EU253" i="1" s="1"/>
  <c r="AG253" i="1" s="1"/>
  <c r="AZ253" i="1"/>
  <c r="AI253" i="1"/>
  <c r="AH253" i="1"/>
  <c r="AC253" i="1"/>
  <c r="IE252" i="1"/>
  <c r="IG252" i="1" s="1"/>
  <c r="AN252" i="1" s="1"/>
  <c r="HN252" i="1"/>
  <c r="HF252" i="1"/>
  <c r="HH252" i="1" s="1"/>
  <c r="HJ252" i="1" s="1"/>
  <c r="EL252" i="1"/>
  <c r="EU252" i="1" s="1"/>
  <c r="AG252" i="1" s="1"/>
  <c r="DO252" i="1"/>
  <c r="AZ252" i="1"/>
  <c r="AH252" i="1"/>
  <c r="AC252" i="1"/>
  <c r="IC418" i="1"/>
  <c r="IB418" i="1"/>
  <c r="IA418" i="1"/>
  <c r="HT418" i="1"/>
  <c r="HN418" i="1"/>
  <c r="HF418" i="1"/>
  <c r="HH418" i="1" s="1"/>
  <c r="HJ418" i="1" s="1"/>
  <c r="EL418" i="1"/>
  <c r="EU418" i="1" s="1"/>
  <c r="CW418" i="1"/>
  <c r="CR418" i="1"/>
  <c r="CM418" i="1"/>
  <c r="CH418" i="1"/>
  <c r="AZ418" i="1"/>
  <c r="BA418" i="1" s="1"/>
  <c r="AS418" i="1"/>
  <c r="AR418" i="1"/>
  <c r="AO418" i="1"/>
  <c r="IC417" i="1"/>
  <c r="IB417" i="1"/>
  <c r="IA417" i="1"/>
  <c r="HT417" i="1"/>
  <c r="HN417" i="1"/>
  <c r="HF417" i="1"/>
  <c r="HH417" i="1" s="1"/>
  <c r="HJ417" i="1" s="1"/>
  <c r="EL417" i="1"/>
  <c r="EU417" i="1" s="1"/>
  <c r="CW417" i="1"/>
  <c r="CR417" i="1"/>
  <c r="CM417" i="1"/>
  <c r="CH417" i="1"/>
  <c r="AZ417" i="1"/>
  <c r="AU417" i="1"/>
  <c r="AS417" i="1"/>
  <c r="AR417" i="1"/>
  <c r="AO417" i="1"/>
  <c r="AC417" i="1"/>
  <c r="IC416" i="1"/>
  <c r="IB416" i="1"/>
  <c r="IA416" i="1"/>
  <c r="HT416" i="1"/>
  <c r="HN416" i="1"/>
  <c r="HF416" i="1"/>
  <c r="HH416" i="1" s="1"/>
  <c r="HJ416" i="1" s="1"/>
  <c r="EL416" i="1"/>
  <c r="EU416" i="1" s="1"/>
  <c r="GW416" i="1" s="1"/>
  <c r="AJ416" i="1" s="1"/>
  <c r="CW416" i="1"/>
  <c r="CR416" i="1"/>
  <c r="CM416" i="1"/>
  <c r="CH416" i="1"/>
  <c r="AZ416" i="1"/>
  <c r="AU416" i="1"/>
  <c r="AS416" i="1"/>
  <c r="AR416" i="1"/>
  <c r="AO416" i="1"/>
  <c r="AC416" i="1"/>
  <c r="IC415" i="1"/>
  <c r="IB415" i="1"/>
  <c r="IA415" i="1"/>
  <c r="HT415" i="1"/>
  <c r="HN415" i="1"/>
  <c r="HF415" i="1"/>
  <c r="HH415" i="1" s="1"/>
  <c r="HJ415" i="1" s="1"/>
  <c r="EL415" i="1"/>
  <c r="EU415" i="1" s="1"/>
  <c r="GW415" i="1" s="1"/>
  <c r="AJ415" i="1" s="1"/>
  <c r="CG415" i="1"/>
  <c r="CH415" i="1" s="1"/>
  <c r="DM415" i="1" s="1"/>
  <c r="DO415" i="1" s="1"/>
  <c r="AI415" i="1" s="1"/>
  <c r="AZ415" i="1"/>
  <c r="BA415" i="1" s="1"/>
  <c r="AU415" i="1"/>
  <c r="AS415" i="1"/>
  <c r="AR415" i="1"/>
  <c r="AO415" i="1"/>
  <c r="IC414" i="1"/>
  <c r="IB414" i="1"/>
  <c r="IA414" i="1"/>
  <c r="HT414" i="1"/>
  <c r="HN414" i="1"/>
  <c r="HF414" i="1"/>
  <c r="HH414" i="1" s="1"/>
  <c r="HJ414" i="1" s="1"/>
  <c r="EL414" i="1"/>
  <c r="EU414" i="1" s="1"/>
  <c r="CG414" i="1"/>
  <c r="CH414" i="1" s="1"/>
  <c r="DM414" i="1" s="1"/>
  <c r="AZ414" i="1"/>
  <c r="BA414" i="1" s="1"/>
  <c r="AE414" i="1" s="1"/>
  <c r="AU414" i="1"/>
  <c r="AS414" i="1"/>
  <c r="AR414" i="1"/>
  <c r="AO414" i="1"/>
  <c r="IC413" i="1"/>
  <c r="IB413" i="1"/>
  <c r="IA413" i="1"/>
  <c r="HT413" i="1"/>
  <c r="HN413" i="1"/>
  <c r="HF413" i="1"/>
  <c r="HH413" i="1" s="1"/>
  <c r="HJ413" i="1" s="1"/>
  <c r="EL413" i="1"/>
  <c r="EU413" i="1" s="1"/>
  <c r="CW413" i="1"/>
  <c r="CR413" i="1"/>
  <c r="CM413" i="1"/>
  <c r="CH413" i="1"/>
  <c r="AZ413" i="1"/>
  <c r="AU413" i="1"/>
  <c r="AS413" i="1"/>
  <c r="AR413" i="1"/>
  <c r="AO413" i="1"/>
  <c r="AC413" i="1"/>
  <c r="IC412" i="1"/>
  <c r="IB412" i="1"/>
  <c r="IA412" i="1"/>
  <c r="HT412" i="1"/>
  <c r="HN412" i="1"/>
  <c r="HF412" i="1"/>
  <c r="HH412" i="1" s="1"/>
  <c r="HJ412" i="1" s="1"/>
  <c r="EL412" i="1"/>
  <c r="EU412" i="1" s="1"/>
  <c r="GW412" i="1" s="1"/>
  <c r="AJ412" i="1" s="1"/>
  <c r="CW412" i="1"/>
  <c r="CR412" i="1"/>
  <c r="CM412" i="1"/>
  <c r="CH412" i="1"/>
  <c r="AZ412" i="1"/>
  <c r="BA412" i="1" s="1"/>
  <c r="AU412" i="1"/>
  <c r="AS412" i="1"/>
  <c r="AR412" i="1"/>
  <c r="AO412" i="1"/>
  <c r="IC411" i="1"/>
  <c r="IB411" i="1"/>
  <c r="IA411" i="1"/>
  <c r="HT411" i="1"/>
  <c r="HN411" i="1"/>
  <c r="HF411" i="1"/>
  <c r="HH411" i="1" s="1"/>
  <c r="HJ411" i="1" s="1"/>
  <c r="EL411" i="1"/>
  <c r="EU411" i="1" s="1"/>
  <c r="CW411" i="1"/>
  <c r="CR411" i="1"/>
  <c r="CM411" i="1"/>
  <c r="CH411" i="1"/>
  <c r="AZ411" i="1"/>
  <c r="BA411" i="1" s="1"/>
  <c r="AU411" i="1"/>
  <c r="AS411" i="1"/>
  <c r="AR411" i="1"/>
  <c r="AO411" i="1"/>
  <c r="IC410" i="1"/>
  <c r="IB410" i="1"/>
  <c r="IA410" i="1"/>
  <c r="HT410" i="1"/>
  <c r="HN410" i="1"/>
  <c r="HF410" i="1"/>
  <c r="HH410" i="1" s="1"/>
  <c r="HJ410" i="1" s="1"/>
  <c r="EL410" i="1"/>
  <c r="EU410" i="1" s="1"/>
  <c r="CW410" i="1"/>
  <c r="CR410" i="1"/>
  <c r="CM410" i="1"/>
  <c r="CH410" i="1"/>
  <c r="AZ410" i="1"/>
  <c r="BA410" i="1" s="1"/>
  <c r="AE410" i="1" s="1"/>
  <c r="AS410" i="1"/>
  <c r="AR410" i="1"/>
  <c r="AO410" i="1"/>
  <c r="IC409" i="1"/>
  <c r="IB409" i="1"/>
  <c r="IA409" i="1"/>
  <c r="HT409" i="1"/>
  <c r="HN409" i="1"/>
  <c r="HF409" i="1"/>
  <c r="HH409" i="1" s="1"/>
  <c r="HJ409" i="1" s="1"/>
  <c r="EL409" i="1"/>
  <c r="EU409" i="1" s="1"/>
  <c r="AG409" i="1" s="1"/>
  <c r="CW409" i="1"/>
  <c r="CR409" i="1"/>
  <c r="CM409" i="1"/>
  <c r="CH409" i="1"/>
  <c r="AZ409" i="1"/>
  <c r="AS409" i="1"/>
  <c r="AR409" i="1"/>
  <c r="AO409" i="1"/>
  <c r="AC409" i="1"/>
  <c r="IC408" i="1"/>
  <c r="IB408" i="1"/>
  <c r="IA408" i="1"/>
  <c r="HT408" i="1"/>
  <c r="HN408" i="1"/>
  <c r="HF408" i="1"/>
  <c r="HH408" i="1" s="1"/>
  <c r="HJ408" i="1" s="1"/>
  <c r="EL408" i="1"/>
  <c r="EU408" i="1" s="1"/>
  <c r="CW408" i="1"/>
  <c r="CR408" i="1"/>
  <c r="CM408" i="1"/>
  <c r="CH408" i="1"/>
  <c r="AZ408" i="1"/>
  <c r="BA408" i="1" s="1"/>
  <c r="AU408" i="1"/>
  <c r="AS408" i="1"/>
  <c r="AR408" i="1"/>
  <c r="AO408" i="1"/>
  <c r="IC407" i="1"/>
  <c r="IB407" i="1"/>
  <c r="IA407" i="1"/>
  <c r="HT407" i="1"/>
  <c r="HN407" i="1"/>
  <c r="HF407" i="1"/>
  <c r="HH407" i="1" s="1"/>
  <c r="HJ407" i="1" s="1"/>
  <c r="EL407" i="1"/>
  <c r="EU407" i="1" s="1"/>
  <c r="AG407" i="1" s="1"/>
  <c r="CW407" i="1"/>
  <c r="CR407" i="1"/>
  <c r="CM407" i="1"/>
  <c r="CH407" i="1"/>
  <c r="AZ407" i="1"/>
  <c r="BA407" i="1" s="1"/>
  <c r="AE407" i="1" s="1"/>
  <c r="AS407" i="1"/>
  <c r="AR407" i="1"/>
  <c r="AO407" i="1"/>
  <c r="IC406" i="1"/>
  <c r="IB406" i="1"/>
  <c r="IA406" i="1"/>
  <c r="HT406" i="1"/>
  <c r="HN406" i="1"/>
  <c r="HF406" i="1"/>
  <c r="HH406" i="1" s="1"/>
  <c r="HJ406" i="1" s="1"/>
  <c r="EL406" i="1"/>
  <c r="EU406" i="1" s="1"/>
  <c r="CH406" i="1"/>
  <c r="DM406" i="1" s="1"/>
  <c r="AH406" i="1" s="1"/>
  <c r="AZ406" i="1"/>
  <c r="BA406" i="1" s="1"/>
  <c r="AE406" i="1" s="1"/>
  <c r="AS406" i="1"/>
  <c r="AR406" i="1"/>
  <c r="AO406" i="1"/>
  <c r="IC405" i="1"/>
  <c r="IB405" i="1"/>
  <c r="IA405" i="1"/>
  <c r="HT405" i="1"/>
  <c r="HN405" i="1"/>
  <c r="HF405" i="1"/>
  <c r="HH405" i="1" s="1"/>
  <c r="HJ405" i="1" s="1"/>
  <c r="EL405" i="1"/>
  <c r="EU405" i="1" s="1"/>
  <c r="CW405" i="1"/>
  <c r="CR405" i="1"/>
  <c r="CM405" i="1"/>
  <c r="CH405" i="1"/>
  <c r="AZ405" i="1"/>
  <c r="AS405" i="1"/>
  <c r="AR405" i="1"/>
  <c r="AO405" i="1"/>
  <c r="AC405" i="1"/>
  <c r="IC404" i="1"/>
  <c r="IB404" i="1"/>
  <c r="IA404" i="1"/>
  <c r="HT404" i="1"/>
  <c r="HN404" i="1"/>
  <c r="HF404" i="1"/>
  <c r="HH404" i="1" s="1"/>
  <c r="HJ404" i="1" s="1"/>
  <c r="EL404" i="1"/>
  <c r="EU404" i="1" s="1"/>
  <c r="CW404" i="1"/>
  <c r="CR404" i="1"/>
  <c r="CM404" i="1"/>
  <c r="CH404" i="1"/>
  <c r="AZ404" i="1"/>
  <c r="BA404" i="1" s="1"/>
  <c r="AE404" i="1" s="1"/>
  <c r="AS404" i="1"/>
  <c r="AR404" i="1"/>
  <c r="AO404" i="1"/>
  <c r="IC402" i="1"/>
  <c r="IB402" i="1"/>
  <c r="IA402" i="1"/>
  <c r="HT402" i="1"/>
  <c r="HN402" i="1"/>
  <c r="HF402" i="1"/>
  <c r="HH402" i="1" s="1"/>
  <c r="HJ402" i="1" s="1"/>
  <c r="EL402" i="1"/>
  <c r="EU402" i="1" s="1"/>
  <c r="CW402" i="1"/>
  <c r="CR402" i="1"/>
  <c r="CM402" i="1"/>
  <c r="CH402" i="1"/>
  <c r="AZ402" i="1"/>
  <c r="BA402" i="1" s="1"/>
  <c r="AS402" i="1"/>
  <c r="AR402" i="1"/>
  <c r="AO402" i="1"/>
  <c r="IC401" i="1"/>
  <c r="IB401" i="1"/>
  <c r="IA401" i="1"/>
  <c r="HT401" i="1"/>
  <c r="HN401" i="1"/>
  <c r="HF401" i="1"/>
  <c r="HH401" i="1" s="1"/>
  <c r="HJ401" i="1" s="1"/>
  <c r="EL401" i="1"/>
  <c r="EU401" i="1" s="1"/>
  <c r="GW401" i="1" s="1"/>
  <c r="AJ401" i="1" s="1"/>
  <c r="CH401" i="1"/>
  <c r="DM401" i="1" s="1"/>
  <c r="AZ401" i="1"/>
  <c r="AS401" i="1"/>
  <c r="AR401" i="1"/>
  <c r="AO401" i="1"/>
  <c r="AC401" i="1"/>
  <c r="IC400" i="1"/>
  <c r="IB400" i="1"/>
  <c r="IA400" i="1"/>
  <c r="HT400" i="1"/>
  <c r="HN400" i="1"/>
  <c r="HF400" i="1"/>
  <c r="HH400" i="1" s="1"/>
  <c r="HJ400" i="1" s="1"/>
  <c r="EL400" i="1"/>
  <c r="EU400" i="1" s="1"/>
  <c r="CW400" i="1"/>
  <c r="CR400" i="1"/>
  <c r="CM400" i="1"/>
  <c r="CH400" i="1"/>
  <c r="AZ400" i="1"/>
  <c r="AS400" i="1"/>
  <c r="AR400" i="1"/>
  <c r="AO400" i="1"/>
  <c r="AC400" i="1"/>
  <c r="IC399" i="1"/>
  <c r="IB399" i="1"/>
  <c r="IA399" i="1"/>
  <c r="HT399" i="1"/>
  <c r="HN399" i="1"/>
  <c r="HF399" i="1"/>
  <c r="HH399" i="1" s="1"/>
  <c r="HJ399" i="1" s="1"/>
  <c r="EL399" i="1"/>
  <c r="EU399" i="1" s="1"/>
  <c r="AG399" i="1" s="1"/>
  <c r="CW399" i="1"/>
  <c r="CR399" i="1"/>
  <c r="CM399" i="1"/>
  <c r="CH399" i="1"/>
  <c r="AZ399" i="1"/>
  <c r="AS399" i="1"/>
  <c r="AR399" i="1"/>
  <c r="AO399" i="1"/>
  <c r="AC399" i="1"/>
  <c r="IC398" i="1"/>
  <c r="IB398" i="1"/>
  <c r="IA398" i="1"/>
  <c r="HR398" i="1"/>
  <c r="HT398" i="1" s="1"/>
  <c r="HN398" i="1"/>
  <c r="HF398" i="1"/>
  <c r="HH398" i="1" s="1"/>
  <c r="HJ398" i="1" s="1"/>
  <c r="EL398" i="1"/>
  <c r="EU398" i="1" s="1"/>
  <c r="GW398" i="1" s="1"/>
  <c r="AJ398" i="1" s="1"/>
  <c r="CW398" i="1"/>
  <c r="CR398" i="1"/>
  <c r="CM398" i="1"/>
  <c r="CH398" i="1"/>
  <c r="AZ398" i="1"/>
  <c r="AS398" i="1"/>
  <c r="AR398" i="1"/>
  <c r="AO398" i="1"/>
  <c r="AC398" i="1"/>
  <c r="IC397" i="1"/>
  <c r="IB397" i="1"/>
  <c r="IA397" i="1"/>
  <c r="HR397" i="1"/>
  <c r="HT397" i="1" s="1"/>
  <c r="HN397" i="1"/>
  <c r="HF397" i="1"/>
  <c r="HH397" i="1" s="1"/>
  <c r="HJ397" i="1" s="1"/>
  <c r="EL397" i="1"/>
  <c r="EU397" i="1" s="1"/>
  <c r="CW397" i="1"/>
  <c r="CR397" i="1"/>
  <c r="CM397" i="1"/>
  <c r="CH397" i="1"/>
  <c r="AZ397" i="1"/>
  <c r="AS397" i="1"/>
  <c r="AR397" i="1"/>
  <c r="AO397" i="1"/>
  <c r="AC397" i="1"/>
  <c r="IC396" i="1"/>
  <c r="IB396" i="1"/>
  <c r="IA396" i="1"/>
  <c r="HR396" i="1"/>
  <c r="HT396" i="1" s="1"/>
  <c r="HN396" i="1"/>
  <c r="HF396" i="1"/>
  <c r="HH396" i="1" s="1"/>
  <c r="HJ396" i="1" s="1"/>
  <c r="EL396" i="1"/>
  <c r="EU396" i="1" s="1"/>
  <c r="AG396" i="1" s="1"/>
  <c r="CW396" i="1"/>
  <c r="CR396" i="1"/>
  <c r="CM396" i="1"/>
  <c r="CH396" i="1"/>
  <c r="AZ396" i="1"/>
  <c r="BA396" i="1" s="1"/>
  <c r="AS396" i="1"/>
  <c r="AR396" i="1"/>
  <c r="AO396" i="1"/>
  <c r="IC395" i="1"/>
  <c r="IB395" i="1"/>
  <c r="IA395" i="1"/>
  <c r="HR395" i="1"/>
  <c r="HT395" i="1" s="1"/>
  <c r="HN395" i="1"/>
  <c r="HF395" i="1"/>
  <c r="HH395" i="1" s="1"/>
  <c r="HJ395" i="1" s="1"/>
  <c r="EL395" i="1"/>
  <c r="EU395" i="1" s="1"/>
  <c r="CW395" i="1"/>
  <c r="CR395" i="1"/>
  <c r="CM395" i="1"/>
  <c r="CH395" i="1"/>
  <c r="AZ395" i="1"/>
  <c r="AS395" i="1"/>
  <c r="AR395" i="1"/>
  <c r="AO395" i="1"/>
  <c r="AC395" i="1"/>
  <c r="IC394" i="1"/>
  <c r="IB394" i="1"/>
  <c r="IA394" i="1"/>
  <c r="HR394" i="1"/>
  <c r="HT394" i="1" s="1"/>
  <c r="HN394" i="1"/>
  <c r="HF394" i="1"/>
  <c r="HH394" i="1" s="1"/>
  <c r="HJ394" i="1" s="1"/>
  <c r="EL394" i="1"/>
  <c r="EU394" i="1" s="1"/>
  <c r="CW394" i="1"/>
  <c r="CR394" i="1"/>
  <c r="CM394" i="1"/>
  <c r="CH394" i="1"/>
  <c r="AZ394" i="1"/>
  <c r="AS394" i="1"/>
  <c r="AR394" i="1"/>
  <c r="AO394" i="1"/>
  <c r="AC394" i="1"/>
  <c r="IC393" i="1"/>
  <c r="IB393" i="1"/>
  <c r="IA393" i="1"/>
  <c r="HT393" i="1"/>
  <c r="HN393" i="1"/>
  <c r="HF393" i="1"/>
  <c r="HH393" i="1" s="1"/>
  <c r="HJ393" i="1" s="1"/>
  <c r="EL393" i="1"/>
  <c r="EU393" i="1" s="1"/>
  <c r="GW393" i="1" s="1"/>
  <c r="AJ393" i="1" s="1"/>
  <c r="CW393" i="1"/>
  <c r="CR393" i="1"/>
  <c r="CM393" i="1"/>
  <c r="CH393" i="1"/>
  <c r="AZ393" i="1"/>
  <c r="BA393" i="1" s="1"/>
  <c r="AE393" i="1" s="1"/>
  <c r="AU393" i="1"/>
  <c r="AS393" i="1"/>
  <c r="AR393" i="1"/>
  <c r="AO393" i="1"/>
  <c r="IC392" i="1"/>
  <c r="IB392" i="1"/>
  <c r="IA392" i="1"/>
  <c r="HT392" i="1"/>
  <c r="HN392" i="1"/>
  <c r="HF392" i="1"/>
  <c r="HH392" i="1" s="1"/>
  <c r="HJ392" i="1" s="1"/>
  <c r="EL392" i="1"/>
  <c r="EU392" i="1" s="1"/>
  <c r="CW392" i="1"/>
  <c r="CR392" i="1"/>
  <c r="CM392" i="1"/>
  <c r="CH392" i="1"/>
  <c r="AZ392" i="1"/>
  <c r="BA392" i="1" s="1"/>
  <c r="AU392" i="1"/>
  <c r="AS392" i="1"/>
  <c r="AR392" i="1"/>
  <c r="AO392" i="1"/>
  <c r="IC391" i="1"/>
  <c r="IB391" i="1"/>
  <c r="IA391" i="1"/>
  <c r="HR391" i="1"/>
  <c r="HT391" i="1" s="1"/>
  <c r="HN391" i="1"/>
  <c r="HF391" i="1"/>
  <c r="HH391" i="1" s="1"/>
  <c r="HJ391" i="1" s="1"/>
  <c r="EL391" i="1"/>
  <c r="EU391" i="1" s="1"/>
  <c r="CW391" i="1"/>
  <c r="CR391" i="1"/>
  <c r="CM391" i="1"/>
  <c r="CH391" i="1"/>
  <c r="AZ391" i="1"/>
  <c r="AS391" i="1"/>
  <c r="AR391" i="1"/>
  <c r="AO391" i="1"/>
  <c r="AC391" i="1"/>
  <c r="IC390" i="1"/>
  <c r="IB390" i="1"/>
  <c r="IA390" i="1"/>
  <c r="HR390" i="1"/>
  <c r="HT390" i="1" s="1"/>
  <c r="HN390" i="1"/>
  <c r="HF390" i="1"/>
  <c r="HH390" i="1" s="1"/>
  <c r="HJ390" i="1" s="1"/>
  <c r="EL390" i="1"/>
  <c r="EU390" i="1" s="1"/>
  <c r="AG390" i="1" s="1"/>
  <c r="CW390" i="1"/>
  <c r="CR390" i="1"/>
  <c r="CM390" i="1"/>
  <c r="CH390" i="1"/>
  <c r="AZ390" i="1"/>
  <c r="AS390" i="1"/>
  <c r="AR390" i="1"/>
  <c r="AO390" i="1"/>
  <c r="AC390" i="1"/>
  <c r="IC389" i="1"/>
  <c r="IB389" i="1"/>
  <c r="IA389" i="1"/>
  <c r="HR389" i="1"/>
  <c r="HT389" i="1" s="1"/>
  <c r="HN389" i="1"/>
  <c r="HF389" i="1"/>
  <c r="HH389" i="1" s="1"/>
  <c r="HJ389" i="1" s="1"/>
  <c r="EL389" i="1"/>
  <c r="EU389" i="1" s="1"/>
  <c r="CH389" i="1"/>
  <c r="DM389" i="1" s="1"/>
  <c r="AZ389" i="1"/>
  <c r="AS389" i="1"/>
  <c r="AR389" i="1"/>
  <c r="AO389" i="1"/>
  <c r="AC389" i="1"/>
  <c r="IC388" i="1"/>
  <c r="IB388" i="1"/>
  <c r="IA388" i="1"/>
  <c r="HR388" i="1"/>
  <c r="HT388" i="1" s="1"/>
  <c r="HN388" i="1"/>
  <c r="HF388" i="1"/>
  <c r="HH388" i="1" s="1"/>
  <c r="HJ388" i="1" s="1"/>
  <c r="EL388" i="1"/>
  <c r="EU388" i="1" s="1"/>
  <c r="AG388" i="1" s="1"/>
  <c r="CW388" i="1"/>
  <c r="CR388" i="1"/>
  <c r="CM388" i="1"/>
  <c r="CH388" i="1"/>
  <c r="AZ388" i="1"/>
  <c r="BA388" i="1" s="1"/>
  <c r="AE388" i="1" s="1"/>
  <c r="AS388" i="1"/>
  <c r="AR388" i="1"/>
  <c r="IC387" i="1"/>
  <c r="IB387" i="1"/>
  <c r="IA387" i="1"/>
  <c r="HR387" i="1"/>
  <c r="HT387" i="1" s="1"/>
  <c r="HN387" i="1"/>
  <c r="HF387" i="1"/>
  <c r="HH387" i="1" s="1"/>
  <c r="HJ387" i="1" s="1"/>
  <c r="EL387" i="1"/>
  <c r="EU387" i="1" s="1"/>
  <c r="CW387" i="1"/>
  <c r="CR387" i="1"/>
  <c r="CM387" i="1"/>
  <c r="CH387" i="1"/>
  <c r="AZ387" i="1"/>
  <c r="AS387" i="1"/>
  <c r="AR387" i="1"/>
  <c r="AC387" i="1"/>
  <c r="IC211" i="1"/>
  <c r="IB211" i="1"/>
  <c r="IA211" i="1"/>
  <c r="HN211" i="1"/>
  <c r="HF211" i="1"/>
  <c r="HH211" i="1" s="1"/>
  <c r="HJ211" i="1" s="1"/>
  <c r="EL211" i="1"/>
  <c r="EU211" i="1" s="1"/>
  <c r="CR211" i="1"/>
  <c r="CM211" i="1"/>
  <c r="CH211" i="1"/>
  <c r="AZ211" i="1"/>
  <c r="BA211" i="1" s="1"/>
  <c r="AE211" i="1" s="1"/>
  <c r="IE248" i="1"/>
  <c r="IG248" i="1" s="1"/>
  <c r="AN248" i="1" s="1"/>
  <c r="HR248" i="1"/>
  <c r="HT248" i="1" s="1"/>
  <c r="HO248" i="1"/>
  <c r="HN248" i="1"/>
  <c r="HF248" i="1"/>
  <c r="HH248" i="1" s="1"/>
  <c r="HJ248" i="1" s="1"/>
  <c r="EL248" i="1"/>
  <c r="EU248" i="1" s="1"/>
  <c r="AG248" i="1" s="1"/>
  <c r="CW248" i="1"/>
  <c r="CR248" i="1"/>
  <c r="CM248" i="1"/>
  <c r="CH248" i="1"/>
  <c r="AZ248" i="1"/>
  <c r="BA248" i="1" s="1"/>
  <c r="IC246" i="1"/>
  <c r="IB246" i="1"/>
  <c r="IA246" i="1"/>
  <c r="HN246" i="1"/>
  <c r="HF246" i="1"/>
  <c r="HH246" i="1" s="1"/>
  <c r="HJ246" i="1" s="1"/>
  <c r="EL246" i="1"/>
  <c r="EU246" i="1" s="1"/>
  <c r="DO246" i="1"/>
  <c r="AI246" i="1" s="1"/>
  <c r="DM246" i="1"/>
  <c r="AZ246" i="1"/>
  <c r="BA246" i="1" s="1"/>
  <c r="AE246" i="1" s="1"/>
  <c r="IG162" i="1"/>
  <c r="AN162" i="1" s="1"/>
  <c r="HT162" i="1"/>
  <c r="HN162" i="1"/>
  <c r="HF162" i="1"/>
  <c r="HH162" i="1" s="1"/>
  <c r="HJ162" i="1" s="1"/>
  <c r="EL162" i="1"/>
  <c r="EU162" i="1" s="1"/>
  <c r="CM162" i="1"/>
  <c r="CH162" i="1"/>
  <c r="AX162" i="1"/>
  <c r="AW162" i="1"/>
  <c r="AO162" i="1"/>
  <c r="IE243" i="1"/>
  <c r="IG243" i="1" s="1"/>
  <c r="AN243" i="1" s="1"/>
  <c r="HR243" i="1"/>
  <c r="HT243" i="1" s="1"/>
  <c r="HN243" i="1"/>
  <c r="HF243" i="1"/>
  <c r="HH243" i="1" s="1"/>
  <c r="HJ243" i="1" s="1"/>
  <c r="EL243" i="1"/>
  <c r="EU243" i="1" s="1"/>
  <c r="CW243" i="1"/>
  <c r="CR243" i="1"/>
  <c r="CM243" i="1"/>
  <c r="CH243" i="1"/>
  <c r="AX243" i="1"/>
  <c r="AZ243" i="1" s="1"/>
  <c r="BA243" i="1" s="1"/>
  <c r="AU243" i="1"/>
  <c r="IE242" i="1"/>
  <c r="IG242" i="1" s="1"/>
  <c r="AN242" i="1" s="1"/>
  <c r="HR242" i="1"/>
  <c r="HT242" i="1" s="1"/>
  <c r="HN242" i="1"/>
  <c r="HF242" i="1"/>
  <c r="HH242" i="1" s="1"/>
  <c r="HJ242" i="1" s="1"/>
  <c r="EL242" i="1"/>
  <c r="EU242" i="1" s="1"/>
  <c r="AG242" i="1" s="1"/>
  <c r="CW242" i="1"/>
  <c r="CR242" i="1"/>
  <c r="CM242" i="1"/>
  <c r="CH242" i="1"/>
  <c r="AZ242" i="1"/>
  <c r="BA242" i="1" s="1"/>
  <c r="IE241" i="1"/>
  <c r="IG241" i="1" s="1"/>
  <c r="AN241" i="1" s="1"/>
  <c r="HR241" i="1"/>
  <c r="HT241" i="1" s="1"/>
  <c r="HN241" i="1"/>
  <c r="HF241" i="1"/>
  <c r="HH241" i="1" s="1"/>
  <c r="HJ241" i="1" s="1"/>
  <c r="EL241" i="1"/>
  <c r="EU241" i="1" s="1"/>
  <c r="AG241" i="1" s="1"/>
  <c r="CW241" i="1"/>
  <c r="CR241" i="1"/>
  <c r="CM241" i="1"/>
  <c r="CH241" i="1"/>
  <c r="AX241" i="1"/>
  <c r="AZ241" i="1" s="1"/>
  <c r="BA241" i="1" s="1"/>
  <c r="AU241" i="1"/>
  <c r="IE240" i="1"/>
  <c r="IG240" i="1" s="1"/>
  <c r="AN240" i="1" s="1"/>
  <c r="HR240" i="1"/>
  <c r="HT240" i="1" s="1"/>
  <c r="HN240" i="1"/>
  <c r="HF240" i="1"/>
  <c r="HH240" i="1" s="1"/>
  <c r="HJ240" i="1" s="1"/>
  <c r="EL240" i="1"/>
  <c r="EU240" i="1" s="1"/>
  <c r="CW240" i="1"/>
  <c r="CR240" i="1"/>
  <c r="CM240" i="1"/>
  <c r="CH240" i="1"/>
  <c r="AZ240" i="1"/>
  <c r="BA240" i="1" s="1"/>
  <c r="IE237" i="1"/>
  <c r="IG237" i="1" s="1"/>
  <c r="AN237" i="1" s="1"/>
  <c r="HR237" i="1"/>
  <c r="HT237" i="1" s="1"/>
  <c r="HN237" i="1"/>
  <c r="HF237" i="1"/>
  <c r="HH237" i="1" s="1"/>
  <c r="HJ237" i="1" s="1"/>
  <c r="EL237" i="1"/>
  <c r="EU237" i="1" s="1"/>
  <c r="CH237" i="1"/>
  <c r="DM237" i="1" s="1"/>
  <c r="AZ237" i="1"/>
  <c r="BA237" i="1" s="1"/>
  <c r="AE237" i="1" s="1"/>
  <c r="AR237" i="1"/>
  <c r="IC146" i="1"/>
  <c r="IB146" i="1"/>
  <c r="IA146" i="1"/>
  <c r="HO146" i="1"/>
  <c r="HV146" i="1" s="1"/>
  <c r="AM146" i="1" s="1"/>
  <c r="HN146" i="1"/>
  <c r="HF146" i="1"/>
  <c r="HH146" i="1" s="1"/>
  <c r="HJ146" i="1" s="1"/>
  <c r="EL146" i="1"/>
  <c r="EU146" i="1" s="1"/>
  <c r="DP146" i="1"/>
  <c r="DO146" i="1"/>
  <c r="AI146" i="1" s="1"/>
  <c r="CH146" i="1"/>
  <c r="DM146" i="1" s="1"/>
  <c r="AH146" i="1" s="1"/>
  <c r="AZ146" i="1"/>
  <c r="BA146" i="1" s="1"/>
  <c r="AE146" i="1" s="1"/>
  <c r="IC145" i="1"/>
  <c r="IB145" i="1"/>
  <c r="IA145" i="1"/>
  <c r="HN145" i="1"/>
  <c r="HF145" i="1"/>
  <c r="HH145" i="1" s="1"/>
  <c r="HJ145" i="1" s="1"/>
  <c r="EL145" i="1"/>
  <c r="EU145" i="1" s="1"/>
  <c r="DP145" i="1"/>
  <c r="DO145" i="1"/>
  <c r="AI145" i="1" s="1"/>
  <c r="CH145" i="1"/>
  <c r="DM145" i="1" s="1"/>
  <c r="AH145" i="1" s="1"/>
  <c r="AZ145" i="1"/>
  <c r="BA145" i="1" s="1"/>
  <c r="IC144" i="1"/>
  <c r="IB144" i="1"/>
  <c r="IA144" i="1"/>
  <c r="HO144" i="1"/>
  <c r="HV144" i="1" s="1"/>
  <c r="AM144" i="1" s="1"/>
  <c r="HN144" i="1"/>
  <c r="HF144" i="1"/>
  <c r="HH144" i="1" s="1"/>
  <c r="HJ144" i="1" s="1"/>
  <c r="EL144" i="1"/>
  <c r="EU144" i="1" s="1"/>
  <c r="GW144" i="1" s="1"/>
  <c r="AJ144" i="1" s="1"/>
  <c r="DP144" i="1"/>
  <c r="DO144" i="1"/>
  <c r="AI144" i="1" s="1"/>
  <c r="DM144" i="1"/>
  <c r="AH144" i="1" s="1"/>
  <c r="AZ144" i="1"/>
  <c r="BA144" i="1" s="1"/>
  <c r="IC142" i="1"/>
  <c r="IB142" i="1"/>
  <c r="IA142" i="1"/>
  <c r="HN142" i="1"/>
  <c r="HF142" i="1"/>
  <c r="HH142" i="1" s="1"/>
  <c r="HJ142" i="1" s="1"/>
  <c r="EL142" i="1"/>
  <c r="EU142" i="1" s="1"/>
  <c r="AG142" i="1" s="1"/>
  <c r="DP142" i="1"/>
  <c r="DO142" i="1"/>
  <c r="AI142" i="1" s="1"/>
  <c r="DM142" i="1"/>
  <c r="AH142" i="1" s="1"/>
  <c r="AZ142" i="1"/>
  <c r="BA142" i="1" s="1"/>
  <c r="IC108" i="1"/>
  <c r="IB108" i="1"/>
  <c r="IA108" i="1"/>
  <c r="HN108" i="1"/>
  <c r="HF108" i="1"/>
  <c r="HH108" i="1" s="1"/>
  <c r="HJ108" i="1" s="1"/>
  <c r="EL108" i="1"/>
  <c r="EU108" i="1" s="1"/>
  <c r="CH108" i="1"/>
  <c r="DM108" i="1" s="1"/>
  <c r="AZ108" i="1"/>
  <c r="BA108" i="1" s="1"/>
  <c r="AO108" i="1"/>
  <c r="AI108" i="1"/>
  <c r="IE231" i="1"/>
  <c r="IG231" i="1" s="1"/>
  <c r="AN231" i="1" s="1"/>
  <c r="HR231" i="1"/>
  <c r="HT231" i="1" s="1"/>
  <c r="HN231" i="1"/>
  <c r="HF231" i="1"/>
  <c r="HH231" i="1" s="1"/>
  <c r="HJ231" i="1" s="1"/>
  <c r="EL231" i="1"/>
  <c r="EU231" i="1" s="1"/>
  <c r="CH231" i="1"/>
  <c r="DM231" i="1" s="1"/>
  <c r="AZ231" i="1"/>
  <c r="BA231" i="1" s="1"/>
  <c r="IC99" i="1"/>
  <c r="IB99" i="1"/>
  <c r="IA99" i="1"/>
  <c r="HN99" i="1"/>
  <c r="HJ99" i="1"/>
  <c r="HF99" i="1"/>
  <c r="EL99" i="1"/>
  <c r="EU99" i="1" s="1"/>
  <c r="DP99" i="1"/>
  <c r="AH99" i="1" s="1"/>
  <c r="DO99" i="1"/>
  <c r="AI99" i="1" s="1"/>
  <c r="AZ99" i="1"/>
  <c r="BA99" i="1" s="1"/>
  <c r="AE99" i="1" s="1"/>
  <c r="IC91" i="1"/>
  <c r="IB91" i="1"/>
  <c r="IA91" i="1"/>
  <c r="HN91" i="1"/>
  <c r="HF91" i="1"/>
  <c r="HH91" i="1" s="1"/>
  <c r="HJ91" i="1" s="1"/>
  <c r="EL91" i="1"/>
  <c r="EU91" i="1" s="1"/>
  <c r="CH91" i="1"/>
  <c r="DM91" i="1" s="1"/>
  <c r="AZ91" i="1"/>
  <c r="BA91" i="1" s="1"/>
  <c r="AO91" i="1"/>
  <c r="AI91" i="1"/>
  <c r="IE90" i="1"/>
  <c r="IG90" i="1" s="1"/>
  <c r="AN90" i="1" s="1"/>
  <c r="HT90" i="1"/>
  <c r="HN90" i="1"/>
  <c r="HF90" i="1"/>
  <c r="HH90" i="1" s="1"/>
  <c r="HJ90" i="1" s="1"/>
  <c r="EL90" i="1"/>
  <c r="EU90" i="1" s="1"/>
  <c r="GW90" i="1" s="1"/>
  <c r="AJ90" i="1" s="1"/>
  <c r="DP90" i="1"/>
  <c r="AH90" i="1" s="1"/>
  <c r="CH90" i="1"/>
  <c r="AZ90" i="1"/>
  <c r="BA90" i="1" s="1"/>
  <c r="AI90" i="1"/>
  <c r="IC89" i="1"/>
  <c r="IB89" i="1"/>
  <c r="IA89" i="1"/>
  <c r="HR89" i="1"/>
  <c r="HN89" i="1"/>
  <c r="HF89" i="1"/>
  <c r="HH89" i="1" s="1"/>
  <c r="HJ89" i="1" s="1"/>
  <c r="EL89" i="1"/>
  <c r="EU89" i="1" s="1"/>
  <c r="CG89" i="1"/>
  <c r="CH89" i="1" s="1"/>
  <c r="DM89" i="1" s="1"/>
  <c r="AH89" i="1" s="1"/>
  <c r="AZ89" i="1"/>
  <c r="BA89" i="1" s="1"/>
  <c r="IE227" i="1"/>
  <c r="IG227" i="1" s="1"/>
  <c r="AN227" i="1" s="1"/>
  <c r="HT227" i="1"/>
  <c r="HN227" i="1"/>
  <c r="HF227" i="1"/>
  <c r="HH227" i="1" s="1"/>
  <c r="HJ227" i="1" s="1"/>
  <c r="FA227" i="1"/>
  <c r="EL227" i="1"/>
  <c r="EU227" i="1" s="1"/>
  <c r="DP227" i="1"/>
  <c r="CH227" i="1"/>
  <c r="DM227" i="1" s="1"/>
  <c r="AH227" i="1" s="1"/>
  <c r="AZ227" i="1"/>
  <c r="AO227" i="1"/>
  <c r="AC227" i="1"/>
  <c r="IG226" i="1"/>
  <c r="AN226" i="1" s="1"/>
  <c r="HT226" i="1"/>
  <c r="HN226" i="1"/>
  <c r="HJ226" i="1"/>
  <c r="HF226" i="1"/>
  <c r="EL226" i="1"/>
  <c r="EU226" i="1" s="1"/>
  <c r="GW226" i="1" s="1"/>
  <c r="AJ226" i="1" s="1"/>
  <c r="DP226" i="1"/>
  <c r="CH226" i="1"/>
  <c r="DM226" i="1" s="1"/>
  <c r="AZ226" i="1"/>
  <c r="BA226" i="1" s="1"/>
  <c r="IC86" i="1"/>
  <c r="IB86" i="1"/>
  <c r="IA86" i="1"/>
  <c r="HT86" i="1"/>
  <c r="HN86" i="1"/>
  <c r="HF86" i="1"/>
  <c r="HH86" i="1" s="1"/>
  <c r="HJ86" i="1" s="1"/>
  <c r="EL86" i="1"/>
  <c r="EU86" i="1" s="1"/>
  <c r="AG86" i="1" s="1"/>
  <c r="CH86" i="1"/>
  <c r="DM86" i="1" s="1"/>
  <c r="AH86" i="1" s="1"/>
  <c r="AZ86" i="1"/>
  <c r="BA86" i="1" s="1"/>
  <c r="AO86" i="1"/>
  <c r="AI86" i="1"/>
  <c r="IC85" i="1"/>
  <c r="IB85" i="1"/>
  <c r="IA85" i="1"/>
  <c r="HT85" i="1"/>
  <c r="HN85" i="1"/>
  <c r="HF85" i="1"/>
  <c r="HH85" i="1" s="1"/>
  <c r="HJ85" i="1" s="1"/>
  <c r="EL85" i="1"/>
  <c r="EU85" i="1" s="1"/>
  <c r="AG85" i="1" s="1"/>
  <c r="CH85" i="1"/>
  <c r="DM85" i="1" s="1"/>
  <c r="DP85" i="1" s="1"/>
  <c r="AZ85" i="1"/>
  <c r="BA85" i="1" s="1"/>
  <c r="AE85" i="1" s="1"/>
  <c r="AI85" i="1"/>
  <c r="IC84" i="1"/>
  <c r="IB84" i="1"/>
  <c r="IA84" i="1"/>
  <c r="HT84" i="1"/>
  <c r="HN84" i="1"/>
  <c r="HF84" i="1"/>
  <c r="HH84" i="1" s="1"/>
  <c r="HJ84" i="1" s="1"/>
  <c r="EL84" i="1"/>
  <c r="EU84" i="1" s="1"/>
  <c r="CH84" i="1"/>
  <c r="DM84" i="1" s="1"/>
  <c r="AZ84" i="1"/>
  <c r="BA84" i="1" s="1"/>
  <c r="AI84" i="1"/>
  <c r="IC83" i="1"/>
  <c r="IB83" i="1"/>
  <c r="IA83" i="1"/>
  <c r="HN83" i="1"/>
  <c r="HF83" i="1"/>
  <c r="HH83" i="1" s="1"/>
  <c r="HJ83" i="1" s="1"/>
  <c r="EL83" i="1"/>
  <c r="EU83" i="1" s="1"/>
  <c r="CH83" i="1"/>
  <c r="DM83" i="1" s="1"/>
  <c r="AH83" i="1" s="1"/>
  <c r="AZ83" i="1"/>
  <c r="AO83" i="1"/>
  <c r="AI83" i="1"/>
  <c r="AC83" i="1"/>
  <c r="IC82" i="1"/>
  <c r="IB82" i="1"/>
  <c r="IA82" i="1"/>
  <c r="HT82" i="1"/>
  <c r="HN82" i="1"/>
  <c r="HF82" i="1"/>
  <c r="HH82" i="1" s="1"/>
  <c r="HJ82" i="1" s="1"/>
  <c r="EL82" i="1"/>
  <c r="EU82" i="1" s="1"/>
  <c r="DP82" i="1"/>
  <c r="AH82" i="1" s="1"/>
  <c r="AZ82" i="1"/>
  <c r="BA82" i="1" s="1"/>
  <c r="AI82" i="1"/>
  <c r="IC81" i="1"/>
  <c r="IB81" i="1"/>
  <c r="IA81" i="1"/>
  <c r="HT81" i="1"/>
  <c r="HN81" i="1"/>
  <c r="HF81" i="1"/>
  <c r="HH81" i="1" s="1"/>
  <c r="HJ81" i="1" s="1"/>
  <c r="EL81" i="1"/>
  <c r="EU81" i="1" s="1"/>
  <c r="AG81" i="1" s="1"/>
  <c r="DP81" i="1"/>
  <c r="AH81" i="1" s="1"/>
  <c r="AZ81" i="1"/>
  <c r="BA81" i="1" s="1"/>
  <c r="AI81" i="1"/>
  <c r="IC79" i="1"/>
  <c r="IB79" i="1"/>
  <c r="IA79" i="1"/>
  <c r="HR79" i="1"/>
  <c r="HN79" i="1"/>
  <c r="HF79" i="1"/>
  <c r="HH79" i="1" s="1"/>
  <c r="HJ79" i="1" s="1"/>
  <c r="EL79" i="1"/>
  <c r="EU79" i="1" s="1"/>
  <c r="DP79" i="1"/>
  <c r="AH79" i="1" s="1"/>
  <c r="DO79" i="1"/>
  <c r="AI79" i="1" s="1"/>
  <c r="AZ79" i="1"/>
  <c r="BA79" i="1" s="1"/>
  <c r="AU79" i="1"/>
  <c r="IE78" i="1"/>
  <c r="IG78" i="1" s="1"/>
  <c r="AN78" i="1" s="1"/>
  <c r="HR78" i="1"/>
  <c r="HN78" i="1"/>
  <c r="HF78" i="1"/>
  <c r="HH78" i="1" s="1"/>
  <c r="HJ78" i="1" s="1"/>
  <c r="EL78" i="1"/>
  <c r="EU78" i="1" s="1"/>
  <c r="CR78" i="1"/>
  <c r="CM78" i="1"/>
  <c r="CG78" i="1"/>
  <c r="DP78" i="1" s="1"/>
  <c r="AZ78" i="1"/>
  <c r="BA78" i="1" s="1"/>
  <c r="AL78" i="1"/>
  <c r="IC77" i="1"/>
  <c r="IB77" i="1"/>
  <c r="IA77" i="1"/>
  <c r="HT77" i="1"/>
  <c r="HN77" i="1"/>
  <c r="HF77" i="1"/>
  <c r="HH77" i="1" s="1"/>
  <c r="HJ77" i="1" s="1"/>
  <c r="FA77" i="1"/>
  <c r="EL77" i="1"/>
  <c r="EU77" i="1" s="1"/>
  <c r="GW77" i="1" s="1"/>
  <c r="AJ77" i="1" s="1"/>
  <c r="DB77" i="1"/>
  <c r="CW77" i="1"/>
  <c r="CR77" i="1"/>
  <c r="CM77" i="1"/>
  <c r="CH77" i="1"/>
  <c r="AZ77" i="1"/>
  <c r="AO77" i="1"/>
  <c r="AI77" i="1"/>
  <c r="AC77" i="1"/>
  <c r="IE76" i="1"/>
  <c r="IG76" i="1" s="1"/>
  <c r="AN76" i="1" s="1"/>
  <c r="HR76" i="1"/>
  <c r="HN76" i="1"/>
  <c r="HF76" i="1"/>
  <c r="HH76" i="1" s="1"/>
  <c r="HJ76" i="1" s="1"/>
  <c r="EL76" i="1"/>
  <c r="EU76" i="1" s="1"/>
  <c r="AG76" i="1" s="1"/>
  <c r="CG76" i="1"/>
  <c r="AZ76" i="1"/>
  <c r="BA76" i="1" s="1"/>
  <c r="AL76" i="1"/>
  <c r="IC75" i="1"/>
  <c r="IB75" i="1"/>
  <c r="IA75" i="1"/>
  <c r="HN75" i="1"/>
  <c r="HF75" i="1"/>
  <c r="HH75" i="1" s="1"/>
  <c r="HJ75" i="1" s="1"/>
  <c r="EL75" i="1"/>
  <c r="EU75" i="1" s="1"/>
  <c r="DP75" i="1"/>
  <c r="AH75" i="1" s="1"/>
  <c r="AZ75" i="1"/>
  <c r="BA75" i="1" s="1"/>
  <c r="AE75" i="1" s="1"/>
  <c r="AI75" i="1"/>
  <c r="IE74" i="1"/>
  <c r="IG74" i="1" s="1"/>
  <c r="AN74" i="1" s="1"/>
  <c r="HN74" i="1"/>
  <c r="HF74" i="1"/>
  <c r="HH74" i="1" s="1"/>
  <c r="HJ74" i="1" s="1"/>
  <c r="EL74" i="1"/>
  <c r="EU74" i="1" s="1"/>
  <c r="DP74" i="1"/>
  <c r="AH74" i="1" s="1"/>
  <c r="DO74" i="1"/>
  <c r="AI74" i="1" s="1"/>
  <c r="AZ74" i="1"/>
  <c r="BA74" i="1" s="1"/>
  <c r="AE74" i="1" s="1"/>
  <c r="IE73" i="1"/>
  <c r="IG73" i="1" s="1"/>
  <c r="AN73" i="1" s="1"/>
  <c r="HN73" i="1"/>
  <c r="HF73" i="1"/>
  <c r="HH73" i="1" s="1"/>
  <c r="HJ73" i="1" s="1"/>
  <c r="EL73" i="1"/>
  <c r="EU73" i="1" s="1"/>
  <c r="DP73" i="1"/>
  <c r="AH73" i="1" s="1"/>
  <c r="DO73" i="1"/>
  <c r="AI73" i="1" s="1"/>
  <c r="AZ73" i="1"/>
  <c r="BA73" i="1" s="1"/>
  <c r="IC72" i="1"/>
  <c r="IB72" i="1"/>
  <c r="IA72" i="1"/>
  <c r="HN72" i="1"/>
  <c r="HF72" i="1"/>
  <c r="HH72" i="1" s="1"/>
  <c r="HJ72" i="1" s="1"/>
  <c r="EL72" i="1"/>
  <c r="EU72" i="1" s="1"/>
  <c r="DP72" i="1"/>
  <c r="AH72" i="1" s="1"/>
  <c r="DO72" i="1"/>
  <c r="AI72" i="1" s="1"/>
  <c r="AZ72" i="1"/>
  <c r="AC72" i="1"/>
  <c r="IC71" i="1"/>
  <c r="IB71" i="1"/>
  <c r="IA71" i="1"/>
  <c r="HT71" i="1"/>
  <c r="HN71" i="1"/>
  <c r="HF71" i="1"/>
  <c r="HH71" i="1" s="1"/>
  <c r="HJ71" i="1" s="1"/>
  <c r="EL71" i="1"/>
  <c r="EU71" i="1" s="1"/>
  <c r="DP71" i="1"/>
  <c r="AH71" i="1" s="1"/>
  <c r="DO71" i="1"/>
  <c r="AI71" i="1" s="1"/>
  <c r="AZ71" i="1"/>
  <c r="AC71" i="1"/>
  <c r="IG70" i="1"/>
  <c r="AN70" i="1" s="1"/>
  <c r="IA70" i="1"/>
  <c r="HN70" i="1"/>
  <c r="HJ70" i="1"/>
  <c r="EL70" i="1"/>
  <c r="EU70" i="1" s="1"/>
  <c r="DP70" i="1"/>
  <c r="CH70" i="1"/>
  <c r="AZ70" i="1"/>
  <c r="BA70" i="1" s="1"/>
  <c r="AE70" i="1" s="1"/>
  <c r="AO70" i="1"/>
  <c r="AI70" i="1"/>
  <c r="AH70" i="1"/>
  <c r="IC69" i="1"/>
  <c r="IB69" i="1"/>
  <c r="IA69" i="1"/>
  <c r="HN69" i="1"/>
  <c r="HF69" i="1"/>
  <c r="HH69" i="1" s="1"/>
  <c r="HJ69" i="1" s="1"/>
  <c r="EX69" i="1"/>
  <c r="FA69" i="1" s="1"/>
  <c r="EL69" i="1"/>
  <c r="EU69" i="1" s="1"/>
  <c r="CW69" i="1"/>
  <c r="CR69" i="1"/>
  <c r="CM69" i="1"/>
  <c r="CH69" i="1"/>
  <c r="AZ69" i="1"/>
  <c r="AO69" i="1"/>
  <c r="AC69" i="1"/>
  <c r="IC68" i="1"/>
  <c r="IB68" i="1"/>
  <c r="IA68" i="1"/>
  <c r="HN68" i="1"/>
  <c r="HF68" i="1"/>
  <c r="HH68" i="1" s="1"/>
  <c r="HJ68" i="1" s="1"/>
  <c r="EY68" i="1"/>
  <c r="AO68" i="1" s="1"/>
  <c r="EX68" i="1"/>
  <c r="EL68" i="1"/>
  <c r="EU68" i="1" s="1"/>
  <c r="CW68" i="1"/>
  <c r="CR68" i="1"/>
  <c r="CM68" i="1"/>
  <c r="CH68" i="1"/>
  <c r="AZ68" i="1"/>
  <c r="AL68" i="1"/>
  <c r="AI68" i="1"/>
  <c r="AC68" i="1"/>
  <c r="IG67" i="1"/>
  <c r="AN67" i="1" s="1"/>
  <c r="IA67" i="1"/>
  <c r="HN67" i="1"/>
  <c r="HJ67" i="1"/>
  <c r="EL67" i="1"/>
  <c r="EU67" i="1" s="1"/>
  <c r="GW67" i="1" s="1"/>
  <c r="AJ67" i="1" s="1"/>
  <c r="DO67" i="1"/>
  <c r="CH67" i="1"/>
  <c r="AZ67" i="1"/>
  <c r="BA67" i="1" s="1"/>
  <c r="AO67" i="1"/>
  <c r="AH67" i="1"/>
  <c r="IC66" i="1"/>
  <c r="IB66" i="1"/>
  <c r="IA66" i="1"/>
  <c r="HT66" i="1"/>
  <c r="HN66" i="1"/>
  <c r="HF66" i="1"/>
  <c r="HH66" i="1" s="1"/>
  <c r="HJ66" i="1" s="1"/>
  <c r="EL66" i="1"/>
  <c r="EU66" i="1" s="1"/>
  <c r="DP66" i="1"/>
  <c r="AH66" i="1" s="1"/>
  <c r="CH66" i="1"/>
  <c r="DM66" i="1" s="1"/>
  <c r="AZ66" i="1"/>
  <c r="AL66" i="1"/>
  <c r="AI66" i="1"/>
  <c r="AC66" i="1"/>
  <c r="IC65" i="1"/>
  <c r="IB65" i="1"/>
  <c r="IA65" i="1"/>
  <c r="HT65" i="1"/>
  <c r="HN65" i="1"/>
  <c r="HF65" i="1"/>
  <c r="HH65" i="1" s="1"/>
  <c r="HJ65" i="1" s="1"/>
  <c r="FA65" i="1"/>
  <c r="EL65" i="1"/>
  <c r="EU65" i="1" s="1"/>
  <c r="DP65" i="1"/>
  <c r="DO65" i="1"/>
  <c r="AI65" i="1" s="1"/>
  <c r="CM65" i="1"/>
  <c r="CH65" i="1"/>
  <c r="AZ65" i="1"/>
  <c r="BA65" i="1" s="1"/>
  <c r="AE65" i="1" s="1"/>
  <c r="AL65" i="1"/>
  <c r="IB64" i="1"/>
  <c r="IA64" i="1"/>
  <c r="HT64" i="1"/>
  <c r="HN64" i="1"/>
  <c r="HF64" i="1"/>
  <c r="HH64" i="1" s="1"/>
  <c r="HJ64" i="1" s="1"/>
  <c r="EV64" i="1"/>
  <c r="EL64" i="1"/>
  <c r="EU64" i="1" s="1"/>
  <c r="GW64" i="1" s="1"/>
  <c r="AJ64" i="1" s="1"/>
  <c r="DP64" i="1"/>
  <c r="AH64" i="1" s="1"/>
  <c r="DO64" i="1"/>
  <c r="AI64" i="1" s="1"/>
  <c r="CH64" i="1"/>
  <c r="AZ64" i="1"/>
  <c r="BA64" i="1" s="1"/>
  <c r="AL64" i="1"/>
  <c r="IE225" i="1"/>
  <c r="IG225" i="1" s="1"/>
  <c r="AN225" i="1" s="1"/>
  <c r="HR225" i="1"/>
  <c r="HT225" i="1" s="1"/>
  <c r="HN225" i="1"/>
  <c r="HF225" i="1"/>
  <c r="HH225" i="1" s="1"/>
  <c r="HJ225" i="1" s="1"/>
  <c r="EL225" i="1"/>
  <c r="EU225" i="1" s="1"/>
  <c r="GW225" i="1" s="1"/>
  <c r="AJ225" i="1" s="1"/>
  <c r="DP225" i="1"/>
  <c r="CH225" i="1"/>
  <c r="DM225" i="1" s="1"/>
  <c r="DO225" i="1" s="1"/>
  <c r="AI225" i="1" s="1"/>
  <c r="AZ225" i="1"/>
  <c r="BA225" i="1" s="1"/>
  <c r="IC62" i="1"/>
  <c r="IB62" i="1"/>
  <c r="IA62" i="1"/>
  <c r="HT62" i="1"/>
  <c r="HN62" i="1"/>
  <c r="HH62" i="1"/>
  <c r="HJ62" i="1" s="1"/>
  <c r="EL62" i="1"/>
  <c r="EU62" i="1" s="1"/>
  <c r="AG62" i="1" s="1"/>
  <c r="DP62" i="1"/>
  <c r="AH62" i="1" s="1"/>
  <c r="DO62" i="1"/>
  <c r="AI62" i="1" s="1"/>
  <c r="CH62" i="1"/>
  <c r="AZ62" i="1"/>
  <c r="AL62" i="1"/>
  <c r="AC62" i="1"/>
  <c r="IG61" i="1"/>
  <c r="AN61" i="1" s="1"/>
  <c r="IC61" i="1"/>
  <c r="IB61" i="1"/>
  <c r="IA61" i="1"/>
  <c r="HT61" i="1"/>
  <c r="HN61" i="1"/>
  <c r="HH61" i="1"/>
  <c r="HJ61" i="1" s="1"/>
  <c r="EL61" i="1"/>
  <c r="EU61" i="1" s="1"/>
  <c r="GW61" i="1" s="1"/>
  <c r="DP61" i="1"/>
  <c r="AJ61" i="1" s="1"/>
  <c r="DO61" i="1"/>
  <c r="AI61" i="1" s="1"/>
  <c r="CH61" i="1"/>
  <c r="DM61" i="1" s="1"/>
  <c r="AZ61" i="1"/>
  <c r="BA61" i="1" s="1"/>
  <c r="AL61" i="1"/>
  <c r="IC60" i="1"/>
  <c r="IB60" i="1"/>
  <c r="IA60" i="1"/>
  <c r="HT60" i="1"/>
  <c r="HN60" i="1"/>
  <c r="HH60" i="1"/>
  <c r="HJ60" i="1" s="1"/>
  <c r="EL60" i="1"/>
  <c r="EU60" i="1" s="1"/>
  <c r="DO60" i="1"/>
  <c r="AI60" i="1" s="1"/>
  <c r="DM60" i="1"/>
  <c r="AZ60" i="1"/>
  <c r="AL60" i="1"/>
  <c r="AC60" i="1"/>
  <c r="IC59" i="1"/>
  <c r="IB59" i="1"/>
  <c r="IA59" i="1"/>
  <c r="HT59" i="1"/>
  <c r="HN59" i="1"/>
  <c r="HJ59" i="1"/>
  <c r="EL59" i="1"/>
  <c r="EU59" i="1" s="1"/>
  <c r="AG59" i="1" s="1"/>
  <c r="DP59" i="1"/>
  <c r="AH59" i="1" s="1"/>
  <c r="DO59" i="1"/>
  <c r="AI59" i="1" s="1"/>
  <c r="AZ59" i="1"/>
  <c r="BA59" i="1" s="1"/>
  <c r="AE59" i="1" s="1"/>
  <c r="AL59" i="1"/>
  <c r="IE224" i="1"/>
  <c r="IG224" i="1" s="1"/>
  <c r="AN224" i="1" s="1"/>
  <c r="HT224" i="1"/>
  <c r="HN224" i="1"/>
  <c r="HF224" i="1"/>
  <c r="HH224" i="1" s="1"/>
  <c r="HJ224" i="1" s="1"/>
  <c r="EL224" i="1"/>
  <c r="EU224" i="1" s="1"/>
  <c r="AG224" i="1" s="1"/>
  <c r="DP224" i="1"/>
  <c r="CH224" i="1"/>
  <c r="DM224" i="1" s="1"/>
  <c r="AZ224" i="1"/>
  <c r="BA224" i="1" s="1"/>
  <c r="IC57" i="1"/>
  <c r="IB57" i="1"/>
  <c r="IA57" i="1"/>
  <c r="HT57" i="1"/>
  <c r="HN57" i="1"/>
  <c r="HJ57" i="1"/>
  <c r="EL57" i="1"/>
  <c r="EU57" i="1" s="1"/>
  <c r="CM57" i="1"/>
  <c r="DM57" i="1" s="1"/>
  <c r="AH57" i="1" s="1"/>
  <c r="AZ57" i="1"/>
  <c r="AL57" i="1"/>
  <c r="AI57" i="1"/>
  <c r="AC57" i="1"/>
  <c r="IE223" i="1"/>
  <c r="IG223" i="1" s="1"/>
  <c r="AN223" i="1" s="1"/>
  <c r="HT223" i="1"/>
  <c r="HN223" i="1"/>
  <c r="HF223" i="1"/>
  <c r="HH223" i="1" s="1"/>
  <c r="HJ223" i="1" s="1"/>
  <c r="EL223" i="1"/>
  <c r="EU223" i="1" s="1"/>
  <c r="GW223" i="1" s="1"/>
  <c r="AJ223" i="1" s="1"/>
  <c r="DP223" i="1"/>
  <c r="CH223" i="1"/>
  <c r="DM223" i="1" s="1"/>
  <c r="AZ223" i="1"/>
  <c r="BA223" i="1" s="1"/>
  <c r="IC55" i="1"/>
  <c r="IB55" i="1"/>
  <c r="IA55" i="1"/>
  <c r="HN55" i="1"/>
  <c r="HJ55" i="1"/>
  <c r="HF55" i="1"/>
  <c r="EL55" i="1"/>
  <c r="EU55" i="1" s="1"/>
  <c r="DP55" i="1"/>
  <c r="AH55" i="1" s="1"/>
  <c r="DO55" i="1"/>
  <c r="AI55" i="1" s="1"/>
  <c r="DM55" i="1"/>
  <c r="AZ55" i="1"/>
  <c r="AL55" i="1"/>
  <c r="AC55" i="1"/>
  <c r="IG54" i="1"/>
  <c r="AN54" i="1" s="1"/>
  <c r="HN54" i="1"/>
  <c r="HF54" i="1"/>
  <c r="HH54" i="1" s="1"/>
  <c r="HJ54" i="1" s="1"/>
  <c r="FA54" i="1"/>
  <c r="EY54" i="1"/>
  <c r="AO54" i="1" s="1"/>
  <c r="EL54" i="1"/>
  <c r="EU54" i="1" s="1"/>
  <c r="GW54" i="1" s="1"/>
  <c r="AJ54" i="1" s="1"/>
  <c r="CH54" i="1"/>
  <c r="DM54" i="1" s="1"/>
  <c r="DP54" i="1" s="1"/>
  <c r="AZ54" i="1"/>
  <c r="BA54" i="1" s="1"/>
  <c r="AI54" i="1"/>
  <c r="IG52" i="1"/>
  <c r="AN52" i="1" s="1"/>
  <c r="IA52" i="1"/>
  <c r="HN52" i="1"/>
  <c r="HJ52" i="1"/>
  <c r="HF52" i="1"/>
  <c r="EL52" i="1"/>
  <c r="EU52" i="1" s="1"/>
  <c r="DO52" i="1"/>
  <c r="AI52" i="1" s="1"/>
  <c r="CH52" i="1"/>
  <c r="AZ52" i="1"/>
  <c r="BA52" i="1" s="1"/>
  <c r="AU52" i="1"/>
  <c r="AO52" i="1"/>
  <c r="AH52" i="1"/>
  <c r="IG51" i="1"/>
  <c r="AN51" i="1" s="1"/>
  <c r="HT51" i="1"/>
  <c r="HN51" i="1"/>
  <c r="HJ51" i="1"/>
  <c r="HF51" i="1"/>
  <c r="EL51" i="1"/>
  <c r="EU51" i="1" s="1"/>
  <c r="DO51" i="1"/>
  <c r="AI51" i="1" s="1"/>
  <c r="CH51" i="1"/>
  <c r="DM51" i="1" s="1"/>
  <c r="AZ51" i="1"/>
  <c r="AO51" i="1"/>
  <c r="AC51" i="1"/>
  <c r="IG50" i="1"/>
  <c r="AN50" i="1" s="1"/>
  <c r="HT50" i="1"/>
  <c r="HN50" i="1"/>
  <c r="HJ50" i="1"/>
  <c r="HF50" i="1"/>
  <c r="EL50" i="1"/>
  <c r="EU50" i="1" s="1"/>
  <c r="GW50" i="1" s="1"/>
  <c r="AJ50" i="1" s="1"/>
  <c r="DO50" i="1"/>
  <c r="AI50" i="1" s="1"/>
  <c r="CH50" i="1"/>
  <c r="DM50" i="1" s="1"/>
  <c r="AH50" i="1" s="1"/>
  <c r="AZ50" i="1"/>
  <c r="BA50" i="1" s="1"/>
  <c r="AO50" i="1"/>
  <c r="IG49" i="1"/>
  <c r="AN49" i="1" s="1"/>
  <c r="HT49" i="1"/>
  <c r="HN49" i="1"/>
  <c r="HF49" i="1"/>
  <c r="HH49" i="1" s="1"/>
  <c r="HJ49" i="1" s="1"/>
  <c r="FA49" i="1"/>
  <c r="EL49" i="1"/>
  <c r="EU49" i="1" s="1"/>
  <c r="CH49" i="1"/>
  <c r="DM49" i="1" s="1"/>
  <c r="AZ49" i="1"/>
  <c r="BA49" i="1" s="1"/>
  <c r="AE49" i="1" s="1"/>
  <c r="AO49" i="1"/>
  <c r="AI49" i="1"/>
  <c r="IG48" i="1"/>
  <c r="AN48" i="1" s="1"/>
  <c r="IA48" i="1"/>
  <c r="HN48" i="1"/>
  <c r="HJ48" i="1"/>
  <c r="EL48" i="1"/>
  <c r="EU48" i="1" s="1"/>
  <c r="AG48" i="1" s="1"/>
  <c r="CH48" i="1"/>
  <c r="DM48" i="1" s="1"/>
  <c r="DP48" i="1" s="1"/>
  <c r="AZ48" i="1"/>
  <c r="BA48" i="1" s="1"/>
  <c r="AE48" i="1" s="1"/>
  <c r="AO48" i="1"/>
  <c r="AI48" i="1"/>
  <c r="IE47" i="1"/>
  <c r="IG47" i="1" s="1"/>
  <c r="AN47" i="1" s="1"/>
  <c r="HR47" i="1"/>
  <c r="HN47" i="1"/>
  <c r="HF47" i="1"/>
  <c r="HH47" i="1" s="1"/>
  <c r="HJ47" i="1" s="1"/>
  <c r="EL47" i="1"/>
  <c r="EU47" i="1" s="1"/>
  <c r="AG47" i="1" s="1"/>
  <c r="DO47" i="1"/>
  <c r="AI47" i="1" s="1"/>
  <c r="CH47" i="1"/>
  <c r="AZ47" i="1"/>
  <c r="BA47" i="1" s="1"/>
  <c r="AE47" i="1" s="1"/>
  <c r="AU47" i="1"/>
  <c r="AH47" i="1"/>
  <c r="IG46" i="1"/>
  <c r="AN46" i="1" s="1"/>
  <c r="HN46" i="1"/>
  <c r="HJ46" i="1"/>
  <c r="HF46" i="1"/>
  <c r="EL46" i="1"/>
  <c r="EU46" i="1" s="1"/>
  <c r="DO46" i="1"/>
  <c r="AI46" i="1" s="1"/>
  <c r="CH46" i="1"/>
  <c r="DM46" i="1" s="1"/>
  <c r="AZ46" i="1"/>
  <c r="BA46" i="1" s="1"/>
  <c r="AO46" i="1"/>
  <c r="IG45" i="1"/>
  <c r="AN45" i="1" s="1"/>
  <c r="HR45" i="1"/>
  <c r="HT45" i="1" s="1"/>
  <c r="HN45" i="1"/>
  <c r="HF45" i="1"/>
  <c r="HH45" i="1" s="1"/>
  <c r="HJ45" i="1" s="1"/>
  <c r="EL45" i="1"/>
  <c r="EU45" i="1" s="1"/>
  <c r="AG45" i="1" s="1"/>
  <c r="CH45" i="1"/>
  <c r="DM45" i="1" s="1"/>
  <c r="DP45" i="1" s="1"/>
  <c r="AZ45" i="1"/>
  <c r="AT45" i="1"/>
  <c r="AO45" i="1"/>
  <c r="AI45" i="1"/>
  <c r="AC45" i="1"/>
  <c r="IG42" i="1"/>
  <c r="AN42" i="1" s="1"/>
  <c r="HN42" i="1"/>
  <c r="HJ42" i="1"/>
  <c r="HF42" i="1"/>
  <c r="EL42" i="1"/>
  <c r="EU42" i="1" s="1"/>
  <c r="GW42" i="1" s="1"/>
  <c r="AJ42" i="1" s="1"/>
  <c r="DO42" i="1"/>
  <c r="AI42" i="1" s="1"/>
  <c r="CH42" i="1"/>
  <c r="DM42" i="1" s="1"/>
  <c r="AZ42" i="1"/>
  <c r="BA42" i="1" s="1"/>
  <c r="AO42" i="1"/>
  <c r="IE41" i="1"/>
  <c r="IG41" i="1" s="1"/>
  <c r="AN41" i="1" s="1"/>
  <c r="HN41" i="1"/>
  <c r="HJ41" i="1"/>
  <c r="EL41" i="1"/>
  <c r="EU41" i="1" s="1"/>
  <c r="CM41" i="1"/>
  <c r="CH41" i="1"/>
  <c r="AZ41" i="1"/>
  <c r="BA41" i="1" s="1"/>
  <c r="AT41" i="1"/>
  <c r="AO41" i="1"/>
  <c r="IE40" i="1"/>
  <c r="IG40" i="1" s="1"/>
  <c r="AN40" i="1" s="1"/>
  <c r="HR40" i="1"/>
  <c r="HT40" i="1" s="1"/>
  <c r="HN40" i="1"/>
  <c r="HF40" i="1"/>
  <c r="HH40" i="1" s="1"/>
  <c r="HJ40" i="1" s="1"/>
  <c r="EL40" i="1"/>
  <c r="EU40" i="1" s="1"/>
  <c r="GW40" i="1" s="1"/>
  <c r="AJ40" i="1" s="1"/>
  <c r="DP40" i="1"/>
  <c r="AH40" i="1" s="1"/>
  <c r="DO40" i="1"/>
  <c r="AI40" i="1" s="1"/>
  <c r="AZ40" i="1"/>
  <c r="BA40" i="1" s="1"/>
  <c r="IE38" i="1"/>
  <c r="IG38" i="1" s="1"/>
  <c r="AN38" i="1" s="1"/>
  <c r="HT38" i="1"/>
  <c r="HN38" i="1"/>
  <c r="HF38" i="1"/>
  <c r="HH38" i="1" s="1"/>
  <c r="HJ38" i="1" s="1"/>
  <c r="EL38" i="1"/>
  <c r="EU38" i="1" s="1"/>
  <c r="DP38" i="1"/>
  <c r="AH38" i="1" s="1"/>
  <c r="DO38" i="1"/>
  <c r="AI38" i="1" s="1"/>
  <c r="AZ38" i="1"/>
  <c r="BA38" i="1" s="1"/>
  <c r="IE37" i="1"/>
  <c r="IG37" i="1" s="1"/>
  <c r="AN37" i="1" s="1"/>
  <c r="HT37" i="1"/>
  <c r="HN37" i="1"/>
  <c r="HF37" i="1"/>
  <c r="HH37" i="1" s="1"/>
  <c r="HJ37" i="1" s="1"/>
  <c r="EL37" i="1"/>
  <c r="EU37" i="1" s="1"/>
  <c r="GW37" i="1" s="1"/>
  <c r="AJ37" i="1" s="1"/>
  <c r="DP37" i="1"/>
  <c r="AH37" i="1" s="1"/>
  <c r="DO37" i="1"/>
  <c r="AI37" i="1" s="1"/>
  <c r="AX37" i="1"/>
  <c r="AW37" i="1" s="1"/>
  <c r="IE36" i="1"/>
  <c r="IG36" i="1" s="1"/>
  <c r="AN36" i="1" s="1"/>
  <c r="HN36" i="1"/>
  <c r="HF36" i="1"/>
  <c r="HH36" i="1" s="1"/>
  <c r="HJ36" i="1" s="1"/>
  <c r="EL36" i="1"/>
  <c r="EU36" i="1" s="1"/>
  <c r="CG36" i="1"/>
  <c r="DO36" i="1" s="1"/>
  <c r="AI36" i="1" s="1"/>
  <c r="AZ36" i="1"/>
  <c r="BA36" i="1" s="1"/>
  <c r="IE33" i="1"/>
  <c r="IG33" i="1" s="1"/>
  <c r="AN33" i="1" s="1"/>
  <c r="HR33" i="1"/>
  <c r="HT33" i="1" s="1"/>
  <c r="HN33" i="1"/>
  <c r="HF33" i="1"/>
  <c r="HH33" i="1" s="1"/>
  <c r="HJ33" i="1" s="1"/>
  <c r="EL33" i="1"/>
  <c r="EU33" i="1" s="1"/>
  <c r="DP33" i="1"/>
  <c r="AH33" i="1" s="1"/>
  <c r="DO33" i="1"/>
  <c r="AI33" i="1" s="1"/>
  <c r="AZ33" i="1"/>
  <c r="AC33" i="1"/>
  <c r="IE32" i="1"/>
  <c r="IG32" i="1" s="1"/>
  <c r="AN32" i="1" s="1"/>
  <c r="HN32" i="1"/>
  <c r="HF32" i="1"/>
  <c r="HH32" i="1" s="1"/>
  <c r="HJ32" i="1" s="1"/>
  <c r="EL32" i="1"/>
  <c r="EU32" i="1" s="1"/>
  <c r="DP32" i="1"/>
  <c r="AH32" i="1" s="1"/>
  <c r="DO32" i="1"/>
  <c r="AI32" i="1" s="1"/>
  <c r="AZ32" i="1"/>
  <c r="BA32" i="1" s="1"/>
  <c r="IE31" i="1"/>
  <c r="IG31" i="1" s="1"/>
  <c r="AN31" i="1" s="1"/>
  <c r="HN31" i="1"/>
  <c r="HF31" i="1"/>
  <c r="HH31" i="1" s="1"/>
  <c r="HJ31" i="1" s="1"/>
  <c r="EL31" i="1"/>
  <c r="EU31" i="1" s="1"/>
  <c r="DP31" i="1"/>
  <c r="AH31" i="1" s="1"/>
  <c r="DO31" i="1"/>
  <c r="AI31" i="1" s="1"/>
  <c r="AZ31" i="1"/>
  <c r="AC31" i="1"/>
  <c r="IG221" i="1"/>
  <c r="AN221" i="1" s="1"/>
  <c r="HT221" i="1"/>
  <c r="HN221" i="1"/>
  <c r="HF221" i="1"/>
  <c r="HH221" i="1" s="1"/>
  <c r="HJ221" i="1" s="1"/>
  <c r="HL221" i="1" s="1"/>
  <c r="EL221" i="1"/>
  <c r="EU221" i="1" s="1"/>
  <c r="GW221" i="1" s="1"/>
  <c r="AJ221" i="1" s="1"/>
  <c r="DP221" i="1"/>
  <c r="CH221" i="1"/>
  <c r="DM221" i="1" s="1"/>
  <c r="AZ221" i="1"/>
  <c r="BA221" i="1" s="1"/>
  <c r="IG220" i="1"/>
  <c r="AN220" i="1" s="1"/>
  <c r="HT220" i="1"/>
  <c r="HN220" i="1"/>
  <c r="HF220" i="1"/>
  <c r="HH220" i="1" s="1"/>
  <c r="HJ220" i="1" s="1"/>
  <c r="HL220" i="1" s="1"/>
  <c r="EL220" i="1"/>
  <c r="EU220" i="1" s="1"/>
  <c r="AG220" i="1" s="1"/>
  <c r="DP220" i="1"/>
  <c r="CH220" i="1"/>
  <c r="DM220" i="1" s="1"/>
  <c r="DO220" i="1" s="1"/>
  <c r="AI220" i="1" s="1"/>
  <c r="AZ220" i="1"/>
  <c r="BA220" i="1" s="1"/>
  <c r="IE219" i="1"/>
  <c r="IG219" i="1" s="1"/>
  <c r="AN219" i="1" s="1"/>
  <c r="HT219" i="1"/>
  <c r="HN219" i="1"/>
  <c r="HF219" i="1"/>
  <c r="HH219" i="1" s="1"/>
  <c r="HJ219" i="1" s="1"/>
  <c r="EL219" i="1"/>
  <c r="EU219" i="1" s="1"/>
  <c r="AG219" i="1" s="1"/>
  <c r="DP219" i="1"/>
  <c r="CH219" i="1"/>
  <c r="DM219" i="1" s="1"/>
  <c r="AZ219" i="1"/>
  <c r="AC219" i="1"/>
  <c r="IG218" i="1"/>
  <c r="AN218" i="1" s="1"/>
  <c r="HR218" i="1"/>
  <c r="HT218" i="1" s="1"/>
  <c r="HN218" i="1"/>
  <c r="HF218" i="1"/>
  <c r="HH218" i="1" s="1"/>
  <c r="HJ218" i="1" s="1"/>
  <c r="EL218" i="1"/>
  <c r="EU218" i="1" s="1"/>
  <c r="AG218" i="1" s="1"/>
  <c r="CW218" i="1"/>
  <c r="CR218" i="1"/>
  <c r="CM218" i="1"/>
  <c r="CH218" i="1"/>
  <c r="BA218" i="1"/>
  <c r="AE218" i="1" s="1"/>
  <c r="AZ218" i="1"/>
  <c r="AK218" i="1"/>
  <c r="AC218" i="1"/>
  <c r="IE217" i="1"/>
  <c r="IG217" i="1" s="1"/>
  <c r="AN217" i="1" s="1"/>
  <c r="HT217" i="1"/>
  <c r="HN217" i="1"/>
  <c r="HF217" i="1"/>
  <c r="HH217" i="1" s="1"/>
  <c r="HJ217" i="1" s="1"/>
  <c r="EL217" i="1"/>
  <c r="EU217" i="1" s="1"/>
  <c r="CR217" i="1"/>
  <c r="CM217" i="1"/>
  <c r="AZ217" i="1"/>
  <c r="BA217" i="1" s="1"/>
  <c r="AE217" i="1" s="1"/>
  <c r="IG210" i="1"/>
  <c r="AN210" i="1" s="1"/>
  <c r="HT210" i="1"/>
  <c r="HO210" i="1"/>
  <c r="HN210" i="1"/>
  <c r="HF210" i="1"/>
  <c r="HH210" i="1" s="1"/>
  <c r="HJ210" i="1" s="1"/>
  <c r="HL210" i="1" s="1"/>
  <c r="EY210" i="1"/>
  <c r="AO210" i="1" s="1"/>
  <c r="EX210" i="1"/>
  <c r="FA210" i="1" s="1"/>
  <c r="EL210" i="1"/>
  <c r="EU210" i="1" s="1"/>
  <c r="CR210" i="1"/>
  <c r="CM210" i="1"/>
  <c r="CH210" i="1"/>
  <c r="BA210" i="1"/>
  <c r="AE210" i="1" s="1"/>
  <c r="AZ210" i="1"/>
  <c r="AK210" i="1"/>
  <c r="AC210" i="1"/>
  <c r="IE209" i="1"/>
  <c r="IG209" i="1" s="1"/>
  <c r="AN209" i="1" s="1"/>
  <c r="HT209" i="1"/>
  <c r="HN209" i="1"/>
  <c r="HF209" i="1"/>
  <c r="HH209" i="1" s="1"/>
  <c r="HJ209" i="1" s="1"/>
  <c r="EL209" i="1"/>
  <c r="EU209" i="1" s="1"/>
  <c r="CV209" i="1"/>
  <c r="CW209" i="1" s="1"/>
  <c r="CQ209" i="1"/>
  <c r="CR209" i="1" s="1"/>
  <c r="CL209" i="1"/>
  <c r="CM209" i="1" s="1"/>
  <c r="CH209" i="1"/>
  <c r="AZ209" i="1"/>
  <c r="AC209" i="1"/>
  <c r="IE208" i="1"/>
  <c r="IG208" i="1" s="1"/>
  <c r="AN208" i="1" s="1"/>
  <c r="HR208" i="1"/>
  <c r="HT208" i="1" s="1"/>
  <c r="HN208" i="1"/>
  <c r="HF208" i="1"/>
  <c r="HH208" i="1" s="1"/>
  <c r="HJ208" i="1" s="1"/>
  <c r="EL208" i="1"/>
  <c r="EU208" i="1" s="1"/>
  <c r="CV208" i="1"/>
  <c r="CW208" i="1" s="1"/>
  <c r="CQ208" i="1"/>
  <c r="CR208" i="1" s="1"/>
  <c r="CL208" i="1"/>
  <c r="CM208" i="1" s="1"/>
  <c r="CH208" i="1"/>
  <c r="AZ208" i="1"/>
  <c r="BA208" i="1" s="1"/>
  <c r="AE208" i="1" s="1"/>
  <c r="IE207" i="1"/>
  <c r="IG207" i="1" s="1"/>
  <c r="AN207" i="1" s="1"/>
  <c r="HT207" i="1"/>
  <c r="HN207" i="1"/>
  <c r="HF207" i="1"/>
  <c r="HH207" i="1" s="1"/>
  <c r="HJ207" i="1" s="1"/>
  <c r="EL207" i="1"/>
  <c r="EU207" i="1" s="1"/>
  <c r="CV207" i="1"/>
  <c r="CW207" i="1" s="1"/>
  <c r="CQ207" i="1"/>
  <c r="CR207" i="1" s="1"/>
  <c r="CL207" i="1"/>
  <c r="CM207" i="1" s="1"/>
  <c r="CH207" i="1"/>
  <c r="AZ207" i="1"/>
  <c r="AC207" i="1"/>
  <c r="IE201" i="1"/>
  <c r="HT201" i="1"/>
  <c r="HO201" i="1"/>
  <c r="HN201" i="1"/>
  <c r="HF201" i="1"/>
  <c r="HH201" i="1" s="1"/>
  <c r="HJ201" i="1" s="1"/>
  <c r="EL201" i="1"/>
  <c r="EU201" i="1" s="1"/>
  <c r="CG201" i="1"/>
  <c r="DO201" i="1" s="1"/>
  <c r="AI201" i="1" s="1"/>
  <c r="AZ201" i="1"/>
  <c r="BA201" i="1" s="1"/>
  <c r="AN201" i="1"/>
  <c r="IE197" i="1"/>
  <c r="IG197" i="1" s="1"/>
  <c r="AN197" i="1" s="1"/>
  <c r="HT197" i="1"/>
  <c r="HN197" i="1"/>
  <c r="HF197" i="1"/>
  <c r="HH197" i="1" s="1"/>
  <c r="HJ197" i="1" s="1"/>
  <c r="EL197" i="1"/>
  <c r="EU197" i="1" s="1"/>
  <c r="GW197" i="1" s="1"/>
  <c r="AJ197" i="1" s="1"/>
  <c r="CG197" i="1"/>
  <c r="CH197" i="1" s="1"/>
  <c r="DM197" i="1" s="1"/>
  <c r="AZ197" i="1"/>
  <c r="BA197" i="1" s="1"/>
  <c r="AE197" i="1" s="1"/>
  <c r="IC17" i="1"/>
  <c r="IB17" i="1"/>
  <c r="IA17" i="1"/>
  <c r="HN17" i="1"/>
  <c r="HF17" i="1"/>
  <c r="HH17" i="1" s="1"/>
  <c r="HJ17" i="1" s="1"/>
  <c r="EL17" i="1"/>
  <c r="EU17" i="1" s="1"/>
  <c r="AG17" i="1" s="1"/>
  <c r="DO17" i="1"/>
  <c r="AI17" i="1" s="1"/>
  <c r="CH17" i="1"/>
  <c r="DM17" i="1" s="1"/>
  <c r="BA17" i="1"/>
  <c r="AE17" i="1" s="1"/>
  <c r="AZ17" i="1"/>
  <c r="AO17" i="1"/>
  <c r="AC17" i="1"/>
  <c r="IG195" i="1"/>
  <c r="AN195" i="1" s="1"/>
  <c r="HT195" i="1"/>
  <c r="HN195" i="1"/>
  <c r="HF195" i="1"/>
  <c r="HH195" i="1" s="1"/>
  <c r="HJ195" i="1" s="1"/>
  <c r="EL195" i="1"/>
  <c r="EU195" i="1" s="1"/>
  <c r="GW195" i="1" s="1"/>
  <c r="AJ195" i="1" s="1"/>
  <c r="CH195" i="1"/>
  <c r="DM195" i="1" s="1"/>
  <c r="AZ195" i="1"/>
  <c r="BA195" i="1" s="1"/>
  <c r="IG194" i="1"/>
  <c r="AN194" i="1" s="1"/>
  <c r="HT194" i="1"/>
  <c r="HN194" i="1"/>
  <c r="HF194" i="1"/>
  <c r="HH194" i="1" s="1"/>
  <c r="HJ194" i="1" s="1"/>
  <c r="EL194" i="1"/>
  <c r="EU194" i="1" s="1"/>
  <c r="AG194" i="1" s="1"/>
  <c r="DP194" i="1"/>
  <c r="CH194" i="1"/>
  <c r="DM194" i="1" s="1"/>
  <c r="DO194" i="1" s="1"/>
  <c r="AI194" i="1" s="1"/>
  <c r="AZ194" i="1"/>
  <c r="AC194" i="1"/>
  <c r="IG13" i="1"/>
  <c r="AN13" i="1" s="1"/>
  <c r="IC13" i="1"/>
  <c r="IB13" i="1"/>
  <c r="IA13" i="1"/>
  <c r="HN13" i="1"/>
  <c r="HJ13" i="1"/>
  <c r="HF13" i="1"/>
  <c r="EY13" i="1"/>
  <c r="AO13" i="1" s="1"/>
  <c r="EL13" i="1"/>
  <c r="EU13" i="1" s="1"/>
  <c r="CH13" i="1"/>
  <c r="DM13" i="1" s="1"/>
  <c r="AZ13" i="1"/>
  <c r="BA13" i="1" s="1"/>
  <c r="AT13" i="1"/>
  <c r="AI13" i="1"/>
  <c r="HZ12" i="1"/>
  <c r="IC12" i="1" s="1"/>
  <c r="HY12" i="1"/>
  <c r="IB12" i="1" s="1"/>
  <c r="HX12" i="1"/>
  <c r="IA12" i="1" s="1"/>
  <c r="HN12" i="1"/>
  <c r="HF12" i="1"/>
  <c r="HH12" i="1" s="1"/>
  <c r="HJ12" i="1" s="1"/>
  <c r="EL12" i="1"/>
  <c r="EU12" i="1" s="1"/>
  <c r="AG12" i="1" s="1"/>
  <c r="DP12" i="1"/>
  <c r="AH12" i="1" s="1"/>
  <c r="DO12" i="1"/>
  <c r="AI12" i="1" s="1"/>
  <c r="AZ12" i="1"/>
  <c r="AC12" i="1"/>
  <c r="IG11" i="1"/>
  <c r="AN11" i="1" s="1"/>
  <c r="HZ11" i="1"/>
  <c r="IC11" i="1" s="1"/>
  <c r="HY11" i="1"/>
  <c r="IB11" i="1" s="1"/>
  <c r="HX11" i="1"/>
  <c r="IA11" i="1" s="1"/>
  <c r="HN11" i="1"/>
  <c r="HF11" i="1"/>
  <c r="HH11" i="1" s="1"/>
  <c r="HJ11" i="1" s="1"/>
  <c r="EL11" i="1"/>
  <c r="EU11" i="1" s="1"/>
  <c r="GW11" i="1" s="1"/>
  <c r="AJ11" i="1" s="1"/>
  <c r="CH11" i="1"/>
  <c r="DM11" i="1" s="1"/>
  <c r="AX11" i="1"/>
  <c r="AZ11" i="1" s="1"/>
  <c r="BA11" i="1" s="1"/>
  <c r="IE193" i="1"/>
  <c r="IG193" i="1" s="1"/>
  <c r="AN193" i="1" s="1"/>
  <c r="HO193" i="1"/>
  <c r="HV193" i="1" s="1"/>
  <c r="AM193" i="1" s="1"/>
  <c r="HN193" i="1"/>
  <c r="HF193" i="1"/>
  <c r="HH193" i="1" s="1"/>
  <c r="HJ193" i="1" s="1"/>
  <c r="EL193" i="1"/>
  <c r="EU193" i="1" s="1"/>
  <c r="CH193" i="1"/>
  <c r="DM193" i="1" s="1"/>
  <c r="AH193" i="1" s="1"/>
  <c r="AZ193" i="1"/>
  <c r="BA193" i="1" s="1"/>
  <c r="IE171" i="1"/>
  <c r="IG171" i="1" s="1"/>
  <c r="AN171" i="1" s="1"/>
  <c r="HN171" i="1"/>
  <c r="HF171" i="1"/>
  <c r="HH171" i="1" s="1"/>
  <c r="HJ171" i="1" s="1"/>
  <c r="EL171" i="1"/>
  <c r="EU171" i="1" s="1"/>
  <c r="GW171" i="1" s="1"/>
  <c r="AJ171" i="1" s="1"/>
  <c r="CH171" i="1"/>
  <c r="DM171" i="1" s="1"/>
  <c r="AZ171" i="1"/>
  <c r="BA171" i="1" s="1"/>
  <c r="IE170" i="1"/>
  <c r="IG170" i="1" s="1"/>
  <c r="AN170" i="1" s="1"/>
  <c r="HN170" i="1"/>
  <c r="HF170" i="1"/>
  <c r="HH170" i="1" s="1"/>
  <c r="HJ170" i="1" s="1"/>
  <c r="EL170" i="1"/>
  <c r="EU170" i="1" s="1"/>
  <c r="CH170" i="1"/>
  <c r="DM170" i="1" s="1"/>
  <c r="AZ170" i="1"/>
  <c r="BA170" i="1" s="1"/>
  <c r="IC7" i="1"/>
  <c r="IB7" i="1"/>
  <c r="IA7" i="1"/>
  <c r="HF7" i="1"/>
  <c r="HH7" i="1" s="1"/>
  <c r="HJ7" i="1" s="1"/>
  <c r="HO7" i="1" s="1"/>
  <c r="HV7" i="1" s="1"/>
  <c r="AM7" i="1" s="1"/>
  <c r="EL7" i="1"/>
  <c r="EU7" i="1" s="1"/>
  <c r="GW7" i="1" s="1"/>
  <c r="AJ7" i="1" s="1"/>
  <c r="CH7" i="1"/>
  <c r="DM7" i="1" s="1"/>
  <c r="AZ7" i="1"/>
  <c r="AC7" i="1"/>
  <c r="IC6" i="1"/>
  <c r="IB6" i="1"/>
  <c r="IA6" i="1"/>
  <c r="HR6" i="1"/>
  <c r="HN6" i="1"/>
  <c r="HF6" i="1"/>
  <c r="HH6" i="1" s="1"/>
  <c r="HJ6" i="1" s="1"/>
  <c r="EL6" i="1"/>
  <c r="EU6" i="1" s="1"/>
  <c r="CH6" i="1"/>
  <c r="DM6" i="1" s="1"/>
  <c r="DO6" i="1" s="1"/>
  <c r="AI6" i="1" s="1"/>
  <c r="AZ6" i="1"/>
  <c r="BA6" i="1" s="1"/>
  <c r="IC5" i="1"/>
  <c r="IB5" i="1"/>
  <c r="IA5" i="1"/>
  <c r="HN5" i="1"/>
  <c r="HF5" i="1"/>
  <c r="HH5" i="1" s="1"/>
  <c r="HJ5" i="1" s="1"/>
  <c r="EL5" i="1"/>
  <c r="EU5" i="1" s="1"/>
  <c r="CH5" i="1"/>
  <c r="DM5" i="1" s="1"/>
  <c r="AZ5" i="1"/>
  <c r="BA5" i="1" s="1"/>
  <c r="IC161" i="1"/>
  <c r="IB161" i="1"/>
  <c r="IA161" i="1"/>
  <c r="HN161" i="1"/>
  <c r="HF161" i="1"/>
  <c r="HH161" i="1" s="1"/>
  <c r="HJ161" i="1" s="1"/>
  <c r="EL161" i="1"/>
  <c r="EU161" i="1" s="1"/>
  <c r="CH161" i="1"/>
  <c r="DM161" i="1" s="1"/>
  <c r="DO161" i="1" s="1"/>
  <c r="AI161" i="1" s="1"/>
  <c r="AZ161" i="1"/>
  <c r="BA161" i="1" s="1"/>
  <c r="IC3" i="1"/>
  <c r="IB3" i="1"/>
  <c r="IA3" i="1"/>
  <c r="HN3" i="1"/>
  <c r="HF3" i="1"/>
  <c r="HH3" i="1" s="1"/>
  <c r="HJ3" i="1" s="1"/>
  <c r="EL3" i="1"/>
  <c r="EU3" i="1" s="1"/>
  <c r="CH3" i="1"/>
  <c r="DM3" i="1" s="1"/>
  <c r="AZ3" i="1"/>
  <c r="AC3" i="1"/>
  <c r="IC2" i="1"/>
  <c r="IB2" i="1"/>
  <c r="IA2" i="1"/>
  <c r="HR2" i="1"/>
  <c r="HN2" i="1"/>
  <c r="HF2" i="1"/>
  <c r="HH2" i="1" s="1"/>
  <c r="HJ2" i="1" s="1"/>
  <c r="EL2" i="1"/>
  <c r="EG2" i="1"/>
  <c r="CH2" i="1"/>
  <c r="DM2" i="1" s="1"/>
  <c r="AH2" i="1" s="1"/>
  <c r="BA2" i="1"/>
  <c r="AE2" i="1" s="1"/>
  <c r="AZ2" i="1"/>
  <c r="AC2" i="1"/>
  <c r="AH382" i="1" l="1"/>
  <c r="HO453" i="1"/>
  <c r="HV453" i="1" s="1"/>
  <c r="AM453" i="1" s="1"/>
  <c r="HO278" i="1"/>
  <c r="HV278" i="1" s="1"/>
  <c r="AM278" i="1" s="1"/>
  <c r="HO267" i="1"/>
  <c r="HV267" i="1" s="1"/>
  <c r="AM267" i="1" s="1"/>
  <c r="BA290" i="1"/>
  <c r="GU290" i="1" s="1"/>
  <c r="AK290" i="1" s="1"/>
  <c r="HO382" i="1"/>
  <c r="HV382" i="1" s="1"/>
  <c r="AM382" i="1" s="1"/>
  <c r="BA260" i="1"/>
  <c r="AE260" i="1" s="1"/>
  <c r="DO197" i="1"/>
  <c r="AI197" i="1" s="1"/>
  <c r="HO73" i="1"/>
  <c r="HV73" i="1" s="1"/>
  <c r="AM73" i="1" s="1"/>
  <c r="HN357" i="1"/>
  <c r="HO357" i="1" s="1"/>
  <c r="HV357" i="1" s="1"/>
  <c r="AM357" i="1" s="1"/>
  <c r="AZ162" i="1"/>
  <c r="BA162" i="1" s="1"/>
  <c r="AE162" i="1" s="1"/>
  <c r="FA280" i="1"/>
  <c r="FA68" i="1"/>
  <c r="AG294" i="1"/>
  <c r="EU2" i="1"/>
  <c r="AG2" i="1" s="1"/>
  <c r="CH308" i="1"/>
  <c r="DM308" i="1" s="1"/>
  <c r="AH308" i="1" s="1"/>
  <c r="DP308" i="1"/>
  <c r="HF359" i="1"/>
  <c r="CH78" i="1"/>
  <c r="DM78" i="1" s="1"/>
  <c r="HO17" i="1"/>
  <c r="HV17" i="1" s="1"/>
  <c r="AM17" i="1" s="1"/>
  <c r="HO32" i="1"/>
  <c r="HV32" i="1" s="1"/>
  <c r="AM32" i="1" s="1"/>
  <c r="HO36" i="1"/>
  <c r="HV36" i="1" s="1"/>
  <c r="AM36" i="1" s="1"/>
  <c r="HO394" i="1"/>
  <c r="HV394" i="1" s="1"/>
  <c r="AM394" i="1" s="1"/>
  <c r="HO401" i="1"/>
  <c r="HV401" i="1" s="1"/>
  <c r="AM401" i="1" s="1"/>
  <c r="HO410" i="1"/>
  <c r="HV410" i="1" s="1"/>
  <c r="AM410" i="1" s="1"/>
  <c r="HO273" i="1"/>
  <c r="HV273" i="1" s="1"/>
  <c r="AM273" i="1" s="1"/>
  <c r="HO276" i="1"/>
  <c r="HV276" i="1" s="1"/>
  <c r="AM276" i="1" s="1"/>
  <c r="HO283" i="1"/>
  <c r="HV283" i="1" s="1"/>
  <c r="AM283" i="1" s="1"/>
  <c r="HO452" i="1"/>
  <c r="HV452" i="1" s="1"/>
  <c r="AM452" i="1" s="1"/>
  <c r="HO225" i="1"/>
  <c r="HV225" i="1" s="1"/>
  <c r="AM225" i="1" s="1"/>
  <c r="IE455" i="1"/>
  <c r="IG455" i="1" s="1"/>
  <c r="AN455" i="1" s="1"/>
  <c r="IE64" i="1"/>
  <c r="IG64" i="1" s="1"/>
  <c r="AN64" i="1" s="1"/>
  <c r="GU271" i="1"/>
  <c r="AK271" i="1" s="1"/>
  <c r="IE291" i="1"/>
  <c r="IG291" i="1" s="1"/>
  <c r="AN291" i="1" s="1"/>
  <c r="GU452" i="1"/>
  <c r="AK452" i="1" s="1"/>
  <c r="BA375" i="1"/>
  <c r="AE375" i="1" s="1"/>
  <c r="HO218" i="1"/>
  <c r="HV218" i="1" s="1"/>
  <c r="AM218" i="1" s="1"/>
  <c r="BA368" i="1"/>
  <c r="GS368" i="1" s="1"/>
  <c r="HO345" i="1"/>
  <c r="HV345" i="1" s="1"/>
  <c r="AM345" i="1" s="1"/>
  <c r="HO365" i="1"/>
  <c r="HV365" i="1" s="1"/>
  <c r="AM365" i="1" s="1"/>
  <c r="HO444" i="1"/>
  <c r="HV444" i="1" s="1"/>
  <c r="AM444" i="1" s="1"/>
  <c r="HO387" i="1"/>
  <c r="HV387" i="1" s="1"/>
  <c r="AM387" i="1" s="1"/>
  <c r="HO407" i="1"/>
  <c r="HV407" i="1" s="1"/>
  <c r="AM407" i="1" s="1"/>
  <c r="HO256" i="1"/>
  <c r="HV256" i="1" s="1"/>
  <c r="AM256" i="1" s="1"/>
  <c r="IE335" i="1"/>
  <c r="IG335" i="1" s="1"/>
  <c r="AN335" i="1" s="1"/>
  <c r="HO359" i="1"/>
  <c r="HV359" i="1" s="1"/>
  <c r="AM359" i="1" s="1"/>
  <c r="IE294" i="1"/>
  <c r="IG294" i="1" s="1"/>
  <c r="AN294" i="1" s="1"/>
  <c r="HO5" i="1"/>
  <c r="HV5" i="1" s="1"/>
  <c r="AM5" i="1" s="1"/>
  <c r="HO396" i="1"/>
  <c r="HV396" i="1" s="1"/>
  <c r="AM396" i="1" s="1"/>
  <c r="DM447" i="1"/>
  <c r="DO447" i="1" s="1"/>
  <c r="AI447" i="1" s="1"/>
  <c r="HO61" i="1"/>
  <c r="HV61" i="1" s="1"/>
  <c r="AM61" i="1" s="1"/>
  <c r="HO64" i="1"/>
  <c r="HV64" i="1" s="1"/>
  <c r="AM64" i="1" s="1"/>
  <c r="IE211" i="1"/>
  <c r="IG211" i="1" s="1"/>
  <c r="AN211" i="1" s="1"/>
  <c r="BA400" i="1"/>
  <c r="AE400" i="1" s="1"/>
  <c r="BA401" i="1"/>
  <c r="GU401" i="1" s="1"/>
  <c r="AK401" i="1" s="1"/>
  <c r="HO45" i="1"/>
  <c r="HV45" i="1" s="1"/>
  <c r="AM45" i="1" s="1"/>
  <c r="HO81" i="1"/>
  <c r="HV81" i="1" s="1"/>
  <c r="AM81" i="1" s="1"/>
  <c r="HO246" i="1"/>
  <c r="HV246" i="1" s="1"/>
  <c r="AM246" i="1" s="1"/>
  <c r="IE400" i="1"/>
  <c r="IG400" i="1" s="1"/>
  <c r="AN400" i="1" s="1"/>
  <c r="HO321" i="1"/>
  <c r="HV321" i="1" s="1"/>
  <c r="AM321" i="1" s="1"/>
  <c r="HO327" i="1"/>
  <c r="HV327" i="1" s="1"/>
  <c r="AM327" i="1" s="1"/>
  <c r="BA66" i="1"/>
  <c r="GU66" i="1" s="1"/>
  <c r="AK66" i="1" s="1"/>
  <c r="AG210" i="1"/>
  <c r="HO66" i="1"/>
  <c r="HV66" i="1" s="1"/>
  <c r="AM66" i="1" s="1"/>
  <c r="HO67" i="1"/>
  <c r="HV67" i="1" s="1"/>
  <c r="AM67" i="1" s="1"/>
  <c r="HO76" i="1"/>
  <c r="HV76" i="1" s="1"/>
  <c r="AM76" i="1" s="1"/>
  <c r="IE391" i="1"/>
  <c r="IG391" i="1" s="1"/>
  <c r="AN391" i="1" s="1"/>
  <c r="HO398" i="1"/>
  <c r="HV398" i="1" s="1"/>
  <c r="AM398" i="1" s="1"/>
  <c r="HO314" i="1"/>
  <c r="HV314" i="1" s="1"/>
  <c r="AM314" i="1" s="1"/>
  <c r="HO57" i="1"/>
  <c r="HV57" i="1" s="1"/>
  <c r="AM57" i="1" s="1"/>
  <c r="HO408" i="1"/>
  <c r="HV408" i="1" s="1"/>
  <c r="AM408" i="1" s="1"/>
  <c r="HO279" i="1"/>
  <c r="HV279" i="1" s="1"/>
  <c r="AM279" i="1" s="1"/>
  <c r="AG285" i="1"/>
  <c r="HO332" i="1"/>
  <c r="HV332" i="1" s="1"/>
  <c r="AM332" i="1" s="1"/>
  <c r="BA346" i="1"/>
  <c r="GU346" i="1" s="1"/>
  <c r="AK346" i="1" s="1"/>
  <c r="HO351" i="1"/>
  <c r="HV351" i="1" s="1"/>
  <c r="AM351" i="1" s="1"/>
  <c r="HO370" i="1"/>
  <c r="HV370" i="1" s="1"/>
  <c r="AM370" i="1" s="1"/>
  <c r="HO378" i="1"/>
  <c r="HV378" i="1" s="1"/>
  <c r="AM378" i="1" s="1"/>
  <c r="IE398" i="1"/>
  <c r="IG398" i="1" s="1"/>
  <c r="AN398" i="1" s="1"/>
  <c r="DM335" i="1"/>
  <c r="AH335" i="1" s="1"/>
  <c r="HO347" i="1"/>
  <c r="HV347" i="1" s="1"/>
  <c r="AM347" i="1" s="1"/>
  <c r="BA363" i="1"/>
  <c r="AE363" i="1" s="1"/>
  <c r="HO436" i="1"/>
  <c r="HV436" i="1" s="1"/>
  <c r="AM436" i="1" s="1"/>
  <c r="HO108" i="1"/>
  <c r="HV108" i="1" s="1"/>
  <c r="AM108" i="1" s="1"/>
  <c r="HO409" i="1"/>
  <c r="HV409" i="1" s="1"/>
  <c r="AM409" i="1" s="1"/>
  <c r="HO416" i="1"/>
  <c r="HV416" i="1" s="1"/>
  <c r="AM416" i="1" s="1"/>
  <c r="HO264" i="1"/>
  <c r="HV264" i="1" s="1"/>
  <c r="AM264" i="1" s="1"/>
  <c r="HO268" i="1"/>
  <c r="HV268" i="1" s="1"/>
  <c r="AM268" i="1" s="1"/>
  <c r="HO271" i="1"/>
  <c r="HV271" i="1" s="1"/>
  <c r="AM271" i="1" s="1"/>
  <c r="HO324" i="1"/>
  <c r="HV324" i="1" s="1"/>
  <c r="AM324" i="1" s="1"/>
  <c r="HO326" i="1"/>
  <c r="HV326" i="1" s="1"/>
  <c r="AM326" i="1" s="1"/>
  <c r="HO54" i="1"/>
  <c r="HV54" i="1" s="1"/>
  <c r="AM54" i="1" s="1"/>
  <c r="HO74" i="1"/>
  <c r="HV74" i="1" s="1"/>
  <c r="AM74" i="1" s="1"/>
  <c r="HO288" i="1"/>
  <c r="HV288" i="1" s="1"/>
  <c r="AM288" i="1" s="1"/>
  <c r="IE321" i="1"/>
  <c r="IG321" i="1" s="1"/>
  <c r="AN321" i="1" s="1"/>
  <c r="DM217" i="1"/>
  <c r="AH217" i="1" s="1"/>
  <c r="HO46" i="1"/>
  <c r="HV46" i="1" s="1"/>
  <c r="AM46" i="1" s="1"/>
  <c r="IE69" i="1"/>
  <c r="IG69" i="1" s="1"/>
  <c r="AN69" i="1" s="1"/>
  <c r="HO400" i="1"/>
  <c r="HV400" i="1" s="1"/>
  <c r="AM400" i="1" s="1"/>
  <c r="AG258" i="1"/>
  <c r="HO300" i="1"/>
  <c r="HV300" i="1" s="1"/>
  <c r="AM300" i="1" s="1"/>
  <c r="AH333" i="1"/>
  <c r="HO335" i="1"/>
  <c r="HV335" i="1" s="1"/>
  <c r="AM335" i="1" s="1"/>
  <c r="AH321" i="1"/>
  <c r="AH345" i="1"/>
  <c r="BA353" i="1"/>
  <c r="AE353" i="1" s="1"/>
  <c r="IE437" i="1"/>
  <c r="IG437" i="1" s="1"/>
  <c r="AN437" i="1" s="1"/>
  <c r="HO221" i="1"/>
  <c r="HV221" i="1" s="1"/>
  <c r="AM221" i="1" s="1"/>
  <c r="HO33" i="1"/>
  <c r="HV33" i="1" s="1"/>
  <c r="AM33" i="1" s="1"/>
  <c r="BA281" i="1"/>
  <c r="GU281" i="1" s="1"/>
  <c r="AK281" i="1" s="1"/>
  <c r="BA293" i="1"/>
  <c r="AE293" i="1" s="1"/>
  <c r="HO297" i="1"/>
  <c r="HV297" i="1" s="1"/>
  <c r="AM297" i="1" s="1"/>
  <c r="HO364" i="1"/>
  <c r="HV364" i="1" s="1"/>
  <c r="AM364" i="1" s="1"/>
  <c r="BA284" i="1"/>
  <c r="GU284" i="1" s="1"/>
  <c r="AK284" i="1" s="1"/>
  <c r="GS323" i="1"/>
  <c r="AL323" i="1" s="1"/>
  <c r="BA45" i="1"/>
  <c r="GU45" i="1" s="1"/>
  <c r="AK45" i="1" s="1"/>
  <c r="DP60" i="1"/>
  <c r="AH60" i="1" s="1"/>
  <c r="HO68" i="1"/>
  <c r="HV68" i="1" s="1"/>
  <c r="AM68" i="1" s="1"/>
  <c r="HO78" i="1"/>
  <c r="HV78" i="1" s="1"/>
  <c r="AM78" i="1" s="1"/>
  <c r="HO414" i="1"/>
  <c r="HV414" i="1" s="1"/>
  <c r="AM414" i="1" s="1"/>
  <c r="HO259" i="1"/>
  <c r="HV259" i="1" s="1"/>
  <c r="AM259" i="1" s="1"/>
  <c r="HO277" i="1"/>
  <c r="HV277" i="1" s="1"/>
  <c r="AM277" i="1" s="1"/>
  <c r="HO353" i="1"/>
  <c r="HV353" i="1" s="1"/>
  <c r="AM353" i="1" s="1"/>
  <c r="BA306" i="1"/>
  <c r="GU306" i="1" s="1"/>
  <c r="AK306" i="1" s="1"/>
  <c r="GW271" i="1"/>
  <c r="AJ271" i="1" s="1"/>
  <c r="AG77" i="1"/>
  <c r="AG339" i="1"/>
  <c r="HO11" i="1"/>
  <c r="HV11" i="1" s="1"/>
  <c r="AM11" i="1" s="1"/>
  <c r="HO12" i="1"/>
  <c r="HV12" i="1" s="1"/>
  <c r="AM12" i="1" s="1"/>
  <c r="IE68" i="1"/>
  <c r="IG68" i="1" s="1"/>
  <c r="AN68" i="1" s="1"/>
  <c r="HO84" i="1"/>
  <c r="HV84" i="1" s="1"/>
  <c r="AM84" i="1" s="1"/>
  <c r="IE402" i="1"/>
  <c r="IG402" i="1" s="1"/>
  <c r="AN402" i="1" s="1"/>
  <c r="HO252" i="1"/>
  <c r="HV252" i="1" s="1"/>
  <c r="AM252" i="1" s="1"/>
  <c r="HO262" i="1"/>
  <c r="HV262" i="1" s="1"/>
  <c r="AM262" i="1" s="1"/>
  <c r="HO305" i="1"/>
  <c r="HV305" i="1" s="1"/>
  <c r="AM305" i="1" s="1"/>
  <c r="HO322" i="1"/>
  <c r="HV322" i="1" s="1"/>
  <c r="AM322" i="1" s="1"/>
  <c r="GU357" i="1"/>
  <c r="AK357" i="1" s="1"/>
  <c r="HO366" i="1"/>
  <c r="HV366" i="1" s="1"/>
  <c r="AM366" i="1" s="1"/>
  <c r="BA369" i="1"/>
  <c r="GU369" i="1" s="1"/>
  <c r="AK369" i="1" s="1"/>
  <c r="GS354" i="1"/>
  <c r="AL354" i="1" s="1"/>
  <c r="GW145" i="1"/>
  <c r="AJ145" i="1" s="1"/>
  <c r="AG145" i="1"/>
  <c r="GW46" i="1"/>
  <c r="AJ46" i="1" s="1"/>
  <c r="AG46" i="1"/>
  <c r="GW312" i="1"/>
  <c r="AJ312" i="1" s="1"/>
  <c r="AG312" i="1"/>
  <c r="HO435" i="1"/>
  <c r="HV435" i="1" s="1"/>
  <c r="AM435" i="1" s="1"/>
  <c r="GW447" i="1"/>
  <c r="AJ447" i="1" s="1"/>
  <c r="AG221" i="1"/>
  <c r="AG37" i="1"/>
  <c r="AG42" i="1"/>
  <c r="IE5" i="1"/>
  <c r="IG5" i="1" s="1"/>
  <c r="AN5" i="1" s="1"/>
  <c r="DO193" i="1"/>
  <c r="DP193" i="1" s="1"/>
  <c r="GS217" i="1"/>
  <c r="AL217" i="1" s="1"/>
  <c r="BA33" i="1"/>
  <c r="GS33" i="1" s="1"/>
  <c r="AG261" i="1"/>
  <c r="BA283" i="1"/>
  <c r="AE283" i="1" s="1"/>
  <c r="AH324" i="1"/>
  <c r="BA337" i="1"/>
  <c r="GU337" i="1" s="1"/>
  <c r="AK337" i="1" s="1"/>
  <c r="AG360" i="1"/>
  <c r="GU366" i="1"/>
  <c r="AK366" i="1" s="1"/>
  <c r="IE450" i="1"/>
  <c r="IG450" i="1" s="1"/>
  <c r="AN450" i="1" s="1"/>
  <c r="BA3" i="1"/>
  <c r="AE3" i="1" s="1"/>
  <c r="HO161" i="1"/>
  <c r="HV161" i="1" s="1"/>
  <c r="AM161" i="1" s="1"/>
  <c r="HO170" i="1"/>
  <c r="HV170" i="1" s="1"/>
  <c r="AM170" i="1" s="1"/>
  <c r="HO207" i="1"/>
  <c r="HV207" i="1" s="1"/>
  <c r="AM207" i="1" s="1"/>
  <c r="HO208" i="1"/>
  <c r="HV208" i="1" s="1"/>
  <c r="AM208" i="1" s="1"/>
  <c r="HO217" i="1"/>
  <c r="HV217" i="1" s="1"/>
  <c r="AM217" i="1" s="1"/>
  <c r="HO38" i="1"/>
  <c r="HV38" i="1" s="1"/>
  <c r="AM38" i="1" s="1"/>
  <c r="HO50" i="1"/>
  <c r="HV50" i="1" s="1"/>
  <c r="AM50" i="1" s="1"/>
  <c r="HO60" i="1"/>
  <c r="HV60" i="1" s="1"/>
  <c r="AM60" i="1" s="1"/>
  <c r="DM65" i="1"/>
  <c r="AH65" i="1" s="1"/>
  <c r="AG67" i="1"/>
  <c r="HO75" i="1"/>
  <c r="HV75" i="1" s="1"/>
  <c r="AM75" i="1" s="1"/>
  <c r="HO82" i="1"/>
  <c r="HV82" i="1" s="1"/>
  <c r="AM82" i="1" s="1"/>
  <c r="HO243" i="1"/>
  <c r="HV243" i="1" s="1"/>
  <c r="AM243" i="1" s="1"/>
  <c r="HO390" i="1"/>
  <c r="HV390" i="1" s="1"/>
  <c r="AM390" i="1" s="1"/>
  <c r="IE418" i="1"/>
  <c r="IG418" i="1" s="1"/>
  <c r="AN418" i="1" s="1"/>
  <c r="BA304" i="1"/>
  <c r="AE304" i="1" s="1"/>
  <c r="HO340" i="1"/>
  <c r="HV340" i="1" s="1"/>
  <c r="AM340" i="1" s="1"/>
  <c r="GU436" i="1"/>
  <c r="AK436" i="1" s="1"/>
  <c r="DM449" i="1"/>
  <c r="DO449" i="1" s="1"/>
  <c r="AI449" i="1" s="1"/>
  <c r="DP46" i="1"/>
  <c r="AH46" i="1" s="1"/>
  <c r="IE59" i="1"/>
  <c r="IG59" i="1" s="1"/>
  <c r="AN59" i="1" s="1"/>
  <c r="IE395" i="1"/>
  <c r="IG395" i="1" s="1"/>
  <c r="AN395" i="1" s="1"/>
  <c r="IE286" i="1"/>
  <c r="IG286" i="1" s="1"/>
  <c r="AN286" i="1" s="1"/>
  <c r="HO289" i="1"/>
  <c r="HV289" i="1" s="1"/>
  <c r="AM289" i="1" s="1"/>
  <c r="DM296" i="1"/>
  <c r="AH296" i="1" s="1"/>
  <c r="HO323" i="1"/>
  <c r="HV323" i="1" s="1"/>
  <c r="AM323" i="1" s="1"/>
  <c r="HO337" i="1"/>
  <c r="HV337" i="1" s="1"/>
  <c r="AM337" i="1" s="1"/>
  <c r="IE439" i="1"/>
  <c r="IG439" i="1" s="1"/>
  <c r="AN439" i="1" s="1"/>
  <c r="HO441" i="1"/>
  <c r="HV441" i="1" s="1"/>
  <c r="AM441" i="1" s="1"/>
  <c r="GW269" i="1"/>
  <c r="AJ269" i="1" s="1"/>
  <c r="HO254" i="1"/>
  <c r="HV254" i="1" s="1"/>
  <c r="AM254" i="1" s="1"/>
  <c r="BA297" i="1"/>
  <c r="GU297" i="1" s="1"/>
  <c r="AK297" i="1" s="1"/>
  <c r="DP358" i="1"/>
  <c r="BA355" i="1"/>
  <c r="AE355" i="1" s="1"/>
  <c r="HO375" i="1"/>
  <c r="HV375" i="1" s="1"/>
  <c r="AM375" i="1" s="1"/>
  <c r="DM432" i="1"/>
  <c r="DO432" i="1" s="1"/>
  <c r="AI432" i="1" s="1"/>
  <c r="DM439" i="1"/>
  <c r="DO439" i="1" s="1"/>
  <c r="AI439" i="1" s="1"/>
  <c r="AE271" i="1"/>
  <c r="IE347" i="1"/>
  <c r="IG347" i="1" s="1"/>
  <c r="AN347" i="1" s="1"/>
  <c r="BA252" i="1"/>
  <c r="GS252" i="1" s="1"/>
  <c r="HO361" i="1"/>
  <c r="HV361" i="1" s="1"/>
  <c r="AM361" i="1" s="1"/>
  <c r="IE441" i="1"/>
  <c r="IG441" i="1" s="1"/>
  <c r="AN441" i="1" s="1"/>
  <c r="IE77" i="1"/>
  <c r="IG77" i="1" s="1"/>
  <c r="AN77" i="1" s="1"/>
  <c r="BA72" i="1"/>
  <c r="AE72" i="1" s="1"/>
  <c r="BA71" i="1"/>
  <c r="AE71" i="1" s="1"/>
  <c r="IE146" i="1"/>
  <c r="IG146" i="1" s="1"/>
  <c r="AN146" i="1" s="1"/>
  <c r="GU46" i="1"/>
  <c r="AK46" i="1" s="1"/>
  <c r="GU330" i="1"/>
  <c r="AK330" i="1" s="1"/>
  <c r="BA219" i="1"/>
  <c r="GU219" i="1" s="1"/>
  <c r="AK219" i="1" s="1"/>
  <c r="BA77" i="1"/>
  <c r="GU77" i="1" s="1"/>
  <c r="AK77" i="1" s="1"/>
  <c r="HO349" i="1"/>
  <c r="HV349" i="1" s="1"/>
  <c r="AM349" i="1" s="1"/>
  <c r="IE3" i="1"/>
  <c r="IG3" i="1" s="1"/>
  <c r="AN3" i="1" s="1"/>
  <c r="GW252" i="1"/>
  <c r="AJ252" i="1" s="1"/>
  <c r="BA255" i="1"/>
  <c r="GS255" i="1" s="1"/>
  <c r="HO263" i="1"/>
  <c r="HV263" i="1" s="1"/>
  <c r="AM263" i="1" s="1"/>
  <c r="IE296" i="1"/>
  <c r="IG296" i="1" s="1"/>
  <c r="AN296" i="1" s="1"/>
  <c r="IE300" i="1"/>
  <c r="IG300" i="1" s="1"/>
  <c r="AN300" i="1" s="1"/>
  <c r="HO306" i="1"/>
  <c r="HV306" i="1" s="1"/>
  <c r="AM306" i="1" s="1"/>
  <c r="HO313" i="1"/>
  <c r="HV313" i="1" s="1"/>
  <c r="IE320" i="1"/>
  <c r="IG320" i="1" s="1"/>
  <c r="AN320" i="1" s="1"/>
  <c r="HO325" i="1"/>
  <c r="HV325" i="1" s="1"/>
  <c r="AM325" i="1" s="1"/>
  <c r="HO354" i="1"/>
  <c r="HV354" i="1" s="1"/>
  <c r="AM354" i="1" s="1"/>
  <c r="BA372" i="1"/>
  <c r="AE372" i="1" s="1"/>
  <c r="IE444" i="1"/>
  <c r="IG444" i="1" s="1"/>
  <c r="AN444" i="1" s="1"/>
  <c r="DM446" i="1"/>
  <c r="AH446" i="1" s="1"/>
  <c r="GW108" i="1"/>
  <c r="AJ108" i="1" s="1"/>
  <c r="AG108" i="1"/>
  <c r="GS299" i="1"/>
  <c r="AL299" i="1" s="1"/>
  <c r="GU299" i="1"/>
  <c r="AK299" i="1" s="1"/>
  <c r="AE299" i="1"/>
  <c r="AG255" i="1"/>
  <c r="GW255" i="1"/>
  <c r="AJ255" i="1" s="1"/>
  <c r="DM390" i="1"/>
  <c r="DO390" i="1" s="1"/>
  <c r="AI390" i="1" s="1"/>
  <c r="IE399" i="1"/>
  <c r="IG399" i="1" s="1"/>
  <c r="AN399" i="1" s="1"/>
  <c r="IE412" i="1"/>
  <c r="IG412" i="1" s="1"/>
  <c r="AN412" i="1" s="1"/>
  <c r="HO369" i="1"/>
  <c r="HV369" i="1" s="1"/>
  <c r="AM369" i="1" s="1"/>
  <c r="AG436" i="1"/>
  <c r="IE443" i="1"/>
  <c r="IG443" i="1" s="1"/>
  <c r="AN443" i="1" s="1"/>
  <c r="IE454" i="1"/>
  <c r="IG454" i="1" s="1"/>
  <c r="AN454" i="1" s="1"/>
  <c r="HO195" i="1"/>
  <c r="HV195" i="1" s="1"/>
  <c r="AM195" i="1" s="1"/>
  <c r="GW86" i="1"/>
  <c r="AJ86" i="1" s="1"/>
  <c r="HO227" i="1"/>
  <c r="HV227" i="1" s="1"/>
  <c r="AM227" i="1" s="1"/>
  <c r="HO231" i="1"/>
  <c r="HV231" i="1" s="1"/>
  <c r="AM231" i="1" s="1"/>
  <c r="IE397" i="1"/>
  <c r="IG397" i="1" s="1"/>
  <c r="AN397" i="1" s="1"/>
  <c r="HO404" i="1"/>
  <c r="HV404" i="1" s="1"/>
  <c r="AM404" i="1" s="1"/>
  <c r="BA303" i="1"/>
  <c r="AE303" i="1" s="1"/>
  <c r="HO318" i="1"/>
  <c r="HV318" i="1" s="1"/>
  <c r="AM318" i="1" s="1"/>
  <c r="GW322" i="1"/>
  <c r="AJ322" i="1" s="1"/>
  <c r="BA338" i="1"/>
  <c r="GS338" i="1" s="1"/>
  <c r="HO434" i="1"/>
  <c r="HV434" i="1" s="1"/>
  <c r="AM434" i="1" s="1"/>
  <c r="GW256" i="1"/>
  <c r="AJ256" i="1" s="1"/>
  <c r="AG256" i="1"/>
  <c r="GW306" i="1"/>
  <c r="AJ306" i="1" s="1"/>
  <c r="AG306" i="1"/>
  <c r="BA207" i="1"/>
  <c r="AE207" i="1" s="1"/>
  <c r="GW73" i="1"/>
  <c r="AJ73" i="1" s="1"/>
  <c r="AG73" i="1"/>
  <c r="DM395" i="1"/>
  <c r="DO395" i="1" s="1"/>
  <c r="DP323" i="1"/>
  <c r="GW325" i="1"/>
  <c r="AJ325" i="1" s="1"/>
  <c r="BA339" i="1"/>
  <c r="AE339" i="1" s="1"/>
  <c r="BA7" i="1"/>
  <c r="GU7" i="1" s="1"/>
  <c r="AK7" i="1" s="1"/>
  <c r="IE388" i="1"/>
  <c r="IG388" i="1" s="1"/>
  <c r="AN388" i="1" s="1"/>
  <c r="DP334" i="1"/>
  <c r="AH334" i="1"/>
  <c r="GW453" i="1"/>
  <c r="AJ453" i="1" s="1"/>
  <c r="AG453" i="1"/>
  <c r="DO2" i="1"/>
  <c r="AI2" i="1" s="1"/>
  <c r="HO265" i="1"/>
  <c r="HV265" i="1" s="1"/>
  <c r="AM265" i="1" s="1"/>
  <c r="BA282" i="1"/>
  <c r="AE282" i="1" s="1"/>
  <c r="AG356" i="1"/>
  <c r="GW356" i="1"/>
  <c r="AJ356" i="1" s="1"/>
  <c r="GU441" i="1"/>
  <c r="AK441" i="1" s="1"/>
  <c r="DM443" i="1"/>
  <c r="DO443" i="1" s="1"/>
  <c r="AI443" i="1" s="1"/>
  <c r="HO47" i="1"/>
  <c r="HV47" i="1" s="1"/>
  <c r="AM47" i="1" s="1"/>
  <c r="AG223" i="1"/>
  <c r="GS224" i="1"/>
  <c r="AL224" i="1" s="1"/>
  <c r="BA253" i="1"/>
  <c r="GU253" i="1" s="1"/>
  <c r="AK253" i="1" s="1"/>
  <c r="BA277" i="1"/>
  <c r="GS277" i="1" s="1"/>
  <c r="GW383" i="1"/>
  <c r="AJ383" i="1" s="1"/>
  <c r="AG383" i="1"/>
  <c r="GW441" i="1"/>
  <c r="AJ441" i="1" s="1"/>
  <c r="GW78" i="1"/>
  <c r="AJ78" i="1" s="1"/>
  <c r="AG78" i="1"/>
  <c r="AG418" i="1"/>
  <c r="GW418" i="1"/>
  <c r="AJ418" i="1" s="1"/>
  <c r="IE325" i="1"/>
  <c r="IG325" i="1" s="1"/>
  <c r="AN325" i="1" s="1"/>
  <c r="IE342" i="1"/>
  <c r="IG342" i="1" s="1"/>
  <c r="AN342" i="1" s="1"/>
  <c r="AG345" i="1"/>
  <c r="IE83" i="1"/>
  <c r="IG83" i="1" s="1"/>
  <c r="AN83" i="1" s="1"/>
  <c r="AG401" i="1"/>
  <c r="IE405" i="1"/>
  <c r="IG405" i="1" s="1"/>
  <c r="AN405" i="1" s="1"/>
  <c r="IE408" i="1"/>
  <c r="IG408" i="1" s="1"/>
  <c r="AN408" i="1" s="1"/>
  <c r="DM410" i="1"/>
  <c r="AH410" i="1" s="1"/>
  <c r="AH326" i="1"/>
  <c r="AH327" i="1"/>
  <c r="GW382" i="1"/>
  <c r="AJ382" i="1" s="1"/>
  <c r="AG382" i="1"/>
  <c r="AG443" i="1"/>
  <c r="GW443" i="1"/>
  <c r="AJ443" i="1" s="1"/>
  <c r="GW319" i="1"/>
  <c r="AJ319" i="1" s="1"/>
  <c r="AG319" i="1"/>
  <c r="AG31" i="1"/>
  <c r="GW31" i="1"/>
  <c r="AJ31" i="1" s="1"/>
  <c r="GW142" i="1"/>
  <c r="AJ142" i="1" s="1"/>
  <c r="HO371" i="1"/>
  <c r="HV371" i="1" s="1"/>
  <c r="AM371" i="1" s="1"/>
  <c r="GW33" i="1"/>
  <c r="AJ33" i="1" s="1"/>
  <c r="AG33" i="1"/>
  <c r="GW265" i="1"/>
  <c r="AJ265" i="1" s="1"/>
  <c r="AG265" i="1"/>
  <c r="GW384" i="1"/>
  <c r="AJ384" i="1" s="1"/>
  <c r="AG384" i="1"/>
  <c r="AG54" i="1"/>
  <c r="AE64" i="1"/>
  <c r="GU64" i="1"/>
  <c r="GX64" i="1" s="1"/>
  <c r="GU142" i="1"/>
  <c r="AK142" i="1" s="1"/>
  <c r="GW291" i="1"/>
  <c r="AJ291" i="1" s="1"/>
  <c r="AG291" i="1"/>
  <c r="GW219" i="1"/>
  <c r="AJ219" i="1" s="1"/>
  <c r="BA31" i="1"/>
  <c r="AE31" i="1" s="1"/>
  <c r="IE82" i="1"/>
  <c r="IG82" i="1" s="1"/>
  <c r="AN82" i="1" s="1"/>
  <c r="IE84" i="1"/>
  <c r="IG84" i="1" s="1"/>
  <c r="AN84" i="1" s="1"/>
  <c r="HO171" i="1"/>
  <c r="HV171" i="1" s="1"/>
  <c r="AM171" i="1" s="1"/>
  <c r="HO209" i="1"/>
  <c r="HV209" i="1" s="1"/>
  <c r="AM209" i="1" s="1"/>
  <c r="HO40" i="1"/>
  <c r="HV40" i="1" s="1"/>
  <c r="AM40" i="1" s="1"/>
  <c r="IE79" i="1"/>
  <c r="IG79" i="1" s="1"/>
  <c r="AN79" i="1" s="1"/>
  <c r="HO89" i="1"/>
  <c r="HV89" i="1" s="1"/>
  <c r="AM89" i="1" s="1"/>
  <c r="IE99" i="1"/>
  <c r="IG99" i="1" s="1"/>
  <c r="AN99" i="1" s="1"/>
  <c r="DM240" i="1"/>
  <c r="DO240" i="1" s="1"/>
  <c r="HO397" i="1"/>
  <c r="HV397" i="1" s="1"/>
  <c r="AM397" i="1" s="1"/>
  <c r="BA409" i="1"/>
  <c r="GU409" i="1" s="1"/>
  <c r="AK409" i="1" s="1"/>
  <c r="BA286" i="1"/>
  <c r="AE286" i="1" s="1"/>
  <c r="IE337" i="1"/>
  <c r="IG337" i="1" s="1"/>
  <c r="AN337" i="1" s="1"/>
  <c r="HO373" i="1"/>
  <c r="HV373" i="1" s="1"/>
  <c r="AM373" i="1" s="1"/>
  <c r="HO374" i="1"/>
  <c r="HV374" i="1" s="1"/>
  <c r="AM374" i="1" s="1"/>
  <c r="BA377" i="1"/>
  <c r="AE377" i="1" s="1"/>
  <c r="AG438" i="1"/>
  <c r="GU447" i="1"/>
  <c r="AK447" i="1" s="1"/>
  <c r="GS447" i="1"/>
  <c r="AL447" i="1" s="1"/>
  <c r="AE447" i="1"/>
  <c r="BA288" i="1"/>
  <c r="AE288" i="1" s="1"/>
  <c r="HO293" i="1"/>
  <c r="HV293" i="1" s="1"/>
  <c r="AM293" i="1" s="1"/>
  <c r="BA342" i="1"/>
  <c r="AE342" i="1" s="1"/>
  <c r="BA356" i="1"/>
  <c r="AE356" i="1" s="1"/>
  <c r="DM41" i="1"/>
  <c r="DO41" i="1" s="1"/>
  <c r="AI41" i="1" s="1"/>
  <c r="HO55" i="1"/>
  <c r="HV55" i="1" s="1"/>
  <c r="AM55" i="1" s="1"/>
  <c r="HO223" i="1"/>
  <c r="HV223" i="1" s="1"/>
  <c r="AM223" i="1" s="1"/>
  <c r="HO71" i="1"/>
  <c r="HV71" i="1" s="1"/>
  <c r="AM71" i="1" s="1"/>
  <c r="GS89" i="1"/>
  <c r="AL89" i="1" s="1"/>
  <c r="DM162" i="1"/>
  <c r="DO162" i="1" s="1"/>
  <c r="AI162" i="1" s="1"/>
  <c r="IE246" i="1"/>
  <c r="IG246" i="1" s="1"/>
  <c r="AN246" i="1" s="1"/>
  <c r="HO413" i="1"/>
  <c r="HV413" i="1" s="1"/>
  <c r="AM413" i="1" s="1"/>
  <c r="HO272" i="1"/>
  <c r="HV272" i="1" s="1"/>
  <c r="AM272" i="1" s="1"/>
  <c r="HO294" i="1"/>
  <c r="HV294" i="1" s="1"/>
  <c r="AM294" i="1" s="1"/>
  <c r="BA305" i="1"/>
  <c r="AE305" i="1" s="1"/>
  <c r="BA349" i="1"/>
  <c r="AE349" i="1" s="1"/>
  <c r="DM441" i="1"/>
  <c r="DO441" i="1" s="1"/>
  <c r="AI441" i="1" s="1"/>
  <c r="HO445" i="1"/>
  <c r="HV445" i="1" s="1"/>
  <c r="AM445" i="1" s="1"/>
  <c r="IE448" i="1"/>
  <c r="IG448" i="1" s="1"/>
  <c r="AN448" i="1" s="1"/>
  <c r="GU240" i="1"/>
  <c r="AK240" i="1" s="1"/>
  <c r="BA268" i="1"/>
  <c r="GU268" i="1" s="1"/>
  <c r="AK268" i="1" s="1"/>
  <c r="GS271" i="1"/>
  <c r="AL271" i="1" s="1"/>
  <c r="BA370" i="1"/>
  <c r="GU370" i="1" s="1"/>
  <c r="AK370" i="1" s="1"/>
  <c r="IE438" i="1"/>
  <c r="IG438" i="1" s="1"/>
  <c r="AN438" i="1" s="1"/>
  <c r="HO2" i="1"/>
  <c r="HV2" i="1" s="1"/>
  <c r="AM2" i="1" s="1"/>
  <c r="HO42" i="1"/>
  <c r="HV42" i="1" s="1"/>
  <c r="AM42" i="1" s="1"/>
  <c r="HO49" i="1"/>
  <c r="HV49" i="1" s="1"/>
  <c r="AM49" i="1" s="1"/>
  <c r="IE55" i="1"/>
  <c r="IG55" i="1" s="1"/>
  <c r="AN55" i="1" s="1"/>
  <c r="HO91" i="1"/>
  <c r="HV91" i="1" s="1"/>
  <c r="AM91" i="1" s="1"/>
  <c r="HO241" i="1"/>
  <c r="HV241" i="1" s="1"/>
  <c r="AM241" i="1" s="1"/>
  <c r="HO242" i="1"/>
  <c r="HV242" i="1" s="1"/>
  <c r="AM242" i="1" s="1"/>
  <c r="DO406" i="1"/>
  <c r="AI406" i="1" s="1"/>
  <c r="IE416" i="1"/>
  <c r="IG416" i="1" s="1"/>
  <c r="AN416" i="1" s="1"/>
  <c r="GW253" i="1"/>
  <c r="AJ253" i="1" s="1"/>
  <c r="DO257" i="1"/>
  <c r="AI257" i="1" s="1"/>
  <c r="GW259" i="1"/>
  <c r="AJ259" i="1" s="1"/>
  <c r="HO260" i="1"/>
  <c r="HV260" i="1" s="1"/>
  <c r="AM260" i="1" s="1"/>
  <c r="BA264" i="1"/>
  <c r="AE264" i="1" s="1"/>
  <c r="DP318" i="1"/>
  <c r="GW328" i="1"/>
  <c r="AJ328" i="1" s="1"/>
  <c r="HO344" i="1"/>
  <c r="HV344" i="1" s="1"/>
  <c r="AM344" i="1" s="1"/>
  <c r="HO377" i="1"/>
  <c r="HV377" i="1" s="1"/>
  <c r="AM377" i="1" s="1"/>
  <c r="IE432" i="1"/>
  <c r="IG432" i="1" s="1"/>
  <c r="AN432" i="1" s="1"/>
  <c r="BA435" i="1"/>
  <c r="GS435" i="1" s="1"/>
  <c r="BA445" i="1"/>
  <c r="GU445" i="1" s="1"/>
  <c r="AK445" i="1" s="1"/>
  <c r="BA455" i="1"/>
  <c r="AE455" i="1" s="1"/>
  <c r="IE456" i="1"/>
  <c r="IG456" i="1" s="1"/>
  <c r="AN456" i="1" s="1"/>
  <c r="HO457" i="1"/>
  <c r="HV457" i="1" s="1"/>
  <c r="AM457" i="1" s="1"/>
  <c r="BA294" i="1"/>
  <c r="AE294" i="1" s="1"/>
  <c r="IE309" i="1"/>
  <c r="IG309" i="1" s="1"/>
  <c r="AN309" i="1" s="1"/>
  <c r="BA381" i="1"/>
  <c r="AE381" i="1" s="1"/>
  <c r="BA254" i="1"/>
  <c r="AE254" i="1" s="1"/>
  <c r="IE7" i="1"/>
  <c r="IG7" i="1" s="1"/>
  <c r="AN7" i="1" s="1"/>
  <c r="BA69" i="1"/>
  <c r="AE69" i="1" s="1"/>
  <c r="IE393" i="1"/>
  <c r="IG393" i="1" s="1"/>
  <c r="AN393" i="1" s="1"/>
  <c r="DM209" i="1"/>
  <c r="AH209" i="1" s="1"/>
  <c r="DM210" i="1"/>
  <c r="AH210" i="1" s="1"/>
  <c r="HO31" i="1"/>
  <c r="HV31" i="1" s="1"/>
  <c r="AM31" i="1" s="1"/>
  <c r="HO41" i="1"/>
  <c r="HV41" i="1" s="1"/>
  <c r="AM41" i="1" s="1"/>
  <c r="GW47" i="1"/>
  <c r="AJ47" i="1" s="1"/>
  <c r="BA60" i="1"/>
  <c r="AE60" i="1" s="1"/>
  <c r="HO62" i="1"/>
  <c r="HV62" i="1" s="1"/>
  <c r="AM62" i="1" s="1"/>
  <c r="IE387" i="1"/>
  <c r="IG387" i="1" s="1"/>
  <c r="AN387" i="1" s="1"/>
  <c r="HO388" i="1"/>
  <c r="HV388" i="1" s="1"/>
  <c r="AM388" i="1" s="1"/>
  <c r="IE396" i="1"/>
  <c r="IG396" i="1" s="1"/>
  <c r="AN396" i="1" s="1"/>
  <c r="HO406" i="1"/>
  <c r="HV406" i="1" s="1"/>
  <c r="AM406" i="1" s="1"/>
  <c r="BA416" i="1"/>
  <c r="AE416" i="1" s="1"/>
  <c r="HO257" i="1"/>
  <c r="HV257" i="1" s="1"/>
  <c r="AM257" i="1" s="1"/>
  <c r="GW268" i="1"/>
  <c r="AJ268" i="1" s="1"/>
  <c r="BA292" i="1"/>
  <c r="AE292" i="1" s="1"/>
  <c r="HO328" i="1"/>
  <c r="HV328" i="1" s="1"/>
  <c r="AM328" i="1" s="1"/>
  <c r="HO330" i="1"/>
  <c r="HV330" i="1" s="1"/>
  <c r="AM330" i="1" s="1"/>
  <c r="BA335" i="1"/>
  <c r="AE335" i="1" s="1"/>
  <c r="HO339" i="1"/>
  <c r="HV339" i="1" s="1"/>
  <c r="AM339" i="1" s="1"/>
  <c r="HO352" i="1"/>
  <c r="HV352" i="1" s="1"/>
  <c r="AM352" i="1" s="1"/>
  <c r="GW375" i="1"/>
  <c r="AJ375" i="1" s="1"/>
  <c r="BA380" i="1"/>
  <c r="GU380" i="1" s="1"/>
  <c r="AK380" i="1" s="1"/>
  <c r="HO433" i="1"/>
  <c r="HV433" i="1" s="1"/>
  <c r="AM433" i="1" s="1"/>
  <c r="HO447" i="1"/>
  <c r="HV447" i="1" s="1"/>
  <c r="AM447" i="1" s="1"/>
  <c r="HO454" i="1"/>
  <c r="HV454" i="1" s="1"/>
  <c r="AM454" i="1" s="1"/>
  <c r="GW5" i="1"/>
  <c r="AJ5" i="1" s="1"/>
  <c r="AG5" i="1"/>
  <c r="GS79" i="1"/>
  <c r="AL79" i="1" s="1"/>
  <c r="AG79" i="1"/>
  <c r="GW79" i="1"/>
  <c r="GS108" i="1"/>
  <c r="AL108" i="1" s="1"/>
  <c r="AE108" i="1"/>
  <c r="GU108" i="1"/>
  <c r="AK108" i="1" s="1"/>
  <c r="GS211" i="1"/>
  <c r="AL211" i="1" s="1"/>
  <c r="AG211" i="1"/>
  <c r="GW211" i="1"/>
  <c r="AJ211" i="1" s="1"/>
  <c r="GU211" i="1"/>
  <c r="AK211" i="1" s="1"/>
  <c r="AH51" i="1"/>
  <c r="DP51" i="1"/>
  <c r="AG49" i="1"/>
  <c r="GU49" i="1"/>
  <c r="AK49" i="1" s="1"/>
  <c r="GW408" i="1"/>
  <c r="AJ408" i="1" s="1"/>
  <c r="AG408" i="1"/>
  <c r="AH3" i="1"/>
  <c r="DO3" i="1"/>
  <c r="AG170" i="1"/>
  <c r="GW170" i="1"/>
  <c r="AJ170" i="1" s="1"/>
  <c r="GW13" i="1"/>
  <c r="AJ13" i="1" s="1"/>
  <c r="AG13" i="1"/>
  <c r="AG70" i="1"/>
  <c r="GW70" i="1"/>
  <c r="AJ70" i="1" s="1"/>
  <c r="GU70" i="1"/>
  <c r="AK70" i="1" s="1"/>
  <c r="GW451" i="1"/>
  <c r="AJ451" i="1" s="1"/>
  <c r="AG451" i="1"/>
  <c r="AE84" i="1"/>
  <c r="GU84" i="1"/>
  <c r="AK84" i="1" s="1"/>
  <c r="GW6" i="1"/>
  <c r="AJ6" i="1" s="1"/>
  <c r="AG6" i="1"/>
  <c r="GW390" i="1"/>
  <c r="AJ390" i="1" s="1"/>
  <c r="HO274" i="1"/>
  <c r="HV274" i="1" s="1"/>
  <c r="AM274" i="1" s="1"/>
  <c r="GU278" i="1"/>
  <c r="AK278" i="1" s="1"/>
  <c r="GW294" i="1"/>
  <c r="AJ294" i="1" s="1"/>
  <c r="AG365" i="1"/>
  <c r="GW365" i="1"/>
  <c r="AJ365" i="1" s="1"/>
  <c r="GW377" i="1"/>
  <c r="AJ377" i="1" s="1"/>
  <c r="AG377" i="1"/>
  <c r="AH6" i="1"/>
  <c r="GS145" i="1"/>
  <c r="AL145" i="1" s="1"/>
  <c r="AE145" i="1"/>
  <c r="IE17" i="1"/>
  <c r="IG17" i="1" s="1"/>
  <c r="AN17" i="1" s="1"/>
  <c r="GW48" i="1"/>
  <c r="AJ48" i="1" s="1"/>
  <c r="DM77" i="1"/>
  <c r="AH77" i="1" s="1"/>
  <c r="GW242" i="1"/>
  <c r="AJ242" i="1" s="1"/>
  <c r="DM397" i="1"/>
  <c r="DO397" i="1" s="1"/>
  <c r="AI397" i="1" s="1"/>
  <c r="AG278" i="1"/>
  <c r="GW278" i="1"/>
  <c r="AJ278" i="1" s="1"/>
  <c r="BA312" i="1"/>
  <c r="AE312" i="1" s="1"/>
  <c r="AG358" i="1"/>
  <c r="GW358" i="1"/>
  <c r="AJ358" i="1" s="1"/>
  <c r="GW435" i="1"/>
  <c r="AJ435" i="1" s="1"/>
  <c r="AG435" i="1"/>
  <c r="IE6" i="1"/>
  <c r="IG6" i="1" s="1"/>
  <c r="AN6" i="1" s="1"/>
  <c r="GU48" i="1"/>
  <c r="AK48" i="1" s="1"/>
  <c r="DP50" i="1"/>
  <c r="AH54" i="1"/>
  <c r="AG7" i="1"/>
  <c r="DM218" i="1"/>
  <c r="DO218" i="1" s="1"/>
  <c r="AI218" i="1" s="1"/>
  <c r="HO48" i="1"/>
  <c r="HV48" i="1" s="1"/>
  <c r="AM48" i="1" s="1"/>
  <c r="BA55" i="1"/>
  <c r="AE55" i="1" s="1"/>
  <c r="IE57" i="1"/>
  <c r="IG57" i="1" s="1"/>
  <c r="AN57" i="1" s="1"/>
  <c r="IE66" i="1"/>
  <c r="IG66" i="1" s="1"/>
  <c r="AN66" i="1" s="1"/>
  <c r="HO69" i="1"/>
  <c r="HV69" i="1" s="1"/>
  <c r="AM69" i="1" s="1"/>
  <c r="AE89" i="1"/>
  <c r="DM391" i="1"/>
  <c r="IE409" i="1"/>
  <c r="IG409" i="1" s="1"/>
  <c r="AN409" i="1" s="1"/>
  <c r="AG299" i="1"/>
  <c r="GW299" i="1"/>
  <c r="AJ299" i="1" s="1"/>
  <c r="AG369" i="1"/>
  <c r="GW369" i="1"/>
  <c r="AJ369" i="1" s="1"/>
  <c r="AG370" i="1"/>
  <c r="GW370" i="1"/>
  <c r="AJ370" i="1" s="1"/>
  <c r="AG374" i="1"/>
  <c r="GW374" i="1"/>
  <c r="AJ374" i="1" s="1"/>
  <c r="HO376" i="1"/>
  <c r="HV376" i="1" s="1"/>
  <c r="AM376" i="1" s="1"/>
  <c r="AG437" i="1"/>
  <c r="GW437" i="1"/>
  <c r="AJ437" i="1" s="1"/>
  <c r="GU437" i="1"/>
  <c r="AK437" i="1" s="1"/>
  <c r="GS437" i="1"/>
  <c r="AL437" i="1" s="1"/>
  <c r="AG397" i="1"/>
  <c r="GW397" i="1"/>
  <c r="AJ397" i="1" s="1"/>
  <c r="GS456" i="1"/>
  <c r="AL456" i="1" s="1"/>
  <c r="AG456" i="1"/>
  <c r="GW456" i="1"/>
  <c r="AJ456" i="1" s="1"/>
  <c r="GU195" i="1"/>
  <c r="AK195" i="1" s="1"/>
  <c r="GU99" i="1"/>
  <c r="AK99" i="1" s="1"/>
  <c r="GS99" i="1"/>
  <c r="AL99" i="1" s="1"/>
  <c r="AH347" i="1"/>
  <c r="DP347" i="1"/>
  <c r="GW340" i="1"/>
  <c r="AJ340" i="1" s="1"/>
  <c r="AG342" i="1"/>
  <c r="GW342" i="1"/>
  <c r="AJ342" i="1" s="1"/>
  <c r="IE2" i="1"/>
  <c r="IG2" i="1" s="1"/>
  <c r="AN2" i="1" s="1"/>
  <c r="BA209" i="1"/>
  <c r="AE209" i="1" s="1"/>
  <c r="GS218" i="1"/>
  <c r="AL218" i="1" s="1"/>
  <c r="GW220" i="1"/>
  <c r="AJ220" i="1" s="1"/>
  <c r="BA57" i="1"/>
  <c r="AE57" i="1" s="1"/>
  <c r="AG61" i="1"/>
  <c r="AE79" i="1"/>
  <c r="GU79" i="1"/>
  <c r="AK79" i="1" s="1"/>
  <c r="AG89" i="1"/>
  <c r="GW89" i="1"/>
  <c r="AJ89" i="1" s="1"/>
  <c r="HO162" i="1"/>
  <c r="HV162" i="1" s="1"/>
  <c r="AM162" i="1" s="1"/>
  <c r="GU406" i="1"/>
  <c r="AK406" i="1" s="1"/>
  <c r="GW355" i="1"/>
  <c r="AJ355" i="1" s="1"/>
  <c r="AG289" i="1"/>
  <c r="GW289" i="1"/>
  <c r="AJ289" i="1" s="1"/>
  <c r="AG84" i="1"/>
  <c r="GW84" i="1"/>
  <c r="AJ84" i="1" s="1"/>
  <c r="DO266" i="1"/>
  <c r="AI266" i="1" s="1"/>
  <c r="GW267" i="1"/>
  <c r="AJ267" i="1" s="1"/>
  <c r="AG267" i="1"/>
  <c r="AG282" i="1"/>
  <c r="GW282" i="1"/>
  <c r="AJ282" i="1" s="1"/>
  <c r="GW283" i="1"/>
  <c r="AJ283" i="1" s="1"/>
  <c r="DP325" i="1"/>
  <c r="GU456" i="1"/>
  <c r="AK456" i="1" s="1"/>
  <c r="BA194" i="1"/>
  <c r="GS194" i="1" s="1"/>
  <c r="GS448" i="1"/>
  <c r="AE448" i="1"/>
  <c r="HO6" i="1"/>
  <c r="HV6" i="1" s="1"/>
  <c r="AM6" i="1" s="1"/>
  <c r="GW218" i="1"/>
  <c r="AJ218" i="1" s="1"/>
  <c r="HO220" i="1"/>
  <c r="HV220" i="1" s="1"/>
  <c r="AM220" i="1" s="1"/>
  <c r="GS47" i="1"/>
  <c r="AL47" i="1" s="1"/>
  <c r="AH61" i="1"/>
  <c r="HO65" i="1"/>
  <c r="HV65" i="1" s="1"/>
  <c r="AM65" i="1" s="1"/>
  <c r="DM69" i="1"/>
  <c r="HO72" i="1"/>
  <c r="HV72" i="1" s="1"/>
  <c r="AM72" i="1" s="1"/>
  <c r="IE81" i="1"/>
  <c r="IG81" i="1" s="1"/>
  <c r="AN81" i="1" s="1"/>
  <c r="GU89" i="1"/>
  <c r="AK89" i="1" s="1"/>
  <c r="GU145" i="1"/>
  <c r="AK145" i="1" s="1"/>
  <c r="HO237" i="1"/>
  <c r="HV237" i="1" s="1"/>
  <c r="AM237" i="1" s="1"/>
  <c r="DM387" i="1"/>
  <c r="DO387" i="1" s="1"/>
  <c r="AI387" i="1" s="1"/>
  <c r="HO391" i="1"/>
  <c r="HV391" i="1" s="1"/>
  <c r="AM391" i="1" s="1"/>
  <c r="DM404" i="1"/>
  <c r="IE410" i="1"/>
  <c r="IG410" i="1" s="1"/>
  <c r="AN410" i="1" s="1"/>
  <c r="AG346" i="1"/>
  <c r="GW346" i="1"/>
  <c r="AJ346" i="1" s="1"/>
  <c r="AG349" i="1"/>
  <c r="GW349" i="1"/>
  <c r="AJ349" i="1" s="1"/>
  <c r="DM435" i="1"/>
  <c r="AH435" i="1" s="1"/>
  <c r="GW436" i="1"/>
  <c r="AJ436" i="1" s="1"/>
  <c r="DM452" i="1"/>
  <c r="DO452" i="1" s="1"/>
  <c r="AI452" i="1" s="1"/>
  <c r="HO3" i="1"/>
  <c r="HV3" i="1" s="1"/>
  <c r="AM3" i="1" s="1"/>
  <c r="IE161" i="1"/>
  <c r="IG161" i="1" s="1"/>
  <c r="AN161" i="1" s="1"/>
  <c r="IE12" i="1"/>
  <c r="IG12" i="1" s="1"/>
  <c r="AN12" i="1" s="1"/>
  <c r="HV210" i="1"/>
  <c r="AM210" i="1" s="1"/>
  <c r="HO219" i="1"/>
  <c r="HV219" i="1" s="1"/>
  <c r="AM219" i="1" s="1"/>
  <c r="HO37" i="1"/>
  <c r="HV37" i="1" s="1"/>
  <c r="AM37" i="1" s="1"/>
  <c r="BA51" i="1"/>
  <c r="AE51" i="1" s="1"/>
  <c r="HO77" i="1"/>
  <c r="HV77" i="1" s="1"/>
  <c r="AM77" i="1" s="1"/>
  <c r="HO145" i="1"/>
  <c r="HV145" i="1" s="1"/>
  <c r="AM145" i="1" s="1"/>
  <c r="DM242" i="1"/>
  <c r="AH242" i="1" s="1"/>
  <c r="HO211" i="1"/>
  <c r="HV211" i="1" s="1"/>
  <c r="AM211" i="1" s="1"/>
  <c r="HO393" i="1"/>
  <c r="HV393" i="1" s="1"/>
  <c r="AM393" i="1" s="1"/>
  <c r="HO402" i="1"/>
  <c r="HV402" i="1" s="1"/>
  <c r="AM402" i="1" s="1"/>
  <c r="HO255" i="1"/>
  <c r="HV255" i="1" s="1"/>
  <c r="AM255" i="1" s="1"/>
  <c r="GW281" i="1"/>
  <c r="AJ281" i="1" s="1"/>
  <c r="AG281" i="1"/>
  <c r="GW297" i="1"/>
  <c r="AJ297" i="1" s="1"/>
  <c r="AG297" i="1"/>
  <c r="AG330" i="1"/>
  <c r="DO362" i="1"/>
  <c r="AI362" i="1" s="1"/>
  <c r="AH362" i="1"/>
  <c r="HO384" i="1"/>
  <c r="HV384" i="1" s="1"/>
  <c r="AM384" i="1" s="1"/>
  <c r="AE433" i="1"/>
  <c r="GS433" i="1"/>
  <c r="AL433" i="1" s="1"/>
  <c r="GW454" i="1"/>
  <c r="AJ454" i="1" s="1"/>
  <c r="AG454" i="1"/>
  <c r="BA12" i="1"/>
  <c r="GS12" i="1" s="1"/>
  <c r="AL12" i="1" s="1"/>
  <c r="GS48" i="1"/>
  <c r="AL48" i="1" s="1"/>
  <c r="GW66" i="1"/>
  <c r="AJ66" i="1" s="1"/>
  <c r="AG66" i="1"/>
  <c r="DM248" i="1"/>
  <c r="DO248" i="1" s="1"/>
  <c r="AI248" i="1" s="1"/>
  <c r="IE389" i="1"/>
  <c r="IG389" i="1" s="1"/>
  <c r="AN389" i="1" s="1"/>
  <c r="AG318" i="1"/>
  <c r="GW318" i="1"/>
  <c r="AJ318" i="1" s="1"/>
  <c r="DP319" i="1"/>
  <c r="AH319" i="1"/>
  <c r="GW351" i="1"/>
  <c r="AJ351" i="1" s="1"/>
  <c r="AG351" i="1"/>
  <c r="GW194" i="1"/>
  <c r="AJ194" i="1" s="1"/>
  <c r="AE46" i="1"/>
  <c r="GS46" i="1"/>
  <c r="AL46" i="1" s="1"/>
  <c r="AH49" i="1"/>
  <c r="DP49" i="1"/>
  <c r="HO224" i="1"/>
  <c r="HV224" i="1" s="1"/>
  <c r="AM224" i="1" s="1"/>
  <c r="IE65" i="1"/>
  <c r="IG65" i="1" s="1"/>
  <c r="AN65" i="1" s="1"/>
  <c r="IE85" i="1"/>
  <c r="IG85" i="1" s="1"/>
  <c r="AN85" i="1" s="1"/>
  <c r="HO142" i="1"/>
  <c r="HV142" i="1" s="1"/>
  <c r="AM142" i="1" s="1"/>
  <c r="GW241" i="1"/>
  <c r="AJ241" i="1" s="1"/>
  <c r="DM243" i="1"/>
  <c r="DO243" i="1" s="1"/>
  <c r="AI243" i="1" s="1"/>
  <c r="AH277" i="1"/>
  <c r="GW305" i="1"/>
  <c r="AJ305" i="1" s="1"/>
  <c r="AG305" i="1"/>
  <c r="HO312" i="1"/>
  <c r="HV312" i="1" s="1"/>
  <c r="AM312" i="1" s="1"/>
  <c r="IE345" i="1"/>
  <c r="IG345" i="1" s="1"/>
  <c r="AN345" i="1" s="1"/>
  <c r="AH360" i="1"/>
  <c r="DP360" i="1"/>
  <c r="DM445" i="1"/>
  <c r="DO445" i="1" s="1"/>
  <c r="AI445" i="1" s="1"/>
  <c r="AG448" i="1"/>
  <c r="GW448" i="1"/>
  <c r="AJ448" i="1" s="1"/>
  <c r="BA259" i="1"/>
  <c r="GS259" i="1" s="1"/>
  <c r="HO320" i="1"/>
  <c r="HV320" i="1" s="1"/>
  <c r="AM320" i="1" s="1"/>
  <c r="AH322" i="1"/>
  <c r="DP322" i="1"/>
  <c r="IE332" i="1"/>
  <c r="IG332" i="1" s="1"/>
  <c r="AN332" i="1" s="1"/>
  <c r="HO333" i="1"/>
  <c r="HV333" i="1" s="1"/>
  <c r="AM333" i="1" s="1"/>
  <c r="HO83" i="1"/>
  <c r="HV83" i="1" s="1"/>
  <c r="AM83" i="1" s="1"/>
  <c r="IE86" i="1"/>
  <c r="IG86" i="1" s="1"/>
  <c r="AN86" i="1" s="1"/>
  <c r="IE145" i="1"/>
  <c r="IG145" i="1" s="1"/>
  <c r="AN145" i="1" s="1"/>
  <c r="IE394" i="1"/>
  <c r="IG394" i="1" s="1"/>
  <c r="AN394" i="1" s="1"/>
  <c r="AG398" i="1"/>
  <c r="HO405" i="1"/>
  <c r="HV405" i="1" s="1"/>
  <c r="AM405" i="1" s="1"/>
  <c r="DM412" i="1"/>
  <c r="DO412" i="1" s="1"/>
  <c r="AI412" i="1" s="1"/>
  <c r="IE415" i="1"/>
  <c r="IG415" i="1" s="1"/>
  <c r="AN415" i="1" s="1"/>
  <c r="IE293" i="1"/>
  <c r="IG293" i="1" s="1"/>
  <c r="AN293" i="1" s="1"/>
  <c r="HO299" i="1"/>
  <c r="HV299" i="1" s="1"/>
  <c r="AM299" i="1" s="1"/>
  <c r="AG332" i="1"/>
  <c r="GS361" i="1"/>
  <c r="AL361" i="1" s="1"/>
  <c r="HO362" i="1"/>
  <c r="HV362" i="1" s="1"/>
  <c r="AM362" i="1" s="1"/>
  <c r="HO13" i="1"/>
  <c r="HV13" i="1" s="1"/>
  <c r="AM13" i="1" s="1"/>
  <c r="HO197" i="1"/>
  <c r="HV197" i="1" s="1"/>
  <c r="AM197" i="1" s="1"/>
  <c r="HV201" i="1"/>
  <c r="AM201" i="1" s="1"/>
  <c r="BA68" i="1"/>
  <c r="AE68" i="1" s="1"/>
  <c r="HO70" i="1"/>
  <c r="HV70" i="1" s="1"/>
  <c r="AM70" i="1" s="1"/>
  <c r="HO392" i="1"/>
  <c r="HV392" i="1" s="1"/>
  <c r="AM392" i="1" s="1"/>
  <c r="DM399" i="1"/>
  <c r="AH399" i="1" s="1"/>
  <c r="GU410" i="1"/>
  <c r="AK410" i="1" s="1"/>
  <c r="IE411" i="1"/>
  <c r="IG411" i="1" s="1"/>
  <c r="AN411" i="1" s="1"/>
  <c r="GU412" i="1"/>
  <c r="AK412" i="1" s="1"/>
  <c r="AG412" i="1"/>
  <c r="AG416" i="1"/>
  <c r="DM418" i="1"/>
  <c r="AH418" i="1" s="1"/>
  <c r="AG280" i="1"/>
  <c r="GW280" i="1"/>
  <c r="AJ280" i="1" s="1"/>
  <c r="IE287" i="1"/>
  <c r="IG287" i="1" s="1"/>
  <c r="AN287" i="1" s="1"/>
  <c r="HO302" i="1"/>
  <c r="HV302" i="1" s="1"/>
  <c r="AM302" i="1" s="1"/>
  <c r="IE314" i="1"/>
  <c r="IG314" i="1" s="1"/>
  <c r="AN314" i="1" s="1"/>
  <c r="IE327" i="1"/>
  <c r="IG327" i="1" s="1"/>
  <c r="AN327" i="1" s="1"/>
  <c r="HO367" i="1"/>
  <c r="HV367" i="1" s="1"/>
  <c r="AM367" i="1" s="1"/>
  <c r="HO368" i="1"/>
  <c r="HV368" i="1" s="1"/>
  <c r="AM368" i="1" s="1"/>
  <c r="GS434" i="1"/>
  <c r="AL434" i="1" s="1"/>
  <c r="AE434" i="1"/>
  <c r="DM409" i="1"/>
  <c r="AH409" i="1" s="1"/>
  <c r="AH259" i="1"/>
  <c r="DP259" i="1"/>
  <c r="DP272" i="1"/>
  <c r="AH272" i="1"/>
  <c r="IE290" i="1"/>
  <c r="IG290" i="1" s="1"/>
  <c r="AN290" i="1" s="1"/>
  <c r="AG300" i="1"/>
  <c r="IE322" i="1"/>
  <c r="IG322" i="1" s="1"/>
  <c r="AN322" i="1" s="1"/>
  <c r="GU326" i="1"/>
  <c r="AK326" i="1" s="1"/>
  <c r="AE326" i="1"/>
  <c r="DP350" i="1"/>
  <c r="AH350" i="1"/>
  <c r="GU361" i="1"/>
  <c r="AK361" i="1" s="1"/>
  <c r="BA371" i="1"/>
  <c r="GS371" i="1" s="1"/>
  <c r="DM438" i="1"/>
  <c r="DO438" i="1" s="1"/>
  <c r="AI438" i="1" s="1"/>
  <c r="HO194" i="1"/>
  <c r="HV194" i="1" s="1"/>
  <c r="AM194" i="1" s="1"/>
  <c r="HO52" i="1"/>
  <c r="HV52" i="1" s="1"/>
  <c r="AM52" i="1" s="1"/>
  <c r="IE60" i="1"/>
  <c r="IG60" i="1" s="1"/>
  <c r="AN60" i="1" s="1"/>
  <c r="BA62" i="1"/>
  <c r="GU62" i="1" s="1"/>
  <c r="HO90" i="1"/>
  <c r="HV90" i="1" s="1"/>
  <c r="AM90" i="1" s="1"/>
  <c r="DM241" i="1"/>
  <c r="AH241" i="1" s="1"/>
  <c r="HO389" i="1"/>
  <c r="HV389" i="1" s="1"/>
  <c r="AM389" i="1" s="1"/>
  <c r="BA390" i="1"/>
  <c r="AE390" i="1" s="1"/>
  <c r="IE390" i="1"/>
  <c r="IG390" i="1" s="1"/>
  <c r="AN390" i="1" s="1"/>
  <c r="BA398" i="1"/>
  <c r="GU398" i="1" s="1"/>
  <c r="AK398" i="1" s="1"/>
  <c r="BA405" i="1"/>
  <c r="GS405" i="1" s="1"/>
  <c r="AL405" i="1" s="1"/>
  <c r="DM407" i="1"/>
  <c r="HO412" i="1"/>
  <c r="HV412" i="1" s="1"/>
  <c r="AM412" i="1" s="1"/>
  <c r="IE417" i="1"/>
  <c r="IG417" i="1" s="1"/>
  <c r="AN417" i="1" s="1"/>
  <c r="DP258" i="1"/>
  <c r="AH258" i="1"/>
  <c r="GW275" i="1"/>
  <c r="AJ275" i="1" s="1"/>
  <c r="AG279" i="1"/>
  <c r="HO291" i="1"/>
  <c r="HV291" i="1" s="1"/>
  <c r="AM291" i="1" s="1"/>
  <c r="DP338" i="1"/>
  <c r="BA347" i="1"/>
  <c r="GU347" i="1" s="1"/>
  <c r="AK347" i="1" s="1"/>
  <c r="GW350" i="1"/>
  <c r="AJ350" i="1" s="1"/>
  <c r="AG350" i="1"/>
  <c r="BA351" i="1"/>
  <c r="GS351" i="1" s="1"/>
  <c r="GW372" i="1"/>
  <c r="AJ372" i="1" s="1"/>
  <c r="AG372" i="1"/>
  <c r="IE436" i="1"/>
  <c r="IG436" i="1" s="1"/>
  <c r="AN436" i="1" s="1"/>
  <c r="IE449" i="1"/>
  <c r="IG449" i="1" s="1"/>
  <c r="AN449" i="1" s="1"/>
  <c r="DM455" i="1"/>
  <c r="DO455" i="1" s="1"/>
  <c r="AI455" i="1" s="1"/>
  <c r="DM68" i="1"/>
  <c r="AH68" i="1" s="1"/>
  <c r="IE72" i="1"/>
  <c r="IG72" i="1" s="1"/>
  <c r="AN72" i="1" s="1"/>
  <c r="HO79" i="1"/>
  <c r="HV79" i="1" s="1"/>
  <c r="AM79" i="1" s="1"/>
  <c r="HO85" i="1"/>
  <c r="HV85" i="1" s="1"/>
  <c r="AM85" i="1" s="1"/>
  <c r="HO240" i="1"/>
  <c r="HV240" i="1" s="1"/>
  <c r="AM240" i="1" s="1"/>
  <c r="DM211" i="1"/>
  <c r="AH211" i="1" s="1"/>
  <c r="IE392" i="1"/>
  <c r="IG392" i="1" s="1"/>
  <c r="AN392" i="1" s="1"/>
  <c r="DM398" i="1"/>
  <c r="AH398" i="1" s="1"/>
  <c r="GS404" i="1"/>
  <c r="AL404" i="1" s="1"/>
  <c r="DM405" i="1"/>
  <c r="AH405" i="1" s="1"/>
  <c r="DM413" i="1"/>
  <c r="AH413" i="1" s="1"/>
  <c r="AG263" i="1"/>
  <c r="GW263" i="1"/>
  <c r="AJ263" i="1" s="1"/>
  <c r="HO284" i="1"/>
  <c r="HV284" i="1" s="1"/>
  <c r="AM284" i="1" s="1"/>
  <c r="GW292" i="1"/>
  <c r="AJ292" i="1" s="1"/>
  <c r="AG292" i="1"/>
  <c r="BA313" i="1"/>
  <c r="GS313" i="1" s="1"/>
  <c r="GS324" i="1"/>
  <c r="AL324" i="1" s="1"/>
  <c r="GU324" i="1"/>
  <c r="AK324" i="1" s="1"/>
  <c r="AE374" i="1"/>
  <c r="GU374" i="1"/>
  <c r="AK374" i="1" s="1"/>
  <c r="GS374" i="1"/>
  <c r="AL374" i="1" s="1"/>
  <c r="BA83" i="1"/>
  <c r="GU83" i="1" s="1"/>
  <c r="AK83" i="1" s="1"/>
  <c r="HO86" i="1"/>
  <c r="HV86" i="1" s="1"/>
  <c r="AM86" i="1" s="1"/>
  <c r="IE89" i="1"/>
  <c r="IG89" i="1" s="1"/>
  <c r="AN89" i="1" s="1"/>
  <c r="HV248" i="1"/>
  <c r="AM248" i="1" s="1"/>
  <c r="BA395" i="1"/>
  <c r="GU395" i="1" s="1"/>
  <c r="AK395" i="1" s="1"/>
  <c r="DM417" i="1"/>
  <c r="GS263" i="1"/>
  <c r="AL263" i="1" s="1"/>
  <c r="AG264" i="1"/>
  <c r="GW264" i="1"/>
  <c r="AJ264" i="1" s="1"/>
  <c r="HO269" i="1"/>
  <c r="HV269" i="1" s="1"/>
  <c r="AM269" i="1" s="1"/>
  <c r="AG274" i="1"/>
  <c r="GW274" i="1"/>
  <c r="AJ274" i="1" s="1"/>
  <c r="HO275" i="1"/>
  <c r="HV275" i="1" s="1"/>
  <c r="AM275" i="1" s="1"/>
  <c r="HO292" i="1"/>
  <c r="HV292" i="1" s="1"/>
  <c r="AM292" i="1" s="1"/>
  <c r="HO308" i="1"/>
  <c r="HV308" i="1" s="1"/>
  <c r="AM308" i="1" s="1"/>
  <c r="IE319" i="1"/>
  <c r="IG319" i="1" s="1"/>
  <c r="AN319" i="1" s="1"/>
  <c r="DP381" i="1"/>
  <c r="HO443" i="1"/>
  <c r="HV443" i="1" s="1"/>
  <c r="AM443" i="1" s="1"/>
  <c r="DM444" i="1"/>
  <c r="AH444" i="1" s="1"/>
  <c r="IJ451" i="1"/>
  <c r="AR451" i="1" s="1"/>
  <c r="DM457" i="1"/>
  <c r="AH457" i="1" s="1"/>
  <c r="IE457" i="1"/>
  <c r="IG457" i="1" s="1"/>
  <c r="AN457" i="1" s="1"/>
  <c r="HO411" i="1"/>
  <c r="HV411" i="1" s="1"/>
  <c r="AM411" i="1" s="1"/>
  <c r="HO415" i="1"/>
  <c r="HV415" i="1" s="1"/>
  <c r="AM415" i="1" s="1"/>
  <c r="HO266" i="1"/>
  <c r="HV266" i="1" s="1"/>
  <c r="AM266" i="1" s="1"/>
  <c r="DM279" i="1"/>
  <c r="AH279" i="1" s="1"/>
  <c r="HO287" i="1"/>
  <c r="HV287" i="1" s="1"/>
  <c r="AM287" i="1" s="1"/>
  <c r="BA291" i="1"/>
  <c r="GS291" i="1" s="1"/>
  <c r="IE312" i="1"/>
  <c r="IG312" i="1" s="1"/>
  <c r="AN312" i="1" s="1"/>
  <c r="BA350" i="1"/>
  <c r="GS350" i="1" s="1"/>
  <c r="HO363" i="1"/>
  <c r="HV363" i="1" s="1"/>
  <c r="AM363" i="1" s="1"/>
  <c r="HV446" i="1"/>
  <c r="AM446" i="1" s="1"/>
  <c r="HO451" i="1"/>
  <c r="HV451" i="1" s="1"/>
  <c r="AM451" i="1" s="1"/>
  <c r="HO456" i="1"/>
  <c r="HV456" i="1" s="1"/>
  <c r="AM456" i="1" s="1"/>
  <c r="HO399" i="1"/>
  <c r="HV399" i="1" s="1"/>
  <c r="AM399" i="1" s="1"/>
  <c r="GS407" i="1"/>
  <c r="AL407" i="1" s="1"/>
  <c r="BA413" i="1"/>
  <c r="AE413" i="1" s="1"/>
  <c r="HO261" i="1"/>
  <c r="HV261" i="1" s="1"/>
  <c r="AM261" i="1" s="1"/>
  <c r="HO270" i="1"/>
  <c r="HV270" i="1" s="1"/>
  <c r="AM270" i="1" s="1"/>
  <c r="IE284" i="1"/>
  <c r="IG284" i="1" s="1"/>
  <c r="AN284" i="1" s="1"/>
  <c r="HO285" i="1"/>
  <c r="HV285" i="1" s="1"/>
  <c r="AM285" i="1" s="1"/>
  <c r="IE289" i="1"/>
  <c r="IG289" i="1" s="1"/>
  <c r="AN289" i="1" s="1"/>
  <c r="BA308" i="1"/>
  <c r="GU308" i="1" s="1"/>
  <c r="AK308" i="1" s="1"/>
  <c r="HO309" i="1"/>
  <c r="HV309" i="1" s="1"/>
  <c r="AM309" i="1" s="1"/>
  <c r="AH320" i="1"/>
  <c r="HO338" i="1"/>
  <c r="HV338" i="1" s="1"/>
  <c r="AM338" i="1" s="1"/>
  <c r="IE340" i="1"/>
  <c r="IG340" i="1" s="1"/>
  <c r="AN340" i="1" s="1"/>
  <c r="HO346" i="1"/>
  <c r="HV346" i="1" s="1"/>
  <c r="AM346" i="1" s="1"/>
  <c r="DM433" i="1"/>
  <c r="DO433" i="1" s="1"/>
  <c r="AI433" i="1" s="1"/>
  <c r="HO439" i="1"/>
  <c r="HV439" i="1" s="1"/>
  <c r="AM439" i="1" s="1"/>
  <c r="IE447" i="1"/>
  <c r="IG447" i="1" s="1"/>
  <c r="AN447" i="1" s="1"/>
  <c r="IE451" i="1"/>
  <c r="IG451" i="1" s="1"/>
  <c r="AN451" i="1" s="1"/>
  <c r="BA454" i="1"/>
  <c r="GU454" i="1" s="1"/>
  <c r="AK454" i="1" s="1"/>
  <c r="BA378" i="1"/>
  <c r="GS378" i="1" s="1"/>
  <c r="HO395" i="1"/>
  <c r="HV395" i="1" s="1"/>
  <c r="AM395" i="1" s="1"/>
  <c r="DM411" i="1"/>
  <c r="DO411" i="1" s="1"/>
  <c r="AI411" i="1" s="1"/>
  <c r="BA417" i="1"/>
  <c r="AE417" i="1" s="1"/>
  <c r="DM265" i="1"/>
  <c r="AH265" i="1" s="1"/>
  <c r="IE285" i="1"/>
  <c r="IG285" i="1" s="1"/>
  <c r="AN285" i="1" s="1"/>
  <c r="BA289" i="1"/>
  <c r="IE333" i="1"/>
  <c r="IG333" i="1" s="1"/>
  <c r="AN333" i="1" s="1"/>
  <c r="HO342" i="1"/>
  <c r="HV342" i="1" s="1"/>
  <c r="AM342" i="1" s="1"/>
  <c r="AG362" i="1"/>
  <c r="BA373" i="1"/>
  <c r="HO380" i="1"/>
  <c r="HV380" i="1" s="1"/>
  <c r="AM380" i="1" s="1"/>
  <c r="HO381" i="1"/>
  <c r="HV381" i="1" s="1"/>
  <c r="AM381" i="1" s="1"/>
  <c r="HO438" i="1"/>
  <c r="HV438" i="1" s="1"/>
  <c r="AM438" i="1" s="1"/>
  <c r="HO449" i="1"/>
  <c r="HV449" i="1" s="1"/>
  <c r="AM449" i="1" s="1"/>
  <c r="HO455" i="1"/>
  <c r="HV455" i="1" s="1"/>
  <c r="AM455" i="1" s="1"/>
  <c r="IE413" i="1"/>
  <c r="IG413" i="1" s="1"/>
  <c r="AN413" i="1" s="1"/>
  <c r="HO258" i="1"/>
  <c r="HV258" i="1" s="1"/>
  <c r="AM258" i="1" s="1"/>
  <c r="AG262" i="1"/>
  <c r="BA267" i="1"/>
  <c r="AE267" i="1" s="1"/>
  <c r="HO281" i="1"/>
  <c r="HV281" i="1" s="1"/>
  <c r="AM281" i="1" s="1"/>
  <c r="HO282" i="1"/>
  <c r="HV282" i="1" s="1"/>
  <c r="AM282" i="1" s="1"/>
  <c r="HO290" i="1"/>
  <c r="HV290" i="1" s="1"/>
  <c r="AM290" i="1" s="1"/>
  <c r="IE292" i="1"/>
  <c r="IG292" i="1" s="1"/>
  <c r="AN292" i="1" s="1"/>
  <c r="IE299" i="1"/>
  <c r="IG299" i="1" s="1"/>
  <c r="AN299" i="1" s="1"/>
  <c r="HO303" i="1"/>
  <c r="HV303" i="1" s="1"/>
  <c r="AM303" i="1" s="1"/>
  <c r="HO355" i="1"/>
  <c r="HV355" i="1" s="1"/>
  <c r="AM355" i="1" s="1"/>
  <c r="HO448" i="1"/>
  <c r="HV448" i="1" s="1"/>
  <c r="AM448" i="1" s="1"/>
  <c r="DM451" i="1"/>
  <c r="DO451" i="1" s="1"/>
  <c r="AI451" i="1" s="1"/>
  <c r="IE318" i="1"/>
  <c r="IG318" i="1" s="1"/>
  <c r="AN318" i="1" s="1"/>
  <c r="HO319" i="1"/>
  <c r="HV319" i="1" s="1"/>
  <c r="AM319" i="1" s="1"/>
  <c r="HO334" i="1"/>
  <c r="HV334" i="1" s="1"/>
  <c r="AM334" i="1" s="1"/>
  <c r="GU345" i="1"/>
  <c r="AK345" i="1" s="1"/>
  <c r="HO350" i="1"/>
  <c r="HV350" i="1" s="1"/>
  <c r="AM350" i="1" s="1"/>
  <c r="BA352" i="1"/>
  <c r="AE352" i="1" s="1"/>
  <c r="BA379" i="1"/>
  <c r="AE379" i="1" s="1"/>
  <c r="HO383" i="1"/>
  <c r="HV383" i="1" s="1"/>
  <c r="AM383" i="1" s="1"/>
  <c r="HO437" i="1"/>
  <c r="HV437" i="1" s="1"/>
  <c r="AM437" i="1" s="1"/>
  <c r="IE445" i="1"/>
  <c r="IG445" i="1" s="1"/>
  <c r="AN445" i="1" s="1"/>
  <c r="DM450" i="1"/>
  <c r="DO450" i="1" s="1"/>
  <c r="AI450" i="1" s="1"/>
  <c r="IE453" i="1"/>
  <c r="IG453" i="1" s="1"/>
  <c r="AN453" i="1" s="1"/>
  <c r="GW308" i="1"/>
  <c r="AJ308" i="1" s="1"/>
  <c r="AG308" i="1"/>
  <c r="AE193" i="1"/>
  <c r="GU193" i="1"/>
  <c r="AK193" i="1" s="1"/>
  <c r="GS193" i="1"/>
  <c r="GU231" i="1"/>
  <c r="AK231" i="1" s="1"/>
  <c r="AE231" i="1"/>
  <c r="GW146" i="1"/>
  <c r="AJ146" i="1" s="1"/>
  <c r="GU146" i="1"/>
  <c r="AK146" i="1" s="1"/>
  <c r="GS146" i="1"/>
  <c r="AG146" i="1"/>
  <c r="AE279" i="1"/>
  <c r="GU279" i="1"/>
  <c r="AK279" i="1" s="1"/>
  <c r="GS279" i="1"/>
  <c r="AH197" i="1"/>
  <c r="GU36" i="1"/>
  <c r="AK36" i="1" s="1"/>
  <c r="GS36" i="1"/>
  <c r="AE36" i="1"/>
  <c r="GU67" i="1"/>
  <c r="AK67" i="1" s="1"/>
  <c r="GS67" i="1"/>
  <c r="AE67" i="1"/>
  <c r="AH231" i="1"/>
  <c r="DO231" i="1"/>
  <c r="AI231" i="1" s="1"/>
  <c r="GW52" i="1"/>
  <c r="AJ52" i="1" s="1"/>
  <c r="AG52" i="1"/>
  <c r="GS52" i="1"/>
  <c r="GS75" i="1"/>
  <c r="AG75" i="1"/>
  <c r="GW75" i="1"/>
  <c r="AJ75" i="1" s="1"/>
  <c r="GU161" i="1"/>
  <c r="AK161" i="1" s="1"/>
  <c r="GS161" i="1"/>
  <c r="AE161" i="1"/>
  <c r="GU5" i="1"/>
  <c r="AK5" i="1" s="1"/>
  <c r="GS5" i="1"/>
  <c r="AE5" i="1"/>
  <c r="AG413" i="1"/>
  <c r="GW413" i="1"/>
  <c r="AJ413" i="1" s="1"/>
  <c r="GS6" i="1"/>
  <c r="AE6" i="1"/>
  <c r="GU6" i="1"/>
  <c r="AK6" i="1" s="1"/>
  <c r="GW207" i="1"/>
  <c r="AJ207" i="1" s="1"/>
  <c r="AG207" i="1"/>
  <c r="GU221" i="1"/>
  <c r="AK221" i="1" s="1"/>
  <c r="GS221" i="1"/>
  <c r="AE221" i="1"/>
  <c r="GU40" i="1"/>
  <c r="AK40" i="1" s="1"/>
  <c r="GS40" i="1"/>
  <c r="AE40" i="1"/>
  <c r="GW69" i="1"/>
  <c r="AJ69" i="1" s="1"/>
  <c r="AH414" i="1"/>
  <c r="DO414" i="1"/>
  <c r="AI414" i="1" s="1"/>
  <c r="GU302" i="1"/>
  <c r="AK302" i="1" s="1"/>
  <c r="GS302" i="1"/>
  <c r="AE302" i="1"/>
  <c r="AG161" i="1"/>
  <c r="GW161" i="1"/>
  <c r="AJ161" i="1" s="1"/>
  <c r="GU171" i="1"/>
  <c r="AK171" i="1" s="1"/>
  <c r="GS171" i="1"/>
  <c r="AE171" i="1"/>
  <c r="AG389" i="1"/>
  <c r="GW389" i="1"/>
  <c r="AJ389" i="1" s="1"/>
  <c r="GS396" i="1"/>
  <c r="AE396" i="1"/>
  <c r="AH171" i="1"/>
  <c r="DO171" i="1"/>
  <c r="AI171" i="1" s="1"/>
  <c r="AH219" i="1"/>
  <c r="DO219" i="1"/>
  <c r="AI219" i="1" s="1"/>
  <c r="GW60" i="1"/>
  <c r="AJ60" i="1" s="1"/>
  <c r="AG60" i="1"/>
  <c r="AE78" i="1"/>
  <c r="GU78" i="1"/>
  <c r="AG3" i="1"/>
  <c r="GW3" i="1"/>
  <c r="AJ3" i="1" s="1"/>
  <c r="GU54" i="1"/>
  <c r="AK54" i="1" s="1"/>
  <c r="GS54" i="1"/>
  <c r="AE54" i="1"/>
  <c r="GU61" i="1"/>
  <c r="AE61" i="1"/>
  <c r="AG65" i="1"/>
  <c r="GW65" i="1"/>
  <c r="AJ65" i="1" s="1"/>
  <c r="AE242" i="1"/>
  <c r="GS242" i="1"/>
  <c r="GU242" i="1"/>
  <c r="AK242" i="1" s="1"/>
  <c r="AG57" i="1"/>
  <c r="GW57" i="1"/>
  <c r="AJ57" i="1" s="1"/>
  <c r="DP91" i="1"/>
  <c r="AH91" i="1"/>
  <c r="GW217" i="1"/>
  <c r="AJ217" i="1" s="1"/>
  <c r="AG217" i="1"/>
  <c r="GU217" i="1"/>
  <c r="AK217" i="1" s="1"/>
  <c r="AE42" i="1"/>
  <c r="GS42" i="1"/>
  <c r="GU42" i="1"/>
  <c r="AK42" i="1" s="1"/>
  <c r="AH108" i="1"/>
  <c r="DP108" i="1"/>
  <c r="GS32" i="1"/>
  <c r="GU32" i="1"/>
  <c r="AK32" i="1" s="1"/>
  <c r="AE32" i="1"/>
  <c r="GU11" i="1"/>
  <c r="AK11" i="1" s="1"/>
  <c r="GS11" i="1"/>
  <c r="AE11" i="1"/>
  <c r="AH13" i="1"/>
  <c r="DP13" i="1"/>
  <c r="AG69" i="1"/>
  <c r="GW82" i="1"/>
  <c r="AJ82" i="1" s="1"/>
  <c r="AG82" i="1"/>
  <c r="GW333" i="1"/>
  <c r="AJ333" i="1" s="1"/>
  <c r="GU333" i="1"/>
  <c r="AK333" i="1" s="1"/>
  <c r="AG333" i="1"/>
  <c r="GU59" i="1"/>
  <c r="GW71" i="1"/>
  <c r="AJ71" i="1" s="1"/>
  <c r="AG71" i="1"/>
  <c r="GS418" i="1"/>
  <c r="AE418" i="1"/>
  <c r="GU418" i="1"/>
  <c r="AK418" i="1" s="1"/>
  <c r="GU334" i="1"/>
  <c r="AK334" i="1" s="1"/>
  <c r="GS334" i="1"/>
  <c r="AG334" i="1"/>
  <c r="GW380" i="1"/>
  <c r="AJ380" i="1" s="1"/>
  <c r="AG380" i="1"/>
  <c r="GU457" i="1"/>
  <c r="AK457" i="1" s="1"/>
  <c r="DP76" i="1"/>
  <c r="AH76" i="1" s="1"/>
  <c r="CH76" i="1"/>
  <c r="DO76" i="1"/>
  <c r="AI76" i="1" s="1"/>
  <c r="FA279" i="1"/>
  <c r="GW417" i="1"/>
  <c r="AJ417" i="1" s="1"/>
  <c r="AG417" i="1"/>
  <c r="AG38" i="1"/>
  <c r="GW38" i="1"/>
  <c r="AJ38" i="1" s="1"/>
  <c r="KH320" i="1"/>
  <c r="GS327" i="1"/>
  <c r="AG327" i="1"/>
  <c r="GW327" i="1"/>
  <c r="AJ327" i="1" s="1"/>
  <c r="GW338" i="1"/>
  <c r="AJ338" i="1" s="1"/>
  <c r="GU225" i="1"/>
  <c r="AK225" i="1" s="1"/>
  <c r="AE225" i="1"/>
  <c r="DO227" i="1"/>
  <c r="AI227" i="1" s="1"/>
  <c r="GW266" i="1"/>
  <c r="AJ266" i="1" s="1"/>
  <c r="GU273" i="1"/>
  <c r="AK273" i="1" s="1"/>
  <c r="AE273" i="1"/>
  <c r="GS273" i="1"/>
  <c r="DP6" i="1"/>
  <c r="AG193" i="1"/>
  <c r="GW193" i="1"/>
  <c r="AJ193" i="1" s="1"/>
  <c r="CH201" i="1"/>
  <c r="DM201" i="1" s="1"/>
  <c r="AE220" i="1"/>
  <c r="DO223" i="1"/>
  <c r="AI223" i="1" s="1"/>
  <c r="AH223" i="1"/>
  <c r="GW59" i="1"/>
  <c r="AJ59" i="1" s="1"/>
  <c r="AE76" i="1"/>
  <c r="GU76" i="1"/>
  <c r="GU81" i="1"/>
  <c r="AK81" i="1" s="1"/>
  <c r="GS81" i="1"/>
  <c r="AG227" i="1"/>
  <c r="GW227" i="1"/>
  <c r="AJ227" i="1" s="1"/>
  <c r="GW406" i="1"/>
  <c r="AJ406" i="1" s="1"/>
  <c r="GW304" i="1"/>
  <c r="AJ304" i="1" s="1"/>
  <c r="AG304" i="1"/>
  <c r="DO5" i="1"/>
  <c r="AI5" i="1" s="1"/>
  <c r="AH5" i="1"/>
  <c r="AG197" i="1"/>
  <c r="GW45" i="1"/>
  <c r="AJ45" i="1" s="1"/>
  <c r="GU50" i="1"/>
  <c r="AK50" i="1" s="1"/>
  <c r="GS50" i="1"/>
  <c r="AE50" i="1"/>
  <c r="AG91" i="1"/>
  <c r="GW91" i="1"/>
  <c r="AJ91" i="1" s="1"/>
  <c r="AH237" i="1"/>
  <c r="DO237" i="1"/>
  <c r="AI237" i="1" s="1"/>
  <c r="DO256" i="1"/>
  <c r="AI256" i="1" s="1"/>
  <c r="GW272" i="1"/>
  <c r="AJ272" i="1" s="1"/>
  <c r="AG272" i="1"/>
  <c r="GU272" i="1"/>
  <c r="AK272" i="1" s="1"/>
  <c r="AG286" i="1"/>
  <c r="GW286" i="1"/>
  <c r="AJ286" i="1" s="1"/>
  <c r="AH195" i="1"/>
  <c r="DO195" i="1"/>
  <c r="AI195" i="1" s="1"/>
  <c r="GU17" i="1"/>
  <c r="AK17" i="1" s="1"/>
  <c r="GW49" i="1"/>
  <c r="AJ49" i="1" s="1"/>
  <c r="GS73" i="1"/>
  <c r="AE73" i="1"/>
  <c r="AG144" i="1"/>
  <c r="GS144" i="1"/>
  <c r="GS170" i="1"/>
  <c r="AE170" i="1"/>
  <c r="AZ37" i="1"/>
  <c r="BA37" i="1" s="1"/>
  <c r="GS225" i="1"/>
  <c r="AH85" i="1"/>
  <c r="AE86" i="1"/>
  <c r="GU86" i="1"/>
  <c r="AK86" i="1" s="1"/>
  <c r="GS86" i="1"/>
  <c r="AE248" i="1"/>
  <c r="AG405" i="1"/>
  <c r="GW405" i="1"/>
  <c r="AJ405" i="1" s="1"/>
  <c r="GS410" i="1"/>
  <c r="AG257" i="1"/>
  <c r="GU257" i="1"/>
  <c r="AK257" i="1" s="1"/>
  <c r="GW257" i="1"/>
  <c r="AJ257" i="1" s="1"/>
  <c r="GS257" i="1"/>
  <c r="AH170" i="1"/>
  <c r="DO170" i="1"/>
  <c r="AI170" i="1" s="1"/>
  <c r="GW12" i="1"/>
  <c r="AJ12" i="1" s="1"/>
  <c r="GW201" i="1"/>
  <c r="AJ201" i="1" s="1"/>
  <c r="GU201" i="1"/>
  <c r="AK201" i="1" s="1"/>
  <c r="AG83" i="1"/>
  <c r="GW83" i="1"/>
  <c r="AJ83" i="1" s="1"/>
  <c r="GS408" i="1"/>
  <c r="AE408" i="1"/>
  <c r="GU408" i="1"/>
  <c r="AK408" i="1" s="1"/>
  <c r="DP261" i="1"/>
  <c r="AH261" i="1"/>
  <c r="KH324" i="1"/>
  <c r="GW344" i="1"/>
  <c r="AJ344" i="1" s="1"/>
  <c r="GS446" i="1"/>
  <c r="AE446" i="1"/>
  <c r="GS457" i="1"/>
  <c r="AE457" i="1"/>
  <c r="GU197" i="1"/>
  <c r="AK197" i="1" s="1"/>
  <c r="GS197" i="1"/>
  <c r="AG201" i="1"/>
  <c r="DM207" i="1"/>
  <c r="GU224" i="1"/>
  <c r="AK224" i="1" s="1"/>
  <c r="AG225" i="1"/>
  <c r="IE71" i="1"/>
  <c r="IG71" i="1" s="1"/>
  <c r="AN71" i="1" s="1"/>
  <c r="GW387" i="1"/>
  <c r="AJ387" i="1" s="1"/>
  <c r="AG387" i="1"/>
  <c r="AE262" i="1"/>
  <c r="GU262" i="1"/>
  <c r="AK262" i="1" s="1"/>
  <c r="GS262" i="1"/>
  <c r="DP274" i="1"/>
  <c r="AH274" i="1"/>
  <c r="IE297" i="1"/>
  <c r="IG297" i="1" s="1"/>
  <c r="AN297" i="1" s="1"/>
  <c r="GW326" i="1"/>
  <c r="AJ326" i="1" s="1"/>
  <c r="AG326" i="1"/>
  <c r="AE13" i="1"/>
  <c r="GU13" i="1"/>
  <c r="AK13" i="1" s="1"/>
  <c r="GS13" i="1"/>
  <c r="AE41" i="1"/>
  <c r="GU41" i="1"/>
  <c r="AK41" i="1" s="1"/>
  <c r="GS41" i="1"/>
  <c r="AE38" i="1"/>
  <c r="GS38" i="1"/>
  <c r="GU38" i="1"/>
  <c r="AK38" i="1" s="1"/>
  <c r="AE52" i="1"/>
  <c r="GU52" i="1"/>
  <c r="AK52" i="1" s="1"/>
  <c r="GU393" i="1"/>
  <c r="AK393" i="1" s="1"/>
  <c r="AG393" i="1"/>
  <c r="GW363" i="1"/>
  <c r="AJ363" i="1" s="1"/>
  <c r="AG363" i="1"/>
  <c r="AE243" i="1"/>
  <c r="GW55" i="1"/>
  <c r="AJ55" i="1" s="1"/>
  <c r="AG55" i="1"/>
  <c r="GU266" i="1"/>
  <c r="AK266" i="1" s="1"/>
  <c r="GS438" i="1"/>
  <c r="GU438" i="1"/>
  <c r="AK438" i="1" s="1"/>
  <c r="AE438" i="1"/>
  <c r="AH7" i="1"/>
  <c r="DO7" i="1"/>
  <c r="AI7" i="1" s="1"/>
  <c r="GS91" i="1"/>
  <c r="GU91" i="1"/>
  <c r="AK91" i="1" s="1"/>
  <c r="AE91" i="1"/>
  <c r="GW400" i="1"/>
  <c r="AJ400" i="1" s="1"/>
  <c r="AG400" i="1"/>
  <c r="GS406" i="1"/>
  <c r="KJ320" i="1"/>
  <c r="GW208" i="1"/>
  <c r="AJ208" i="1" s="1"/>
  <c r="AG208" i="1"/>
  <c r="AE223" i="1"/>
  <c r="GU223" i="1"/>
  <c r="AK223" i="1" s="1"/>
  <c r="GS223" i="1"/>
  <c r="AG406" i="1"/>
  <c r="GW210" i="1"/>
  <c r="AJ210" i="1" s="1"/>
  <c r="GS49" i="1"/>
  <c r="GS85" i="1"/>
  <c r="GW388" i="1"/>
  <c r="AJ388" i="1" s="1"/>
  <c r="GU388" i="1"/>
  <c r="AK388" i="1" s="1"/>
  <c r="AE265" i="1"/>
  <c r="GS265" i="1"/>
  <c r="GU265" i="1"/>
  <c r="AK265" i="1" s="1"/>
  <c r="GU280" i="1"/>
  <c r="AK280" i="1" s="1"/>
  <c r="GS280" i="1"/>
  <c r="AE280" i="1"/>
  <c r="GS318" i="1"/>
  <c r="GU318" i="1"/>
  <c r="AK318" i="1" s="1"/>
  <c r="AE318" i="1"/>
  <c r="GU322" i="1"/>
  <c r="AK322" i="1" s="1"/>
  <c r="GS322" i="1"/>
  <c r="AE322" i="1"/>
  <c r="GW334" i="1"/>
  <c r="AJ334" i="1" s="1"/>
  <c r="GW353" i="1"/>
  <c r="AJ353" i="1" s="1"/>
  <c r="AG353" i="1"/>
  <c r="GW381" i="1"/>
  <c r="AJ381" i="1" s="1"/>
  <c r="AG381" i="1"/>
  <c r="GW457" i="1"/>
  <c r="AJ457" i="1" s="1"/>
  <c r="AE195" i="1"/>
  <c r="GS195" i="1"/>
  <c r="GS17" i="1"/>
  <c r="DP36" i="1"/>
  <c r="AH36" i="1" s="1"/>
  <c r="GW85" i="1"/>
  <c r="AJ85" i="1" s="1"/>
  <c r="GW391" i="1"/>
  <c r="AJ391" i="1" s="1"/>
  <c r="AG391" i="1"/>
  <c r="GW254" i="1"/>
  <c r="AJ254" i="1" s="1"/>
  <c r="DO11" i="1"/>
  <c r="AI11" i="1" s="1"/>
  <c r="AH11" i="1"/>
  <c r="GU208" i="1"/>
  <c r="AK208" i="1" s="1"/>
  <c r="GS208" i="1"/>
  <c r="GW36" i="1"/>
  <c r="AJ36" i="1" s="1"/>
  <c r="AG36" i="1"/>
  <c r="AG51" i="1"/>
  <c r="GW51" i="1"/>
  <c r="AJ51" i="1" s="1"/>
  <c r="GW72" i="1"/>
  <c r="AJ72" i="1" s="1"/>
  <c r="AG72" i="1"/>
  <c r="DO89" i="1"/>
  <c r="AI89" i="1" s="1"/>
  <c r="GW410" i="1"/>
  <c r="AJ410" i="1" s="1"/>
  <c r="AG410" i="1"/>
  <c r="GS261" i="1"/>
  <c r="GU261" i="1"/>
  <c r="AK261" i="1" s="1"/>
  <c r="AE261" i="1"/>
  <c r="AE269" i="1"/>
  <c r="GU269" i="1"/>
  <c r="AK269" i="1" s="1"/>
  <c r="GS269" i="1"/>
  <c r="DO280" i="1"/>
  <c r="AI280" i="1" s="1"/>
  <c r="AH280" i="1"/>
  <c r="GW17" i="1"/>
  <c r="AJ17" i="1" s="1"/>
  <c r="GU65" i="1"/>
  <c r="AE323" i="1"/>
  <c r="GU323" i="1"/>
  <c r="AK323" i="1" s="1"/>
  <c r="GU344" i="1"/>
  <c r="AK344" i="1" s="1"/>
  <c r="AH221" i="1"/>
  <c r="DO221" i="1"/>
  <c r="AI221" i="1" s="1"/>
  <c r="DP42" i="1"/>
  <c r="AH42" i="1"/>
  <c r="AH48" i="1"/>
  <c r="AE224" i="1"/>
  <c r="GW224" i="1"/>
  <c r="AJ224" i="1" s="1"/>
  <c r="AH225" i="1"/>
  <c r="GU73" i="1"/>
  <c r="AK73" i="1" s="1"/>
  <c r="GU82" i="1"/>
  <c r="AK82" i="1" s="1"/>
  <c r="AE82" i="1"/>
  <c r="GS82" i="1"/>
  <c r="GS226" i="1"/>
  <c r="AE226" i="1"/>
  <c r="GU226" i="1"/>
  <c r="AK226" i="1" s="1"/>
  <c r="DP161" i="1"/>
  <c r="GU170" i="1"/>
  <c r="AK170" i="1" s="1"/>
  <c r="GW32" i="1"/>
  <c r="AJ32" i="1" s="1"/>
  <c r="AG32" i="1"/>
  <c r="GU47" i="1"/>
  <c r="AG50" i="1"/>
  <c r="GW62" i="1"/>
  <c r="AJ62" i="1" s="1"/>
  <c r="AE81" i="1"/>
  <c r="AH226" i="1"/>
  <c r="DO226" i="1"/>
  <c r="AI226" i="1" s="1"/>
  <c r="AE90" i="1"/>
  <c r="GS90" i="1"/>
  <c r="GU90" i="1"/>
  <c r="AK90" i="1" s="1"/>
  <c r="HO99" i="1"/>
  <c r="HV99" i="1" s="1"/>
  <c r="AM99" i="1" s="1"/>
  <c r="GW162" i="1"/>
  <c r="AJ162" i="1" s="1"/>
  <c r="AG162" i="1"/>
  <c r="GS388" i="1"/>
  <c r="GS393" i="1"/>
  <c r="AG394" i="1"/>
  <c r="GW394" i="1"/>
  <c r="AJ394" i="1" s="1"/>
  <c r="BA399" i="1"/>
  <c r="GU399" i="1" s="1"/>
  <c r="AK399" i="1" s="1"/>
  <c r="DM400" i="1"/>
  <c r="IE407" i="1"/>
  <c r="IG407" i="1" s="1"/>
  <c r="AN407" i="1" s="1"/>
  <c r="GS414" i="1"/>
  <c r="GU414" i="1"/>
  <c r="AK414" i="1" s="1"/>
  <c r="IE414" i="1"/>
  <c r="IG414" i="1" s="1"/>
  <c r="AN414" i="1" s="1"/>
  <c r="HO418" i="1"/>
  <c r="HV418" i="1" s="1"/>
  <c r="AM418" i="1" s="1"/>
  <c r="AG254" i="1"/>
  <c r="GW323" i="1"/>
  <c r="AJ323" i="1" s="1"/>
  <c r="AG323" i="1"/>
  <c r="AE325" i="1"/>
  <c r="GS325" i="1"/>
  <c r="GU325" i="1"/>
  <c r="AK325" i="1" s="1"/>
  <c r="IE339" i="1"/>
  <c r="IG339" i="1" s="1"/>
  <c r="AN339" i="1" s="1"/>
  <c r="AH45" i="1"/>
  <c r="AG395" i="1"/>
  <c r="GW395" i="1"/>
  <c r="AJ395" i="1" s="1"/>
  <c r="GW399" i="1"/>
  <c r="AJ399" i="1" s="1"/>
  <c r="GU402" i="1"/>
  <c r="AK402" i="1" s="1"/>
  <c r="AG402" i="1"/>
  <c r="GS411" i="1"/>
  <c r="AE411" i="1"/>
  <c r="AE412" i="1"/>
  <c r="GS412" i="1"/>
  <c r="DP357" i="1"/>
  <c r="AH357" i="1"/>
  <c r="DP359" i="1"/>
  <c r="AG367" i="1"/>
  <c r="GW367" i="1"/>
  <c r="AJ367" i="1" s="1"/>
  <c r="GS367" i="1"/>
  <c r="GW368" i="1"/>
  <c r="AJ368" i="1" s="1"/>
  <c r="AG368" i="1"/>
  <c r="GS383" i="1"/>
  <c r="GU383" i="1"/>
  <c r="AK383" i="1" s="1"/>
  <c r="AE383" i="1"/>
  <c r="AI67" i="1"/>
  <c r="DP67" i="1"/>
  <c r="AG243" i="1"/>
  <c r="GU407" i="1"/>
  <c r="AK407" i="1" s="1"/>
  <c r="GW407" i="1"/>
  <c r="AJ407" i="1" s="1"/>
  <c r="KJ324" i="1"/>
  <c r="DP330" i="1"/>
  <c r="AH330" i="1"/>
  <c r="KJ333" i="1"/>
  <c r="KO333" i="1"/>
  <c r="KH333" i="1"/>
  <c r="GW371" i="1"/>
  <c r="AJ371" i="1" s="1"/>
  <c r="AG371" i="1"/>
  <c r="GW209" i="1"/>
  <c r="AJ209" i="1" s="1"/>
  <c r="AG209" i="1"/>
  <c r="DP86" i="1"/>
  <c r="DP84" i="1"/>
  <c r="AH84" i="1"/>
  <c r="GW243" i="1"/>
  <c r="AJ243" i="1" s="1"/>
  <c r="GU246" i="1"/>
  <c r="AK246" i="1" s="1"/>
  <c r="GS246" i="1"/>
  <c r="GU396" i="1"/>
  <c r="AK396" i="1" s="1"/>
  <c r="GW402" i="1"/>
  <c r="AJ402" i="1" s="1"/>
  <c r="BA258" i="1"/>
  <c r="KO324" i="1"/>
  <c r="HN358" i="1"/>
  <c r="HO358" i="1" s="1"/>
  <c r="HV358" i="1" s="1"/>
  <c r="AM358" i="1" s="1"/>
  <c r="GS360" i="1"/>
  <c r="GU360" i="1"/>
  <c r="AK360" i="1" s="1"/>
  <c r="AE360" i="1"/>
  <c r="GS362" i="1"/>
  <c r="AE362" i="1"/>
  <c r="GU362" i="1"/>
  <c r="AK362" i="1" s="1"/>
  <c r="AG11" i="1"/>
  <c r="AG195" i="1"/>
  <c r="AH220" i="1"/>
  <c r="AG41" i="1"/>
  <c r="GW41" i="1"/>
  <c r="AJ41" i="1" s="1"/>
  <c r="HO51" i="1"/>
  <c r="HV51" i="1" s="1"/>
  <c r="AM51" i="1" s="1"/>
  <c r="DP57" i="1"/>
  <c r="DO224" i="1"/>
  <c r="AI224" i="1" s="1"/>
  <c r="AH224" i="1"/>
  <c r="GS142" i="1"/>
  <c r="AE142" i="1"/>
  <c r="IE142" i="1"/>
  <c r="IG142" i="1" s="1"/>
  <c r="AN142" i="1" s="1"/>
  <c r="AG237" i="1"/>
  <c r="GW237" i="1"/>
  <c r="AJ237" i="1" s="1"/>
  <c r="GS237" i="1"/>
  <c r="GU237" i="1"/>
  <c r="AK237" i="1" s="1"/>
  <c r="AE240" i="1"/>
  <c r="AH246" i="1"/>
  <c r="DP246" i="1"/>
  <c r="DM388" i="1"/>
  <c r="BA394" i="1"/>
  <c r="GW396" i="1"/>
  <c r="AJ396" i="1" s="1"/>
  <c r="AE415" i="1"/>
  <c r="GS415" i="1"/>
  <c r="AG288" i="1"/>
  <c r="AG290" i="1"/>
  <c r="GW309" i="1"/>
  <c r="AJ309" i="1" s="1"/>
  <c r="AE328" i="1"/>
  <c r="GS328" i="1"/>
  <c r="GU328" i="1"/>
  <c r="AK328" i="1" s="1"/>
  <c r="GW404" i="1"/>
  <c r="AJ404" i="1" s="1"/>
  <c r="AG404" i="1"/>
  <c r="GU404" i="1"/>
  <c r="AK404" i="1" s="1"/>
  <c r="AG40" i="1"/>
  <c r="DP17" i="1"/>
  <c r="AH17" i="1"/>
  <c r="GW68" i="1"/>
  <c r="AJ68" i="1" s="1"/>
  <c r="AG68" i="1"/>
  <c r="AG74" i="1"/>
  <c r="GW74" i="1"/>
  <c r="AJ74" i="1" s="1"/>
  <c r="GU74" i="1"/>
  <c r="AK74" i="1" s="1"/>
  <c r="GU75" i="1"/>
  <c r="AK75" i="1" s="1"/>
  <c r="GW76" i="1"/>
  <c r="AJ76" i="1" s="1"/>
  <c r="DP268" i="1"/>
  <c r="AH268" i="1"/>
  <c r="GW270" i="1"/>
  <c r="AJ270" i="1" s="1"/>
  <c r="GS270" i="1"/>
  <c r="GU274" i="1"/>
  <c r="AK274" i="1" s="1"/>
  <c r="GS274" i="1"/>
  <c r="AE274" i="1"/>
  <c r="GW287" i="1"/>
  <c r="AJ287" i="1" s="1"/>
  <c r="AG287" i="1"/>
  <c r="GU300" i="1"/>
  <c r="AK300" i="1" s="1"/>
  <c r="GS300" i="1"/>
  <c r="AE300" i="1"/>
  <c r="AG335" i="1"/>
  <c r="GW335" i="1"/>
  <c r="AJ335" i="1" s="1"/>
  <c r="AG352" i="1"/>
  <c r="GW352" i="1"/>
  <c r="AJ352" i="1" s="1"/>
  <c r="GS358" i="1"/>
  <c r="GU358" i="1"/>
  <c r="AK358" i="1" s="1"/>
  <c r="AE358" i="1"/>
  <c r="GS365" i="1"/>
  <c r="AE365" i="1"/>
  <c r="GU365" i="1"/>
  <c r="AK365" i="1" s="1"/>
  <c r="GU439" i="1"/>
  <c r="AK439" i="1" s="1"/>
  <c r="AG439" i="1"/>
  <c r="GW439" i="1"/>
  <c r="AJ439" i="1" s="1"/>
  <c r="GW231" i="1"/>
  <c r="AJ231" i="1" s="1"/>
  <c r="AG231" i="1"/>
  <c r="GU144" i="1"/>
  <c r="AK144" i="1" s="1"/>
  <c r="AE144" i="1"/>
  <c r="AG171" i="1"/>
  <c r="DM208" i="1"/>
  <c r="GS201" i="1"/>
  <c r="AE201" i="1"/>
  <c r="AG64" i="1"/>
  <c r="GS70" i="1"/>
  <c r="GS74" i="1"/>
  <c r="GW81" i="1"/>
  <c r="AJ81" i="1" s="1"/>
  <c r="AG226" i="1"/>
  <c r="HO226" i="1"/>
  <c r="HV226" i="1" s="1"/>
  <c r="AM226" i="1" s="1"/>
  <c r="BA227" i="1"/>
  <c r="IE91" i="1"/>
  <c r="IG91" i="1" s="1"/>
  <c r="AN91" i="1" s="1"/>
  <c r="AG99" i="1"/>
  <c r="GW99" i="1"/>
  <c r="AJ99" i="1" s="1"/>
  <c r="IE108" i="1"/>
  <c r="IG108" i="1" s="1"/>
  <c r="AN108" i="1" s="1"/>
  <c r="AH415" i="1"/>
  <c r="DP415" i="1"/>
  <c r="DP252" i="1"/>
  <c r="AI252" i="1"/>
  <c r="GW260" i="1"/>
  <c r="AJ260" i="1" s="1"/>
  <c r="AG260" i="1"/>
  <c r="AG273" i="1"/>
  <c r="HO280" i="1"/>
  <c r="HV280" i="1" s="1"/>
  <c r="AM280" i="1" s="1"/>
  <c r="IE304" i="1"/>
  <c r="IG304" i="1" s="1"/>
  <c r="AN304" i="1" s="1"/>
  <c r="AG321" i="1"/>
  <c r="GW321" i="1"/>
  <c r="AJ321" i="1" s="1"/>
  <c r="GS321" i="1"/>
  <c r="DP328" i="1"/>
  <c r="AH328" i="1"/>
  <c r="AE344" i="1"/>
  <c r="GS344" i="1"/>
  <c r="HO356" i="1"/>
  <c r="HV356" i="1" s="1"/>
  <c r="AM356" i="1" s="1"/>
  <c r="GW364" i="1"/>
  <c r="AJ364" i="1" s="1"/>
  <c r="AG364" i="1"/>
  <c r="GS376" i="1"/>
  <c r="GU376" i="1"/>
  <c r="AK376" i="1" s="1"/>
  <c r="AE376" i="1"/>
  <c r="GS453" i="1"/>
  <c r="AE453" i="1"/>
  <c r="AE241" i="1"/>
  <c r="KJ321" i="1"/>
  <c r="KH321" i="1"/>
  <c r="GU382" i="1"/>
  <c r="AK382" i="1" s="1"/>
  <c r="GS382" i="1"/>
  <c r="HO59" i="1"/>
  <c r="HV59" i="1" s="1"/>
  <c r="AM59" i="1" s="1"/>
  <c r="IE144" i="1"/>
  <c r="IG144" i="1" s="1"/>
  <c r="AN144" i="1" s="1"/>
  <c r="DO401" i="1"/>
  <c r="AH401" i="1"/>
  <c r="AE402" i="1"/>
  <c r="GS402" i="1"/>
  <c r="GU415" i="1"/>
  <c r="AK415" i="1" s="1"/>
  <c r="AG415" i="1"/>
  <c r="HO417" i="1"/>
  <c r="HV417" i="1" s="1"/>
  <c r="AM417" i="1" s="1"/>
  <c r="BA256" i="1"/>
  <c r="AE266" i="1"/>
  <c r="GS266" i="1"/>
  <c r="KJ294" i="1"/>
  <c r="KO294" i="1"/>
  <c r="KH294" i="1"/>
  <c r="GW303" i="1"/>
  <c r="AG303" i="1"/>
  <c r="GS314" i="1"/>
  <c r="KO321" i="1"/>
  <c r="DM434" i="1"/>
  <c r="AH161" i="1"/>
  <c r="GS84" i="1"/>
  <c r="AG240" i="1"/>
  <c r="GW240" i="1"/>
  <c r="AJ240" i="1" s="1"/>
  <c r="AG246" i="1"/>
  <c r="GW246" i="1"/>
  <c r="AJ246" i="1" s="1"/>
  <c r="BA387" i="1"/>
  <c r="GU387" i="1" s="1"/>
  <c r="AK387" i="1" s="1"/>
  <c r="AH389" i="1"/>
  <c r="GU392" i="1"/>
  <c r="AK392" i="1" s="1"/>
  <c r="AG392" i="1"/>
  <c r="DM402" i="1"/>
  <c r="DM408" i="1"/>
  <c r="GW409" i="1"/>
  <c r="AJ409" i="1" s="1"/>
  <c r="DP273" i="1"/>
  <c r="AH273" i="1"/>
  <c r="AG277" i="1"/>
  <c r="GW277" i="1"/>
  <c r="AJ277" i="1" s="1"/>
  <c r="AG314" i="1"/>
  <c r="GU314" i="1"/>
  <c r="AK314" i="1" s="1"/>
  <c r="GU319" i="1"/>
  <c r="AK319" i="1" s="1"/>
  <c r="GS319" i="1"/>
  <c r="GW320" i="1"/>
  <c r="AJ320" i="1" s="1"/>
  <c r="AG320" i="1"/>
  <c r="AH349" i="1"/>
  <c r="DP349" i="1"/>
  <c r="AG378" i="1"/>
  <c r="GW378" i="1"/>
  <c r="AJ378" i="1" s="1"/>
  <c r="AH194" i="1"/>
  <c r="GS210" i="1"/>
  <c r="IE62" i="1"/>
  <c r="IG62" i="1" s="1"/>
  <c r="AN62" i="1" s="1"/>
  <c r="IE75" i="1"/>
  <c r="IG75" i="1" s="1"/>
  <c r="AN75" i="1" s="1"/>
  <c r="DP83" i="1"/>
  <c r="GU85" i="1"/>
  <c r="AK85" i="1" s="1"/>
  <c r="AG90" i="1"/>
  <c r="GW248" i="1"/>
  <c r="AJ248" i="1" s="1"/>
  <c r="DO389" i="1"/>
  <c r="AI389" i="1" s="1"/>
  <c r="GW392" i="1"/>
  <c r="AJ392" i="1" s="1"/>
  <c r="BA397" i="1"/>
  <c r="AE263" i="1"/>
  <c r="GU263" i="1"/>
  <c r="GU276" i="1"/>
  <c r="AK276" i="1" s="1"/>
  <c r="GS276" i="1"/>
  <c r="AE276" i="1"/>
  <c r="GW284" i="1"/>
  <c r="AJ284" i="1" s="1"/>
  <c r="AG284" i="1"/>
  <c r="IE308" i="1"/>
  <c r="IG308" i="1" s="1"/>
  <c r="AN308" i="1" s="1"/>
  <c r="GW337" i="1"/>
  <c r="AJ337" i="1" s="1"/>
  <c r="AG337" i="1"/>
  <c r="BA340" i="1"/>
  <c r="IE433" i="1"/>
  <c r="IG433" i="1" s="1"/>
  <c r="AN433" i="1" s="1"/>
  <c r="DM436" i="1"/>
  <c r="AE441" i="1"/>
  <c r="GS441" i="1"/>
  <c r="DM396" i="1"/>
  <c r="GW414" i="1"/>
  <c r="AJ414" i="1" s="1"/>
  <c r="AG414" i="1"/>
  <c r="AH282" i="1"/>
  <c r="DO282" i="1"/>
  <c r="AI282" i="1" s="1"/>
  <c r="DO294" i="1"/>
  <c r="AH294" i="1"/>
  <c r="AG366" i="1"/>
  <c r="GW366" i="1"/>
  <c r="AJ366" i="1" s="1"/>
  <c r="GW452" i="1"/>
  <c r="AJ452" i="1" s="1"/>
  <c r="AG452" i="1"/>
  <c r="GS392" i="1"/>
  <c r="DM393" i="1"/>
  <c r="AH269" i="1"/>
  <c r="DP269" i="1"/>
  <c r="AE272" i="1"/>
  <c r="GS272" i="1"/>
  <c r="GU275" i="1"/>
  <c r="AK275" i="1" s="1"/>
  <c r="GS275" i="1"/>
  <c r="AE275" i="1"/>
  <c r="GS278" i="1"/>
  <c r="AE278" i="1"/>
  <c r="GW293" i="1"/>
  <c r="AJ293" i="1" s="1"/>
  <c r="AG293" i="1"/>
  <c r="GW296" i="1"/>
  <c r="AJ296" i="1" s="1"/>
  <c r="AG296" i="1"/>
  <c r="GS345" i="1"/>
  <c r="DP346" i="1"/>
  <c r="AH346" i="1"/>
  <c r="AE359" i="1"/>
  <c r="GS359" i="1"/>
  <c r="GU359" i="1"/>
  <c r="AK359" i="1" s="1"/>
  <c r="HN360" i="1"/>
  <c r="HO360" i="1" s="1"/>
  <c r="HV360" i="1" s="1"/>
  <c r="AM360" i="1" s="1"/>
  <c r="HF360" i="1"/>
  <c r="BA391" i="1"/>
  <c r="GU391" i="1" s="1"/>
  <c r="AK391" i="1" s="1"/>
  <c r="AE392" i="1"/>
  <c r="DM392" i="1"/>
  <c r="IE406" i="1"/>
  <c r="IG406" i="1" s="1"/>
  <c r="AN406" i="1" s="1"/>
  <c r="GW411" i="1"/>
  <c r="AJ411" i="1" s="1"/>
  <c r="GU411" i="1"/>
  <c r="AK411" i="1" s="1"/>
  <c r="AG411" i="1"/>
  <c r="HO253" i="1"/>
  <c r="HV253" i="1" s="1"/>
  <c r="AM253" i="1" s="1"/>
  <c r="DP260" i="1"/>
  <c r="AH260" i="1"/>
  <c r="BA287" i="1"/>
  <c r="AE309" i="1"/>
  <c r="GU309" i="1"/>
  <c r="AK309" i="1" s="1"/>
  <c r="GS309" i="1"/>
  <c r="AG379" i="1"/>
  <c r="HO379" i="1"/>
  <c r="HV379" i="1" s="1"/>
  <c r="AM379" i="1" s="1"/>
  <c r="IE434" i="1"/>
  <c r="IG434" i="1" s="1"/>
  <c r="AN434" i="1" s="1"/>
  <c r="HO450" i="1"/>
  <c r="HV450" i="1" s="1"/>
  <c r="AM450" i="1" s="1"/>
  <c r="BA285" i="1"/>
  <c r="IE302" i="1"/>
  <c r="IG302" i="1" s="1"/>
  <c r="AN302" i="1" s="1"/>
  <c r="DP337" i="1"/>
  <c r="AH337" i="1"/>
  <c r="GW376" i="1"/>
  <c r="AJ376" i="1" s="1"/>
  <c r="AG376" i="1"/>
  <c r="GS450" i="1"/>
  <c r="AE450" i="1"/>
  <c r="GW455" i="1"/>
  <c r="AJ455" i="1" s="1"/>
  <c r="DP267" i="1"/>
  <c r="AH267" i="1"/>
  <c r="GS330" i="1"/>
  <c r="AE330" i="1"/>
  <c r="GW347" i="1"/>
  <c r="AJ347" i="1" s="1"/>
  <c r="AG347" i="1"/>
  <c r="AH361" i="1"/>
  <c r="DO361" i="1"/>
  <c r="AI361" i="1" s="1"/>
  <c r="AG445" i="1"/>
  <c r="GW445" i="1"/>
  <c r="AJ445" i="1" s="1"/>
  <c r="IE401" i="1"/>
  <c r="IG401" i="1" s="1"/>
  <c r="AN401" i="1" s="1"/>
  <c r="DM416" i="1"/>
  <c r="GW276" i="1"/>
  <c r="AJ276" i="1" s="1"/>
  <c r="GW324" i="1"/>
  <c r="AJ324" i="1" s="1"/>
  <c r="AG324" i="1"/>
  <c r="IE330" i="1"/>
  <c r="IG330" i="1" s="1"/>
  <c r="AN330" i="1" s="1"/>
  <c r="GU432" i="1"/>
  <c r="AK432" i="1" s="1"/>
  <c r="AG432" i="1"/>
  <c r="GW432" i="1"/>
  <c r="AJ432" i="1" s="1"/>
  <c r="GS436" i="1"/>
  <c r="AE436" i="1"/>
  <c r="BA389" i="1"/>
  <c r="GU389" i="1" s="1"/>
  <c r="AK389" i="1" s="1"/>
  <c r="DM394" i="1"/>
  <c r="GU296" i="1"/>
  <c r="AK296" i="1" s="1"/>
  <c r="IE313" i="1"/>
  <c r="IG313" i="1" s="1"/>
  <c r="AG357" i="1"/>
  <c r="GS357" i="1"/>
  <c r="GU449" i="1"/>
  <c r="AK449" i="1" s="1"/>
  <c r="AG449" i="1"/>
  <c r="DM453" i="1"/>
  <c r="GU270" i="1"/>
  <c r="AK270" i="1" s="1"/>
  <c r="AG302" i="1"/>
  <c r="IE303" i="1"/>
  <c r="IG303" i="1" s="1"/>
  <c r="AN303" i="1" s="1"/>
  <c r="IE326" i="1"/>
  <c r="IG326" i="1" s="1"/>
  <c r="AN326" i="1" s="1"/>
  <c r="GU327" i="1"/>
  <c r="AK327" i="1" s="1"/>
  <c r="AE327" i="1"/>
  <c r="AG433" i="1"/>
  <c r="GW433" i="1"/>
  <c r="AJ433" i="1" s="1"/>
  <c r="GU433" i="1"/>
  <c r="AK433" i="1" s="1"/>
  <c r="GU443" i="1"/>
  <c r="AK443" i="1" s="1"/>
  <c r="GS443" i="1"/>
  <c r="GS451" i="1"/>
  <c r="AE451" i="1"/>
  <c r="GU451" i="1"/>
  <c r="AK451" i="1" s="1"/>
  <c r="IE404" i="1"/>
  <c r="IG404" i="1" s="1"/>
  <c r="AN404" i="1" s="1"/>
  <c r="HO286" i="1"/>
  <c r="HV286" i="1" s="1"/>
  <c r="AM286" i="1" s="1"/>
  <c r="HO296" i="1"/>
  <c r="HV296" i="1" s="1"/>
  <c r="AM296" i="1" s="1"/>
  <c r="HO304" i="1"/>
  <c r="HV304" i="1" s="1"/>
  <c r="AM304" i="1" s="1"/>
  <c r="IE306" i="1"/>
  <c r="IG306" i="1" s="1"/>
  <c r="AN306" i="1" s="1"/>
  <c r="GU320" i="1"/>
  <c r="AK320" i="1" s="1"/>
  <c r="GS320" i="1"/>
  <c r="IE323" i="1"/>
  <c r="IG323" i="1" s="1"/>
  <c r="AN323" i="1" s="1"/>
  <c r="GS326" i="1"/>
  <c r="GS332" i="1"/>
  <c r="GU332" i="1"/>
  <c r="AK332" i="1" s="1"/>
  <c r="IE334" i="1"/>
  <c r="IG334" i="1" s="1"/>
  <c r="AN334" i="1" s="1"/>
  <c r="AE354" i="1"/>
  <c r="GU354" i="1"/>
  <c r="AK354" i="1" s="1"/>
  <c r="HO432" i="1"/>
  <c r="HV432" i="1" s="1"/>
  <c r="AM432" i="1" s="1"/>
  <c r="GW446" i="1"/>
  <c r="AJ446" i="1" s="1"/>
  <c r="GU446" i="1"/>
  <c r="AK446" i="1" s="1"/>
  <c r="AG446" i="1"/>
  <c r="DM448" i="1"/>
  <c r="AE296" i="1"/>
  <c r="GS296" i="1"/>
  <c r="IE305" i="1"/>
  <c r="IG305" i="1" s="1"/>
  <c r="AN305" i="1" s="1"/>
  <c r="IE324" i="1"/>
  <c r="IG324" i="1" s="1"/>
  <c r="AN324" i="1" s="1"/>
  <c r="IE338" i="1"/>
  <c r="IG338" i="1" s="1"/>
  <c r="AN338" i="1" s="1"/>
  <c r="AG359" i="1"/>
  <c r="HO372" i="1"/>
  <c r="HV372" i="1" s="1"/>
  <c r="AM372" i="1" s="1"/>
  <c r="GU321" i="1"/>
  <c r="AK321" i="1" s="1"/>
  <c r="GS333" i="1"/>
  <c r="AG354" i="1"/>
  <c r="AE367" i="1"/>
  <c r="GU367" i="1"/>
  <c r="AK367" i="1" s="1"/>
  <c r="AE384" i="1"/>
  <c r="GU384" i="1"/>
  <c r="AK384" i="1" s="1"/>
  <c r="GS384" i="1"/>
  <c r="GS449" i="1"/>
  <c r="AH456" i="1"/>
  <c r="DP456" i="1"/>
  <c r="IE328" i="1"/>
  <c r="IG328" i="1" s="1"/>
  <c r="AN328" i="1" s="1"/>
  <c r="IE344" i="1"/>
  <c r="IG344" i="1" s="1"/>
  <c r="AN344" i="1" s="1"/>
  <c r="GW434" i="1"/>
  <c r="AJ434" i="1" s="1"/>
  <c r="GU434" i="1"/>
  <c r="AK434" i="1" s="1"/>
  <c r="AG434" i="1"/>
  <c r="GU453" i="1"/>
  <c r="AK453" i="1" s="1"/>
  <c r="DM454" i="1"/>
  <c r="IE346" i="1"/>
  <c r="IG346" i="1" s="1"/>
  <c r="AN346" i="1" s="1"/>
  <c r="AG361" i="1"/>
  <c r="GU364" i="1"/>
  <c r="AK364" i="1" s="1"/>
  <c r="GS364" i="1"/>
  <c r="GW373" i="1"/>
  <c r="AJ373" i="1" s="1"/>
  <c r="AG373" i="1"/>
  <c r="DM437" i="1"/>
  <c r="GS439" i="1"/>
  <c r="AE439" i="1"/>
  <c r="AE444" i="1"/>
  <c r="GS444" i="1"/>
  <c r="GS366" i="1"/>
  <c r="IE435" i="1"/>
  <c r="IG435" i="1" s="1"/>
  <c r="AN435" i="1" s="1"/>
  <c r="GS432" i="1"/>
  <c r="AE432" i="1"/>
  <c r="IE446" i="1"/>
  <c r="IG446" i="1" s="1"/>
  <c r="AN446" i="1" s="1"/>
  <c r="GS452" i="1"/>
  <c r="GU444" i="1"/>
  <c r="AK444" i="1" s="1"/>
  <c r="AG444" i="1"/>
  <c r="GU448" i="1"/>
  <c r="AK448" i="1" s="1"/>
  <c r="AG450" i="1"/>
  <c r="GU450" i="1"/>
  <c r="AK450" i="1" s="1"/>
  <c r="IE452" i="1"/>
  <c r="IG452" i="1" s="1"/>
  <c r="AN452" i="1" s="1"/>
  <c r="DP230" i="1"/>
  <c r="GS230" i="1"/>
  <c r="GS290" i="1" l="1"/>
  <c r="GX290" i="1" s="1"/>
  <c r="AE290" i="1"/>
  <c r="GS260" i="1"/>
  <c r="AL260" i="1" s="1"/>
  <c r="GU260" i="1"/>
  <c r="AK260" i="1" s="1"/>
  <c r="GU368" i="1"/>
  <c r="AK368" i="1" s="1"/>
  <c r="AE368" i="1"/>
  <c r="DP197" i="1"/>
  <c r="GU33" i="1"/>
  <c r="AK33" i="1" s="1"/>
  <c r="GS2" i="1"/>
  <c r="AL2" i="1" s="1"/>
  <c r="GU2" i="1"/>
  <c r="AK2" i="1" s="1"/>
  <c r="GW2" i="1"/>
  <c r="AJ2" i="1" s="1"/>
  <c r="GU375" i="1"/>
  <c r="AK375" i="1" s="1"/>
  <c r="GS372" i="1"/>
  <c r="AL372" i="1" s="1"/>
  <c r="AH450" i="1"/>
  <c r="AE66" i="1"/>
  <c r="AQ66" i="1" s="1"/>
  <c r="AV66" i="1" s="1"/>
  <c r="GS375" i="1"/>
  <c r="AL375" i="1" s="1"/>
  <c r="AE33" i="1"/>
  <c r="GU303" i="1"/>
  <c r="AK303" i="1" s="1"/>
  <c r="AE77" i="1"/>
  <c r="GU282" i="1"/>
  <c r="AK282" i="1" s="1"/>
  <c r="GS282" i="1"/>
  <c r="AL282" i="1" s="1"/>
  <c r="AE45" i="1"/>
  <c r="GS7" i="1"/>
  <c r="GX7" i="1" s="1"/>
  <c r="GU400" i="1"/>
  <c r="AK400" i="1" s="1"/>
  <c r="GU305" i="1"/>
  <c r="AK305" i="1" s="1"/>
  <c r="AH443" i="1"/>
  <c r="GU304" i="1"/>
  <c r="AK304" i="1" s="1"/>
  <c r="GS305" i="1"/>
  <c r="AL305" i="1" s="1"/>
  <c r="GU286" i="1"/>
  <c r="AK286" i="1" s="1"/>
  <c r="AH447" i="1"/>
  <c r="AQ447" i="1" s="1"/>
  <c r="AV447" i="1" s="1"/>
  <c r="GU254" i="1"/>
  <c r="AK254" i="1" s="1"/>
  <c r="DO217" i="1"/>
  <c r="AI217" i="1" s="1"/>
  <c r="AQ217" i="1" s="1"/>
  <c r="AV217" i="1" s="1"/>
  <c r="GU381" i="1"/>
  <c r="AK381" i="1" s="1"/>
  <c r="DO405" i="1"/>
  <c r="AI405" i="1" s="1"/>
  <c r="DP77" i="1"/>
  <c r="AE409" i="1"/>
  <c r="GS363" i="1"/>
  <c r="AL363" i="1" s="1"/>
  <c r="GS286" i="1"/>
  <c r="DO446" i="1"/>
  <c r="AI446" i="1" s="1"/>
  <c r="GS77" i="1"/>
  <c r="GX77" i="1" s="1"/>
  <c r="DO209" i="1"/>
  <c r="AI209" i="1" s="1"/>
  <c r="GU363" i="1"/>
  <c r="AK363" i="1" s="1"/>
  <c r="GS303" i="1"/>
  <c r="AL303" i="1" s="1"/>
  <c r="GS400" i="1"/>
  <c r="GS72" i="1"/>
  <c r="AL72" i="1" s="1"/>
  <c r="GS370" i="1"/>
  <c r="GX370" i="1" s="1"/>
  <c r="GS445" i="1"/>
  <c r="AL445" i="1" s="1"/>
  <c r="AE346" i="1"/>
  <c r="GS346" i="1"/>
  <c r="GX346" i="1" s="1"/>
  <c r="GU72" i="1"/>
  <c r="AK72" i="1" s="1"/>
  <c r="AE351" i="1"/>
  <c r="AE7" i="1"/>
  <c r="AK64" i="1"/>
  <c r="AQ64" i="1" s="1"/>
  <c r="AV64" i="1" s="1"/>
  <c r="DP266" i="1"/>
  <c r="AH439" i="1"/>
  <c r="AE370" i="1"/>
  <c r="AI193" i="1"/>
  <c r="GS401" i="1"/>
  <c r="GX401" i="1" s="1"/>
  <c r="AE255" i="1"/>
  <c r="KP320" i="1"/>
  <c r="DT320" i="1" s="1"/>
  <c r="AF320" i="1" s="1"/>
  <c r="GU313" i="1"/>
  <c r="GX313" i="1" s="1"/>
  <c r="AH441" i="1"/>
  <c r="AH387" i="1"/>
  <c r="AE219" i="1"/>
  <c r="GU255" i="1"/>
  <c r="AK255" i="1" s="1"/>
  <c r="AH243" i="1"/>
  <c r="AH432" i="1"/>
  <c r="GS413" i="1"/>
  <c r="AL413" i="1" s="1"/>
  <c r="DP2" i="1"/>
  <c r="AE401" i="1"/>
  <c r="DO296" i="1"/>
  <c r="AI296" i="1" s="1"/>
  <c r="AE445" i="1"/>
  <c r="GU292" i="1"/>
  <c r="GX292" i="1" s="1"/>
  <c r="GS353" i="1"/>
  <c r="AL353" i="1" s="1"/>
  <c r="AQ271" i="1"/>
  <c r="AV271" i="1" s="1"/>
  <c r="GS219" i="1"/>
  <c r="AL219" i="1" s="1"/>
  <c r="AQ219" i="1" s="1"/>
  <c r="GS45" i="1"/>
  <c r="AL45" i="1" s="1"/>
  <c r="DO210" i="1"/>
  <c r="AI210" i="1" s="1"/>
  <c r="AE12" i="1"/>
  <c r="DP257" i="1"/>
  <c r="AE369" i="1"/>
  <c r="AH452" i="1"/>
  <c r="DP406" i="1"/>
  <c r="AE308" i="1"/>
  <c r="AE337" i="1"/>
  <c r="AE252" i="1"/>
  <c r="AH451" i="1"/>
  <c r="GS283" i="1"/>
  <c r="AL283" i="1" s="1"/>
  <c r="GS369" i="1"/>
  <c r="AL369" i="1" s="1"/>
  <c r="GU335" i="1"/>
  <c r="AK335" i="1" s="1"/>
  <c r="DO211" i="1"/>
  <c r="AI211" i="1" s="1"/>
  <c r="AQ211" i="1" s="1"/>
  <c r="AV211" i="1" s="1"/>
  <c r="AH433" i="1"/>
  <c r="AQ433" i="1" s="1"/>
  <c r="AV433" i="1" s="1"/>
  <c r="GU57" i="1"/>
  <c r="GX57" i="1" s="1"/>
  <c r="DP335" i="1"/>
  <c r="GU220" i="1"/>
  <c r="AK220" i="1" s="1"/>
  <c r="GS306" i="1"/>
  <c r="GX306" i="1" s="1"/>
  <c r="AE306" i="1"/>
  <c r="GX271" i="1"/>
  <c r="GU248" i="1"/>
  <c r="AK248" i="1" s="1"/>
  <c r="GS243" i="1"/>
  <c r="AL243" i="1" s="1"/>
  <c r="GS71" i="1"/>
  <c r="AL71" i="1" s="1"/>
  <c r="GU413" i="1"/>
  <c r="AK413" i="1" s="1"/>
  <c r="GU71" i="1"/>
  <c r="AK71" i="1" s="1"/>
  <c r="GS355" i="1"/>
  <c r="AL355" i="1" s="1"/>
  <c r="GS69" i="1"/>
  <c r="AL69" i="1" s="1"/>
  <c r="GS293" i="1"/>
  <c r="AL293" i="1" s="1"/>
  <c r="AE284" i="1"/>
  <c r="DO69" i="1"/>
  <c r="AI69" i="1" s="1"/>
  <c r="AE395" i="1"/>
  <c r="GU252" i="1"/>
  <c r="AK252" i="1" s="1"/>
  <c r="GU293" i="1"/>
  <c r="AK293" i="1" s="1"/>
  <c r="GS342" i="1"/>
  <c r="AE338" i="1"/>
  <c r="GS409" i="1"/>
  <c r="AL409" i="1" s="1"/>
  <c r="GU372" i="1"/>
  <c r="AK372" i="1" s="1"/>
  <c r="GS395" i="1"/>
  <c r="AL395" i="1" s="1"/>
  <c r="GS304" i="1"/>
  <c r="AL304" i="1" s="1"/>
  <c r="GU342" i="1"/>
  <c r="AK342" i="1" s="1"/>
  <c r="AE281" i="1"/>
  <c r="AE297" i="1"/>
  <c r="GU283" i="1"/>
  <c r="AK283" i="1" s="1"/>
  <c r="GR390" i="1"/>
  <c r="GS390" i="1" s="1"/>
  <c r="AL390" i="1" s="1"/>
  <c r="GS281" i="1"/>
  <c r="AL281" i="1" s="1"/>
  <c r="AH41" i="1"/>
  <c r="GS297" i="1"/>
  <c r="GX297" i="1" s="1"/>
  <c r="DO410" i="1"/>
  <c r="AI410" i="1" s="1"/>
  <c r="GS284" i="1"/>
  <c r="GX284" i="1" s="1"/>
  <c r="AH449" i="1"/>
  <c r="AH248" i="1"/>
  <c r="GS380" i="1"/>
  <c r="AL380" i="1" s="1"/>
  <c r="DO279" i="1"/>
  <c r="AI279" i="1" s="1"/>
  <c r="DP449" i="1"/>
  <c r="KP321" i="1"/>
  <c r="DT321" i="1" s="1"/>
  <c r="AF321" i="1" s="1"/>
  <c r="GS381" i="1"/>
  <c r="AL381" i="1" s="1"/>
  <c r="GU55" i="1"/>
  <c r="GX55" i="1" s="1"/>
  <c r="GU60" i="1"/>
  <c r="GX60" i="1" s="1"/>
  <c r="DO413" i="1"/>
  <c r="DP413" i="1" s="1"/>
  <c r="DO444" i="1"/>
  <c r="AI444" i="1" s="1"/>
  <c r="GS356" i="1"/>
  <c r="AL356" i="1" s="1"/>
  <c r="KP333" i="1"/>
  <c r="DT333" i="1" s="1"/>
  <c r="AF333" i="1" s="1"/>
  <c r="DO241" i="1"/>
  <c r="GU31" i="1"/>
  <c r="AK31" i="1" s="1"/>
  <c r="GU277" i="1"/>
  <c r="AK277" i="1" s="1"/>
  <c r="GU209" i="1"/>
  <c r="AK209" i="1" s="1"/>
  <c r="GX145" i="1"/>
  <c r="AE435" i="1"/>
  <c r="GS337" i="1"/>
  <c r="GX337" i="1" s="1"/>
  <c r="GU207" i="1"/>
  <c r="AK207" i="1" s="1"/>
  <c r="GU435" i="1"/>
  <c r="AK435" i="1" s="1"/>
  <c r="AE350" i="1"/>
  <c r="AE253" i="1"/>
  <c r="AE454" i="1"/>
  <c r="AE62" i="1"/>
  <c r="AE83" i="1"/>
  <c r="GS207" i="1"/>
  <c r="DP171" i="1"/>
  <c r="GU194" i="1"/>
  <c r="AK194" i="1" s="1"/>
  <c r="GX79" i="1"/>
  <c r="GS253" i="1"/>
  <c r="AL253" i="1" s="1"/>
  <c r="GS454" i="1"/>
  <c r="AL454" i="1" s="1"/>
  <c r="GU51" i="1"/>
  <c r="AK51" i="1" s="1"/>
  <c r="GS51" i="1"/>
  <c r="AL51" i="1" s="1"/>
  <c r="GU68" i="1"/>
  <c r="GX68" i="1" s="1"/>
  <c r="GS416" i="1"/>
  <c r="AL416" i="1" s="1"/>
  <c r="GS3" i="1"/>
  <c r="AL3" i="1" s="1"/>
  <c r="GS209" i="1"/>
  <c r="AL209" i="1" s="1"/>
  <c r="GU416" i="1"/>
  <c r="AK416" i="1" s="1"/>
  <c r="DP195" i="1"/>
  <c r="GS377" i="1"/>
  <c r="GS349" i="1"/>
  <c r="AL349" i="1" s="1"/>
  <c r="GU3" i="1"/>
  <c r="AK3" i="1" s="1"/>
  <c r="AH69" i="1"/>
  <c r="GX448" i="1"/>
  <c r="AQ374" i="1"/>
  <c r="AV374" i="1" s="1"/>
  <c r="GU377" i="1"/>
  <c r="AK377" i="1" s="1"/>
  <c r="GS31" i="1"/>
  <c r="GS254" i="1"/>
  <c r="AL254" i="1" s="1"/>
  <c r="AQ46" i="1"/>
  <c r="AV46" i="1" s="1"/>
  <c r="AI240" i="1"/>
  <c r="DP240" i="1"/>
  <c r="AI395" i="1"/>
  <c r="DP395" i="1"/>
  <c r="GU338" i="1"/>
  <c r="AK338" i="1" s="1"/>
  <c r="AH240" i="1"/>
  <c r="AQ456" i="1"/>
  <c r="AV456" i="1" s="1"/>
  <c r="AE194" i="1"/>
  <c r="GU379" i="1"/>
  <c r="AK379" i="1" s="1"/>
  <c r="DO435" i="1"/>
  <c r="DP435" i="1" s="1"/>
  <c r="GU356" i="1"/>
  <c r="AK356" i="1" s="1"/>
  <c r="GS308" i="1"/>
  <c r="GX308" i="1" s="1"/>
  <c r="AH412" i="1"/>
  <c r="DP433" i="1"/>
  <c r="DO398" i="1"/>
  <c r="AI398" i="1" s="1"/>
  <c r="DP256" i="1"/>
  <c r="DP162" i="1"/>
  <c r="GX456" i="1"/>
  <c r="AJ79" i="1"/>
  <c r="AQ79" i="1" s="1"/>
  <c r="AV79" i="1" s="1"/>
  <c r="GU312" i="1"/>
  <c r="AK312" i="1" s="1"/>
  <c r="GS352" i="1"/>
  <c r="AE268" i="1"/>
  <c r="DO242" i="1"/>
  <c r="AI242" i="1" s="1"/>
  <c r="AH455" i="1"/>
  <c r="DO418" i="1"/>
  <c r="GS294" i="1"/>
  <c r="AL294" i="1" s="1"/>
  <c r="AQ89" i="1"/>
  <c r="AV89" i="1" s="1"/>
  <c r="AQ299" i="1"/>
  <c r="AV299" i="1" s="1"/>
  <c r="GS335" i="1"/>
  <c r="AL335" i="1" s="1"/>
  <c r="DO457" i="1"/>
  <c r="AI457" i="1" s="1"/>
  <c r="GS312" i="1"/>
  <c r="AL312" i="1" s="1"/>
  <c r="DP447" i="1"/>
  <c r="AE380" i="1"/>
  <c r="GX89" i="1"/>
  <c r="GS268" i="1"/>
  <c r="GX268" i="1" s="1"/>
  <c r="AQ48" i="1"/>
  <c r="DP455" i="1"/>
  <c r="DP68" i="1"/>
  <c r="GS220" i="1"/>
  <c r="GU351" i="1"/>
  <c r="AK351" i="1" s="1"/>
  <c r="GU294" i="1"/>
  <c r="AK294" i="1" s="1"/>
  <c r="GU241" i="1"/>
  <c r="AK241" i="1" s="1"/>
  <c r="GX48" i="1"/>
  <c r="GS455" i="1"/>
  <c r="AL455" i="1" s="1"/>
  <c r="GU455" i="1"/>
  <c r="AK455" i="1" s="1"/>
  <c r="GS83" i="1"/>
  <c r="GX83" i="1" s="1"/>
  <c r="GU352" i="1"/>
  <c r="AK352" i="1" s="1"/>
  <c r="DP362" i="1"/>
  <c r="GS379" i="1"/>
  <c r="AL379" i="1" s="1"/>
  <c r="GX211" i="1"/>
  <c r="AE398" i="1"/>
  <c r="AQ145" i="1"/>
  <c r="AV145" i="1" s="1"/>
  <c r="AH390" i="1"/>
  <c r="GU339" i="1"/>
  <c r="AK339" i="1" s="1"/>
  <c r="GX361" i="1"/>
  <c r="GS288" i="1"/>
  <c r="GS240" i="1"/>
  <c r="IJ240" i="1" s="1"/>
  <c r="AR240" i="1" s="1"/>
  <c r="GS398" i="1"/>
  <c r="GX398" i="1" s="1"/>
  <c r="GU288" i="1"/>
  <c r="AK288" i="1" s="1"/>
  <c r="GS264" i="1"/>
  <c r="DO409" i="1"/>
  <c r="AI409" i="1" s="1"/>
  <c r="GX46" i="1"/>
  <c r="AE378" i="1"/>
  <c r="GS267" i="1"/>
  <c r="AL267" i="1" s="1"/>
  <c r="GU69" i="1"/>
  <c r="AK69" i="1" s="1"/>
  <c r="AE277" i="1"/>
  <c r="GS339" i="1"/>
  <c r="AL339" i="1" s="1"/>
  <c r="GU267" i="1"/>
  <c r="AK267" i="1" s="1"/>
  <c r="AH395" i="1"/>
  <c r="GU355" i="1"/>
  <c r="AK355" i="1" s="1"/>
  <c r="GX66" i="1"/>
  <c r="GX374" i="1"/>
  <c r="GS241" i="1"/>
  <c r="AL241" i="1" s="1"/>
  <c r="AL448" i="1"/>
  <c r="DP452" i="1"/>
  <c r="GU390" i="1"/>
  <c r="AK390" i="1" s="1"/>
  <c r="GU264" i="1"/>
  <c r="AK264" i="1" s="1"/>
  <c r="GS162" i="1"/>
  <c r="GU378" i="1"/>
  <c r="AK378" i="1" s="1"/>
  <c r="GX447" i="1"/>
  <c r="GU349" i="1"/>
  <c r="AK349" i="1" s="1"/>
  <c r="GS417" i="1"/>
  <c r="AL417" i="1" s="1"/>
  <c r="GU12" i="1"/>
  <c r="AK12" i="1" s="1"/>
  <c r="AH162" i="1"/>
  <c r="AE347" i="1"/>
  <c r="GU162" i="1"/>
  <c r="AK162" i="1" s="1"/>
  <c r="AQ99" i="1"/>
  <c r="AV99" i="1" s="1"/>
  <c r="AE371" i="1"/>
  <c r="DO265" i="1"/>
  <c r="AI265" i="1" s="1"/>
  <c r="AE405" i="1"/>
  <c r="GU417" i="1"/>
  <c r="AK417" i="1" s="1"/>
  <c r="DO407" i="1"/>
  <c r="AI407" i="1" s="1"/>
  <c r="DO391" i="1"/>
  <c r="AH391" i="1"/>
  <c r="DP3" i="1"/>
  <c r="AI3" i="1"/>
  <c r="DP387" i="1"/>
  <c r="AQ361" i="1"/>
  <c r="AV361" i="1" s="1"/>
  <c r="AH438" i="1"/>
  <c r="GS347" i="1"/>
  <c r="GX347" i="1" s="1"/>
  <c r="GX299" i="1"/>
  <c r="GX354" i="1"/>
  <c r="GU371" i="1"/>
  <c r="AK371" i="1" s="1"/>
  <c r="DO399" i="1"/>
  <c r="AI399" i="1" s="1"/>
  <c r="GU405" i="1"/>
  <c r="AK405" i="1" s="1"/>
  <c r="AQ108" i="1"/>
  <c r="AV108" i="1" s="1"/>
  <c r="AH407" i="1"/>
  <c r="AH445" i="1"/>
  <c r="GX108" i="1"/>
  <c r="DP439" i="1"/>
  <c r="AH404" i="1"/>
  <c r="GX404" i="1"/>
  <c r="AE373" i="1"/>
  <c r="GU373" i="1"/>
  <c r="AK373" i="1" s="1"/>
  <c r="GS373" i="1"/>
  <c r="AL373" i="1" s="1"/>
  <c r="DO404" i="1"/>
  <c r="AI404" i="1" s="1"/>
  <c r="GX324" i="1"/>
  <c r="AH411" i="1"/>
  <c r="DP397" i="1"/>
  <c r="DP282" i="1"/>
  <c r="AH397" i="1"/>
  <c r="DP412" i="1"/>
  <c r="DP390" i="1"/>
  <c r="GU350" i="1"/>
  <c r="AK350" i="1" s="1"/>
  <c r="GX437" i="1"/>
  <c r="KP324" i="1"/>
  <c r="DT324" i="1" s="1"/>
  <c r="AF324" i="1" s="1"/>
  <c r="AQ324" i="1" s="1"/>
  <c r="AV324" i="1" s="1"/>
  <c r="AH417" i="1"/>
  <c r="DO417" i="1"/>
  <c r="AE259" i="1"/>
  <c r="GU259" i="1"/>
  <c r="AK259" i="1" s="1"/>
  <c r="DP411" i="1"/>
  <c r="AH218" i="1"/>
  <c r="AQ218" i="1" s="1"/>
  <c r="AV218" i="1" s="1"/>
  <c r="AE291" i="1"/>
  <c r="GU291" i="1"/>
  <c r="AK291" i="1" s="1"/>
  <c r="GX434" i="1"/>
  <c r="DP11" i="1"/>
  <c r="DP432" i="1"/>
  <c r="GS289" i="1"/>
  <c r="AE289" i="1"/>
  <c r="GU289" i="1"/>
  <c r="AK289" i="1" s="1"/>
  <c r="GX433" i="1"/>
  <c r="GX218" i="1"/>
  <c r="GX407" i="1"/>
  <c r="DP248" i="1"/>
  <c r="DP5" i="1"/>
  <c r="GS37" i="1"/>
  <c r="GU37" i="1"/>
  <c r="AK37" i="1" s="1"/>
  <c r="AE37" i="1"/>
  <c r="AL366" i="1"/>
  <c r="AQ366" i="1" s="1"/>
  <c r="AV366" i="1" s="1"/>
  <c r="GX366" i="1"/>
  <c r="GU287" i="1"/>
  <c r="AK287" i="1" s="1"/>
  <c r="GS287" i="1"/>
  <c r="AE287" i="1"/>
  <c r="AH402" i="1"/>
  <c r="DO402" i="1"/>
  <c r="AI402" i="1" s="1"/>
  <c r="AL332" i="1"/>
  <c r="AQ332" i="1" s="1"/>
  <c r="AV332" i="1" s="1"/>
  <c r="GX332" i="1"/>
  <c r="AL451" i="1"/>
  <c r="GX451" i="1"/>
  <c r="DO393" i="1"/>
  <c r="AI393" i="1" s="1"/>
  <c r="AH393" i="1"/>
  <c r="AE227" i="1"/>
  <c r="GU227" i="1"/>
  <c r="AK227" i="1" s="1"/>
  <c r="GS227" i="1"/>
  <c r="GX365" i="1"/>
  <c r="AL365" i="1"/>
  <c r="AQ365" i="1" s="1"/>
  <c r="AV365" i="1" s="1"/>
  <c r="DO388" i="1"/>
  <c r="AI388" i="1" s="1"/>
  <c r="AH388" i="1"/>
  <c r="AL142" i="1"/>
  <c r="AQ142" i="1" s="1"/>
  <c r="AV142" i="1" s="1"/>
  <c r="GX142" i="1"/>
  <c r="AL362" i="1"/>
  <c r="AQ362" i="1" s="1"/>
  <c r="AV362" i="1" s="1"/>
  <c r="GX362" i="1"/>
  <c r="AL325" i="1"/>
  <c r="AQ325" i="1" s="1"/>
  <c r="AV325" i="1" s="1"/>
  <c r="GX325" i="1"/>
  <c r="AL388" i="1"/>
  <c r="GX388" i="1"/>
  <c r="AQ224" i="1"/>
  <c r="AV224" i="1" s="1"/>
  <c r="AL338" i="1"/>
  <c r="AL144" i="1"/>
  <c r="AQ144" i="1" s="1"/>
  <c r="AV144" i="1" s="1"/>
  <c r="GX144" i="1"/>
  <c r="AH201" i="1"/>
  <c r="DP201" i="1"/>
  <c r="GX11" i="1"/>
  <c r="AL11" i="1"/>
  <c r="AQ11" i="1" s="1"/>
  <c r="AV11" i="1" s="1"/>
  <c r="GX78" i="1"/>
  <c r="AK78" i="1"/>
  <c r="GX444" i="1"/>
  <c r="AL444" i="1"/>
  <c r="AH454" i="1"/>
  <c r="DO454" i="1"/>
  <c r="AI454" i="1" s="1"/>
  <c r="GX326" i="1"/>
  <c r="AL326" i="1"/>
  <c r="AQ326" i="1" s="1"/>
  <c r="AV326" i="1" s="1"/>
  <c r="GX357" i="1"/>
  <c r="AL357" i="1"/>
  <c r="AQ357" i="1" s="1"/>
  <c r="AV357" i="1" s="1"/>
  <c r="DO416" i="1"/>
  <c r="AI416" i="1" s="1"/>
  <c r="AH416" i="1"/>
  <c r="GX330" i="1"/>
  <c r="AL330" i="1"/>
  <c r="AQ330" i="1" s="1"/>
  <c r="AV330" i="1" s="1"/>
  <c r="GX359" i="1"/>
  <c r="AL359" i="1"/>
  <c r="AQ359" i="1" s="1"/>
  <c r="AV359" i="1" s="1"/>
  <c r="GX392" i="1"/>
  <c r="AL392" i="1"/>
  <c r="AL350" i="1"/>
  <c r="AL277" i="1"/>
  <c r="GX266" i="1"/>
  <c r="AL266" i="1"/>
  <c r="AQ266" i="1" s="1"/>
  <c r="AV266" i="1" s="1"/>
  <c r="AL252" i="1"/>
  <c r="GX414" i="1"/>
  <c r="AL414" i="1"/>
  <c r="AQ414" i="1" s="1"/>
  <c r="AV414" i="1" s="1"/>
  <c r="AL265" i="1"/>
  <c r="GX265" i="1"/>
  <c r="DP7" i="1"/>
  <c r="AL13" i="1"/>
  <c r="AQ13" i="1" s="1"/>
  <c r="AV13" i="1" s="1"/>
  <c r="GX13" i="1"/>
  <c r="AL457" i="1"/>
  <c r="GX457" i="1"/>
  <c r="DP243" i="1"/>
  <c r="GX32" i="1"/>
  <c r="AL32" i="1"/>
  <c r="AQ32" i="1" s="1"/>
  <c r="AV32" i="1" s="1"/>
  <c r="AL40" i="1"/>
  <c r="AQ40" i="1" s="1"/>
  <c r="GX40" i="1"/>
  <c r="AL6" i="1"/>
  <c r="AQ6" i="1" s="1"/>
  <c r="AV6" i="1" s="1"/>
  <c r="GX6" i="1"/>
  <c r="AL75" i="1"/>
  <c r="AQ75" i="1" s="1"/>
  <c r="GX75" i="1"/>
  <c r="GS231" i="1"/>
  <c r="GX432" i="1"/>
  <c r="AL432" i="1"/>
  <c r="GX384" i="1"/>
  <c r="AL384" i="1"/>
  <c r="AQ384" i="1" s="1"/>
  <c r="AV384" i="1" s="1"/>
  <c r="DO436" i="1"/>
  <c r="AI436" i="1" s="1"/>
  <c r="AH436" i="1"/>
  <c r="GX84" i="1"/>
  <c r="AL84" i="1"/>
  <c r="AQ84" i="1" s="1"/>
  <c r="AV84" i="1" s="1"/>
  <c r="GX321" i="1"/>
  <c r="AL321" i="1"/>
  <c r="AH208" i="1"/>
  <c r="DO208" i="1"/>
  <c r="AI208" i="1" s="1"/>
  <c r="AL300" i="1"/>
  <c r="AQ300" i="1" s="1"/>
  <c r="AV300" i="1" s="1"/>
  <c r="GX300" i="1"/>
  <c r="AL371" i="1"/>
  <c r="GX280" i="1"/>
  <c r="AL280" i="1"/>
  <c r="AQ280" i="1" s="1"/>
  <c r="AV280" i="1" s="1"/>
  <c r="GX85" i="1"/>
  <c r="AL85" i="1"/>
  <c r="AQ85" i="1" s="1"/>
  <c r="AV85" i="1" s="1"/>
  <c r="AL197" i="1"/>
  <c r="AQ197" i="1" s="1"/>
  <c r="AV197" i="1" s="1"/>
  <c r="GX197" i="1"/>
  <c r="DP280" i="1"/>
  <c r="AL396" i="1"/>
  <c r="GX396" i="1"/>
  <c r="KP294" i="1"/>
  <c r="DT294" i="1" s="1"/>
  <c r="DU294" i="1" s="1"/>
  <c r="AF294" i="1" s="1"/>
  <c r="GX402" i="1"/>
  <c r="AL402" i="1"/>
  <c r="AE394" i="1"/>
  <c r="GS394" i="1"/>
  <c r="GU258" i="1"/>
  <c r="AK258" i="1" s="1"/>
  <c r="GS258" i="1"/>
  <c r="AE258" i="1"/>
  <c r="GX269" i="1"/>
  <c r="AL269" i="1"/>
  <c r="AQ269" i="1" s="1"/>
  <c r="AV269" i="1" s="1"/>
  <c r="DP443" i="1"/>
  <c r="GX257" i="1"/>
  <c r="AL257" i="1"/>
  <c r="AQ257" i="1" s="1"/>
  <c r="AV257" i="1" s="1"/>
  <c r="AH434" i="1"/>
  <c r="DO434" i="1"/>
  <c r="AI434" i="1" s="1"/>
  <c r="DP401" i="1"/>
  <c r="AI401" i="1"/>
  <c r="GX383" i="1"/>
  <c r="AL383" i="1"/>
  <c r="AQ383" i="1" s="1"/>
  <c r="AV383" i="1" s="1"/>
  <c r="AQ323" i="1"/>
  <c r="AV323" i="1" s="1"/>
  <c r="AL81" i="1"/>
  <c r="AQ81" i="1" s="1"/>
  <c r="AV81" i="1" s="1"/>
  <c r="GX81" i="1"/>
  <c r="AL378" i="1"/>
  <c r="AL418" i="1"/>
  <c r="GX418" i="1"/>
  <c r="AL67" i="1"/>
  <c r="AQ67" i="1" s="1"/>
  <c r="AV67" i="1" s="1"/>
  <c r="GX67" i="1"/>
  <c r="AL193" i="1"/>
  <c r="GX193" i="1"/>
  <c r="AL443" i="1"/>
  <c r="GX443" i="1"/>
  <c r="DO396" i="1"/>
  <c r="AI396" i="1" s="1"/>
  <c r="AH396" i="1"/>
  <c r="AL276" i="1"/>
  <c r="AQ276" i="1" s="1"/>
  <c r="AV276" i="1" s="1"/>
  <c r="GX276" i="1"/>
  <c r="DP451" i="1"/>
  <c r="AL368" i="1"/>
  <c r="AL322" i="1"/>
  <c r="AQ322" i="1" s="1"/>
  <c r="AV322" i="1" s="1"/>
  <c r="GX322" i="1"/>
  <c r="GX225" i="1"/>
  <c r="AL225" i="1"/>
  <c r="AQ225" i="1" s="1"/>
  <c r="AV225" i="1" s="1"/>
  <c r="GX439" i="1"/>
  <c r="AL439" i="1"/>
  <c r="AE387" i="1"/>
  <c r="GS387" i="1"/>
  <c r="GS256" i="1"/>
  <c r="GU256" i="1"/>
  <c r="AK256" i="1" s="1"/>
  <c r="AE256" i="1"/>
  <c r="GX74" i="1"/>
  <c r="AL74" i="1"/>
  <c r="AQ74" i="1" s="1"/>
  <c r="AV74" i="1" s="1"/>
  <c r="AL226" i="1"/>
  <c r="AQ226" i="1" s="1"/>
  <c r="AV226" i="1" s="1"/>
  <c r="GX226" i="1"/>
  <c r="GX261" i="1"/>
  <c r="AL261" i="1"/>
  <c r="AQ261" i="1" s="1"/>
  <c r="AV261" i="1" s="1"/>
  <c r="GX41" i="1"/>
  <c r="AL41" i="1"/>
  <c r="GX446" i="1"/>
  <c r="AL446" i="1"/>
  <c r="GX302" i="1"/>
  <c r="AL302" i="1"/>
  <c r="AQ302" i="1" s="1"/>
  <c r="AV302" i="1" s="1"/>
  <c r="GX224" i="1"/>
  <c r="GX333" i="1"/>
  <c r="AL333" i="1"/>
  <c r="DO78" i="1"/>
  <c r="AI78" i="1" s="1"/>
  <c r="AH78" i="1"/>
  <c r="AL274" i="1"/>
  <c r="AQ274" i="1" s="1"/>
  <c r="AV274" i="1" s="1"/>
  <c r="GX274" i="1"/>
  <c r="DP450" i="1"/>
  <c r="GX208" i="1"/>
  <c r="AL208" i="1"/>
  <c r="AL255" i="1"/>
  <c r="GX42" i="1"/>
  <c r="AL42" i="1"/>
  <c r="AQ42" i="1" s="1"/>
  <c r="GU353" i="1"/>
  <c r="AK353" i="1" s="1"/>
  <c r="DO394" i="1"/>
  <c r="AI394" i="1" s="1"/>
  <c r="AH394" i="1"/>
  <c r="AL453" i="1"/>
  <c r="GX453" i="1"/>
  <c r="AL367" i="1"/>
  <c r="AQ367" i="1" s="1"/>
  <c r="AV367" i="1" s="1"/>
  <c r="GX367" i="1"/>
  <c r="AL412" i="1"/>
  <c r="GX412" i="1"/>
  <c r="AK62" i="1"/>
  <c r="GX62" i="1"/>
  <c r="AK47" i="1"/>
  <c r="AQ47" i="1" s="1"/>
  <c r="AV47" i="1" s="1"/>
  <c r="GX47" i="1"/>
  <c r="AL408" i="1"/>
  <c r="GX408" i="1"/>
  <c r="DP237" i="1"/>
  <c r="GX273" i="1"/>
  <c r="AL273" i="1"/>
  <c r="AQ273" i="1" s="1"/>
  <c r="AV273" i="1" s="1"/>
  <c r="AL54" i="1"/>
  <c r="AQ54" i="1" s="1"/>
  <c r="GX54" i="1"/>
  <c r="DP41" i="1"/>
  <c r="AL5" i="1"/>
  <c r="AQ5" i="1" s="1"/>
  <c r="AV5" i="1" s="1"/>
  <c r="GX5" i="1"/>
  <c r="GX36" i="1"/>
  <c r="AL36" i="1"/>
  <c r="AQ36" i="1" s="1"/>
  <c r="AV36" i="1" s="1"/>
  <c r="DP438" i="1"/>
  <c r="GS389" i="1"/>
  <c r="AE389" i="1"/>
  <c r="AL291" i="1"/>
  <c r="GX309" i="1"/>
  <c r="AL309" i="1"/>
  <c r="AQ309" i="1" s="1"/>
  <c r="AV309" i="1" s="1"/>
  <c r="AH392" i="1"/>
  <c r="DO392" i="1"/>
  <c r="AI392" i="1" s="1"/>
  <c r="GX272" i="1"/>
  <c r="AL272" i="1"/>
  <c r="AQ272" i="1" s="1"/>
  <c r="AV272" i="1" s="1"/>
  <c r="DP445" i="1"/>
  <c r="AL259" i="1"/>
  <c r="AL319" i="1"/>
  <c r="AQ319" i="1" s="1"/>
  <c r="AV319" i="1" s="1"/>
  <c r="GX319" i="1"/>
  <c r="GX314" i="1"/>
  <c r="AL314" i="1"/>
  <c r="AQ314" i="1" s="1"/>
  <c r="AV314" i="1" s="1"/>
  <c r="GX270" i="1"/>
  <c r="AL270" i="1"/>
  <c r="AQ270" i="1" s="1"/>
  <c r="AV270" i="1" s="1"/>
  <c r="AL328" i="1"/>
  <c r="AQ328" i="1" s="1"/>
  <c r="AV328" i="1" s="1"/>
  <c r="GX328" i="1"/>
  <c r="AL237" i="1"/>
  <c r="AQ237" i="1" s="1"/>
  <c r="AV237" i="1" s="1"/>
  <c r="GX237" i="1"/>
  <c r="AL318" i="1"/>
  <c r="AQ318" i="1" s="1"/>
  <c r="AV318" i="1" s="1"/>
  <c r="GX318" i="1"/>
  <c r="AL223" i="1"/>
  <c r="AQ223" i="1" s="1"/>
  <c r="AV223" i="1" s="1"/>
  <c r="GX223" i="1"/>
  <c r="GX262" i="1"/>
  <c r="AL262" i="1"/>
  <c r="AQ262" i="1" s="1"/>
  <c r="AV262" i="1" s="1"/>
  <c r="GX99" i="1"/>
  <c r="AL327" i="1"/>
  <c r="AQ327" i="1" s="1"/>
  <c r="AV327" i="1" s="1"/>
  <c r="GX327" i="1"/>
  <c r="AL351" i="1"/>
  <c r="GX334" i="1"/>
  <c r="AL334" i="1"/>
  <c r="AQ334" i="1" s="1"/>
  <c r="AV334" i="1" s="1"/>
  <c r="AL33" i="1"/>
  <c r="GX146" i="1"/>
  <c r="AL146" i="1"/>
  <c r="AQ146" i="1" s="1"/>
  <c r="AV146" i="1" s="1"/>
  <c r="GX91" i="1"/>
  <c r="AL91" i="1"/>
  <c r="AQ91" i="1" s="1"/>
  <c r="AV91" i="1" s="1"/>
  <c r="GX344" i="1"/>
  <c r="AL344" i="1"/>
  <c r="AQ344" i="1" s="1"/>
  <c r="AV344" i="1" s="1"/>
  <c r="GX406" i="1"/>
  <c r="AL406" i="1"/>
  <c r="AQ406" i="1" s="1"/>
  <c r="AV406" i="1" s="1"/>
  <c r="GX296" i="1"/>
  <c r="AL296" i="1"/>
  <c r="AL279" i="1"/>
  <c r="GX279" i="1"/>
  <c r="GX195" i="1"/>
  <c r="AL195" i="1"/>
  <c r="AQ195" i="1" s="1"/>
  <c r="AV195" i="1" s="1"/>
  <c r="GU394" i="1"/>
  <c r="AK394" i="1" s="1"/>
  <c r="GX90" i="1"/>
  <c r="AL90" i="1"/>
  <c r="AQ90" i="1" s="1"/>
  <c r="AV90" i="1" s="1"/>
  <c r="AH207" i="1"/>
  <c r="DO207" i="1"/>
  <c r="AI207" i="1" s="1"/>
  <c r="GS248" i="1"/>
  <c r="GX170" i="1"/>
  <c r="AL170" i="1"/>
  <c r="AQ170" i="1" s="1"/>
  <c r="AV170" i="1" s="1"/>
  <c r="GX59" i="1"/>
  <c r="AK59" i="1"/>
  <c r="AQ59" i="1" s="1"/>
  <c r="DP414" i="1"/>
  <c r="AL246" i="1"/>
  <c r="AQ246" i="1" s="1"/>
  <c r="AV246" i="1" s="1"/>
  <c r="GX246" i="1"/>
  <c r="AL393" i="1"/>
  <c r="GX393" i="1"/>
  <c r="GX49" i="1"/>
  <c r="AL49" i="1"/>
  <c r="AQ49" i="1" s="1"/>
  <c r="AV49" i="1" s="1"/>
  <c r="GX86" i="1"/>
  <c r="AL86" i="1"/>
  <c r="AQ86" i="1" s="1"/>
  <c r="AV86" i="1" s="1"/>
  <c r="GX242" i="1"/>
  <c r="AL242" i="1"/>
  <c r="AL171" i="1"/>
  <c r="AQ171" i="1" s="1"/>
  <c r="AV171" i="1" s="1"/>
  <c r="GX171" i="1"/>
  <c r="DP389" i="1"/>
  <c r="GX38" i="1"/>
  <c r="AL38" i="1"/>
  <c r="AQ38" i="1" s="1"/>
  <c r="GX320" i="1"/>
  <c r="AL320" i="1"/>
  <c r="AL278" i="1"/>
  <c r="AQ278" i="1" s="1"/>
  <c r="AV278" i="1" s="1"/>
  <c r="GX278" i="1"/>
  <c r="AL358" i="1"/>
  <c r="AQ358" i="1" s="1"/>
  <c r="AV358" i="1" s="1"/>
  <c r="GX358" i="1"/>
  <c r="AL360" i="1"/>
  <c r="AQ360" i="1" s="1"/>
  <c r="AV360" i="1" s="1"/>
  <c r="GX360" i="1"/>
  <c r="GX410" i="1"/>
  <c r="AL410" i="1"/>
  <c r="GX73" i="1"/>
  <c r="AL73" i="1"/>
  <c r="AQ73" i="1" s="1"/>
  <c r="AV73" i="1" s="1"/>
  <c r="DP218" i="1"/>
  <c r="AH400" i="1"/>
  <c r="DO400" i="1"/>
  <c r="AI400" i="1" s="1"/>
  <c r="GX65" i="1"/>
  <c r="AK65" i="1"/>
  <c r="AQ65" i="1" s="1"/>
  <c r="AV65" i="1" s="1"/>
  <c r="AL17" i="1"/>
  <c r="AQ17" i="1" s="1"/>
  <c r="AV17" i="1" s="1"/>
  <c r="GX17" i="1"/>
  <c r="GX50" i="1"/>
  <c r="AL50" i="1"/>
  <c r="AQ50" i="1" s="1"/>
  <c r="AV50" i="1" s="1"/>
  <c r="GX76" i="1"/>
  <c r="AK76" i="1"/>
  <c r="AQ76" i="1" s="1"/>
  <c r="AV76" i="1" s="1"/>
  <c r="GX61" i="1"/>
  <c r="AK61" i="1"/>
  <c r="AQ61" i="1" s="1"/>
  <c r="AV61" i="1" s="1"/>
  <c r="AL221" i="1"/>
  <c r="AQ221" i="1" s="1"/>
  <c r="AV221" i="1" s="1"/>
  <c r="GX221" i="1"/>
  <c r="GX52" i="1"/>
  <c r="AL52" i="1"/>
  <c r="AQ52" i="1" s="1"/>
  <c r="AV52" i="1" s="1"/>
  <c r="AL194" i="1"/>
  <c r="DO437" i="1"/>
  <c r="AH437" i="1"/>
  <c r="DO448" i="1"/>
  <c r="AI448" i="1" s="1"/>
  <c r="AH448" i="1"/>
  <c r="AE285" i="1"/>
  <c r="GU285" i="1"/>
  <c r="AK285" i="1" s="1"/>
  <c r="GS285" i="1"/>
  <c r="GX275" i="1"/>
  <c r="AL275" i="1"/>
  <c r="AQ275" i="1" s="1"/>
  <c r="AV275" i="1" s="1"/>
  <c r="GX263" i="1"/>
  <c r="AK263" i="1"/>
  <c r="AQ263" i="1" s="1"/>
  <c r="AV263" i="1" s="1"/>
  <c r="GX70" i="1"/>
  <c r="AL70" i="1"/>
  <c r="AQ70" i="1" s="1"/>
  <c r="AV70" i="1" s="1"/>
  <c r="GS399" i="1"/>
  <c r="AE399" i="1"/>
  <c r="GX82" i="1"/>
  <c r="AL82" i="1"/>
  <c r="AQ82" i="1" s="1"/>
  <c r="AV82" i="1" s="1"/>
  <c r="AL438" i="1"/>
  <c r="GX438" i="1"/>
  <c r="GX452" i="1"/>
  <c r="AL452" i="1"/>
  <c r="GU340" i="1"/>
  <c r="AK340" i="1" s="1"/>
  <c r="AE340" i="1"/>
  <c r="GS340" i="1"/>
  <c r="AL415" i="1"/>
  <c r="AQ415" i="1" s="1"/>
  <c r="AV415" i="1" s="1"/>
  <c r="GX415" i="1"/>
  <c r="GX364" i="1"/>
  <c r="AL364" i="1"/>
  <c r="AQ364" i="1" s="1"/>
  <c r="AV364" i="1" s="1"/>
  <c r="AQ354" i="1"/>
  <c r="AV354" i="1" s="1"/>
  <c r="DO453" i="1"/>
  <c r="AI453" i="1" s="1"/>
  <c r="AH453" i="1"/>
  <c r="AL345" i="1"/>
  <c r="AQ345" i="1" s="1"/>
  <c r="AV345" i="1" s="1"/>
  <c r="GX345" i="1"/>
  <c r="AI294" i="1"/>
  <c r="DP294" i="1"/>
  <c r="AL441" i="1"/>
  <c r="GX441" i="1"/>
  <c r="GU243" i="1"/>
  <c r="AK243" i="1" s="1"/>
  <c r="AL449" i="1"/>
  <c r="GX449" i="1"/>
  <c r="AL435" i="1"/>
  <c r="AL436" i="1"/>
  <c r="GX436" i="1"/>
  <c r="DP361" i="1"/>
  <c r="AL450" i="1"/>
  <c r="GX450" i="1"/>
  <c r="AE391" i="1"/>
  <c r="GS391" i="1"/>
  <c r="AE397" i="1"/>
  <c r="GS397" i="1"/>
  <c r="GU397" i="1"/>
  <c r="AK397" i="1" s="1"/>
  <c r="AL210" i="1"/>
  <c r="GX210" i="1"/>
  <c r="DO408" i="1"/>
  <c r="AI408" i="1" s="1"/>
  <c r="AH408" i="1"/>
  <c r="AJ303" i="1"/>
  <c r="AL382" i="1"/>
  <c r="AQ382" i="1" s="1"/>
  <c r="AV382" i="1" s="1"/>
  <c r="GX382" i="1"/>
  <c r="AL376" i="1"/>
  <c r="AQ376" i="1" s="1"/>
  <c r="AV376" i="1" s="1"/>
  <c r="GX376" i="1"/>
  <c r="GX201" i="1"/>
  <c r="AL201" i="1"/>
  <c r="AL411" i="1"/>
  <c r="GX411" i="1"/>
  <c r="DP89" i="1"/>
  <c r="DP441" i="1"/>
  <c r="DP170" i="1"/>
  <c r="GX323" i="1"/>
  <c r="GX161" i="1"/>
  <c r="AL161" i="1"/>
  <c r="AQ161" i="1" s="1"/>
  <c r="AV161" i="1" s="1"/>
  <c r="DP231" i="1"/>
  <c r="GX217" i="1"/>
  <c r="GX230" i="1"/>
  <c r="AL230" i="1"/>
  <c r="AQ230" i="1" s="1"/>
  <c r="IJ230" i="1"/>
  <c r="AR230" i="1" s="1"/>
  <c r="AQ260" i="1" l="1"/>
  <c r="AV260" i="1" s="1"/>
  <c r="AQ2" i="1"/>
  <c r="AV2" i="1" s="1"/>
  <c r="AL290" i="1"/>
  <c r="AQ290" i="1" s="1"/>
  <c r="AV290" i="1" s="1"/>
  <c r="GX260" i="1"/>
  <c r="GX33" i="1"/>
  <c r="GX2" i="1"/>
  <c r="AQ368" i="1"/>
  <c r="AV368" i="1" s="1"/>
  <c r="GX368" i="1"/>
  <c r="AQ375" i="1"/>
  <c r="AV375" i="1" s="1"/>
  <c r="AQ450" i="1"/>
  <c r="AV450" i="1" s="1"/>
  <c r="AQ33" i="1"/>
  <c r="AU33" i="1" s="1"/>
  <c r="AV33" i="1" s="1"/>
  <c r="AQ282" i="1"/>
  <c r="AV282" i="1" s="1"/>
  <c r="GX375" i="1"/>
  <c r="AL77" i="1"/>
  <c r="AQ77" i="1" s="1"/>
  <c r="AU77" i="1" s="1"/>
  <c r="AV77" i="1" s="1"/>
  <c r="AQ279" i="1"/>
  <c r="AV279" i="1" s="1"/>
  <c r="AL7" i="1"/>
  <c r="AQ7" i="1" s="1"/>
  <c r="AV7" i="1" s="1"/>
  <c r="DP296" i="1"/>
  <c r="AL370" i="1"/>
  <c r="AQ370" i="1" s="1"/>
  <c r="AV370" i="1" s="1"/>
  <c r="GX286" i="1"/>
  <c r="AL268" i="1"/>
  <c r="AQ268" i="1" s="1"/>
  <c r="AV268" i="1" s="1"/>
  <c r="AQ363" i="1"/>
  <c r="AV363" i="1" s="1"/>
  <c r="AQ296" i="1"/>
  <c r="AV296" i="1" s="1"/>
  <c r="AQ443" i="1"/>
  <c r="AV443" i="1" s="1"/>
  <c r="DP399" i="1"/>
  <c r="GX282" i="1"/>
  <c r="AL286" i="1"/>
  <c r="AQ286" i="1" s="1"/>
  <c r="AV286" i="1" s="1"/>
  <c r="AQ51" i="1"/>
  <c r="AV51" i="1" s="1"/>
  <c r="AQ45" i="1"/>
  <c r="AU45" i="1" s="1"/>
  <c r="AV45" i="1" s="1"/>
  <c r="GX380" i="1"/>
  <c r="AQ305" i="1"/>
  <c r="AV305" i="1" s="1"/>
  <c r="GX305" i="1"/>
  <c r="AL284" i="1"/>
  <c r="AQ284" i="1" s="1"/>
  <c r="AV284" i="1" s="1"/>
  <c r="AQ446" i="1"/>
  <c r="AV446" i="1" s="1"/>
  <c r="AL347" i="1"/>
  <c r="AQ347" i="1" s="1"/>
  <c r="AV347" i="1" s="1"/>
  <c r="AQ210" i="1"/>
  <c r="AU210" i="1" s="1"/>
  <c r="AV210" i="1" s="1"/>
  <c r="GX363" i="1"/>
  <c r="GX372" i="1"/>
  <c r="AQ372" i="1"/>
  <c r="AV372" i="1" s="1"/>
  <c r="GX445" i="1"/>
  <c r="AQ304" i="1"/>
  <c r="AV304" i="1" s="1"/>
  <c r="AQ72" i="1"/>
  <c r="AV72" i="1" s="1"/>
  <c r="DP410" i="1"/>
  <c r="DP446" i="1"/>
  <c r="GX400" i="1"/>
  <c r="DP217" i="1"/>
  <c r="GX303" i="1"/>
  <c r="AQ444" i="1"/>
  <c r="AQ335" i="1"/>
  <c r="AV335" i="1" s="1"/>
  <c r="AQ303" i="1"/>
  <c r="AV303" i="1" s="1"/>
  <c r="DP210" i="1"/>
  <c r="AI413" i="1"/>
  <c r="AQ413" i="1" s="1"/>
  <c r="AV413" i="1" s="1"/>
  <c r="AQ452" i="1"/>
  <c r="AV452" i="1" s="1"/>
  <c r="AL400" i="1"/>
  <c r="AQ400" i="1" s="1"/>
  <c r="AV400" i="1" s="1"/>
  <c r="AQ409" i="1"/>
  <c r="AV409" i="1" s="1"/>
  <c r="GX220" i="1"/>
  <c r="GX377" i="1"/>
  <c r="AQ381" i="1"/>
  <c r="AV381" i="1" s="1"/>
  <c r="GX409" i="1"/>
  <c r="AQ283" i="1"/>
  <c r="AV283" i="1" s="1"/>
  <c r="DP209" i="1"/>
  <c r="AQ62" i="1"/>
  <c r="AU62" i="1" s="1"/>
  <c r="AV62" i="1" s="1"/>
  <c r="AQ439" i="1"/>
  <c r="AV439" i="1" s="1"/>
  <c r="AQ432" i="1"/>
  <c r="AV432" i="1" s="1"/>
  <c r="AK68" i="1"/>
  <c r="AQ68" i="1" s="1"/>
  <c r="AU68" i="1" s="1"/>
  <c r="AV68" i="1" s="1"/>
  <c r="AQ12" i="1"/>
  <c r="AV12" i="1" s="1"/>
  <c r="AQ254" i="1"/>
  <c r="AV254" i="1" s="1"/>
  <c r="DP405" i="1"/>
  <c r="AL346" i="1"/>
  <c r="AQ346" i="1" s="1"/>
  <c r="AV346" i="1" s="1"/>
  <c r="AQ410" i="1"/>
  <c r="AV410" i="1" s="1"/>
  <c r="GX72" i="1"/>
  <c r="AQ369" i="1"/>
  <c r="AV369" i="1" s="1"/>
  <c r="AQ441" i="1"/>
  <c r="AV441" i="1" s="1"/>
  <c r="DP211" i="1"/>
  <c r="GX12" i="1"/>
  <c r="AQ281" i="1"/>
  <c r="AV281" i="1" s="1"/>
  <c r="GX194" i="1"/>
  <c r="AQ412" i="1"/>
  <c r="AV412" i="1" s="1"/>
  <c r="GX51" i="1"/>
  <c r="AK57" i="1"/>
  <c r="AQ57" i="1" s="1"/>
  <c r="AU57" i="1" s="1"/>
  <c r="AQ380" i="1"/>
  <c r="AV380" i="1" s="1"/>
  <c r="AQ193" i="1"/>
  <c r="AV193" i="1" s="1"/>
  <c r="GX350" i="1"/>
  <c r="GX369" i="1"/>
  <c r="GX254" i="1"/>
  <c r="GX371" i="1"/>
  <c r="AL398" i="1"/>
  <c r="AQ398" i="1" s="1"/>
  <c r="AV398" i="1" s="1"/>
  <c r="GX255" i="1"/>
  <c r="AQ451" i="1"/>
  <c r="AV451" i="1" s="1"/>
  <c r="AQ255" i="1"/>
  <c r="AV255" i="1" s="1"/>
  <c r="AL308" i="1"/>
  <c r="AQ308" i="1" s="1"/>
  <c r="AV308" i="1" s="1"/>
  <c r="GX45" i="1"/>
  <c r="AL401" i="1"/>
  <c r="AQ401" i="1" s="1"/>
  <c r="AV401" i="1" s="1"/>
  <c r="AQ320" i="1"/>
  <c r="AV320" i="1" s="1"/>
  <c r="AI435" i="1"/>
  <c r="AQ435" i="1" s="1"/>
  <c r="AU435" i="1" s="1"/>
  <c r="AV435" i="1" s="1"/>
  <c r="AK292" i="1"/>
  <c r="AQ292" i="1" s="1"/>
  <c r="AV292" i="1" s="1"/>
  <c r="DP69" i="1"/>
  <c r="AL306" i="1"/>
  <c r="AQ306" i="1" s="1"/>
  <c r="AV306" i="1" s="1"/>
  <c r="GX395" i="1"/>
  <c r="GX293" i="1"/>
  <c r="GX219" i="1"/>
  <c r="DP279" i="1"/>
  <c r="GX342" i="1"/>
  <c r="AQ71" i="1"/>
  <c r="AV71" i="1" s="1"/>
  <c r="GX381" i="1"/>
  <c r="GX435" i="1"/>
  <c r="AQ453" i="1"/>
  <c r="AV453" i="1" s="1"/>
  <c r="AQ78" i="1"/>
  <c r="AV78" i="1" s="1"/>
  <c r="AQ321" i="1"/>
  <c r="AV321" i="1" s="1"/>
  <c r="AQ252" i="1"/>
  <c r="AV252" i="1" s="1"/>
  <c r="AQ41" i="1"/>
  <c r="AV41" i="1" s="1"/>
  <c r="GX252" i="1"/>
  <c r="AK60" i="1"/>
  <c r="AQ60" i="1" s="1"/>
  <c r="AU60" i="1" s="1"/>
  <c r="AV60" i="1" s="1"/>
  <c r="DP408" i="1"/>
  <c r="AQ267" i="1"/>
  <c r="AV267" i="1" s="1"/>
  <c r="GX31" i="1"/>
  <c r="AQ242" i="1"/>
  <c r="AQ209" i="1"/>
  <c r="AU209" i="1" s="1"/>
  <c r="AV209" i="1" s="1"/>
  <c r="GX352" i="1"/>
  <c r="GX283" i="1"/>
  <c r="AL377" i="1"/>
  <c r="AQ377" i="1" s="1"/>
  <c r="AV377" i="1" s="1"/>
  <c r="AQ405" i="1"/>
  <c r="AV405" i="1" s="1"/>
  <c r="AL83" i="1"/>
  <c r="AQ83" i="1" s="1"/>
  <c r="AU83" i="1" s="1"/>
  <c r="AV83" i="1" s="1"/>
  <c r="GX413" i="1"/>
  <c r="AL342" i="1"/>
  <c r="AQ342" i="1" s="1"/>
  <c r="AV342" i="1" s="1"/>
  <c r="AL352" i="1"/>
  <c r="AQ352" i="1" s="1"/>
  <c r="AV352" i="1" s="1"/>
  <c r="GX454" i="1"/>
  <c r="IJ444" i="1"/>
  <c r="AR444" i="1" s="1"/>
  <c r="GX304" i="1"/>
  <c r="AQ253" i="1"/>
  <c r="AV253" i="1" s="1"/>
  <c r="GX338" i="1"/>
  <c r="GX240" i="1"/>
  <c r="GX281" i="1"/>
  <c r="AL31" i="1"/>
  <c r="AQ31" i="1" s="1"/>
  <c r="AU31" i="1" s="1"/>
  <c r="AV31" i="1" s="1"/>
  <c r="GX356" i="1"/>
  <c r="AL240" i="1"/>
  <c r="AQ240" i="1" s="1"/>
  <c r="AV240" i="1" s="1"/>
  <c r="AQ356" i="1"/>
  <c r="AV356" i="1" s="1"/>
  <c r="AK55" i="1"/>
  <c r="AQ55" i="1" s="1"/>
  <c r="AU55" i="1" s="1"/>
  <c r="AV55" i="1" s="1"/>
  <c r="AL297" i="1"/>
  <c r="AQ297" i="1" s="1"/>
  <c r="AV297" i="1" s="1"/>
  <c r="AQ449" i="1"/>
  <c r="AV449" i="1" s="1"/>
  <c r="GX71" i="1"/>
  <c r="AQ333" i="1"/>
  <c r="AV333" i="1" s="1"/>
  <c r="GX264" i="1"/>
  <c r="AQ379" i="1"/>
  <c r="AV379" i="1" s="1"/>
  <c r="GX207" i="1"/>
  <c r="GX351" i="1"/>
  <c r="AQ350" i="1"/>
  <c r="AV350" i="1" s="1"/>
  <c r="AQ355" i="1"/>
  <c r="AV355" i="1" s="1"/>
  <c r="DP444" i="1"/>
  <c r="GX378" i="1"/>
  <c r="GX379" i="1"/>
  <c r="AQ293" i="1"/>
  <c r="AV293" i="1" s="1"/>
  <c r="AQ395" i="1"/>
  <c r="AV395" i="1" s="1"/>
  <c r="DP409" i="1"/>
  <c r="AL337" i="1"/>
  <c r="AQ337" i="1" s="1"/>
  <c r="AV337" i="1" s="1"/>
  <c r="GX335" i="1"/>
  <c r="GX253" i="1"/>
  <c r="IJ243" i="1"/>
  <c r="AR243" i="1" s="1"/>
  <c r="GX162" i="1"/>
  <c r="DP396" i="1"/>
  <c r="AL220" i="1"/>
  <c r="AQ220" i="1" s="1"/>
  <c r="AV220" i="1" s="1"/>
  <c r="GX349" i="1"/>
  <c r="AI241" i="1"/>
  <c r="AQ241" i="1" s="1"/>
  <c r="DP241" i="1"/>
  <c r="GX294" i="1"/>
  <c r="AL207" i="1"/>
  <c r="AQ207" i="1" s="1"/>
  <c r="AU207" i="1" s="1"/>
  <c r="AV207" i="1" s="1"/>
  <c r="AL264" i="1"/>
  <c r="AQ264" i="1" s="1"/>
  <c r="AV264" i="1" s="1"/>
  <c r="GX209" i="1"/>
  <c r="AQ351" i="1"/>
  <c r="AV351" i="1" s="1"/>
  <c r="GX416" i="1"/>
  <c r="AQ404" i="1"/>
  <c r="AV404" i="1" s="1"/>
  <c r="IJ162" i="1"/>
  <c r="AR162" i="1" s="1"/>
  <c r="AQ277" i="1"/>
  <c r="AV277" i="1" s="1"/>
  <c r="GX288" i="1"/>
  <c r="AQ455" i="1"/>
  <c r="AV455" i="1" s="1"/>
  <c r="AQ411" i="1"/>
  <c r="AV411" i="1" s="1"/>
  <c r="AQ243" i="1"/>
  <c r="GX405" i="1"/>
  <c r="AQ434" i="1"/>
  <c r="AV434" i="1" s="1"/>
  <c r="GX277" i="1"/>
  <c r="AQ265" i="1"/>
  <c r="AV265" i="1" s="1"/>
  <c r="AQ69" i="1"/>
  <c r="AV69" i="1" s="1"/>
  <c r="AQ312" i="1"/>
  <c r="AV312" i="1" s="1"/>
  <c r="GX3" i="1"/>
  <c r="DP398" i="1"/>
  <c r="AQ338" i="1"/>
  <c r="AV338" i="1" s="1"/>
  <c r="GX267" i="1"/>
  <c r="AQ194" i="1"/>
  <c r="AV194" i="1" s="1"/>
  <c r="AQ259" i="1"/>
  <c r="AV259" i="1" s="1"/>
  <c r="AL288" i="1"/>
  <c r="AQ288" i="1" s="1"/>
  <c r="AV288" i="1" s="1"/>
  <c r="GX291" i="1"/>
  <c r="AQ438" i="1"/>
  <c r="AV438" i="1" s="1"/>
  <c r="GX455" i="1"/>
  <c r="GX339" i="1"/>
  <c r="DP457" i="1"/>
  <c r="AQ457" i="1"/>
  <c r="AV457" i="1" s="1"/>
  <c r="GX259" i="1"/>
  <c r="AQ388" i="1"/>
  <c r="AV388" i="1" s="1"/>
  <c r="AQ373" i="1"/>
  <c r="AV373" i="1" s="1"/>
  <c r="AL162" i="1"/>
  <c r="AQ162" i="1" s="1"/>
  <c r="AV162" i="1" s="1"/>
  <c r="AQ3" i="1"/>
  <c r="AV3" i="1" s="1"/>
  <c r="AQ339" i="1"/>
  <c r="AV339" i="1" s="1"/>
  <c r="AQ378" i="1"/>
  <c r="AV378" i="1" s="1"/>
  <c r="AQ371" i="1"/>
  <c r="AV371" i="1" s="1"/>
  <c r="GX373" i="1"/>
  <c r="GX312" i="1"/>
  <c r="GX241" i="1"/>
  <c r="AQ353" i="1"/>
  <c r="AV353" i="1" s="1"/>
  <c r="AQ349" i="1"/>
  <c r="AV349" i="1" s="1"/>
  <c r="DP392" i="1"/>
  <c r="AU48" i="1"/>
  <c r="AV48" i="1" s="1"/>
  <c r="IJ242" i="1"/>
  <c r="AR242" i="1" s="1"/>
  <c r="AQ407" i="1"/>
  <c r="AV407" i="1" s="1"/>
  <c r="AQ201" i="1"/>
  <c r="AV201" i="1" s="1"/>
  <c r="GX390" i="1"/>
  <c r="AQ392" i="1"/>
  <c r="AV392" i="1" s="1"/>
  <c r="AQ445" i="1"/>
  <c r="AV445" i="1" s="1"/>
  <c r="AQ402" i="1"/>
  <c r="AV402" i="1" s="1"/>
  <c r="DP407" i="1"/>
  <c r="IJ241" i="1"/>
  <c r="AR241" i="1" s="1"/>
  <c r="AQ390" i="1"/>
  <c r="AV390" i="1" s="1"/>
  <c r="GX243" i="1"/>
  <c r="GX69" i="1"/>
  <c r="DP265" i="1"/>
  <c r="DP416" i="1"/>
  <c r="GX355" i="1"/>
  <c r="AQ396" i="1"/>
  <c r="AV396" i="1" s="1"/>
  <c r="DP242" i="1"/>
  <c r="AQ416" i="1"/>
  <c r="AV416" i="1" s="1"/>
  <c r="AI418" i="1"/>
  <c r="AQ418" i="1" s="1"/>
  <c r="AV418" i="1" s="1"/>
  <c r="DP418" i="1"/>
  <c r="DP436" i="1"/>
  <c r="DP208" i="1"/>
  <c r="DP453" i="1"/>
  <c r="AQ436" i="1"/>
  <c r="AV436" i="1" s="1"/>
  <c r="AQ208" i="1"/>
  <c r="AV208" i="1" s="1"/>
  <c r="AQ393" i="1"/>
  <c r="AV393" i="1" s="1"/>
  <c r="AI417" i="1"/>
  <c r="AQ417" i="1" s="1"/>
  <c r="AV417" i="1" s="1"/>
  <c r="DP417" i="1"/>
  <c r="AQ294" i="1"/>
  <c r="AV294" i="1" s="1"/>
  <c r="AQ448" i="1"/>
  <c r="AV448" i="1" s="1"/>
  <c r="AL289" i="1"/>
  <c r="AQ289" i="1" s="1"/>
  <c r="AV289" i="1" s="1"/>
  <c r="GX289" i="1"/>
  <c r="AQ454" i="1"/>
  <c r="AV454" i="1" s="1"/>
  <c r="AQ291" i="1"/>
  <c r="AV291" i="1" s="1"/>
  <c r="GX417" i="1"/>
  <c r="AQ408" i="1"/>
  <c r="AV408" i="1" s="1"/>
  <c r="AI391" i="1"/>
  <c r="DP391" i="1"/>
  <c r="DP404" i="1"/>
  <c r="AU42" i="1"/>
  <c r="AV42" i="1" s="1"/>
  <c r="AU38" i="1"/>
  <c r="AV38" i="1" s="1"/>
  <c r="AU75" i="1"/>
  <c r="AV75" i="1" s="1"/>
  <c r="AL37" i="1"/>
  <c r="AQ37" i="1" s="1"/>
  <c r="GX37" i="1"/>
  <c r="GX397" i="1"/>
  <c r="AL397" i="1"/>
  <c r="AQ397" i="1" s="1"/>
  <c r="AV397" i="1" s="1"/>
  <c r="AL227" i="1"/>
  <c r="AQ227" i="1" s="1"/>
  <c r="GX227" i="1"/>
  <c r="DP402" i="1"/>
  <c r="AL258" i="1"/>
  <c r="AQ258" i="1" s="1"/>
  <c r="AV258" i="1" s="1"/>
  <c r="GX258" i="1"/>
  <c r="AL389" i="1"/>
  <c r="AQ389" i="1" s="1"/>
  <c r="AV389" i="1" s="1"/>
  <c r="GX389" i="1"/>
  <c r="DP448" i="1"/>
  <c r="AU54" i="1"/>
  <c r="AV54" i="1" s="1"/>
  <c r="DP434" i="1"/>
  <c r="DP454" i="1"/>
  <c r="AL256" i="1"/>
  <c r="AQ256" i="1" s="1"/>
  <c r="AV256" i="1" s="1"/>
  <c r="GX256" i="1"/>
  <c r="AL287" i="1"/>
  <c r="AQ287" i="1" s="1"/>
  <c r="AV287" i="1" s="1"/>
  <c r="GX287" i="1"/>
  <c r="AL399" i="1"/>
  <c r="AQ399" i="1" s="1"/>
  <c r="AV399" i="1" s="1"/>
  <c r="GX399" i="1"/>
  <c r="AU40" i="1"/>
  <c r="AV40" i="1" s="1"/>
  <c r="DP207" i="1"/>
  <c r="DP388" i="1"/>
  <c r="AL231" i="1"/>
  <c r="AQ231" i="1" s="1"/>
  <c r="GX231" i="1"/>
  <c r="IJ231" i="1"/>
  <c r="AR231" i="1" s="1"/>
  <c r="GX353" i="1"/>
  <c r="GX340" i="1"/>
  <c r="AL340" i="1"/>
  <c r="AQ340" i="1" s="1"/>
  <c r="AV340" i="1" s="1"/>
  <c r="AL391" i="1"/>
  <c r="GX391" i="1"/>
  <c r="AI437" i="1"/>
  <c r="AQ437" i="1" s="1"/>
  <c r="IJ437" i="1"/>
  <c r="AR437" i="1" s="1"/>
  <c r="AL248" i="1"/>
  <c r="AQ248" i="1" s="1"/>
  <c r="GX248" i="1"/>
  <c r="IJ248" i="1"/>
  <c r="AR248" i="1" s="1"/>
  <c r="GX387" i="1"/>
  <c r="AL387" i="1"/>
  <c r="AQ387" i="1" s="1"/>
  <c r="AV387" i="1" s="1"/>
  <c r="GX394" i="1"/>
  <c r="AL394" i="1"/>
  <c r="AQ394" i="1" s="1"/>
  <c r="AV394" i="1" s="1"/>
  <c r="DP437" i="1"/>
  <c r="DP400" i="1"/>
  <c r="AL285" i="1"/>
  <c r="AQ285" i="1" s="1"/>
  <c r="AV285" i="1" s="1"/>
  <c r="GX285" i="1"/>
  <c r="AV230" i="1"/>
  <c r="AU219" i="1"/>
  <c r="AV219" i="1" s="1"/>
  <c r="AU59" i="1"/>
  <c r="AV59" i="1" s="1"/>
  <c r="DP394" i="1"/>
  <c r="DP393" i="1"/>
  <c r="AV243" i="1" l="1"/>
  <c r="AV444" i="1"/>
  <c r="AV57" i="1"/>
  <c r="AV242" i="1"/>
  <c r="AV437" i="1"/>
  <c r="AQ391" i="1"/>
  <c r="AV391" i="1" s="1"/>
  <c r="AV241" i="1"/>
  <c r="AU227" i="1"/>
  <c r="AV227" i="1" s="1"/>
  <c r="AU37" i="1"/>
  <c r="AV37" i="1" s="1"/>
  <c r="AV248" i="1"/>
  <c r="AV2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Karthickumar G (Mktg/Hosur/SACL)</author>
    <author>Pankaj</author>
  </authors>
  <commentList>
    <comment ref="HR59" authorId="0" shapeId="0" xr:uid="{DCBFFB8F-0AC0-4D88-87C1-A4B6ED80F902}">
      <text>
        <r>
          <rPr>
            <b/>
            <sz val="9"/>
            <color indexed="81"/>
            <rFont val="Tahoma"/>
            <family val="2"/>
          </rPr>
          <t>To be discussed and validated</t>
        </r>
      </text>
    </comment>
    <comment ref="AA838" authorId="1" shapeId="0" xr:uid="{D2D977E8-1CEE-4590-8531-BDD6F4279470}">
      <text>
        <r>
          <rPr>
            <b/>
            <sz val="9"/>
            <color indexed="81"/>
            <rFont val="Tahoma"/>
            <family val="2"/>
          </rPr>
          <t>Drawing shows PC-7
But TVSM considered PC-1</t>
        </r>
      </text>
    </comment>
  </commentList>
</comments>
</file>

<file path=xl/sharedStrings.xml><?xml version="1.0" encoding="utf-8"?>
<sst xmlns="http://schemas.openxmlformats.org/spreadsheetml/2006/main" count="23190" uniqueCount="5073">
  <si>
    <t>Part Number</t>
  </si>
  <si>
    <t>Part Name</t>
  </si>
  <si>
    <t>Gross Wt</t>
  </si>
  <si>
    <t>Part Wt</t>
  </si>
  <si>
    <t>RM Rate</t>
  </si>
  <si>
    <t>Net Mtl Cost</t>
  </si>
  <si>
    <t>Tonnage</t>
  </si>
  <si>
    <t>Parts Per shift</t>
  </si>
  <si>
    <t>Conversion Cost</t>
  </si>
  <si>
    <t>Total Cost</t>
  </si>
  <si>
    <t>Model</t>
  </si>
  <si>
    <t>Total RM Cost</t>
  </si>
  <si>
    <t>Total Conv Cost</t>
  </si>
  <si>
    <t>Total BO cost</t>
  </si>
  <si>
    <t>Total Rej Cost</t>
  </si>
  <si>
    <t>Total P&amp;OH</t>
  </si>
  <si>
    <t>Total Packing</t>
  </si>
  <si>
    <t>Total Transport</t>
  </si>
  <si>
    <t>Total Tool Cost</t>
  </si>
  <si>
    <t>Sub Total Cost</t>
  </si>
  <si>
    <t>RM Base Qtr</t>
  </si>
  <si>
    <t>Scrap / Runner Wt</t>
  </si>
  <si>
    <t>RM Spec</t>
  </si>
  <si>
    <t>Scrap / Regrind Rate</t>
  </si>
  <si>
    <t>Q1 FY 21 22</t>
  </si>
  <si>
    <t>Shift Rate</t>
  </si>
  <si>
    <t>BO Spec</t>
  </si>
  <si>
    <t>BO Wt</t>
  </si>
  <si>
    <t>BO No. off</t>
  </si>
  <si>
    <t>BO Handling chrges</t>
  </si>
  <si>
    <t>BO Cost per part</t>
  </si>
  <si>
    <t>No. of Hrs / Shift</t>
  </si>
  <si>
    <t>OEE</t>
  </si>
  <si>
    <t>No of Cavity</t>
  </si>
  <si>
    <t>Cycle Time</t>
  </si>
  <si>
    <t>P &amp; OH Cost, %</t>
  </si>
  <si>
    <t>P &amp; OH Cost, Rs.</t>
  </si>
  <si>
    <t>Rej, %</t>
  </si>
  <si>
    <t>Rej, Rs</t>
  </si>
  <si>
    <t>Mold Maint cost, Rs</t>
  </si>
  <si>
    <t>Mold Maint Cost,%</t>
  </si>
  <si>
    <t>Other cost</t>
  </si>
  <si>
    <t>Packing cost</t>
  </si>
  <si>
    <t>BIN</t>
  </si>
  <si>
    <t>Type</t>
  </si>
  <si>
    <t>L in mm</t>
  </si>
  <si>
    <t>B in mm</t>
  </si>
  <si>
    <t>H in mm</t>
  </si>
  <si>
    <t>No. of parts / Bin</t>
  </si>
  <si>
    <t>Volume per day</t>
  </si>
  <si>
    <t>No. of Trolleys Per day</t>
  </si>
  <si>
    <t>Stock norm in days</t>
  </si>
  <si>
    <t>Total Bins / trolley required</t>
  </si>
  <si>
    <t>Rate / Bins in Rs.</t>
  </si>
  <si>
    <t>Total Trolleys cost in Rs.</t>
  </si>
  <si>
    <t>Amortization volume</t>
  </si>
  <si>
    <t>Bin Amortization cost in Rs.</t>
  </si>
  <si>
    <t>Cover cost in Rs</t>
  </si>
  <si>
    <t>No of parts per cover</t>
  </si>
  <si>
    <t>Cover cost per part in Rs</t>
  </si>
  <si>
    <t>Final packing cost</t>
  </si>
  <si>
    <t>Jumbo</t>
  </si>
  <si>
    <t>Ammortization Years</t>
  </si>
  <si>
    <t>Cover Cost per kg</t>
  </si>
  <si>
    <t>Wt of Cover</t>
  </si>
  <si>
    <t>Truck Size  L  in mm</t>
  </si>
  <si>
    <t>Truck Size  W in mm</t>
  </si>
  <si>
    <t>Truck Size  H  in mm</t>
  </si>
  <si>
    <t xml:space="preserve"> No of bin  in  L</t>
  </si>
  <si>
    <t xml:space="preserve"> No of bin  in  W</t>
  </si>
  <si>
    <t xml:space="preserve"> No of bin  in  H</t>
  </si>
  <si>
    <t>No. of BIN / Trolleys per vehicle</t>
  </si>
  <si>
    <t>Cost per trip in Rs.</t>
  </si>
  <si>
    <t>Utilisation, %</t>
  </si>
  <si>
    <t>Transport Cost per part, Rs</t>
  </si>
  <si>
    <t>Sub Total BO cost</t>
  </si>
  <si>
    <t>BO Handling cost</t>
  </si>
  <si>
    <t>K150420</t>
  </si>
  <si>
    <t>CASE THROTTLE UPPER</t>
  </si>
  <si>
    <t>JUPITER 125</t>
  </si>
  <si>
    <t>TUFNYL SGF 30</t>
  </si>
  <si>
    <t>Total Maint Cost</t>
  </si>
  <si>
    <t>Scrap Recovery</t>
  </si>
  <si>
    <t>K2180160</t>
  </si>
  <si>
    <t>FAN, ENGINE COOLING</t>
  </si>
  <si>
    <t>XPP H 5005 UV BLK</t>
  </si>
  <si>
    <t>IS 513D</t>
  </si>
  <si>
    <t>Giant</t>
  </si>
  <si>
    <t>Resp</t>
  </si>
  <si>
    <t>SSS</t>
  </si>
  <si>
    <t>Sowmiya</t>
  </si>
  <si>
    <t>KA080020</t>
  </si>
  <si>
    <t>HOLDER FILTER</t>
  </si>
  <si>
    <t>Plant</t>
  </si>
  <si>
    <t>HP</t>
  </si>
  <si>
    <t>Supplier Code</t>
  </si>
  <si>
    <t>Supplier Name</t>
  </si>
  <si>
    <t>NATIONAL PLASTIC TECHNOLOGIES LIMIT</t>
  </si>
  <si>
    <t>K2100290</t>
  </si>
  <si>
    <t>DUST SEAL UPPER</t>
  </si>
  <si>
    <t>Desmopan 392LS</t>
  </si>
  <si>
    <t>Jasmini</t>
  </si>
  <si>
    <t>Gopika</t>
  </si>
  <si>
    <t>R4150240</t>
  </si>
  <si>
    <t>GRIP COMP THROTTLE</t>
  </si>
  <si>
    <t>KP 54 Black</t>
  </si>
  <si>
    <t>K6111290</t>
  </si>
  <si>
    <t>SPACER COMP</t>
  </si>
  <si>
    <t>Divya</t>
  </si>
  <si>
    <t>PP-01</t>
  </si>
  <si>
    <t>IIC10S25</t>
  </si>
  <si>
    <t>K4221620</t>
  </si>
  <si>
    <t>COVER UTILITY BOX LIGHT</t>
  </si>
  <si>
    <t>K6150820</t>
  </si>
  <si>
    <t>GRIP L</t>
  </si>
  <si>
    <t>K6150830</t>
  </si>
  <si>
    <t>GRIP COMP THROTTLE  BSVI</t>
  </si>
  <si>
    <t>KL140250</t>
  </si>
  <si>
    <t>GUIDE HOSE</t>
  </si>
  <si>
    <t>KL220550</t>
  </si>
  <si>
    <t>PANEL REAR BOTTOM</t>
  </si>
  <si>
    <t>HOS</t>
  </si>
  <si>
    <t>Arthi</t>
  </si>
  <si>
    <t>Spw1</t>
  </si>
  <si>
    <t xml:space="preserve">Appcom 1020 HC BK </t>
  </si>
  <si>
    <t>carton box</t>
  </si>
  <si>
    <t>PVC-1</t>
  </si>
  <si>
    <t>KL220579</t>
  </si>
  <si>
    <t>PANEL FRONT TOP</t>
  </si>
  <si>
    <t>DP29M</t>
  </si>
  <si>
    <t>Trolley</t>
  </si>
  <si>
    <t>K4220920</t>
  </si>
  <si>
    <t>BRKT LICENCE PLATE</t>
  </si>
  <si>
    <t>K6225670</t>
  </si>
  <si>
    <t>FENDER REAR SUB-ASSY</t>
  </si>
  <si>
    <t>K6226580</t>
  </si>
  <si>
    <t>WINDSHIELD ASSY TINTED</t>
  </si>
  <si>
    <t>K6226900</t>
  </si>
  <si>
    <t>BAG HOOK</t>
  </si>
  <si>
    <t>KA040180</t>
  </si>
  <si>
    <t>INSULATOR PAD</t>
  </si>
  <si>
    <t>KA070010</t>
  </si>
  <si>
    <t>COVER FAN CVT</t>
  </si>
  <si>
    <t>KA180100</t>
  </si>
  <si>
    <t>HOUSING FAN</t>
  </si>
  <si>
    <t>KA180130</t>
  </si>
  <si>
    <t>DEFLECTOR</t>
  </si>
  <si>
    <t>KA220690</t>
  </si>
  <si>
    <t>FENDER FRONT RR SUB ASSY</t>
  </si>
  <si>
    <t>KH010080</t>
  </si>
  <si>
    <t>GUIDE CAMCHAIN</t>
  </si>
  <si>
    <t>KH010090</t>
  </si>
  <si>
    <t>TENSIONER CAMCHAIN</t>
  </si>
  <si>
    <t>KL040250</t>
  </si>
  <si>
    <t>AIR CLEANER ASSY</t>
  </si>
  <si>
    <t>KL120310</t>
  </si>
  <si>
    <t>BATTERY HOLDER BOT COMP</t>
  </si>
  <si>
    <t>KL120480</t>
  </si>
  <si>
    <t>CLAMP BATTERY</t>
  </si>
  <si>
    <t>KL140140</t>
  </si>
  <si>
    <t>DRAIN HOSE</t>
  </si>
  <si>
    <t>KL180220</t>
  </si>
  <si>
    <t>COVER FAN COWL RH</t>
  </si>
  <si>
    <t>KL220529</t>
  </si>
  <si>
    <t>SIDE TRIM FLOOR L</t>
  </si>
  <si>
    <t>KL220580</t>
  </si>
  <si>
    <t>FLOOR BOARD</t>
  </si>
  <si>
    <t>KL220599</t>
  </si>
  <si>
    <t>SIDE TRIM R</t>
  </si>
  <si>
    <t>KL220619</t>
  </si>
  <si>
    <t>HOUSING HEADLAMP FRONT</t>
  </si>
  <si>
    <t>KL220649</t>
  </si>
  <si>
    <t>HOUSING HEADLAMP REAR</t>
  </si>
  <si>
    <t>KL220650</t>
  </si>
  <si>
    <t>VISOR HEADLAMP</t>
  </si>
  <si>
    <t>KL220709</t>
  </si>
  <si>
    <t>TAIL COVER CENTER</t>
  </si>
  <si>
    <t>KL220719</t>
  </si>
  <si>
    <t>COV BOTTOM TAIL CTR</t>
  </si>
  <si>
    <t>KL220740</t>
  </si>
  <si>
    <t>PANEL FR BOT</t>
  </si>
  <si>
    <t>KL220819</t>
  </si>
  <si>
    <t>PANEL REAR TOP</t>
  </si>
  <si>
    <t>KL220820</t>
  </si>
  <si>
    <t>GLOVE BOX</t>
  </si>
  <si>
    <t>KL220840</t>
  </si>
  <si>
    <t>COVER BOT FLOOR</t>
  </si>
  <si>
    <t>KL220890</t>
  </si>
  <si>
    <t>UTILITY BOX SUB ASSY</t>
  </si>
  <si>
    <t>KL220940</t>
  </si>
  <si>
    <t>SIDE TRIM FLOOR FR LH</t>
  </si>
  <si>
    <t>KL220950</t>
  </si>
  <si>
    <t>SIDE TRIM FLOOR FR RH</t>
  </si>
  <si>
    <t>KL221010</t>
  </si>
  <si>
    <t>BRACKET TAIL LAMP</t>
  </si>
  <si>
    <t>KL221020</t>
  </si>
  <si>
    <t>CAP, SIDE TRIM FLOOR LH</t>
  </si>
  <si>
    <t>KL221080</t>
  </si>
  <si>
    <t>BRKT PANEL FRONT CENTER</t>
  </si>
  <si>
    <t>KL221200</t>
  </si>
  <si>
    <t>COVER FR ASSY</t>
  </si>
  <si>
    <t>KL221210</t>
  </si>
  <si>
    <t>LID FUEL TANK</t>
  </si>
  <si>
    <t>KL221430</t>
  </si>
  <si>
    <t>PANEL REAR TOP1</t>
  </si>
  <si>
    <t>KL221460</t>
  </si>
  <si>
    <t>COVER FRONT L DRUM</t>
  </si>
  <si>
    <t>KL221470</t>
  </si>
  <si>
    <t>COVER FRONT R DRUM</t>
  </si>
  <si>
    <t>KL221500</t>
  </si>
  <si>
    <t>KL221540</t>
  </si>
  <si>
    <t>COVER TOP L DRUM</t>
  </si>
  <si>
    <t>KL221550</t>
  </si>
  <si>
    <t>COVER TOP R DRUM</t>
  </si>
  <si>
    <t>KL221560</t>
  </si>
  <si>
    <t>COVER L DRUM</t>
  </si>
  <si>
    <t>KL221570</t>
  </si>
  <si>
    <t>COVER R DRUM</t>
  </si>
  <si>
    <t>KL221590</t>
  </si>
  <si>
    <t>DEFLECTOR ASSY</t>
  </si>
  <si>
    <t>KL221739</t>
  </si>
  <si>
    <t>HOUSING HEADLAMP REAR PLUS</t>
  </si>
  <si>
    <t>KL221750</t>
  </si>
  <si>
    <t>COVER SPEEDOMETER</t>
  </si>
  <si>
    <t>KL221810</t>
  </si>
  <si>
    <t>COVER BOTTOM</t>
  </si>
  <si>
    <t>MYSR</t>
  </si>
  <si>
    <t>AURO PLASCOM ENGINEERS LLP</t>
  </si>
  <si>
    <t>PREMIER PLASMOTEC PRIVATE LIMITED</t>
  </si>
  <si>
    <t>SUNDARAM AUTO COMPONENTS LTD</t>
  </si>
  <si>
    <t>Regrind not taken in calculation</t>
  </si>
  <si>
    <t>Findings</t>
  </si>
  <si>
    <t>BO Cost</t>
  </si>
  <si>
    <t>BOP1 PN</t>
  </si>
  <si>
    <t>BOP1 Part Desc</t>
  </si>
  <si>
    <t>BOP1 No off</t>
  </si>
  <si>
    <t>BOP1 Cost</t>
  </si>
  <si>
    <t>BOP1 Total Cost</t>
  </si>
  <si>
    <t>BOP2 PN</t>
  </si>
  <si>
    <t>BOP2 Part Desc</t>
  </si>
  <si>
    <t>BOP2 No off</t>
  </si>
  <si>
    <t>BOP2 Cost</t>
  </si>
  <si>
    <t>BOP2 Total Cost</t>
  </si>
  <si>
    <t>BOP3 PN</t>
  </si>
  <si>
    <t>BOP3 Part Desc</t>
  </si>
  <si>
    <t>BOP3 No off</t>
  </si>
  <si>
    <t>BOP3 Cost</t>
  </si>
  <si>
    <t>BOP3 Total Cost</t>
  </si>
  <si>
    <t>BOP4 PN</t>
  </si>
  <si>
    <t>BOP4 Part Desc</t>
  </si>
  <si>
    <t>BOP4 No off</t>
  </si>
  <si>
    <t>BOP4 Cost</t>
  </si>
  <si>
    <t>BOP4 Total Cost</t>
  </si>
  <si>
    <t>BOP5 PN</t>
  </si>
  <si>
    <t>BOP5 Part Desc</t>
  </si>
  <si>
    <t>BOP5 No off</t>
  </si>
  <si>
    <t>BOP5 Cost</t>
  </si>
  <si>
    <t>BOP5 Total Cost</t>
  </si>
  <si>
    <t>BOP6 PN</t>
  </si>
  <si>
    <t>BOP6 Part Desc</t>
  </si>
  <si>
    <t>BOP6 No off</t>
  </si>
  <si>
    <t>BOP6 Cost</t>
  </si>
  <si>
    <t>BOP6 Total Cost</t>
  </si>
  <si>
    <t>Total BO Cost</t>
  </si>
  <si>
    <t>Inspection Cost</t>
  </si>
  <si>
    <t>Assembly cost per unit</t>
  </si>
  <si>
    <t>Fixture Cost per unit</t>
  </si>
  <si>
    <t>Total assly cost</t>
  </si>
  <si>
    <t>Extra Cost</t>
  </si>
  <si>
    <t>Interest rate, %</t>
  </si>
  <si>
    <t>Trolley Cost with interest</t>
  </si>
  <si>
    <t>APPCOM5000 BK UV</t>
  </si>
  <si>
    <t>Q2 FY 22 23</t>
  </si>
  <si>
    <t>APPCOM 1510 UV</t>
  </si>
  <si>
    <t>Carton Box</t>
  </si>
  <si>
    <t>Hexagonal Nut M5</t>
  </si>
  <si>
    <t>PUNCHED WASHER 5.5x12x1.0</t>
  </si>
  <si>
    <t>M7160120</t>
  </si>
  <si>
    <t>Reflex reflector assy</t>
  </si>
  <si>
    <t>Polypropylene + 20% Talc Filled  UV Grade</t>
  </si>
  <si>
    <t>Q1 FY 19 20</t>
  </si>
  <si>
    <t>Q3 FY 22 23</t>
  </si>
  <si>
    <t>IP20192866</t>
  </si>
  <si>
    <t>Only 21401 v code Cost sheet found</t>
  </si>
  <si>
    <t xml:space="preserve">APPCOM HC 1020 BK UV </t>
  </si>
  <si>
    <t>Q4 FY 19 20</t>
  </si>
  <si>
    <t>LEXAN 123R-7113794 (PC - Grey shade).</t>
  </si>
  <si>
    <t>K6225160</t>
  </si>
  <si>
    <t>GROMMET HEAD LAMP</t>
  </si>
  <si>
    <t>Jupiter Windshield LOGO</t>
  </si>
  <si>
    <t>3% extra cost given</t>
  </si>
  <si>
    <t>IP No?. Cover Cost given 2 times</t>
  </si>
  <si>
    <t>TUFNYL SB15H1 B BLACK (NYLON 6 – 15% UV )</t>
  </si>
  <si>
    <t>KA220500_1</t>
  </si>
  <si>
    <t>PIN</t>
  </si>
  <si>
    <t>KA220870</t>
  </si>
  <si>
    <t>Retainer Hinge</t>
  </si>
  <si>
    <t>Q2 FY 21 22</t>
  </si>
  <si>
    <t>Based on bin size, No. of bins are coming high wherease considered is lesser</t>
  </si>
  <si>
    <t>PP+ GF 30% Blk</t>
  </si>
  <si>
    <t xml:space="preserve"> Q4 FY 21 22</t>
  </si>
  <si>
    <t>2% Extra cost given</t>
  </si>
  <si>
    <t>Tufnyl SGF30 Black from SRF</t>
  </si>
  <si>
    <t>Q2 FY 16 17</t>
  </si>
  <si>
    <t>Where is this cost sheet?</t>
  </si>
  <si>
    <t>Bar Code added 2 times. 20 ps more</t>
  </si>
  <si>
    <t xml:space="preserve">Absolac® DP29 M Q633 BK907016 </t>
  </si>
  <si>
    <t>APPCOM HC 5000 BK UV ( PP+UV)</t>
  </si>
  <si>
    <t>Bin cost not considered</t>
  </si>
  <si>
    <t>APPCOM HC 5000 SILVER 003 UV</t>
  </si>
  <si>
    <t>Q4 FY 22 23</t>
  </si>
  <si>
    <t xml:space="preserve">Q2 FY 21 22 </t>
  </si>
  <si>
    <t>2% Extra charges given</t>
  </si>
  <si>
    <t>APPCOM 5000BKUV</t>
  </si>
  <si>
    <t>Q4 FY 17 18</t>
  </si>
  <si>
    <t>Q4 FY 21 22</t>
  </si>
  <si>
    <t>Same part from 29010 is having lesser weight. Cost is Rs. 0.3 more here</t>
  </si>
  <si>
    <t>O RING BRAKE CAM-BR</t>
  </si>
  <si>
    <t>K2030370</t>
  </si>
  <si>
    <t>COVER VARIATOR Plug</t>
  </si>
  <si>
    <t>K3011090</t>
  </si>
  <si>
    <t>STOPPER ROCKER SHAFT</t>
  </si>
  <si>
    <t>K3082010</t>
  </si>
  <si>
    <t>GAUGE OIL LEVEL</t>
  </si>
  <si>
    <t>K3090380</t>
  </si>
  <si>
    <t>SILENT BLOCK BUSH</t>
  </si>
  <si>
    <t>K3200730</t>
  </si>
  <si>
    <t>O RING DRAIN PLUG</t>
  </si>
  <si>
    <t>K4010100</t>
  </si>
  <si>
    <t>PACKING SEAL, COVER CYLINDER</t>
  </si>
  <si>
    <t>K4100110</t>
  </si>
  <si>
    <t>DUST SEAL LOWER</t>
  </si>
  <si>
    <t>K6030620</t>
  </si>
  <si>
    <t>INLET CVT COOLING</t>
  </si>
  <si>
    <t>K6041220</t>
  </si>
  <si>
    <t>COVER INJECTOR</t>
  </si>
  <si>
    <t>K6222450</t>
  </si>
  <si>
    <t>LOGO SIDE PANEL COMP L &amp; R 3D JUPITER</t>
  </si>
  <si>
    <t>K6223950</t>
  </si>
  <si>
    <t>MUDGUARD REAR</t>
  </si>
  <si>
    <t>KA160420</t>
  </si>
  <si>
    <t>BOOT CONTROL RELAY</t>
  </si>
  <si>
    <t>KA180150</t>
  </si>
  <si>
    <t>BEADING COWL DEFLECTOR</t>
  </si>
  <si>
    <t>KA180160</t>
  </si>
  <si>
    <t>GROMMET PIPE INTAKE</t>
  </si>
  <si>
    <t>KE120560</t>
  </si>
  <si>
    <t>PILLION FOOT PEG LH</t>
  </si>
  <si>
    <t>KE120570</t>
  </si>
  <si>
    <t>PILLION FOOT PEG RH</t>
  </si>
  <si>
    <t>KL120550</t>
  </si>
  <si>
    <t>COVER SEAT LATCH</t>
  </si>
  <si>
    <t>KL130080</t>
  </si>
  <si>
    <t>SEAT ASSY</t>
  </si>
  <si>
    <t>KL140040</t>
  </si>
  <si>
    <t>HOSE ASSY</t>
  </si>
  <si>
    <t>KL140060</t>
  </si>
  <si>
    <t>CUSHION FUEL TANK</t>
  </si>
  <si>
    <t>KL140090</t>
  </si>
  <si>
    <t>HOSE INDUCTION</t>
  </si>
  <si>
    <t>KL140110</t>
  </si>
  <si>
    <t>HOSE FUEL TANK</t>
  </si>
  <si>
    <t>KL140180</t>
  </si>
  <si>
    <t>BEADING FUEL TANK</t>
  </si>
  <si>
    <t>KL140300</t>
  </si>
  <si>
    <t>HOSE VENT  1</t>
  </si>
  <si>
    <t>KL140320</t>
  </si>
  <si>
    <t>INLET FUEL TANK</t>
  </si>
  <si>
    <t>KL150130</t>
  </si>
  <si>
    <t>DAMPER</t>
  </si>
  <si>
    <t>KL170050</t>
  </si>
  <si>
    <t>CABLE CLAMP</t>
  </si>
  <si>
    <t>KL221740</t>
  </si>
  <si>
    <t>BEZEL</t>
  </si>
  <si>
    <t>KL221760</t>
  </si>
  <si>
    <t>BACKREST PILLION ASSY</t>
  </si>
  <si>
    <t>N2110680</t>
  </si>
  <si>
    <t>DUST SEAL FRONT BRAKE CABLE</t>
  </si>
  <si>
    <t>N3160340</t>
  </si>
  <si>
    <t>CLAMP WIRING HARNESS BIG SIZE</t>
  </si>
  <si>
    <t>N7201360</t>
  </si>
  <si>
    <t>HOSE CLAMP 270</t>
  </si>
  <si>
    <t>N8220400</t>
  </si>
  <si>
    <t>N9141000</t>
  </si>
  <si>
    <t>CUSHION COVER FUEL TANK</t>
  </si>
  <si>
    <t>N9221070</t>
  </si>
  <si>
    <t>GRIP LH -RTR</t>
  </si>
  <si>
    <t>R1122340</t>
  </si>
  <si>
    <t>CUSHION 9*20*2</t>
  </si>
  <si>
    <t>R3150120</t>
  </si>
  <si>
    <t>CASE THROTTLE LOWER</t>
  </si>
  <si>
    <t>R4180070</t>
  </si>
  <si>
    <t>GROMMET TENSIONER ADJ</t>
  </si>
  <si>
    <t>S1090500</t>
  </si>
  <si>
    <t>SILENT BLOC SHOCK ABSORBER</t>
  </si>
  <si>
    <t>SRINIVAS ELASTOMERS INDIA</t>
  </si>
  <si>
    <t>SRINIVAS ELASTOMERS INDIA  PVT LTD</t>
  </si>
  <si>
    <t>AURO PLASCOM</t>
  </si>
  <si>
    <t>SUBA PLASTICS PRIVATE LIMITED</t>
  </si>
  <si>
    <t>SUBA PLASTICS PVT LTD</t>
  </si>
  <si>
    <t>BONY POLYMERS PVT LTD</t>
  </si>
  <si>
    <t>JAYASHREE POLYMERS PVT LTD</t>
  </si>
  <si>
    <t>MEGARUBBER TECHNOLOGIES PVT LTD</t>
  </si>
  <si>
    <t>MEGA RUBBER TECHNOLOGIES</t>
  </si>
  <si>
    <t>PLASMOTEC AUTOMOTIVE PRIVATE LIMITE</t>
  </si>
  <si>
    <t>ARUL POLYMERS PVT LTD</t>
  </si>
  <si>
    <t>JAYASHREE POLYMERS PRIVATE LIMITED</t>
  </si>
  <si>
    <t>EXOTECH PLASTICS PRIVATE LIMITED</t>
  </si>
  <si>
    <t>UNO MINDA LIMITED</t>
  </si>
  <si>
    <t>AUTOFIT PRIVATE LIMITED</t>
  </si>
  <si>
    <t>POLYRUB EXTRUSIONS INDIA PVT LTD</t>
  </si>
  <si>
    <t>JAYASHREE TUBESTECH COMPONENT</t>
  </si>
  <si>
    <t>CHAMPION PLASTICS (INDIA)</t>
  </si>
  <si>
    <t>POLYRUB COOPER STANDARD FTS PVT LTD</t>
  </si>
  <si>
    <t>arthi</t>
  </si>
  <si>
    <t>PF-3</t>
  </si>
  <si>
    <t>DP29 M Q633 BK907016</t>
  </si>
  <si>
    <t>THERMOFIL HP F211X99 Black</t>
  </si>
  <si>
    <t>TROLLEY</t>
  </si>
  <si>
    <t>APPCOM G31 CC TS BK UV</t>
  </si>
  <si>
    <t>PP 12 BLK -30% GF</t>
  </si>
  <si>
    <t>APPCOM G 31 CC TS BK</t>
  </si>
  <si>
    <t>2% Extra given</t>
  </si>
  <si>
    <t>APPCOM HC 1020 BK UV</t>
  </si>
  <si>
    <t>PA-8 STANYL</t>
  </si>
  <si>
    <t>APPCOM GF 1510 BK UV</t>
  </si>
  <si>
    <t>Check PCA for throttle whether weight is considered</t>
  </si>
  <si>
    <t>IP20191781</t>
  </si>
  <si>
    <t>Avl in V Code</t>
  </si>
  <si>
    <t>Avl for plant</t>
  </si>
  <si>
    <t>20089 KPPL</t>
  </si>
  <si>
    <t>H2 FY 19 20</t>
  </si>
  <si>
    <t>IP20232577</t>
  </si>
  <si>
    <t>Extra</t>
  </si>
  <si>
    <t>APPCOM HG 5001BK NUV</t>
  </si>
  <si>
    <t>P1200140</t>
  </si>
  <si>
    <t>Punched Washer A5.5</t>
  </si>
  <si>
    <t>K3200830</t>
  </si>
  <si>
    <t>Retainer Clip M5</t>
  </si>
  <si>
    <t>Cost sheet not available</t>
  </si>
  <si>
    <t>APPCOM HC 5000 BK UV</t>
  </si>
  <si>
    <t>H2 FY 21 22</t>
  </si>
  <si>
    <t>IP20210291</t>
  </si>
  <si>
    <t>IP20211702</t>
  </si>
  <si>
    <t>IP20211806</t>
  </si>
  <si>
    <t>IP20161564</t>
  </si>
  <si>
    <t>IP20231183</t>
  </si>
  <si>
    <t>IP20201992</t>
  </si>
  <si>
    <t>Q1 FY 20-21</t>
  </si>
  <si>
    <t>Bin</t>
  </si>
  <si>
    <t>ICC Cost</t>
  </si>
  <si>
    <t>Laping Cost</t>
  </si>
  <si>
    <t>Annealing Cost</t>
  </si>
  <si>
    <t>Predrying charges</t>
  </si>
  <si>
    <t>Int on Credit, %</t>
  </si>
  <si>
    <t>Int on Credit Cost</t>
  </si>
  <si>
    <t>IP20192886</t>
  </si>
  <si>
    <t>3% Extra cost is given on the Final cost</t>
  </si>
  <si>
    <t>Repetition</t>
  </si>
  <si>
    <t>29 number to be used</t>
  </si>
  <si>
    <t xml:space="preserve">21205(HOS),21205(HP),21557(MYSR) - Not Available. 21712 ( Bony Polymers avl ) </t>
  </si>
  <si>
    <t>PP - 15</t>
  </si>
  <si>
    <t>Q2 FY 17 18</t>
  </si>
  <si>
    <t>21590(MYSR),21590(HP) - Not Available</t>
  </si>
  <si>
    <t>Mysr</t>
  </si>
  <si>
    <t>21205(HOS),21205(HP),21557(MYSR) - Not Available. 21712 ( Bony Polymers for HP only avl</t>
  </si>
  <si>
    <t>IP20172101</t>
  </si>
  <si>
    <t>40% over net weight is gross weight.21557(MYSR),21205(HOS) - Not Available. 21712 Bony Polymers aval</t>
  </si>
  <si>
    <t>Done</t>
  </si>
  <si>
    <t>PP-1</t>
  </si>
  <si>
    <t>SVI</t>
  </si>
  <si>
    <t>Only 50% of the regular profit given</t>
  </si>
  <si>
    <t>IP20211861</t>
  </si>
  <si>
    <t>IP20190592</t>
  </si>
  <si>
    <t>21425(MYSR) - Not Available</t>
  </si>
  <si>
    <t>IP20191577</t>
  </si>
  <si>
    <t>IP20211851</t>
  </si>
  <si>
    <t>IP20211852</t>
  </si>
  <si>
    <t>PA - 4</t>
  </si>
  <si>
    <t>Q2 FY 20 21</t>
  </si>
  <si>
    <t>IP20202257</t>
  </si>
  <si>
    <t>IP20230278</t>
  </si>
  <si>
    <t>IP20202226</t>
  </si>
  <si>
    <t>PA-4</t>
  </si>
  <si>
    <t>1.11 ps given extra in pkg cost by multiplying the stocknorms, ie., 5
2. 4 paise to be added since qty per containers is 200 nos and not 100 nos as taken in calculation</t>
  </si>
  <si>
    <t>IP20230279</t>
  </si>
  <si>
    <t>IP20232587</t>
  </si>
  <si>
    <t>29168  to do</t>
  </si>
  <si>
    <t>DOne</t>
  </si>
  <si>
    <t>21697(HOS) - Not Available</t>
  </si>
  <si>
    <t>IP20230299</t>
  </si>
  <si>
    <t>IP20180674</t>
  </si>
  <si>
    <t>21425(MYSR) Not available, but this price is match in me3m</t>
  </si>
  <si>
    <t>Not approved</t>
  </si>
  <si>
    <t>Cost sheet not available. 21712(HP) Extra added</t>
  </si>
  <si>
    <t>IP20232633</t>
  </si>
  <si>
    <t>21710(Hos) Not available</t>
  </si>
  <si>
    <t xml:space="preserve">21614 ( Hos and HP ) in the same sheet </t>
  </si>
  <si>
    <t>Degating Cost</t>
  </si>
  <si>
    <t>PA6GF 15 black - SRF</t>
  </si>
  <si>
    <t>APPCOM GF 1510 BK</t>
  </si>
  <si>
    <t>N9123290_1</t>
  </si>
  <si>
    <t>NUT INSERT M6x10</t>
  </si>
  <si>
    <t xml:space="preserve">Ny 6 30% GF </t>
  </si>
  <si>
    <t>THERMOFIL HP F211X99</t>
  </si>
  <si>
    <t>ABS-DP29</t>
  </si>
  <si>
    <t>Q4FY 21-22</t>
  </si>
  <si>
    <t>`</t>
  </si>
  <si>
    <t>ABS</t>
  </si>
  <si>
    <t xml:space="preserve">Q1 FY 20 21 </t>
  </si>
  <si>
    <t>1% Extra given</t>
  </si>
  <si>
    <t>APPCOM 5001BK</t>
  </si>
  <si>
    <t xml:space="preserve">APPCOM GF 1510 BK </t>
  </si>
  <si>
    <t>R1130100</t>
  </si>
  <si>
    <t>HINGE COMP., SEAT</t>
  </si>
  <si>
    <t>R1130110</t>
  </si>
  <si>
    <t>HEX SCREW M6 , SPL</t>
  </si>
  <si>
    <t>KL221330</t>
  </si>
  <si>
    <t>Cover dignostic</t>
  </si>
  <si>
    <t>APPC0M HC 5000 BK UV</t>
  </si>
  <si>
    <t>N9123290-1</t>
  </si>
  <si>
    <t>Nut Insert M6 X 10</t>
  </si>
  <si>
    <t>IP20222152</t>
  </si>
  <si>
    <t>IP20210312</t>
  </si>
  <si>
    <t>IP20231184</t>
  </si>
  <si>
    <t>IP20211807</t>
  </si>
  <si>
    <t>IP20211758</t>
  </si>
  <si>
    <t>IP20231169</t>
  </si>
  <si>
    <t>IP20222124</t>
  </si>
  <si>
    <t>IP20211835</t>
  </si>
  <si>
    <t>IP20202041</t>
  </si>
  <si>
    <t>IP20231093</t>
  </si>
  <si>
    <t>IP20211733</t>
  </si>
  <si>
    <t>IP20222123</t>
  </si>
  <si>
    <t>IP20211727</t>
  </si>
  <si>
    <t>IP20221688</t>
  </si>
  <si>
    <t>IP20211725</t>
  </si>
  <si>
    <t>IP20210375</t>
  </si>
  <si>
    <t>21205(HP),21205(HOS),21557(MYS),
21712(HP) only avl</t>
  </si>
  <si>
    <t>21205(HOS),21557(MYSR)21205(HP) - Not Available</t>
  </si>
  <si>
    <t>Rework Cost</t>
  </si>
  <si>
    <t>PVC BLACK</t>
  </si>
  <si>
    <t>PP 10% GF HP</t>
  </si>
  <si>
    <t xml:space="preserve">Nylon unfilled (SXXIC Black ) </t>
  </si>
  <si>
    <t>KA220710</t>
  </si>
  <si>
    <t>Bag Hook Assy RR</t>
  </si>
  <si>
    <t>KA220710_3</t>
  </si>
  <si>
    <t>BAG HOOK PIN</t>
  </si>
  <si>
    <t>KA220710_4</t>
  </si>
  <si>
    <t>Return Spring</t>
  </si>
  <si>
    <t xml:space="preserve">E TYPE CIRCLIP DIA 5 X 0.7 </t>
  </si>
  <si>
    <t>Gaint</t>
  </si>
  <si>
    <t>IP20230517</t>
  </si>
  <si>
    <t>IP20230518</t>
  </si>
  <si>
    <t>Q4 FY 20 21</t>
  </si>
  <si>
    <t>IP20211756</t>
  </si>
  <si>
    <t>IP20230513</t>
  </si>
  <si>
    <t>IP20230514</t>
  </si>
  <si>
    <t>Q1 FY 23-24</t>
  </si>
  <si>
    <t>IP20230515</t>
  </si>
  <si>
    <t xml:space="preserve">DP29 M Q633 BK907016 </t>
  </si>
  <si>
    <t>IP20230246</t>
  </si>
  <si>
    <t xml:space="preserve">LUPOS SG5009 </t>
  </si>
  <si>
    <t>IP20230218</t>
  </si>
  <si>
    <t xml:space="preserve">APPCOM HC 5000 BK UV </t>
  </si>
  <si>
    <t>IP20231712</t>
  </si>
  <si>
    <t>IP20232590</t>
  </si>
  <si>
    <t>Not avl</t>
  </si>
  <si>
    <t>IP20210287</t>
  </si>
  <si>
    <t>Not req</t>
  </si>
  <si>
    <t>IP20231122</t>
  </si>
  <si>
    <t>IP20211841</t>
  </si>
  <si>
    <t>21205(HOS) - Not available. 21712 - Bony Polymer avl</t>
  </si>
  <si>
    <t>ABS Black DP 29</t>
  </si>
  <si>
    <t>TROLLY</t>
  </si>
  <si>
    <t>IP20211770</t>
  </si>
  <si>
    <t>2% extra cost given</t>
  </si>
  <si>
    <t>KL220579_1</t>
  </si>
  <si>
    <t>M5 X 0.8 Screw</t>
  </si>
  <si>
    <t>IP20211801</t>
  </si>
  <si>
    <t>Lexan PC 123 R -- 5102700</t>
  </si>
  <si>
    <t>IP20211802</t>
  </si>
  <si>
    <t>IP20211804</t>
  </si>
  <si>
    <t>ABS-2 BLACK</t>
  </si>
  <si>
    <t>IP20231197</t>
  </si>
  <si>
    <t>IP20211805</t>
  </si>
  <si>
    <t>IP20211844</t>
  </si>
  <si>
    <t>ABS Q4</t>
  </si>
  <si>
    <t>IP20211845</t>
  </si>
  <si>
    <t>No of trolley reduced</t>
  </si>
  <si>
    <t>PP-1 UV Q4</t>
  </si>
  <si>
    <t>KL221520</t>
  </si>
  <si>
    <t xml:space="preserve">CAP GLOVE BOX  </t>
  </si>
  <si>
    <t>IP20231094</t>
  </si>
  <si>
    <t>IP20211834</t>
  </si>
  <si>
    <t>PP GF10 %</t>
  </si>
  <si>
    <t>Q1 FY 20 21</t>
  </si>
  <si>
    <t>HEX SCREW M6, SPL</t>
  </si>
  <si>
    <t>COVER DIAGNOSTIC</t>
  </si>
  <si>
    <t>IP20231213</t>
  </si>
  <si>
    <t>IP20211803</t>
  </si>
  <si>
    <t xml:space="preserve">APPCOM 5000BK </t>
  </si>
  <si>
    <t xml:space="preserve">Return Spring </t>
  </si>
  <si>
    <t>E TYPE CICLIP DIA</t>
  </si>
  <si>
    <t xml:space="preserve"> KA220710_1</t>
  </si>
  <si>
    <t xml:space="preserve">BAG HOOK TOP </t>
  </si>
  <si>
    <t>KA220710-2</t>
  </si>
  <si>
    <t>BAG HOOK BOTTOM</t>
  </si>
  <si>
    <t>KA220710-5</t>
  </si>
  <si>
    <t>BAG HOOK GUIDE</t>
  </si>
  <si>
    <t>IP20211729</t>
  </si>
  <si>
    <t>Scrap cost is added. 27 ps extra</t>
  </si>
  <si>
    <t>IP20192977</t>
  </si>
  <si>
    <t>KP54</t>
  </si>
  <si>
    <t>21697(HOS),21590(MYSR)-Not available</t>
  </si>
  <si>
    <t xml:space="preserve">21697(HOS)- Not available.Transport cost is not considered since Exworks. </t>
  </si>
  <si>
    <t>Karnataka Plascomm</t>
  </si>
  <si>
    <t>IP20191858</t>
  </si>
  <si>
    <t>IP20210381</t>
  </si>
  <si>
    <t>IP20222156</t>
  </si>
  <si>
    <t>IP20221912</t>
  </si>
  <si>
    <t>IP20230333</t>
  </si>
  <si>
    <t>IP20210217</t>
  </si>
  <si>
    <t>IP20210243</t>
  </si>
  <si>
    <t>Cost sheet not available. 21712 avl</t>
  </si>
  <si>
    <t>Deflashing cost</t>
  </si>
  <si>
    <t>K2070170</t>
  </si>
  <si>
    <t>K2120580</t>
  </si>
  <si>
    <t>BATTERY BOX TOP</t>
  </si>
  <si>
    <t>K2120750</t>
  </si>
  <si>
    <t>BATTERY HOLDER BOT</t>
  </si>
  <si>
    <t>K2121420</t>
  </si>
  <si>
    <t>CLAMP ECU MTG FR</t>
  </si>
  <si>
    <t>K2140270</t>
  </si>
  <si>
    <t>K2140400</t>
  </si>
  <si>
    <t>GUIDE HOSE 1</t>
  </si>
  <si>
    <t>K2150290</t>
  </si>
  <si>
    <t>DAMPER HANDLE BAR DISC</t>
  </si>
  <si>
    <t>K2180180</t>
  </si>
  <si>
    <t>MUDFLAP</t>
  </si>
  <si>
    <t>K2220310</t>
  </si>
  <si>
    <t>COVER HANDLE FR BOT</t>
  </si>
  <si>
    <t>K2220730</t>
  </si>
  <si>
    <t>DEFLECTOR FUEL TANK</t>
  </si>
  <si>
    <t>K2220800</t>
  </si>
  <si>
    <t>CAP COVER HANDLE REAR L</t>
  </si>
  <si>
    <t>K2220810</t>
  </si>
  <si>
    <t>CAP COVER HANDLE REAR R</t>
  </si>
  <si>
    <t>K2220950</t>
  </si>
  <si>
    <t>SIDE TRIM FLOOR LH</t>
  </si>
  <si>
    <t>K2220960</t>
  </si>
  <si>
    <t>SIDE TRIM FLOOR RH</t>
  </si>
  <si>
    <t>K2221010</t>
  </si>
  <si>
    <t>FENDER REAR ASSY</t>
  </si>
  <si>
    <t>K4140260</t>
  </si>
  <si>
    <t>HOSE GUIDE</t>
  </si>
  <si>
    <t>K6081500</t>
  </si>
  <si>
    <t>GAUGE  OIL LEVEL</t>
  </si>
  <si>
    <t>K6123050</t>
  </si>
  <si>
    <t>COVER CONTROL CABLE</t>
  </si>
  <si>
    <t>K6123930</t>
  </si>
  <si>
    <t>K6123940</t>
  </si>
  <si>
    <t>K6140710</t>
  </si>
  <si>
    <t>K6220130</t>
  </si>
  <si>
    <t>MUDGUARD REAR - WEGO</t>
  </si>
  <si>
    <t>K6223350</t>
  </si>
  <si>
    <t>COVER</t>
  </si>
  <si>
    <t>K6227050</t>
  </si>
  <si>
    <t>DASHBOARD</t>
  </si>
  <si>
    <t>K6227060</t>
  </si>
  <si>
    <t>LID DASHBOARD</t>
  </si>
  <si>
    <t>KE110540</t>
  </si>
  <si>
    <t>BRKT HECU HOLDER EV</t>
  </si>
  <si>
    <t>KE121100</t>
  </si>
  <si>
    <t>BRACKET CHARGER MTG RH</t>
  </si>
  <si>
    <t>KE121290</t>
  </si>
  <si>
    <t>BRACKET HARGER MTG LH</t>
  </si>
  <si>
    <t>KE121880</t>
  </si>
  <si>
    <t>BATTERY HOLDER TOP</t>
  </si>
  <si>
    <t>KE121900</t>
  </si>
  <si>
    <t>CLAMP BATTERY REAR</t>
  </si>
  <si>
    <t>KE150540</t>
  </si>
  <si>
    <t>KE220010</t>
  </si>
  <si>
    <t>FENDER REAR</t>
  </si>
  <si>
    <t>KE220139</t>
  </si>
  <si>
    <t>PANEL FRONT</t>
  </si>
  <si>
    <t>KE220149</t>
  </si>
  <si>
    <t>KE220360</t>
  </si>
  <si>
    <t>FENDER FRONT REAR</t>
  </si>
  <si>
    <t>KE220620</t>
  </si>
  <si>
    <t>STAY HEADLAMP</t>
  </si>
  <si>
    <t>KE220770</t>
  </si>
  <si>
    <t>KE221380</t>
  </si>
  <si>
    <t>KE221449</t>
  </si>
  <si>
    <t>BRKT LID PANEL LH</t>
  </si>
  <si>
    <t>KE221459</t>
  </si>
  <si>
    <t>BRKT LID PANEL RH</t>
  </si>
  <si>
    <t>KE221590</t>
  </si>
  <si>
    <t>WHEEL HUGGER 2</t>
  </si>
  <si>
    <t>KE221819</t>
  </si>
  <si>
    <t>COVER HANDLE FR TOP</t>
  </si>
  <si>
    <t>KE221829</t>
  </si>
  <si>
    <t>KE222080</t>
  </si>
  <si>
    <t>COVER FRONT</t>
  </si>
  <si>
    <t>KE222210</t>
  </si>
  <si>
    <t>BRKT FLOOR BOARD MTG L</t>
  </si>
  <si>
    <t>KE222220</t>
  </si>
  <si>
    <t>BRKT FLOOR BOARD MTG R</t>
  </si>
  <si>
    <t>KE222240</t>
  </si>
  <si>
    <t>BRKT LEG SHIELD MTG L</t>
  </si>
  <si>
    <t>KE222250</t>
  </si>
  <si>
    <t>BRKT LEG SHIELD MTG R</t>
  </si>
  <si>
    <t>KE222899</t>
  </si>
  <si>
    <t>COVER COMP REAR L</t>
  </si>
  <si>
    <t>KE222909</t>
  </si>
  <si>
    <t>LOGO COVER</t>
  </si>
  <si>
    <t>KE222919</t>
  </si>
  <si>
    <t>LOGO COMP R</t>
  </si>
  <si>
    <t>KE223100</t>
  </si>
  <si>
    <t>BRKT REINF PANEL REAR</t>
  </si>
  <si>
    <t>KE223120</t>
  </si>
  <si>
    <t>GROMMET PANEL COMP</t>
  </si>
  <si>
    <t>KE223230</t>
  </si>
  <si>
    <t>BRKT PANEL FRONT</t>
  </si>
  <si>
    <t>KE223269</t>
  </si>
  <si>
    <t>WHEEL HUGGER CAP</t>
  </si>
  <si>
    <t>KE223310</t>
  </si>
  <si>
    <t>HOLDER</t>
  </si>
  <si>
    <t>KE223460</t>
  </si>
  <si>
    <t>CAP UTILITY BOX</t>
  </si>
  <si>
    <t>KE223700</t>
  </si>
  <si>
    <t>CUSHION FLOOR BOARD1</t>
  </si>
  <si>
    <t>KE240020</t>
  </si>
  <si>
    <t>CELL HOLDER BOTTOM</t>
  </si>
  <si>
    <t>KE240030</t>
  </si>
  <si>
    <t>CELL HOLDER TOP</t>
  </si>
  <si>
    <t>KL220010</t>
  </si>
  <si>
    <t>COVER HANDLE REAR</t>
  </si>
  <si>
    <t>KL220029</t>
  </si>
  <si>
    <t>COVER HANDLE FRONT  Unpainted</t>
  </si>
  <si>
    <t>KL220030</t>
  </si>
  <si>
    <t>KL220109</t>
  </si>
  <si>
    <t>FENDER FRONT CENTER Unpainted</t>
  </si>
  <si>
    <t>KL220119</t>
  </si>
  <si>
    <t>FENDER FRONT L Unpainted</t>
  </si>
  <si>
    <t>KL220129</t>
  </si>
  <si>
    <t>FENDER FRONT R Unpainted</t>
  </si>
  <si>
    <t>KL220170</t>
  </si>
  <si>
    <t>KL220310</t>
  </si>
  <si>
    <t>COVER TAIL LAMP</t>
  </si>
  <si>
    <t>KL220460</t>
  </si>
  <si>
    <t>KL220470</t>
  </si>
  <si>
    <t>M7101170</t>
  </si>
  <si>
    <t>DUST SEAL STEERING UPPER</t>
  </si>
  <si>
    <t>N2120930</t>
  </si>
  <si>
    <t>N4110300</t>
  </si>
  <si>
    <t>SPACER COMP NP.090</t>
  </si>
  <si>
    <t>N6030380</t>
  </si>
  <si>
    <t>COVER CLUTCH COVER FRONT</t>
  </si>
  <si>
    <t>COVER CLUTCH COVER FRONT POLYPROPLN</t>
  </si>
  <si>
    <t>N6080670</t>
  </si>
  <si>
    <t>COVER ENGINE SPROCKET</t>
  </si>
  <si>
    <t>N6090750</t>
  </si>
  <si>
    <t>CHAIN CASE</t>
  </si>
  <si>
    <t>N6091100</t>
  </si>
  <si>
    <t>CHAINCASE UPPER 1</t>
  </si>
  <si>
    <t>N6091110</t>
  </si>
  <si>
    <t>CHAINCASE LOWER 1</t>
  </si>
  <si>
    <t>N6091120</t>
  </si>
  <si>
    <t>CHAINCASE UPPER</t>
  </si>
  <si>
    <t>N6091130</t>
  </si>
  <si>
    <t>CHAINCASE LOWER</t>
  </si>
  <si>
    <t>N6122160</t>
  </si>
  <si>
    <t>BATTERY HOLDER</t>
  </si>
  <si>
    <t>N6122350</t>
  </si>
  <si>
    <t>N6161340</t>
  </si>
  <si>
    <t>ELECTRICAL PARTS HOLDER</t>
  </si>
  <si>
    <t>N6224229</t>
  </si>
  <si>
    <t>COVER FRAME LH</t>
  </si>
  <si>
    <t>N6224239</t>
  </si>
  <si>
    <t>COVER FRAME RH</t>
  </si>
  <si>
    <t>N6224240</t>
  </si>
  <si>
    <t>GRILL COVER FRAME LH</t>
  </si>
  <si>
    <t>N6224250</t>
  </si>
  <si>
    <t>GRILL COVER FRAME RH</t>
  </si>
  <si>
    <t>N6224270</t>
  </si>
  <si>
    <t>COVER FRAME LOWER BOTTOM R</t>
  </si>
  <si>
    <t>N6224359</t>
  </si>
  <si>
    <t>FENDER FRONT</t>
  </si>
  <si>
    <t>N6224360</t>
  </si>
  <si>
    <t>N6224419</t>
  </si>
  <si>
    <t>N6224429</t>
  </si>
  <si>
    <t>HOUSING HEADLAMP FRONT L</t>
  </si>
  <si>
    <t>N6224439</t>
  </si>
  <si>
    <t>HOUSING HEADLAMP FRONT R</t>
  </si>
  <si>
    <t>N6224440</t>
  </si>
  <si>
    <t>HOUSING HEADLAMP BOTTOM</t>
  </si>
  <si>
    <t>N6224459</t>
  </si>
  <si>
    <t>N6224460</t>
  </si>
  <si>
    <t>BRKT HSG HEADLAMP</t>
  </si>
  <si>
    <t>N6224529</t>
  </si>
  <si>
    <t>ENGINE GUARD TOP</t>
  </si>
  <si>
    <t>N6224539</t>
  </si>
  <si>
    <t>ENGINE GUARD BOTTOM</t>
  </si>
  <si>
    <t>N6224990</t>
  </si>
  <si>
    <t>HOUSING HEADLAMP TOP</t>
  </si>
  <si>
    <t>N6225000</t>
  </si>
  <si>
    <t>BRKT LICENCE PLATE FRONT</t>
  </si>
  <si>
    <t>N6225140</t>
  </si>
  <si>
    <t>BRKT COVER FRAME MTG R</t>
  </si>
  <si>
    <t>N6225269</t>
  </si>
  <si>
    <t>N6226720</t>
  </si>
  <si>
    <t>HOUSING HEADLAMP REAR COMP</t>
  </si>
  <si>
    <t>N6226730</t>
  </si>
  <si>
    <t>HOUSING HEADLAMP TOP 1</t>
  </si>
  <si>
    <t>N6226980</t>
  </si>
  <si>
    <t>COVER FRAME ASSY LH</t>
  </si>
  <si>
    <t>N6226990</t>
  </si>
  <si>
    <t>COVER FRAME ASSY RH</t>
  </si>
  <si>
    <t>NA060210</t>
  </si>
  <si>
    <t>ECU UNIT HOLDER</t>
  </si>
  <si>
    <t>ND080030</t>
  </si>
  <si>
    <t>ND120860</t>
  </si>
  <si>
    <t>CLAMP BATTERY BSVI</t>
  </si>
  <si>
    <t>ND120960</t>
  </si>
  <si>
    <t>BRACKET MOUNTING DEFLECTOR</t>
  </si>
  <si>
    <t>ND120970</t>
  </si>
  <si>
    <t>ND120980</t>
  </si>
  <si>
    <t>BRKT ENGINE COVER</t>
  </si>
  <si>
    <t>ND121010</t>
  </si>
  <si>
    <t>ND220099</t>
  </si>
  <si>
    <t>ND220120</t>
  </si>
  <si>
    <t>COVER FRAME LOWER L</t>
  </si>
  <si>
    <t>ND220130</t>
  </si>
  <si>
    <t>COVER FRAME LOWER R</t>
  </si>
  <si>
    <t>ND220149</t>
  </si>
  <si>
    <t>TAIL COVER L</t>
  </si>
  <si>
    <t>ND220159</t>
  </si>
  <si>
    <t>TAIL COVER R</t>
  </si>
  <si>
    <t>ND220169</t>
  </si>
  <si>
    <t>ND220570</t>
  </si>
  <si>
    <t>BODY FRONT FENDER RR</t>
  </si>
  <si>
    <t>ND220589</t>
  </si>
  <si>
    <t>ND220760</t>
  </si>
  <si>
    <t>LOGO COV FRAME L</t>
  </si>
  <si>
    <t>ND220919</t>
  </si>
  <si>
    <t>COVER FRAME UPPER L</t>
  </si>
  <si>
    <t>ND220929</t>
  </si>
  <si>
    <t>COVER FRAME UPPER R</t>
  </si>
  <si>
    <t>ND222700</t>
  </si>
  <si>
    <t>COVER FRAME ASSY L</t>
  </si>
  <si>
    <t>ND222710</t>
  </si>
  <si>
    <t>COVER FRAME ASSY R</t>
  </si>
  <si>
    <t>ND222850</t>
  </si>
  <si>
    <t>3D LOGO FUEL TANK LH</t>
  </si>
  <si>
    <t>3D LOGO FUEL TANK RH</t>
  </si>
  <si>
    <t>NF220140</t>
  </si>
  <si>
    <t>BRKT COVER FRAME MTG L</t>
  </si>
  <si>
    <t>P6150320</t>
  </si>
  <si>
    <t>GRIP COMP THROTTLE  ASSY</t>
  </si>
  <si>
    <t>P6170090</t>
  </si>
  <si>
    <t>P6220200</t>
  </si>
  <si>
    <t>COVER FUEL TANK</t>
  </si>
  <si>
    <t>P6221940</t>
  </si>
  <si>
    <t>Cover Fuel Tank Beige</t>
  </si>
  <si>
    <t>P6222250</t>
  </si>
  <si>
    <t>Cover Utility Box Beige</t>
  </si>
  <si>
    <t>P6222260</t>
  </si>
  <si>
    <t>Lid Tool Box Beige</t>
  </si>
  <si>
    <t>P6222290</t>
  </si>
  <si>
    <t>P6222400</t>
  </si>
  <si>
    <t>FLOOR BOARD BSVI</t>
  </si>
  <si>
    <t>P7120290</t>
  </si>
  <si>
    <t>CABLE GUIDE LH</t>
  </si>
  <si>
    <t>P7160550</t>
  </si>
  <si>
    <t>ECU HOLDER</t>
  </si>
  <si>
    <t>P7180070</t>
  </si>
  <si>
    <t>P7220060</t>
  </si>
  <si>
    <t>LID TOOL BOX</t>
  </si>
  <si>
    <t>P7220080</t>
  </si>
  <si>
    <t>COVER UTILITY BOX</t>
  </si>
  <si>
    <t>P7220160</t>
  </si>
  <si>
    <t>ADAPTOR</t>
  </si>
  <si>
    <t>P7220170</t>
  </si>
  <si>
    <t>P7221640</t>
  </si>
  <si>
    <t>COVER TOOL BOX CTR RR</t>
  </si>
  <si>
    <t>P7221650</t>
  </si>
  <si>
    <t>P7221940</t>
  </si>
  <si>
    <t>COVER UTILITY BOX BEIGE</t>
  </si>
  <si>
    <t>P7221980</t>
  </si>
  <si>
    <t>COVER SILVER OAK</t>
  </si>
  <si>
    <t>XPPH 5005 UV BK</t>
  </si>
  <si>
    <t>IP20210321</t>
  </si>
  <si>
    <t>Scrap cost not given</t>
  </si>
  <si>
    <t>Tufnyl SGF30</t>
  </si>
  <si>
    <t>IP20210293</t>
  </si>
  <si>
    <t xml:space="preserve">GPPB 2610 </t>
  </si>
  <si>
    <t>IP20210320</t>
  </si>
  <si>
    <t>IP20222058</t>
  </si>
  <si>
    <t xml:space="preserve">APPCOM HC 5001 BK </t>
  </si>
  <si>
    <t>IP20210322</t>
  </si>
  <si>
    <t>IP20200383</t>
  </si>
  <si>
    <t>Appcom 5001 BK</t>
  </si>
  <si>
    <t>APPCOM HC 1020 SILVER 002 UV</t>
  </si>
  <si>
    <t>IP20210543</t>
  </si>
  <si>
    <t>IP20210240</t>
  </si>
  <si>
    <t xml:space="preserve">PVC Regrinding is considered here. </t>
  </si>
  <si>
    <t xml:space="preserve">PS 70 Black </t>
  </si>
  <si>
    <t>IP20210256</t>
  </si>
  <si>
    <t>Check the PE price. It is Rs. 93.5 or Rs. 95.3</t>
  </si>
  <si>
    <t>PE 01</t>
  </si>
  <si>
    <t>IP20210257</t>
  </si>
  <si>
    <t>APPCOM HC 5001 BK</t>
  </si>
  <si>
    <t>IP20210258</t>
  </si>
  <si>
    <t>IP20210259</t>
  </si>
  <si>
    <t>IP20210283</t>
  </si>
  <si>
    <t>IP20210284</t>
  </si>
  <si>
    <t>IP20210323</t>
  </si>
  <si>
    <t>IP20200749</t>
  </si>
  <si>
    <t>21591(HP) - Not Available.21480(HP) - Available. Scrap cost is given as Rs. 1</t>
  </si>
  <si>
    <t>GPP2610</t>
  </si>
  <si>
    <t>IP20211097</t>
  </si>
  <si>
    <t>GPPB 2610</t>
  </si>
  <si>
    <t>IP20192698</t>
  </si>
  <si>
    <t>IP20192796</t>
  </si>
  <si>
    <t>GPPB 2610-(PP 10%GF)BLACK</t>
  </si>
  <si>
    <t>(MI3530)</t>
  </si>
  <si>
    <t>IP20191377</t>
  </si>
  <si>
    <t>IP20192974</t>
  </si>
  <si>
    <r>
      <t xml:space="preserve">APPCOM HC1020 BK </t>
    </r>
    <r>
      <rPr>
        <sz val="10"/>
        <rFont val="Times New Roman"/>
        <family val="1"/>
      </rPr>
      <t xml:space="preserve">Non UV </t>
    </r>
  </si>
  <si>
    <t>IP20201831</t>
  </si>
  <si>
    <t>IP20211703</t>
  </si>
  <si>
    <t>APPCOM HC 5000 BK UV 
( PP+UV)</t>
  </si>
  <si>
    <t>IP20211704</t>
  </si>
  <si>
    <t>IP20232084</t>
  </si>
  <si>
    <t>Q3 FY 23 24</t>
  </si>
  <si>
    <t>IP20232111</t>
  </si>
  <si>
    <t xml:space="preserve">SXXIC BLACK </t>
  </si>
  <si>
    <t>IP20232114</t>
  </si>
  <si>
    <t xml:space="preserve">APPCOM GF 1510 </t>
  </si>
  <si>
    <t>IP20232113</t>
  </si>
  <si>
    <t>Q4 FY 23 24</t>
  </si>
  <si>
    <t>IP20230338</t>
  </si>
  <si>
    <t>IP20232083</t>
  </si>
  <si>
    <t xml:space="preserve">Tufnyl SGF 15 Black  </t>
  </si>
  <si>
    <t>IP20210286</t>
  </si>
  <si>
    <t>Scrap cost is added as extra cost. Rs. 0.27</t>
  </si>
  <si>
    <t>Scrap cost is added as extra cost. Rs. 0.18</t>
  </si>
  <si>
    <t>21591(HP) - Not Available. Scrap cost is given as Rs. 1. Rs. 0.03 added extra</t>
  </si>
  <si>
    <t>Rework Cost (Cutting) 15ps given.Scrap cost Rs. 1 per kg considered against Rs. 20 per kg.  Rs. 0.02 added extra</t>
  </si>
  <si>
    <t>Scrap cost added instead of subtracting. Rs. 0.18 added</t>
  </si>
  <si>
    <t>Extra cost is because of scrap addition. Rs. 0.22</t>
  </si>
  <si>
    <t>Extra cost is because of scrap addition. Rs. 0.94</t>
  </si>
  <si>
    <t>Extra cost is because of scrap addition. Rs. 0.43</t>
  </si>
  <si>
    <t>Ammortisation 220 days considered against 300 days for a year. Rs. 0.04 ps given extra</t>
  </si>
  <si>
    <t>Ammortisation 220 days considered against 300 days for a year, Handling charges given for 2 times the BO cost against 1 time of BO cost. Rs. 0.22 given extra</t>
  </si>
  <si>
    <t>Ammortisation 220 days considered against 300 days for a year.. Rs. 0.03 given extra</t>
  </si>
  <si>
    <t>Ammortisation 220 days considered against 300 days for a year.. Rs. 0.08 given extra</t>
  </si>
  <si>
    <t>Ammortisation 220 days considered against 300 days for a year. Rs. 0.08 given extra</t>
  </si>
  <si>
    <t>IP20211732</t>
  </si>
  <si>
    <t>Scrap cost is added as extra cost. Rs. 0.15 extra given</t>
  </si>
  <si>
    <t>IP20211730</t>
  </si>
  <si>
    <t>Total SPM Cost</t>
  </si>
  <si>
    <t>SPM Cost</t>
  </si>
  <si>
    <t>IP20230693</t>
  </si>
  <si>
    <t xml:space="preserve">Absolac DP29 M Q633 BK907016 </t>
  </si>
  <si>
    <t>IP20222092</t>
  </si>
  <si>
    <t>IP20222111</t>
  </si>
  <si>
    <t>Extra Packing cost Rs. 0.67. No break up seen</t>
  </si>
  <si>
    <t>IP20230735</t>
  </si>
  <si>
    <t>IP20230969</t>
  </si>
  <si>
    <t>PP-9</t>
  </si>
  <si>
    <t>APPCOM 5000 BK</t>
  </si>
  <si>
    <t>Gross wt matched to Part weight as in Cost sheet.  Input weight is 410g and Part Weight is 405g</t>
  </si>
  <si>
    <t>IP20230704</t>
  </si>
  <si>
    <t>IP20232070</t>
  </si>
  <si>
    <t>APPCOM HC 5001</t>
  </si>
  <si>
    <t>IP20232103</t>
  </si>
  <si>
    <t>IP20232056</t>
  </si>
  <si>
    <t>IP20232119</t>
  </si>
  <si>
    <t>Ammortisation days per years 220 considered instead of 300, hence extra cost added. Rs. 0.26 added</t>
  </si>
  <si>
    <t>Ammortisation days per years 220 considered instead of 300, hence extra cost added. Rs. 0.04 added</t>
  </si>
  <si>
    <t>Ammortisation days per years 220 considered instead of 300, hence extra cost added. Rs. 0.01 added</t>
  </si>
  <si>
    <t>IP20211569</t>
  </si>
  <si>
    <t>scrap cost added. Rs. 0.55 extra</t>
  </si>
  <si>
    <t>IP20211582</t>
  </si>
  <si>
    <t>Absolac® DP29 M Q633</t>
  </si>
  <si>
    <t>IP20230883</t>
  </si>
  <si>
    <t xml:space="preserve">Ammortisation days per years 220 considered instead of 300, hence extra cost Rs. 0.19 added. </t>
  </si>
  <si>
    <t xml:space="preserve">THERMOFIL HP F211X99 BK </t>
  </si>
  <si>
    <t>K4220139_1</t>
  </si>
  <si>
    <t>M5 INSERT</t>
  </si>
  <si>
    <t>N9220230_2</t>
  </si>
  <si>
    <t>M6 SQUARE NUT</t>
  </si>
  <si>
    <t>IP20232069</t>
  </si>
  <si>
    <t>Ammortisation days per years 220 considered instead of 300, hence extra cost added. Extra cost of Rs. 0.18 added</t>
  </si>
  <si>
    <t>IP20232082</t>
  </si>
  <si>
    <t>IP20232091</t>
  </si>
  <si>
    <t xml:space="preserve">Ammortisation days per years 220 considered instead of 300, hence extra cost added. Rs. 0.05 cost is added. </t>
  </si>
  <si>
    <t>IP20232060</t>
  </si>
  <si>
    <t>IP20232117</t>
  </si>
  <si>
    <t xml:space="preserve">Ammortisation days per years 220 considered instead of 300, hence extra cost added. Rs. 0.09 cost is added. </t>
  </si>
  <si>
    <t xml:space="preserve">DP29 M Q633 BK907016  </t>
  </si>
  <si>
    <t>IP20232118</t>
  </si>
  <si>
    <t xml:space="preserve">Ammortisation days per years 220 considered instead of 300, hence extra cost added. Rs 0.04 cost is added. </t>
  </si>
  <si>
    <t>LUPOS SG5009</t>
  </si>
  <si>
    <t>IP20232116</t>
  </si>
  <si>
    <t xml:space="preserve">Ammortisation days per years 220 considered instead of 300, hence extra cost added. Rs. 0.09 added. </t>
  </si>
  <si>
    <t xml:space="preserve">DP 29M BLACK </t>
  </si>
  <si>
    <t>IP20232048</t>
  </si>
  <si>
    <t xml:space="preserve">Ammortisation days per years 220 considered instead of 300, hence extra cost added. Rs. 0.08 cost added. </t>
  </si>
  <si>
    <t>IP20232112</t>
  </si>
  <si>
    <t>PVC 5A</t>
  </si>
  <si>
    <t>IP20232046</t>
  </si>
  <si>
    <t>IP20232050</t>
  </si>
  <si>
    <t>IP20230335</t>
  </si>
  <si>
    <t>IP20232115</t>
  </si>
  <si>
    <t>Ammortisation days per years 220 considered instead of 300, hence extra cost added. Rs. 0.08 added</t>
  </si>
  <si>
    <t>IP20222165</t>
  </si>
  <si>
    <t>scrap cost added. Rs. 0.67 extra</t>
  </si>
  <si>
    <t xml:space="preserve">Neoflex 8165-11 </t>
  </si>
  <si>
    <t>IP20230025</t>
  </si>
  <si>
    <t>SPM cost of Rs. 0.24 after 180K parts to be removed. Rs. 0.25 as handling cost to be given to supplier as handling % is considered on No. of inserts rather than Total insert cost.</t>
  </si>
  <si>
    <t>M4*9 ENIA Insert</t>
  </si>
  <si>
    <t>M6*9 Press Insert</t>
  </si>
  <si>
    <t>M4*9 Press Insert</t>
  </si>
  <si>
    <t>IP20230061</t>
  </si>
  <si>
    <t>Bayblend FR 3010 from Covestro</t>
  </si>
  <si>
    <t>IP20210289</t>
  </si>
  <si>
    <t>IP20210290</t>
  </si>
  <si>
    <t>IP20210311</t>
  </si>
  <si>
    <t>Dev Engr</t>
  </si>
  <si>
    <t>Comm Per</t>
  </si>
  <si>
    <t>K Baranikumar</t>
  </si>
  <si>
    <t>Vishnupriya</t>
  </si>
  <si>
    <t>Sachin Moogabasav</t>
  </si>
  <si>
    <t>Manikandan</t>
  </si>
  <si>
    <t>Manjunatha</t>
  </si>
  <si>
    <t>Sreelakshmi</t>
  </si>
  <si>
    <t>Gururaj Rampur</t>
  </si>
  <si>
    <t>Toushiff Asundi</t>
  </si>
  <si>
    <t>Hrithick</t>
  </si>
  <si>
    <t xml:space="preserve">Ramkumar </t>
  </si>
  <si>
    <t>Child Part No 1</t>
  </si>
  <si>
    <t>Child Part Name 1</t>
  </si>
  <si>
    <t>Child Part No off 1</t>
  </si>
  <si>
    <t>Child Part Cost 1</t>
  </si>
  <si>
    <t>Hot Foiling Cost</t>
  </si>
  <si>
    <t>21591 (HP) - Not Available</t>
  </si>
  <si>
    <t>ABS -2</t>
  </si>
  <si>
    <t xml:space="preserve"> NATIONAL PLASTIC TECHNOLOGIES LIMIT</t>
  </si>
  <si>
    <t>IP20190103</t>
  </si>
  <si>
    <t>IP20190104</t>
  </si>
  <si>
    <t>IP20190112</t>
  </si>
  <si>
    <t>IP20190077</t>
  </si>
  <si>
    <t>PP -1</t>
  </si>
  <si>
    <t>IP20190078</t>
  </si>
  <si>
    <t>IP20200074</t>
  </si>
  <si>
    <t xml:space="preserve"> Q1 FY 20 21 </t>
  </si>
  <si>
    <t>IP20190079</t>
  </si>
  <si>
    <t>IP20190080</t>
  </si>
  <si>
    <t>IP20191038</t>
  </si>
  <si>
    <t>IP20191071</t>
  </si>
  <si>
    <t>IP20191039</t>
  </si>
  <si>
    <t>IP20191072</t>
  </si>
  <si>
    <t>IP20201728</t>
  </si>
  <si>
    <t xml:space="preserve">ABS -2, Absolac® DP29 M Q633 </t>
  </si>
  <si>
    <t>IP20200700</t>
  </si>
  <si>
    <t>IP20210980</t>
  </si>
  <si>
    <t>APPCOM HC 5000BK UV</t>
  </si>
  <si>
    <t>IP20192979</t>
  </si>
  <si>
    <t>P6150350</t>
  </si>
  <si>
    <t xml:space="preserve">TUBE THROTTLE </t>
  </si>
  <si>
    <t xml:space="preserve">PP-1 </t>
  </si>
  <si>
    <t>IP20182064</t>
  </si>
  <si>
    <t>PPCP+UV</t>
  </si>
  <si>
    <t>IP20200596</t>
  </si>
  <si>
    <t>IP20192975</t>
  </si>
  <si>
    <t>IP20200576</t>
  </si>
  <si>
    <t>IP20200601</t>
  </si>
  <si>
    <t>IP20192851</t>
  </si>
  <si>
    <t>PP-1 +UV</t>
  </si>
  <si>
    <t>IP20192918</t>
  </si>
  <si>
    <t>APPCOM MF 3200 UV Beige from APPL</t>
  </si>
  <si>
    <t>IP20191734</t>
  </si>
  <si>
    <t xml:space="preserve"> (Nylon 6 Unfilled)</t>
  </si>
  <si>
    <t xml:space="preserve">Q2 RM 19 20 </t>
  </si>
  <si>
    <t>IP20222182</t>
  </si>
  <si>
    <t xml:space="preserve">Appcom 5001 HC BK </t>
  </si>
  <si>
    <t>IP20190738</t>
  </si>
  <si>
    <t>21591 (HP) -Not Available</t>
  </si>
  <si>
    <t>PP - 12(GPPN 1630)</t>
  </si>
  <si>
    <t xml:space="preserve">Q1 FY  19 20 </t>
  </si>
  <si>
    <t>IP20181714</t>
  </si>
  <si>
    <t>IP20181733</t>
  </si>
  <si>
    <t>PP-1  (UV)</t>
  </si>
  <si>
    <t>IP20181735</t>
  </si>
  <si>
    <t>IP20181736</t>
  </si>
  <si>
    <t>IP20222193</t>
  </si>
  <si>
    <t>APPCOM 5001 BK</t>
  </si>
  <si>
    <t xml:space="preserve">Q4 FY 22 23  </t>
  </si>
  <si>
    <t>IP20222194</t>
  </si>
  <si>
    <t>APPCOM 5000 BK UV</t>
  </si>
  <si>
    <t>IP20222195</t>
  </si>
  <si>
    <t>APPCOM MF 3200 Beige UV</t>
  </si>
  <si>
    <t>IP20222176</t>
  </si>
  <si>
    <t>APPCOM MF 3200 Silver Oak UV</t>
  </si>
  <si>
    <t>21591 ( HP ) - Not available</t>
  </si>
  <si>
    <t>cost sheet not available. 21712(HOS) avl. 21160(HOS) Not avl</t>
  </si>
  <si>
    <t>cost sheet not available. 21712(HOS) avl. 20945(HOS) Not avl</t>
  </si>
  <si>
    <t>cost sheet not available. 21712(HP) avl. 20945 (HP) Not avl</t>
  </si>
  <si>
    <t>Legacy cost</t>
  </si>
  <si>
    <t>Cost Sheet Not available .2120(HOS) - Not avl</t>
  </si>
  <si>
    <t>Cost Sheet Not available. 21160(HOS) - Not avl</t>
  </si>
  <si>
    <t>Cost Sheet Not available. 21160(HP) - Not avl</t>
  </si>
  <si>
    <t>Cost Sheet Not available. 21425(Mysr) - Not avl</t>
  </si>
  <si>
    <t>Cost Sheet Not available. 21697(HP) - Not avl</t>
  </si>
  <si>
    <t>Cost Sheet Not available. 21590 (Mysr) - Not avl</t>
  </si>
  <si>
    <t>IP20211184</t>
  </si>
  <si>
    <t>IP20201807</t>
  </si>
  <si>
    <t>IP20201895</t>
  </si>
  <si>
    <t>DP29 M Q633 BK907017</t>
  </si>
  <si>
    <t>Bracket Head Lamp Front</t>
  </si>
  <si>
    <t>PP</t>
  </si>
  <si>
    <t>IP20201809</t>
  </si>
  <si>
    <t>IP2O201823</t>
  </si>
  <si>
    <t>IP20202532</t>
  </si>
  <si>
    <t>Scrap cost added instead of subtraction. Rs 0.45 added extra</t>
  </si>
  <si>
    <t>Lexan 143R-701BLACK</t>
  </si>
  <si>
    <t>IP20211180</t>
  </si>
  <si>
    <t>BRKT HSG HEADLAMP- Bottom Stay Head Lamp Top</t>
  </si>
  <si>
    <t>IP20201794</t>
  </si>
  <si>
    <t>Tufnyl SGF 15 Black</t>
  </si>
  <si>
    <t>Scrap cost added instead of subtracting. Rs 0.23 added extra.</t>
  </si>
  <si>
    <t>Scrap cost added instead of subtracting. IP20211180 is the final cost sheet. Rs. 0.28 Scrap cost added.</t>
  </si>
  <si>
    <t>IP20201796</t>
  </si>
  <si>
    <t>Scrap cost added instead of subtracting. Rs 0.36 added extra</t>
  </si>
  <si>
    <t>IP20202533</t>
  </si>
  <si>
    <t>Scrap cost added instead of subtracting. Rs 0.45 added extra</t>
  </si>
  <si>
    <t>Cost sheet not avl. 21480(MYSR) - Not avl</t>
  </si>
  <si>
    <t>IP20201826</t>
  </si>
  <si>
    <t>IP20201795</t>
  </si>
  <si>
    <t>Scrap Cost added. Rs. 0.23 added extra</t>
  </si>
  <si>
    <t>IP20211403</t>
  </si>
  <si>
    <t>N6226720_1</t>
  </si>
  <si>
    <t>IP20211404</t>
  </si>
  <si>
    <t>Scrap Cost added. Rs. 0.45 added extra</t>
  </si>
  <si>
    <t>Lexan 143R-701 BLACK</t>
  </si>
  <si>
    <t>IP20221258</t>
  </si>
  <si>
    <t xml:space="preserve">Bin Utilisation % is only 60%. </t>
  </si>
  <si>
    <t>N6224229_2</t>
  </si>
  <si>
    <t>Cover Air filter</t>
  </si>
  <si>
    <t>IP20222081</t>
  </si>
  <si>
    <t>IP20190115</t>
  </si>
  <si>
    <t>21591(HP) - Not avl</t>
  </si>
  <si>
    <t xml:space="preserve">XPPH-5005 UVB </t>
  </si>
  <si>
    <t>IP20191278</t>
  </si>
  <si>
    <t>PPCP Black(MI3530)</t>
  </si>
  <si>
    <t>GPPB-2610(PP 10%GF)Black</t>
  </si>
  <si>
    <t>IP20192167</t>
  </si>
  <si>
    <t>Q3 (2019-20)</t>
  </si>
  <si>
    <t>IP20192168</t>
  </si>
  <si>
    <t>IP20192732</t>
  </si>
  <si>
    <t>PA-3</t>
  </si>
  <si>
    <t>IP20202331</t>
  </si>
  <si>
    <t>IP20190111</t>
  </si>
  <si>
    <t>21591 (HP) Not avl</t>
  </si>
  <si>
    <t>IP20190113</t>
  </si>
  <si>
    <t>APPCOM HC 5000 BK UV from APPL</t>
  </si>
  <si>
    <t>IP20190114</t>
  </si>
  <si>
    <t>12 Aug 24 M</t>
  </si>
  <si>
    <t>12 Aug 24 E</t>
  </si>
  <si>
    <t xml:space="preserve">APPCOM HC1020 BK UV </t>
  </si>
  <si>
    <t>IP20210313</t>
  </si>
  <si>
    <t>IP20210314</t>
  </si>
  <si>
    <t>IP20210315</t>
  </si>
  <si>
    <t>IP20210316</t>
  </si>
  <si>
    <t>IP20210317</t>
  </si>
  <si>
    <t>IP20210318</t>
  </si>
  <si>
    <t>IP20210319</t>
  </si>
  <si>
    <t>IP20192976</t>
  </si>
  <si>
    <t>IP20220569</t>
  </si>
  <si>
    <t>Q1 FY 22 23</t>
  </si>
  <si>
    <t>IP20220520</t>
  </si>
  <si>
    <t>IP20221119</t>
  </si>
  <si>
    <t>Scrap cost added instead of subtraction. Rs. 2.16 added</t>
  </si>
  <si>
    <t>F642H06</t>
  </si>
  <si>
    <t>N6030350_1</t>
  </si>
  <si>
    <t>TVS Letters</t>
  </si>
  <si>
    <t>ABS White</t>
  </si>
  <si>
    <t>IP20230397</t>
  </si>
  <si>
    <t>IP20230900</t>
  </si>
  <si>
    <t>21480(MYSR)- Not available</t>
  </si>
  <si>
    <t>Anujkumar</t>
  </si>
  <si>
    <t>D Vishnupriya</t>
  </si>
  <si>
    <t>N6030380_1</t>
  </si>
  <si>
    <t>TVS logo</t>
  </si>
  <si>
    <t>IP20201793</t>
  </si>
  <si>
    <t>21480(MYSR) Not avl. Only PR20231161 avl.  21590(MYSR) is avl.</t>
  </si>
  <si>
    <t>21480(MYSR) Not avl. Only PR20231161 avl.  21590(MYSR) is avl. Rejection is given on BO cost. Rs. 0.04 extra</t>
  </si>
  <si>
    <t>H1 FY 23 24</t>
  </si>
  <si>
    <t>IP20201821</t>
  </si>
  <si>
    <t>IP20230402</t>
  </si>
  <si>
    <t>APPCOM 5000BK UV</t>
  </si>
  <si>
    <t>IP20221048</t>
  </si>
  <si>
    <t>IP20221073</t>
  </si>
  <si>
    <t>IP20231824</t>
  </si>
  <si>
    <t>IP20231831</t>
  </si>
  <si>
    <t xml:space="preserve">Appcom 5001HC BK </t>
  </si>
  <si>
    <t xml:space="preserve"> Q2 FY 22 23</t>
  </si>
  <si>
    <t>IP20221926</t>
  </si>
  <si>
    <t>IP20201824</t>
  </si>
  <si>
    <t>Scrap cost : Rs. 2 arbitrary value deducted for scrap cost and hence to give Rs. 2.23 to supplier</t>
  </si>
  <si>
    <t>IP20201784</t>
  </si>
  <si>
    <t>IP20201785</t>
  </si>
  <si>
    <t>IP20201813</t>
  </si>
  <si>
    <t xml:space="preserve">Polycover cost Extra 1 time considered as 0.47 added extra to the break up while releasing the PO. </t>
  </si>
  <si>
    <t xml:space="preserve">21480(MYSR) Cost sheet not avl. Only PR20231161 is avl. </t>
  </si>
  <si>
    <t>ND222860</t>
  </si>
  <si>
    <t>PR Number</t>
  </si>
  <si>
    <t>Created by</t>
  </si>
  <si>
    <t>RM1 Spec</t>
  </si>
  <si>
    <t>RM1 Price / kg</t>
  </si>
  <si>
    <t>RM1 Gross wt</t>
  </si>
  <si>
    <t>RM1 Part Wt</t>
  </si>
  <si>
    <t>RM1 Scrap Rec,%</t>
  </si>
  <si>
    <t>RM1 Scrap Wt</t>
  </si>
  <si>
    <t>RM1 Net Matl Wt</t>
  </si>
  <si>
    <t>RM1 Net Matl Cost</t>
  </si>
  <si>
    <t>RM2 Spec</t>
  </si>
  <si>
    <t>RM2 Price / kg</t>
  </si>
  <si>
    <t>RM2 Gross wt</t>
  </si>
  <si>
    <t>RM2 Part Wt</t>
  </si>
  <si>
    <t>RM2 Scrap Rec,%</t>
  </si>
  <si>
    <t>RM2 Scrap Wt</t>
  </si>
  <si>
    <t>RM2 Net Matl Wt</t>
  </si>
  <si>
    <t>RM2 Net Matl Cost</t>
  </si>
  <si>
    <t>Total Net RM cost</t>
  </si>
  <si>
    <t>created date</t>
  </si>
  <si>
    <t>SINTEX BAPL LIMITED</t>
  </si>
  <si>
    <t>TRACTORS AND FARM EQUIPMENT LIMITED</t>
  </si>
  <si>
    <t>SENTEC INDIA COMPANY PRIVATE LIMITE</t>
  </si>
  <si>
    <t>SINTEX-BAPL LTD</t>
  </si>
  <si>
    <t>TRACTORS &amp; FARM EQUIPMENT LTD (EPD)</t>
  </si>
  <si>
    <t>PREMIER PLASMOTECH PRIVATE LIMITED</t>
  </si>
  <si>
    <t>PRECISION COMPAID MOULDINGS</t>
  </si>
  <si>
    <t>SOGEFI ENGINE SYSTEM INDIA</t>
  </si>
  <si>
    <t>CLAMP REAR FENDER</t>
  </si>
  <si>
    <t>STABILISER PAD</t>
  </si>
  <si>
    <t>CAP LOCK NUT</t>
  </si>
  <si>
    <t>PAD</t>
  </si>
  <si>
    <t>A128730</t>
  </si>
  <si>
    <t>BUTTON ASSLY FLOOR MAT</t>
  </si>
  <si>
    <t>K2040300</t>
  </si>
  <si>
    <t>K2120620</t>
  </si>
  <si>
    <t>PACKING BATTERY</t>
  </si>
  <si>
    <t>K2120970</t>
  </si>
  <si>
    <t>CLMAP ECU MTG</t>
  </si>
  <si>
    <t>K2120990</t>
  </si>
  <si>
    <t>BATTERY HOLDER BOTTOM 1</t>
  </si>
  <si>
    <t>K2121000</t>
  </si>
  <si>
    <t>K2140180</t>
  </si>
  <si>
    <t>FUEL TANK COMP EFI</t>
  </si>
  <si>
    <t>K2140200</t>
  </si>
  <si>
    <t>BRKT HOSE HOLDER</t>
  </si>
  <si>
    <t>K2220100</t>
  </si>
  <si>
    <t>FENDER REAR SUB ASSY</t>
  </si>
  <si>
    <t>K2220410</t>
  </si>
  <si>
    <t>PANEL RR ASSY</t>
  </si>
  <si>
    <t>K2221020</t>
  </si>
  <si>
    <t>UTILITY BOX BSVI</t>
  </si>
  <si>
    <t>K2222110</t>
  </si>
  <si>
    <t>COVER HANDLE REAR ISG</t>
  </si>
  <si>
    <t>K2222180</t>
  </si>
  <si>
    <t>PANEL REAR ASSY ISG</t>
  </si>
  <si>
    <t>K2222200</t>
  </si>
  <si>
    <t>COVER TOP ISG</t>
  </si>
  <si>
    <t>K3082800</t>
  </si>
  <si>
    <t>K3100710</t>
  </si>
  <si>
    <t>COVER BALL RACE</t>
  </si>
  <si>
    <t>K3120579</t>
  </si>
  <si>
    <t>PANEL FR</t>
  </si>
  <si>
    <t>K3120629</t>
  </si>
  <si>
    <t>FRONT PANEL BOTTOM PEP  UNPAINTED</t>
  </si>
  <si>
    <t>K3120819</t>
  </si>
  <si>
    <t>SIDE PANEL  BOTTOM  L</t>
  </si>
  <si>
    <t>K3120829</t>
  </si>
  <si>
    <t>SIDE PANEL BOTTOM R</t>
  </si>
  <si>
    <t>K3120950</t>
  </si>
  <si>
    <t>K3120969</t>
  </si>
  <si>
    <t>SIDE PANEL TOP L</t>
  </si>
  <si>
    <t>K3120979</t>
  </si>
  <si>
    <t>SIDE PANEL TOP R</t>
  </si>
  <si>
    <t>K31210600D</t>
  </si>
  <si>
    <t>SIDE PANEL BTM CNTR BLACK</t>
  </si>
  <si>
    <t>K3122659</t>
  </si>
  <si>
    <t>PILLION HANDLE UNPAINTED - PEP</t>
  </si>
  <si>
    <t>K3123320</t>
  </si>
  <si>
    <t>HOUSING HEADLAMP REAR BLACK - PEP+ REF</t>
  </si>
  <si>
    <t>K3123330</t>
  </si>
  <si>
    <t>PANEL REAR OUTER BLACK PEP + REF</t>
  </si>
  <si>
    <t>K3123350</t>
  </si>
  <si>
    <t>FLOOR BOARD BLACK PEP+ REF</t>
  </si>
  <si>
    <t>K3123379</t>
  </si>
  <si>
    <t>COVER SPARK PLUG BLK UNPAINTED</t>
  </si>
  <si>
    <t>K3150570</t>
  </si>
  <si>
    <t>CASE THROTTLE UNDER</t>
  </si>
  <si>
    <t>K3221150</t>
  </si>
  <si>
    <t>PANEL RR SUB ASSY PEP+ REF</t>
  </si>
  <si>
    <t>K3223629</t>
  </si>
  <si>
    <t>K3223659</t>
  </si>
  <si>
    <t>K4170060</t>
  </si>
  <si>
    <t>CABLE GUIDE FR BOT</t>
  </si>
  <si>
    <t>K4220030</t>
  </si>
  <si>
    <t>HOUSING HEADLAMP REAR - BLACK</t>
  </si>
  <si>
    <t>K4220059</t>
  </si>
  <si>
    <t>K4220139</t>
  </si>
  <si>
    <t>K4220159</t>
  </si>
  <si>
    <t>PANEL FR TOP</t>
  </si>
  <si>
    <t>K4220169</t>
  </si>
  <si>
    <t>K4220199</t>
  </si>
  <si>
    <t>K4220209</t>
  </si>
  <si>
    <t>SIDE TRIM FLOOR R</t>
  </si>
  <si>
    <t>K4220210</t>
  </si>
  <si>
    <t>FLOOR BOARD - BLACK</t>
  </si>
  <si>
    <t>K4220240</t>
  </si>
  <si>
    <t>K4220279</t>
  </si>
  <si>
    <t>SIDE PANEL L</t>
  </si>
  <si>
    <t>K4220289</t>
  </si>
  <si>
    <t>SIDE PANEL R</t>
  </si>
  <si>
    <t>K4220369</t>
  </si>
  <si>
    <t>K4220390</t>
  </si>
  <si>
    <t>GRILL SIDE TRIM L</t>
  </si>
  <si>
    <t>K4220400</t>
  </si>
  <si>
    <t>GRILL SIDE TRIM R</t>
  </si>
  <si>
    <t>K4220430</t>
  </si>
  <si>
    <t>GROMMET, DASHBOARD</t>
  </si>
  <si>
    <t>K4220440</t>
  </si>
  <si>
    <t>GLOVE BOX-ZEST</t>
  </si>
  <si>
    <t>K4220910</t>
  </si>
  <si>
    <t>K4221990</t>
  </si>
  <si>
    <t>HOUSING HEADLAMP REAR -SILVER OAK</t>
  </si>
  <si>
    <t>K4222010</t>
  </si>
  <si>
    <t>FLOOR BOARD - SILVER OAK</t>
  </si>
  <si>
    <t>K4222020</t>
  </si>
  <si>
    <t>GLOVE BOX SILVER OAK-ZEST</t>
  </si>
  <si>
    <t>GLOVE BOX SILVER OAK</t>
  </si>
  <si>
    <t>K4222060</t>
  </si>
  <si>
    <t>COVER FRONT SILVER OAK</t>
  </si>
  <si>
    <t>K4223070</t>
  </si>
  <si>
    <t>UTILITY BOX  ZEST BSVI</t>
  </si>
  <si>
    <t>K6041180</t>
  </si>
  <si>
    <t>K6041440</t>
  </si>
  <si>
    <t>AIR CLEANER ASSY 1</t>
  </si>
  <si>
    <t>K6150860</t>
  </si>
  <si>
    <t>K6150870</t>
  </si>
  <si>
    <t>GRIP COMP THROTTLE  COMP</t>
  </si>
  <si>
    <t>K6220260</t>
  </si>
  <si>
    <t>COVER BOTTOM FLOOR</t>
  </si>
  <si>
    <t>K6220860</t>
  </si>
  <si>
    <t>COVER FUEL TANK . NP.015 - WEGO</t>
  </si>
  <si>
    <t>K6220870</t>
  </si>
  <si>
    <t>LID UTILITY BOX  - WEGO</t>
  </si>
  <si>
    <t>K6221409</t>
  </si>
  <si>
    <t>HOUSING HEADLAMP FRONT UNPAINTED</t>
  </si>
  <si>
    <t>K6221489</t>
  </si>
  <si>
    <t>PANEL FR TOP UNPAINTED</t>
  </si>
  <si>
    <t>K6221499</t>
  </si>
  <si>
    <t>PANEL FR BOT UNPAINTED</t>
  </si>
  <si>
    <t>K6221510</t>
  </si>
  <si>
    <t>FLOOR BOARD BLACK  JUPITER</t>
  </si>
  <si>
    <t>K6221549</t>
  </si>
  <si>
    <t>SIDE TRIM FLOOR L UNPAINTED</t>
  </si>
  <si>
    <t>K6221559</t>
  </si>
  <si>
    <t>SIDE TRIM FLOOR R UNPAINTED</t>
  </si>
  <si>
    <t>K6221579</t>
  </si>
  <si>
    <t>TAIL COVER CENTER UNPAINTED</t>
  </si>
  <si>
    <t>K6221810</t>
  </si>
  <si>
    <t>UTILITY BOX JUPITER</t>
  </si>
  <si>
    <t>K6221860</t>
  </si>
  <si>
    <t>K6222260</t>
  </si>
  <si>
    <t>COVER FR ASSY JUPITER - BLACK</t>
  </si>
  <si>
    <t>K6222270</t>
  </si>
  <si>
    <t>COVER FR ASSY L - BLACK</t>
  </si>
  <si>
    <t>K6222280</t>
  </si>
  <si>
    <t>COVER FR ASSY R - BLACK</t>
  </si>
  <si>
    <t>K6222300</t>
  </si>
  <si>
    <t>K6223650</t>
  </si>
  <si>
    <t>PANEL RR SUB ASSY</t>
  </si>
  <si>
    <t>K6224060</t>
  </si>
  <si>
    <t>Floor Mat Silver Oak</t>
  </si>
  <si>
    <t>K6224420</t>
  </si>
  <si>
    <t>UTILITY BOX CAP</t>
  </si>
  <si>
    <t>K6224430</t>
  </si>
  <si>
    <t>UTILITY BOX 1</t>
  </si>
  <si>
    <t>K6225980</t>
  </si>
  <si>
    <t>K6226500</t>
  </si>
  <si>
    <t>K6226560</t>
  </si>
  <si>
    <t>KA220670</t>
  </si>
  <si>
    <t>KA220910</t>
  </si>
  <si>
    <t>UTILITY BOX</t>
  </si>
  <si>
    <t>KE121440</t>
  </si>
  <si>
    <t>BATTERY BOX BOTTOM</t>
  </si>
  <si>
    <t>KE121450</t>
  </si>
  <si>
    <t>KE121950</t>
  </si>
  <si>
    <t>BATTERY HOLDER BOTTOM</t>
  </si>
  <si>
    <t>KE220020</t>
  </si>
  <si>
    <t>KE220030</t>
  </si>
  <si>
    <t>KE220129</t>
  </si>
  <si>
    <t>KE220160</t>
  </si>
  <si>
    <t>KE220359</t>
  </si>
  <si>
    <t>KE220419</t>
  </si>
  <si>
    <t>COVER HANDLE FRONT</t>
  </si>
  <si>
    <t>KE220459</t>
  </si>
  <si>
    <t>CAP UTILITY BOX1</t>
  </si>
  <si>
    <t>KE220469</t>
  </si>
  <si>
    <t>CAP UTILITY BOX2</t>
  </si>
  <si>
    <t>KE220810</t>
  </si>
  <si>
    <t>LOGO COVER SWING ARM</t>
  </si>
  <si>
    <t>KE220849</t>
  </si>
  <si>
    <t>PILLION HANDLE  TOP</t>
  </si>
  <si>
    <t>KE220850</t>
  </si>
  <si>
    <t>COVER SWING ARM L</t>
  </si>
  <si>
    <t>KE220860</t>
  </si>
  <si>
    <t>COVER SWING ARM R</t>
  </si>
  <si>
    <t>KE221130</t>
  </si>
  <si>
    <t>KE221229</t>
  </si>
  <si>
    <t>KE221239</t>
  </si>
  <si>
    <t>KE221300</t>
  </si>
  <si>
    <t>GRILL LEG SHIELD LH</t>
  </si>
  <si>
    <t>KE221310</t>
  </si>
  <si>
    <t>GRILL LEG SHIELD RH</t>
  </si>
  <si>
    <t>KE221360</t>
  </si>
  <si>
    <t>SIDE TRIM FLOOR RR LH</t>
  </si>
  <si>
    <t>KE221370</t>
  </si>
  <si>
    <t>SIDE TRIM FLOOR RR RH</t>
  </si>
  <si>
    <t>KE221480</t>
  </si>
  <si>
    <t>COVER SUB FRAME RH</t>
  </si>
  <si>
    <t>KE221589</t>
  </si>
  <si>
    <t>WHEEL HUGGER 1</t>
  </si>
  <si>
    <t>KE221639</t>
  </si>
  <si>
    <t>NUMBER PLATE HOLDER</t>
  </si>
  <si>
    <t>KE221680</t>
  </si>
  <si>
    <t>FLOOR MAT</t>
  </si>
  <si>
    <t>KE221860</t>
  </si>
  <si>
    <t>BRKT FENDER REAR</t>
  </si>
  <si>
    <t>KE221970</t>
  </si>
  <si>
    <t>KE222020</t>
  </si>
  <si>
    <t>LID UTILITY BOX</t>
  </si>
  <si>
    <t>KE222070</t>
  </si>
  <si>
    <t>KE222140</t>
  </si>
  <si>
    <t>STAY HEADLAMP 1</t>
  </si>
  <si>
    <t>KE222590</t>
  </si>
  <si>
    <t>FLOOR MAT LH</t>
  </si>
  <si>
    <t>KE223039</t>
  </si>
  <si>
    <t>COVER HANDLE REAR EV</t>
  </si>
  <si>
    <t>KE223049</t>
  </si>
  <si>
    <t>PANEL RR</t>
  </si>
  <si>
    <t>KE223130</t>
  </si>
  <si>
    <t>KE223240</t>
  </si>
  <si>
    <t>KE240550</t>
  </si>
  <si>
    <t>CLAMP CORDSET</t>
  </si>
  <si>
    <t>KE242180</t>
  </si>
  <si>
    <t>KL220049</t>
  </si>
  <si>
    <t>PANEL FRONT Unpainted</t>
  </si>
  <si>
    <t>KL220050</t>
  </si>
  <si>
    <t>GRILL PANEL FRONT</t>
  </si>
  <si>
    <t>KL220060</t>
  </si>
  <si>
    <t>KL220079</t>
  </si>
  <si>
    <t>PANEL BOTTOM L MATTE BLACK</t>
  </si>
  <si>
    <t>PANEL BOT L Unpainted</t>
  </si>
  <si>
    <t>KL220089</t>
  </si>
  <si>
    <t>PANEL BOTTOM R MATTE BLACK</t>
  </si>
  <si>
    <t>PANEL BOT R Unpainted</t>
  </si>
  <si>
    <t>KL220099</t>
  </si>
  <si>
    <t>PANEL BOT CTR</t>
  </si>
  <si>
    <t>KL220139</t>
  </si>
  <si>
    <t>KL220140</t>
  </si>
  <si>
    <t>GRILL PANEL BOT L</t>
  </si>
  <si>
    <t>KL220150</t>
  </si>
  <si>
    <t>GRILL PANEL BOT R</t>
  </si>
  <si>
    <t>KL220229</t>
  </si>
  <si>
    <t>COVER FRONT UNPAINTED</t>
  </si>
  <si>
    <t>COVER FRONT Unpainted</t>
  </si>
  <si>
    <t>KL220239</t>
  </si>
  <si>
    <t>COVER FRONT L Unpainted</t>
  </si>
  <si>
    <t>KL220249</t>
  </si>
  <si>
    <t>COVER FRONT R Unpainted</t>
  </si>
  <si>
    <t>KL220259</t>
  </si>
  <si>
    <t>SIDE PANEL TOP L UNPAINTED</t>
  </si>
  <si>
    <t>SIDE PANEL TOP L Unpainted</t>
  </si>
  <si>
    <t>KL220269</t>
  </si>
  <si>
    <t>SIDE PANEL TOP R UNPAINTED</t>
  </si>
  <si>
    <t>SIDE PANEL TOP R Unpainted</t>
  </si>
  <si>
    <t>KL220279</t>
  </si>
  <si>
    <t>SIDE PANEL L Unpainted</t>
  </si>
  <si>
    <t>KL220289</t>
  </si>
  <si>
    <t>SIDE PANEL R Unpainted</t>
  </si>
  <si>
    <t>KL220329</t>
  </si>
  <si>
    <t>COVER TAIL CENTER UNPAINTED</t>
  </si>
  <si>
    <t>Cover Tail Center Unpainted</t>
  </si>
  <si>
    <t>KL220360</t>
  </si>
  <si>
    <t>KL220380</t>
  </si>
  <si>
    <t>M7101200</t>
  </si>
  <si>
    <t>MUDFLAP FENDER FRONT</t>
  </si>
  <si>
    <t>N3100230</t>
  </si>
  <si>
    <t>CLIP</t>
  </si>
  <si>
    <t>N3123170</t>
  </si>
  <si>
    <t>BODY FRONT FENDER REAR GX</t>
  </si>
  <si>
    <t>N3160310</t>
  </si>
  <si>
    <t>CLAMP HANDLE SWITCH HARNESS</t>
  </si>
  <si>
    <t>N3160330</t>
  </si>
  <si>
    <t>CLAMP WIRING HARNESS</t>
  </si>
  <si>
    <t>N5229140</t>
  </si>
  <si>
    <t>N6010160</t>
  </si>
  <si>
    <t>N6010170</t>
  </si>
  <si>
    <t>N6040260</t>
  </si>
  <si>
    <t>AIR CLEANER ASSY  1</t>
  </si>
  <si>
    <t>N6040890</t>
  </si>
  <si>
    <t>COVER AIR INLET</t>
  </si>
  <si>
    <t>N6080500</t>
  </si>
  <si>
    <t>GUIDE SPRING</t>
  </si>
  <si>
    <t>N6080870</t>
  </si>
  <si>
    <t>STRIP DEFLECTOR</t>
  </si>
  <si>
    <t>N6140790</t>
  </si>
  <si>
    <t>N6161840</t>
  </si>
  <si>
    <t>HOLDER ECU</t>
  </si>
  <si>
    <t>N6180550</t>
  </si>
  <si>
    <t>N6222439</t>
  </si>
  <si>
    <t>FENDER FRONT FRONT</t>
  </si>
  <si>
    <t>N6222440</t>
  </si>
  <si>
    <t>N6224169</t>
  </si>
  <si>
    <t>COVER FUEL TANK OUTER LH</t>
  </si>
  <si>
    <t>N6224179</t>
  </si>
  <si>
    <t>COVER FUEL TANK OUTER RH</t>
  </si>
  <si>
    <t>N6224199</t>
  </si>
  <si>
    <t>COVER FUEL TANK INNER L</t>
  </si>
  <si>
    <t>N6224209</t>
  </si>
  <si>
    <t>COVER FUEL TANK INNER R</t>
  </si>
  <si>
    <t>N6224289</t>
  </si>
  <si>
    <t>TAIL COVER LH</t>
  </si>
  <si>
    <t>N6224299</t>
  </si>
  <si>
    <t>TAIL COVER RH</t>
  </si>
  <si>
    <t>N6224300</t>
  </si>
  <si>
    <t>TAIL COVER BOTTOM</t>
  </si>
  <si>
    <t>N6224499</t>
  </si>
  <si>
    <t>COVER FUEL TANK FRONT L</t>
  </si>
  <si>
    <t>N6224509</t>
  </si>
  <si>
    <t>COVER FUEL TANK FRONT R</t>
  </si>
  <si>
    <t>N6224890</t>
  </si>
  <si>
    <t>COVER PILLION HANDLE LH</t>
  </si>
  <si>
    <t>N6224900</t>
  </si>
  <si>
    <t>COVER PILLION HANDLE RH</t>
  </si>
  <si>
    <t>N6224910</t>
  </si>
  <si>
    <t>UTILITY BOX REAR</t>
  </si>
  <si>
    <t>N6224930</t>
  </si>
  <si>
    <t>N6224960</t>
  </si>
  <si>
    <t>COVER FUEL TANK REAR TOP</t>
  </si>
  <si>
    <t>N6225330</t>
  </si>
  <si>
    <t>ADAPTOR BRKT</t>
  </si>
  <si>
    <t>N6225550</t>
  </si>
  <si>
    <t>COVER FUEL TANK CENTER1</t>
  </si>
  <si>
    <t>N6225770</t>
  </si>
  <si>
    <t>N6225780</t>
  </si>
  <si>
    <t>N6225820</t>
  </si>
  <si>
    <t>CAP MOBILE CHARGER</t>
  </si>
  <si>
    <t>N8123700</t>
  </si>
  <si>
    <t>N8220240</t>
  </si>
  <si>
    <t>BODY FRONT FENDER REAR</t>
  </si>
  <si>
    <t>N9081280</t>
  </si>
  <si>
    <t>N9091700</t>
  </si>
  <si>
    <t>CHAIN COVER  - RTR REF</t>
  </si>
  <si>
    <t>N9120650</t>
  </si>
  <si>
    <t>COVER FUEL TANK R</t>
  </si>
  <si>
    <t>N9121150</t>
  </si>
  <si>
    <t>COVER FUEL TANK FRONT</t>
  </si>
  <si>
    <t>N9122690</t>
  </si>
  <si>
    <t>CLAMP BATTERY 9 AH</t>
  </si>
  <si>
    <t>N9125680</t>
  </si>
  <si>
    <t>CABLE CLAMP ABS - Small White</t>
  </si>
  <si>
    <t>N9125720</t>
  </si>
  <si>
    <t>GUIDE BRAKE HOSE - ABS SYSTEM</t>
  </si>
  <si>
    <t>N9125730</t>
  </si>
  <si>
    <t>CABLE CLAMP ABS - Small Black</t>
  </si>
  <si>
    <t>N9142110</t>
  </si>
  <si>
    <t>GUIDE HOSE COMP</t>
  </si>
  <si>
    <t>N9161910</t>
  </si>
  <si>
    <t>N9162750</t>
  </si>
  <si>
    <t>FUSE HOLDER</t>
  </si>
  <si>
    <t>N9228550</t>
  </si>
  <si>
    <t>NA040090</t>
  </si>
  <si>
    <t>NA040110</t>
  </si>
  <si>
    <t>AIR CLEANER ASSY ASSY</t>
  </si>
  <si>
    <t>NF010390</t>
  </si>
  <si>
    <t>GUIDE CAMCHAIN 2X3 Lacing ver</t>
  </si>
  <si>
    <t>NF010400</t>
  </si>
  <si>
    <t>TENSIONER CAMCHAIN 2X3 Lacing ver</t>
  </si>
  <si>
    <t>NF040390</t>
  </si>
  <si>
    <t>TUBE INLET</t>
  </si>
  <si>
    <t>NF040950</t>
  </si>
  <si>
    <t>NF080330</t>
  </si>
  <si>
    <t>COVER COVER CLUTCH</t>
  </si>
  <si>
    <t>NF090470</t>
  </si>
  <si>
    <t>NF090510</t>
  </si>
  <si>
    <t>CHAINCASE</t>
  </si>
  <si>
    <t>NF110080</t>
  </si>
  <si>
    <t>GUIDE BRAKE CONDUIT HECU ABS</t>
  </si>
  <si>
    <t>NF110620</t>
  </si>
  <si>
    <t>GUIDE BRAKE HOSE FRONT</t>
  </si>
  <si>
    <t>NF111010</t>
  </si>
  <si>
    <t>NF111360</t>
  </si>
  <si>
    <t>GUIDE BRAKE HOSE</t>
  </si>
  <si>
    <t>NF121520</t>
  </si>
  <si>
    <t>NF121700</t>
  </si>
  <si>
    <t>NF180670</t>
  </si>
  <si>
    <t>AIR DUCT</t>
  </si>
  <si>
    <t>NF220460</t>
  </si>
  <si>
    <t>BRKT FRONT</t>
  </si>
  <si>
    <t>NF223180</t>
  </si>
  <si>
    <t>NF225070</t>
  </si>
  <si>
    <t>BRKT LICENCE PLATE COMP FR</t>
  </si>
  <si>
    <t>NF225659</t>
  </si>
  <si>
    <t>ENGINE GUARD RH BSVI</t>
  </si>
  <si>
    <t>NF225739</t>
  </si>
  <si>
    <t>ENGINE GUARD LH</t>
  </si>
  <si>
    <t>NF226010</t>
  </si>
  <si>
    <t>NF228780</t>
  </si>
  <si>
    <t>COVER FRAME INNER L</t>
  </si>
  <si>
    <t>NF228790</t>
  </si>
  <si>
    <t>COVER FRAME INNER R</t>
  </si>
  <si>
    <t>NF229000</t>
  </si>
  <si>
    <t>TAIL LAMP COVER</t>
  </si>
  <si>
    <t>NF229360</t>
  </si>
  <si>
    <t>COVER FUEL TANK LOWER L</t>
  </si>
  <si>
    <t>NF229510</t>
  </si>
  <si>
    <t>FORK PROTECTOR LH</t>
  </si>
  <si>
    <t>NF229520</t>
  </si>
  <si>
    <t>FORK PROTECTOR RH</t>
  </si>
  <si>
    <t>NF229770</t>
  </si>
  <si>
    <t>WHEEL HUGGER FRONT-1</t>
  </si>
  <si>
    <t>NF229780</t>
  </si>
  <si>
    <t>BRKT COVER FRAME LH</t>
  </si>
  <si>
    <t>NF229950</t>
  </si>
  <si>
    <t>COVER FRAME BOTTOM</t>
  </si>
  <si>
    <t>NR010030</t>
  </si>
  <si>
    <t>COVER CYL HD TOP L 1</t>
  </si>
  <si>
    <t>NR010040</t>
  </si>
  <si>
    <t>COVER CYL HD TOP R 1</t>
  </si>
  <si>
    <t>NR040010</t>
  </si>
  <si>
    <t>COVER AIR INLET TOP</t>
  </si>
  <si>
    <t>NR080070</t>
  </si>
  <si>
    <t>COVER ENGINE SPROCKET COMP</t>
  </si>
  <si>
    <t>NR080110</t>
  </si>
  <si>
    <t>DUST CAP</t>
  </si>
  <si>
    <t>NR110070</t>
  </si>
  <si>
    <t>COVER RESERVOIR MASTER CYLINDER REAR</t>
  </si>
  <si>
    <t>NR120130</t>
  </si>
  <si>
    <t>NR220590</t>
  </si>
  <si>
    <t>NR220669</t>
  </si>
  <si>
    <t>NR220679</t>
  </si>
  <si>
    <t>ENGINE GUARD RH</t>
  </si>
  <si>
    <t>NR220689</t>
  </si>
  <si>
    <t>ENGINE GUARD CENTER</t>
  </si>
  <si>
    <t>NR220790</t>
  </si>
  <si>
    <t>MUDFLAP FRONT</t>
  </si>
  <si>
    <t>NR220820</t>
  </si>
  <si>
    <t>GRILL L</t>
  </si>
  <si>
    <t>NR220830</t>
  </si>
  <si>
    <t>GRILL R</t>
  </si>
  <si>
    <t>NR220850</t>
  </si>
  <si>
    <t>COVER FRAME BOTTOM RH</t>
  </si>
  <si>
    <t>NR221009</t>
  </si>
  <si>
    <t>NR221019</t>
  </si>
  <si>
    <t>NR221029</t>
  </si>
  <si>
    <t>NR221089</t>
  </si>
  <si>
    <t>HOUSING HEADLAMP FRONT LH</t>
  </si>
  <si>
    <t>NR221099</t>
  </si>
  <si>
    <t>HOUSING HEADLAMP FRONT RH</t>
  </si>
  <si>
    <t>NR221220</t>
  </si>
  <si>
    <t>COVER FUEL TANK ASSY  RH</t>
  </si>
  <si>
    <t>NR223660</t>
  </si>
  <si>
    <t>VISOR HEADLAMP COMP</t>
  </si>
  <si>
    <t>P150320</t>
  </si>
  <si>
    <t>P300050</t>
  </si>
  <si>
    <t>P3090270</t>
  </si>
  <si>
    <t>CHAIN COVER</t>
  </si>
  <si>
    <t>P6040290</t>
  </si>
  <si>
    <t>P6040320</t>
  </si>
  <si>
    <t>P6080240</t>
  </si>
  <si>
    <t>COVER KICKSTARTER</t>
  </si>
  <si>
    <t>P6080310</t>
  </si>
  <si>
    <t>COVER ENGINE SPROCKET 1</t>
  </si>
  <si>
    <t>P6180070</t>
  </si>
  <si>
    <t>COVER FAN</t>
  </si>
  <si>
    <t>P6180080</t>
  </si>
  <si>
    <t>Cover Fuel Tank Black</t>
  </si>
  <si>
    <t>P6221140</t>
  </si>
  <si>
    <t>Cover Fuel Tank Silver Oak</t>
  </si>
  <si>
    <t>P6221150</t>
  </si>
  <si>
    <t>Floor Board Silver Oak BSIV</t>
  </si>
  <si>
    <t>P6221160</t>
  </si>
  <si>
    <t>Lid Tool Box Silver Oak</t>
  </si>
  <si>
    <t>P6221709</t>
  </si>
  <si>
    <t>Housing headlamp front top</t>
  </si>
  <si>
    <t>P6221720</t>
  </si>
  <si>
    <t>Cover Silver Oak</t>
  </si>
  <si>
    <t>P6222210</t>
  </si>
  <si>
    <t>P6222220</t>
  </si>
  <si>
    <t>Floor Board Black BSVI</t>
  </si>
  <si>
    <t>P6222310</t>
  </si>
  <si>
    <t>ADAPTOR KS</t>
  </si>
  <si>
    <t>P6222320</t>
  </si>
  <si>
    <t>CLAMP BATTERY KS</t>
  </si>
  <si>
    <t>Floor Board Beige BSIV</t>
  </si>
  <si>
    <t>P7120300</t>
  </si>
  <si>
    <t>CABLE GUIDE RH</t>
  </si>
  <si>
    <t>P7180030</t>
  </si>
  <si>
    <t>FAN, ENGINE COOLING ES</t>
  </si>
  <si>
    <t>P7180080</t>
  </si>
  <si>
    <t>COWL BOTTOM</t>
  </si>
  <si>
    <t>Lid Tool Box Black</t>
  </si>
  <si>
    <t>Cover Utility Box Black</t>
  </si>
  <si>
    <t>P7220100</t>
  </si>
  <si>
    <t>COVER TOOL BOX CTR REAR</t>
  </si>
  <si>
    <t>P7220520</t>
  </si>
  <si>
    <t>P7220890</t>
  </si>
  <si>
    <t>Floor Board Silver Oak BS VI</t>
  </si>
  <si>
    <t>P7221660</t>
  </si>
  <si>
    <t>R1030270</t>
  </si>
  <si>
    <t>R1080700</t>
  </si>
  <si>
    <t>R1080900</t>
  </si>
  <si>
    <t>R1090300</t>
  </si>
  <si>
    <t>R1121480</t>
  </si>
  <si>
    <t>R1150530</t>
  </si>
  <si>
    <t>GUIDE CHOKE CABLE</t>
  </si>
  <si>
    <t>R2160360</t>
  </si>
  <si>
    <t>COVER SPEAKER</t>
  </si>
  <si>
    <t>R3080070</t>
  </si>
  <si>
    <t>COVER ENGINE SPROCKET . NP.101</t>
  </si>
  <si>
    <t>R3150030</t>
  </si>
  <si>
    <t>GRIP L NP.101</t>
  </si>
  <si>
    <t>R3150040</t>
  </si>
  <si>
    <t>GRIP COMP THROTTLE NP.101</t>
  </si>
  <si>
    <t>R3150050</t>
  </si>
  <si>
    <t>GRIP L BASIC</t>
  </si>
  <si>
    <t>R3150060</t>
  </si>
  <si>
    <t>GRIP COMP THROTTLE BASIC</t>
  </si>
  <si>
    <t>R3160220</t>
  </si>
  <si>
    <t>SPEAKER HOLDER L</t>
  </si>
  <si>
    <t>R3160230</t>
  </si>
  <si>
    <t>SPEAKER HOLDER R</t>
  </si>
  <si>
    <t>R3220529</t>
  </si>
  <si>
    <t>SWITCH HOLDER FRONT</t>
  </si>
  <si>
    <t>R3220530</t>
  </si>
  <si>
    <t>SWITCH HOLDER REAR</t>
  </si>
  <si>
    <t>R3220570</t>
  </si>
  <si>
    <t>USB HOLDER FRONT</t>
  </si>
  <si>
    <t>R3220580</t>
  </si>
  <si>
    <t>USB HOLDER REAR</t>
  </si>
  <si>
    <t>R3220590</t>
  </si>
  <si>
    <t>USB HOLDER CAP</t>
  </si>
  <si>
    <t>T4100550</t>
  </si>
  <si>
    <t>PACKING</t>
  </si>
  <si>
    <t>SREELAKSHMI</t>
  </si>
  <si>
    <t>PR20180104</t>
  </si>
  <si>
    <t>Cost Sheet Not Available in IPSF.</t>
  </si>
  <si>
    <t>MANJUNATH</t>
  </si>
  <si>
    <t>No Not avl</t>
  </si>
  <si>
    <t>A Amal Raj</t>
  </si>
  <si>
    <t>D Manjunatha</t>
  </si>
  <si>
    <t>IP20191252</t>
  </si>
  <si>
    <t>21691(MYSR) - Not Available.21401 Available.</t>
  </si>
  <si>
    <t>PMC</t>
  </si>
  <si>
    <t>This part PO extended from MYSR plant to HP plant</t>
  </si>
  <si>
    <t>This part PO extended from MYSR plant to Hos plant</t>
  </si>
  <si>
    <t>PP-15</t>
  </si>
  <si>
    <t>Q4 FY 18 19</t>
  </si>
  <si>
    <t>M Manikandan</t>
  </si>
  <si>
    <t>K U Sreelakshmi</t>
  </si>
  <si>
    <t>PP 15</t>
  </si>
  <si>
    <t>IP20201356</t>
  </si>
  <si>
    <t>IP20190929</t>
  </si>
  <si>
    <t>K Barani kumar</t>
  </si>
  <si>
    <t>Cost created, RM indexed with the available details in IPSF.</t>
  </si>
  <si>
    <t>Q2 F 18 19</t>
  </si>
  <si>
    <t>IP20230391</t>
  </si>
  <si>
    <t>Suman Raj</t>
  </si>
  <si>
    <t>IP20192742</t>
  </si>
  <si>
    <t>PP 9 Black
(APPCOM GF 1510 BK)</t>
  </si>
  <si>
    <t>IP20220069</t>
  </si>
  <si>
    <t>PP-9 COLOUR BLACK</t>
  </si>
  <si>
    <t>DIPA</t>
  </si>
  <si>
    <t>IP20220104</t>
  </si>
  <si>
    <t>PA-4 BLACK</t>
  </si>
  <si>
    <t>IP20220068</t>
  </si>
  <si>
    <t>21590(MYSR) - Not Available.20089 Available.</t>
  </si>
  <si>
    <t>Q2 FY 18 19</t>
  </si>
  <si>
    <t>IP20182075</t>
  </si>
  <si>
    <t>IP20190724</t>
  </si>
  <si>
    <t>MX21103319.  Code: 20089 Mysr PO extended to HP with transport cost adjustment</t>
  </si>
  <si>
    <t>Carton box</t>
  </si>
  <si>
    <t>MX21103319</t>
  </si>
  <si>
    <t>14.06.2021</t>
  </si>
  <si>
    <t>PP-1 COLOUR BLACK</t>
  </si>
  <si>
    <t>IP20191984</t>
  </si>
  <si>
    <t>Manjunath</t>
  </si>
  <si>
    <t>27.08.2019</t>
  </si>
  <si>
    <t>Scrap cost added. Scrap cost Rs. 5 per kg given. Cost is given on Part weight rather input weight. Cost Rs. 0.21 to be given to supplier.</t>
  </si>
  <si>
    <t>PP1-UV</t>
  </si>
  <si>
    <t>IP20200950</t>
  </si>
  <si>
    <t>IP20211064</t>
  </si>
  <si>
    <t>K200320</t>
  </si>
  <si>
    <t>CRR Pan Head Tap Scr ST 4.2x16</t>
  </si>
  <si>
    <t>K220170</t>
  </si>
  <si>
    <t>Bag Hook Assly Fr</t>
  </si>
  <si>
    <t>K2220160</t>
  </si>
  <si>
    <t>PE-1</t>
  </si>
  <si>
    <t>IP20172713</t>
  </si>
  <si>
    <t>S Jayalakshmi</t>
  </si>
  <si>
    <t>Q1 FY 18 19</t>
  </si>
  <si>
    <t>IP20180634</t>
  </si>
  <si>
    <t>IP20180628</t>
  </si>
  <si>
    <t>IP20192954</t>
  </si>
  <si>
    <t>PP-1 BLACK AS PER TSMS 9745</t>
  </si>
  <si>
    <t>IP20192944</t>
  </si>
  <si>
    <t>21691(MYSR) - Not Available.21401 Available. Regrind cost is Virgin cost - 3 is considered.</t>
  </si>
  <si>
    <t>PP-1 BLACK AS PER TSMS 9745
(APPCOM HC 5000 BK UV from APPL)</t>
  </si>
  <si>
    <t>IP20210230</t>
  </si>
  <si>
    <t>IP20191253</t>
  </si>
  <si>
    <t>PP9-Black</t>
  </si>
  <si>
    <t>IP20210288</t>
  </si>
  <si>
    <t>KU Sreelakhshmi</t>
  </si>
  <si>
    <t>IP20210292</t>
  </si>
  <si>
    <t>IP20210324</t>
  </si>
  <si>
    <t>IP20230304</t>
  </si>
  <si>
    <t>PR20231161</t>
  </si>
  <si>
    <t>Anuj Kumar</t>
  </si>
  <si>
    <t>IP20192978</t>
  </si>
  <si>
    <t>IP20221696</t>
  </si>
  <si>
    <t>IP20221695</t>
  </si>
  <si>
    <t>IP20221381</t>
  </si>
  <si>
    <t>A Amalraj</t>
  </si>
  <si>
    <t>IP20192911</t>
  </si>
  <si>
    <t>Sumanraj</t>
  </si>
  <si>
    <t>PR20201707</t>
  </si>
  <si>
    <t>IP20211760</t>
  </si>
  <si>
    <t>IP20231180</t>
  </si>
  <si>
    <t>IP20211813</t>
  </si>
  <si>
    <t>IP20191314</t>
  </si>
  <si>
    <t>IP20211842</t>
  </si>
  <si>
    <t>IP20211812</t>
  </si>
  <si>
    <t>IP20192070</t>
  </si>
  <si>
    <t>IP20211759</t>
  </si>
  <si>
    <t>IP20162293</t>
  </si>
  <si>
    <t>IP20180654</t>
  </si>
  <si>
    <t>IP20211811</t>
  </si>
  <si>
    <t>IP20231090</t>
  </si>
  <si>
    <t>K Barani Kumar</t>
  </si>
  <si>
    <t>Anandaraj Kandasamy</t>
  </si>
  <si>
    <t>IP20211731</t>
  </si>
  <si>
    <t>IP20231212</t>
  </si>
  <si>
    <t>IP20211728</t>
  </si>
  <si>
    <t>Sachin Moogobasav</t>
  </si>
  <si>
    <t>IP20211726</t>
  </si>
  <si>
    <t>IP20230516</t>
  </si>
  <si>
    <t>IP20211757</t>
  </si>
  <si>
    <t>IP20232600</t>
  </si>
  <si>
    <t>anandaraj kandasamy</t>
  </si>
  <si>
    <t>IP20232631</t>
  </si>
  <si>
    <t>IP20210245</t>
  </si>
  <si>
    <t>IP20191859</t>
  </si>
  <si>
    <t>IP20191669</t>
  </si>
  <si>
    <t>MX20102792</t>
  </si>
  <si>
    <t>Mx19101800</t>
  </si>
  <si>
    <t>D Manjunath</t>
  </si>
  <si>
    <t>R Ramkumar</t>
  </si>
  <si>
    <t>IP20210988</t>
  </si>
  <si>
    <t>Dipa</t>
  </si>
  <si>
    <t>IP20231466</t>
  </si>
  <si>
    <t>IP20211862</t>
  </si>
  <si>
    <t>IP20211853</t>
  </si>
  <si>
    <t>IP20201985</t>
  </si>
  <si>
    <t>IP20211840</t>
  </si>
  <si>
    <t>IP20151315</t>
  </si>
  <si>
    <t>MX20102636</t>
  </si>
  <si>
    <t>IP20222157</t>
  </si>
  <si>
    <t>IP20180001</t>
  </si>
  <si>
    <t>N Rejesh John</t>
  </si>
  <si>
    <t>IP20210244</t>
  </si>
  <si>
    <t>JIT PO</t>
  </si>
  <si>
    <t>R Babu</t>
  </si>
  <si>
    <t>IP20232635</t>
  </si>
  <si>
    <t>MX20102618</t>
  </si>
  <si>
    <t>MX19101656</t>
  </si>
  <si>
    <t>Total</t>
  </si>
  <si>
    <t>Uploaded</t>
  </si>
  <si>
    <t>Doubt</t>
  </si>
  <si>
    <t>Mx20102638</t>
  </si>
  <si>
    <t>Cost sheet not available.</t>
  </si>
  <si>
    <t>Cost sheet not available. 20089 also cost sheet not avl</t>
  </si>
  <si>
    <t>Cost sheet not available. 20089 also cost sheet not avl.  PR20180104/Sreelakshmi/4 Jan 2018 only avl.</t>
  </si>
  <si>
    <t>Mx23105721</t>
  </si>
  <si>
    <t>Priyanka</t>
  </si>
  <si>
    <t>Cost sheet not available. 20089 : No supplies</t>
  </si>
  <si>
    <t>Completed</t>
  </si>
  <si>
    <t>Layout</t>
  </si>
  <si>
    <t>To format</t>
  </si>
  <si>
    <t>% peer strength</t>
  </si>
  <si>
    <t>Ind. Perf</t>
  </si>
  <si>
    <t>MX23105208</t>
  </si>
  <si>
    <t>21590(MYSR),21590(HP) - Not Available. Mysr PO extended to HP</t>
  </si>
  <si>
    <t>21697(HOS),21697(HP) - Not available. 20089 also PR20180104/Sreelakshmi/4 Jan 18 only avl.</t>
  </si>
  <si>
    <t>MX20102638</t>
  </si>
  <si>
    <t>Mx20102463</t>
  </si>
  <si>
    <t xml:space="preserve">21697(HOS),21697(HP) - Not available. Cost sheet extended from 20089 HOS but break up is not available for HOS. Only PR Number is available. </t>
  </si>
  <si>
    <t>Sree lakhshmi</t>
  </si>
  <si>
    <t>MX23105447</t>
  </si>
  <si>
    <t>IP20221381 is avl.</t>
  </si>
  <si>
    <t>Mx21103693</t>
  </si>
  <si>
    <t>Cost sheet of Mysr extended to HP.</t>
  </si>
  <si>
    <t>Mx21103311</t>
  </si>
  <si>
    <t>IP20191575</t>
  </si>
  <si>
    <t>IP20190533</t>
  </si>
  <si>
    <t>Cost sheet not available. 20089 also not avl. PR20180104/Sreelakshmi/4Jan2018</t>
  </si>
  <si>
    <t>Cost sheet not available. Break up not avl in IP20182306</t>
  </si>
  <si>
    <t>MX20102521</t>
  </si>
  <si>
    <t>21697(HOS),21590(MYSR)-Not available. Hos PO extended to Mysore</t>
  </si>
  <si>
    <t>PI20231152</t>
  </si>
  <si>
    <t>MX23105086</t>
  </si>
  <si>
    <t>Sreelakhshmi</t>
  </si>
  <si>
    <t>Cost Sheet not available. 20089 also PR20180104/Sreelakshmi/4Jan2018 only avl.</t>
  </si>
  <si>
    <t>Cost Sheet not available. In 20089 also cost sheet not avl.</t>
  </si>
  <si>
    <t>Cost Sheet not available. In 20089 , PR20180104/Sreelakshmi/4Jan2018</t>
  </si>
  <si>
    <t>Not approved and hence cost sheet not taken.</t>
  </si>
  <si>
    <t>MX23105300</t>
  </si>
  <si>
    <t xml:space="preserve">21205(HOS),21557(MYSR)21205(HP) - Not Available. Breakup not available </t>
  </si>
  <si>
    <t>21205(HOS),21557(MYSR)21205(HP) - Not Available. PO not available</t>
  </si>
  <si>
    <t>Mx21103313</t>
  </si>
  <si>
    <t>MX22104123</t>
  </si>
  <si>
    <t>21697(HOS),21590(MYSR) - Not available. In 20089, PR20180104/Sreelakshmi/4 Jan 2018</t>
  </si>
  <si>
    <t>MX19101838</t>
  </si>
  <si>
    <t>21697(HOS),21590(MYSR) - Not available. Break up not available for MX no</t>
  </si>
  <si>
    <t>MX20102401</t>
  </si>
  <si>
    <t>Anuj kumar</t>
  </si>
  <si>
    <t>Stock norms considered 7 turns as against 5 turns. Rs. 0.01 added.</t>
  </si>
  <si>
    <t>PA-1</t>
  </si>
  <si>
    <t>IP20210979</t>
  </si>
  <si>
    <t>Not done</t>
  </si>
  <si>
    <t>Q2 FY 19 20</t>
  </si>
  <si>
    <t>IP20192423</t>
  </si>
  <si>
    <t>ABS-2</t>
  </si>
  <si>
    <t>IP20190349</t>
  </si>
  <si>
    <t>21590(MYSR) - Not Available.20089 Available. Rejection 1.25% given on BO Cost. Rs. 0.05 extra.</t>
  </si>
  <si>
    <t>PP-3</t>
  </si>
  <si>
    <t>IP20190362</t>
  </si>
  <si>
    <t>IP20190340</t>
  </si>
  <si>
    <t>IP20190336</t>
  </si>
  <si>
    <t>IP20190338</t>
  </si>
  <si>
    <t>IP20190339</t>
  </si>
  <si>
    <t>IP20190299</t>
  </si>
  <si>
    <t>IP20190355</t>
  </si>
  <si>
    <t>21590(MYSR) - Not Available.20089 Available.Rejection cost 1.25% is given on Boughtout cost in addition to handling charges. Rs. 0.07 extra</t>
  </si>
  <si>
    <t>PA-14</t>
  </si>
  <si>
    <t>IP20190348</t>
  </si>
  <si>
    <t>IP20190363</t>
  </si>
  <si>
    <t>IP20190347</t>
  </si>
  <si>
    <t>IP20190367</t>
  </si>
  <si>
    <t>IP20190368</t>
  </si>
  <si>
    <t>IP20182077</t>
  </si>
  <si>
    <t xml:space="preserve">21590(MYSR) - Not Available.20089 Available. ICC given on RM+Conversion+Insert, Rejection given on Insert. </t>
  </si>
  <si>
    <t>DP-29M</t>
  </si>
  <si>
    <t>IP20181625</t>
  </si>
  <si>
    <t>IP20231344</t>
  </si>
  <si>
    <t>Scrap cost is added as extra cost.</t>
  </si>
  <si>
    <t>PP1 UV</t>
  </si>
  <si>
    <t>IP20231364</t>
  </si>
  <si>
    <t>Scrap cost is added as extra cost. Rs. 0.27 added extra</t>
  </si>
  <si>
    <t>IP20231372</t>
  </si>
  <si>
    <t>Scrap cost is added as extra cost. Rs. 0.32 added extra</t>
  </si>
  <si>
    <t>IP20231373</t>
  </si>
  <si>
    <t>Scrap cost is added as extra cost. Rs. 0.09 added extra</t>
  </si>
  <si>
    <t>IP20231353</t>
  </si>
  <si>
    <t>Q2 FY 23 24</t>
  </si>
  <si>
    <t>IP20231354</t>
  </si>
  <si>
    <t>IP20231355</t>
  </si>
  <si>
    <t>IP20231411</t>
  </si>
  <si>
    <t>Rejection given on Insert.</t>
  </si>
  <si>
    <t>Rejection given on Insert. Rs. 0.07 extra</t>
  </si>
  <si>
    <t>IP20231359</t>
  </si>
  <si>
    <t>IP20231356</t>
  </si>
  <si>
    <t>IP20231357</t>
  </si>
  <si>
    <t>IP20231358</t>
  </si>
  <si>
    <t>IP20231363</t>
  </si>
  <si>
    <t>IP20231392</t>
  </si>
  <si>
    <t>IP20231416</t>
  </si>
  <si>
    <t>Rejection 3.25% given as against 1.25% + Rejection given on BO cost. Rs. 0.29 given extra.</t>
  </si>
  <si>
    <t>IP20231360</t>
  </si>
  <si>
    <t>IP20231352</t>
  </si>
  <si>
    <t>PP 3a</t>
  </si>
  <si>
    <t>IP20231384</t>
  </si>
  <si>
    <t>PP-1
PP SILVER OAK</t>
  </si>
  <si>
    <t>Sl No</t>
  </si>
  <si>
    <t>IP20231412</t>
  </si>
  <si>
    <t>Rejection 2.25% given as against 1.25% + Rejection given on BO cost. Rs. 1.34 given extra.</t>
  </si>
  <si>
    <t>IP20231413</t>
  </si>
  <si>
    <t>Rejection 2.25% given as against 1.25% + Rejection given on BO cost. Rs. 0.61 given extra.</t>
  </si>
  <si>
    <t>IP20231414</t>
  </si>
  <si>
    <t>Rejection 2.25% given as against 1.25%. Rs. 0.61 given extra.</t>
  </si>
  <si>
    <t>IP20231415</t>
  </si>
  <si>
    <t>IP20192719</t>
  </si>
  <si>
    <t>21677(HOS) - Not Available.21401 Available.</t>
  </si>
  <si>
    <t>PP - 9 BLACK</t>
  </si>
  <si>
    <t>IP20192823</t>
  </si>
  <si>
    <t>Stock norms considered 6 times against 5. Rs. 0.04 added extra.</t>
  </si>
  <si>
    <t>PVC Black and PVC Grey</t>
  </si>
  <si>
    <t>PVC Black</t>
  </si>
  <si>
    <t>PVC Grey</t>
  </si>
  <si>
    <t>IP20210610</t>
  </si>
  <si>
    <t>IP20210631</t>
  </si>
  <si>
    <t>Stock norms considered 6 turns against 5. Rejection given on BO cost.Transport Breakup not available for Rs.0.36 added extra. With all this : Rs. 2.27 added extra.</t>
  </si>
  <si>
    <t>K3150319</t>
  </si>
  <si>
    <t>Tube Throttle Grip</t>
  </si>
  <si>
    <t xml:space="preserve">IP20181101	</t>
  </si>
  <si>
    <t>RPP</t>
  </si>
  <si>
    <t>Total CP Cost</t>
  </si>
  <si>
    <t>Child Part No 2</t>
  </si>
  <si>
    <t>Child Part Name 2</t>
  </si>
  <si>
    <t>Child Part No off 2</t>
  </si>
  <si>
    <t>Child Part Cost 2</t>
  </si>
  <si>
    <t>Child Part No 3</t>
  </si>
  <si>
    <t>Child Part Name 3</t>
  </si>
  <si>
    <t>Child Part No off 3</t>
  </si>
  <si>
    <t>Child Part Cost 3</t>
  </si>
  <si>
    <t>CP1 RM Spec</t>
  </si>
  <si>
    <t>CP1 RM Rate</t>
  </si>
  <si>
    <t>CP1 Scrap/Regrind rate</t>
  </si>
  <si>
    <t>CP1 RM Base</t>
  </si>
  <si>
    <t>CP1 Gross Wt</t>
  </si>
  <si>
    <t>CP1 Part Wt</t>
  </si>
  <si>
    <t>CP1 Scrap Recovery</t>
  </si>
  <si>
    <t>CP1 Scrap / Runner Wt</t>
  </si>
  <si>
    <t>CP1 Net Mtl Cost</t>
  </si>
  <si>
    <t>CP1 BO No. off</t>
  </si>
  <si>
    <t>CP1 BO Cost per part</t>
  </si>
  <si>
    <t>CP1 BO Cost</t>
  </si>
  <si>
    <t>CP1 BOP1 PN</t>
  </si>
  <si>
    <t>CP1 BOP1 Part Desc</t>
  </si>
  <si>
    <t>CP1 BOP1 No off</t>
  </si>
  <si>
    <t>CP1 BOP1 Cost</t>
  </si>
  <si>
    <t>CP1 BOP1 Total Cost</t>
  </si>
  <si>
    <t>CP1 BOP2 PN</t>
  </si>
  <si>
    <t>CP1 BOP2 Part Desc</t>
  </si>
  <si>
    <t>CP1 BOP2 No off</t>
  </si>
  <si>
    <t>CP1 BOP2 Cost</t>
  </si>
  <si>
    <t>CP1 BOP2 Total Cost</t>
  </si>
  <si>
    <t>CP1 BOP3 PN</t>
  </si>
  <si>
    <t>CP1 BOP3 Part Desc</t>
  </si>
  <si>
    <t>CP1 BOP3 No off</t>
  </si>
  <si>
    <t>CP1 BOP3 Cost</t>
  </si>
  <si>
    <t>CP1 BOP3 Total Cost</t>
  </si>
  <si>
    <t>CP1 BOP4 PN</t>
  </si>
  <si>
    <t>CP1 BOP4 Part Desc</t>
  </si>
  <si>
    <t>CP1 BOP4 No off</t>
  </si>
  <si>
    <t>CP1 BOP4 Cost</t>
  </si>
  <si>
    <t>CP1 BOP4 Total Cost</t>
  </si>
  <si>
    <t>CP1 Total BO Cost</t>
  </si>
  <si>
    <t>CP1 BO Handling chrges</t>
  </si>
  <si>
    <t>CP1 Sub Total BO cost</t>
  </si>
  <si>
    <t>CP1 Tonnage</t>
  </si>
  <si>
    <t>CP1 Shift Rate</t>
  </si>
  <si>
    <t>CP1 No. of Hrs / Shift</t>
  </si>
  <si>
    <t>CP1 OEE</t>
  </si>
  <si>
    <t>CP1 No of Cavity</t>
  </si>
  <si>
    <t>CP1 Cycle Time</t>
  </si>
  <si>
    <t>CP1 Parts Per shift</t>
  </si>
  <si>
    <t>CP1 Conversion Cost</t>
  </si>
  <si>
    <t>CP1 Secondary Cost</t>
  </si>
  <si>
    <t>CP1 P &amp; OH Cost, %</t>
  </si>
  <si>
    <t>CP1 P &amp; OH Cost, Rs.</t>
  </si>
  <si>
    <t>CP1 Rej, %</t>
  </si>
  <si>
    <t>CP1 Rej, Rs</t>
  </si>
  <si>
    <t>CP1 Mold Maint Cost,%</t>
  </si>
  <si>
    <t>CP1 Mold Maint cost, Rs</t>
  </si>
  <si>
    <t>CP1 Child Part Cost</t>
  </si>
  <si>
    <t>CP2 RM Spec</t>
  </si>
  <si>
    <t>CP2 RM Rate</t>
  </si>
  <si>
    <t>CP2 Scrap/Regrind rate</t>
  </si>
  <si>
    <t>CP2 RM Base</t>
  </si>
  <si>
    <t>CP2 Gross Wt</t>
  </si>
  <si>
    <t>CP2 Part Wt</t>
  </si>
  <si>
    <t>CP2 Scrap Recovery</t>
  </si>
  <si>
    <t>CP2 Scrap / Runner Wt</t>
  </si>
  <si>
    <t>CP2 Net Mtl Cost</t>
  </si>
  <si>
    <t>CP2 BO Spec</t>
  </si>
  <si>
    <t>CP2 BO Wt</t>
  </si>
  <si>
    <t>CP2 BO No. off</t>
  </si>
  <si>
    <t>CP2 BO Cost per part</t>
  </si>
  <si>
    <t>CP2 BO Cost</t>
  </si>
  <si>
    <t>CP2 BO Handling chrges</t>
  </si>
  <si>
    <t>CP2 Sub Total BO cost</t>
  </si>
  <si>
    <t>CP2 Tonnage</t>
  </si>
  <si>
    <t>CP2 Shift Rate</t>
  </si>
  <si>
    <t>CP2 No. of Hrs / Shift</t>
  </si>
  <si>
    <t>CP2 OEE</t>
  </si>
  <si>
    <t>CP2 No of Cavity</t>
  </si>
  <si>
    <t>CP2 Cycle Time</t>
  </si>
  <si>
    <t>CP2 Parts Per shift</t>
  </si>
  <si>
    <t>CP2 Conversion Cost</t>
  </si>
  <si>
    <t>CP2 P &amp; OH Cost, %</t>
  </si>
  <si>
    <t>CP2 P &amp; OH Cost, Rs.</t>
  </si>
  <si>
    <t>CP2 Rej, %</t>
  </si>
  <si>
    <t>CP2 Rej, Rs</t>
  </si>
  <si>
    <t>CP2 Mold Maint Cost,%</t>
  </si>
  <si>
    <t>CP2 Mold Maint cost, Rs</t>
  </si>
  <si>
    <t>Child part cost 2</t>
  </si>
  <si>
    <t>CP3 RM Spec</t>
  </si>
  <si>
    <t>CP3 RM Rate</t>
  </si>
  <si>
    <t>CP3 Scrap/Regrind rate</t>
  </si>
  <si>
    <t>CP3 RM Base</t>
  </si>
  <si>
    <t>CP3 Gross Wt</t>
  </si>
  <si>
    <t>CP3 Part Wt</t>
  </si>
  <si>
    <t>CP3 Scrap Recovery</t>
  </si>
  <si>
    <t>CP3 Scrap / Runner Wt</t>
  </si>
  <si>
    <t>CP3 Net Mtl Cost</t>
  </si>
  <si>
    <t>CP3BO No. off</t>
  </si>
  <si>
    <t>CP3 BO Cost per part</t>
  </si>
  <si>
    <t>CP3 BO Cost</t>
  </si>
  <si>
    <t>CP3 BOP1 PN</t>
  </si>
  <si>
    <t>CP3 BOP1 Part Desc</t>
  </si>
  <si>
    <t>CP3 BOP1 No off</t>
  </si>
  <si>
    <t>CP3 BOP1 Cost</t>
  </si>
  <si>
    <t>CP3 BOP1 Total Cost</t>
  </si>
  <si>
    <t>CP3 BOP2 PN</t>
  </si>
  <si>
    <t>CP3 BOP2 Part Desc</t>
  </si>
  <si>
    <t>CP3 BOP2 No off</t>
  </si>
  <si>
    <t>CP3BOP2 Cost</t>
  </si>
  <si>
    <t>CP3 BOP2 Total Cost</t>
  </si>
  <si>
    <t>CP3 BOP3 PN</t>
  </si>
  <si>
    <t>CP3 BOP3 Part Desc</t>
  </si>
  <si>
    <t>CP3 BOP3 No off</t>
  </si>
  <si>
    <t>CP3 BOP3 Cost</t>
  </si>
  <si>
    <t>CP3 BOP3 Total Cost</t>
  </si>
  <si>
    <t>CP3 BOP4 PN</t>
  </si>
  <si>
    <t>CP3 BOP4 Part Desc</t>
  </si>
  <si>
    <t>CP3 BOP4 No off</t>
  </si>
  <si>
    <t>CP3 BOP4 Cost</t>
  </si>
  <si>
    <t>CP3BOP4 Total Cost</t>
  </si>
  <si>
    <t>CP3 Total BO Cost</t>
  </si>
  <si>
    <t>CP3 BO Handling chrges</t>
  </si>
  <si>
    <t>CP3 Sub Total BO cost</t>
  </si>
  <si>
    <t>CP3 Tonnage</t>
  </si>
  <si>
    <t>CP3 Shift Rate</t>
  </si>
  <si>
    <t>CP3 No. of Hrs / Shift</t>
  </si>
  <si>
    <t>CP3 OEE</t>
  </si>
  <si>
    <t>CP3 No of Cavity</t>
  </si>
  <si>
    <t>CP3 Cycle Time</t>
  </si>
  <si>
    <t>CP3 Parts Per shift</t>
  </si>
  <si>
    <t>CP3 Conversion Cost</t>
  </si>
  <si>
    <t>CP3 P &amp; OH Cost, %</t>
  </si>
  <si>
    <t>CP3 P &amp; OH Cost, Rs.</t>
  </si>
  <si>
    <t>CP3 Rej, %</t>
  </si>
  <si>
    <t>CP3 Rej, Rs</t>
  </si>
  <si>
    <t>CP3 Mold Maint Cost,%</t>
  </si>
  <si>
    <t>CP3 Mold Maint cost, Rs</t>
  </si>
  <si>
    <t>IPSF Ammend date</t>
  </si>
  <si>
    <t>ME3M Check</t>
  </si>
  <si>
    <t>RM ICC, %</t>
  </si>
  <si>
    <t>ICC cost on RM</t>
  </si>
  <si>
    <t>ME3M Date</t>
  </si>
  <si>
    <t>Total Child Part Cost 1</t>
  </si>
  <si>
    <t>Total Child Part Cost 2</t>
  </si>
  <si>
    <t>Total Child Part Cost 3</t>
  </si>
  <si>
    <t>Q4 FY 22-23</t>
  </si>
  <si>
    <t>Grade Name (New)</t>
  </si>
  <si>
    <t>Generic name(New)</t>
  </si>
  <si>
    <t>Generic name</t>
  </si>
  <si>
    <t>NYLON 6 30% GF BLACK NON UV</t>
  </si>
  <si>
    <t>NYLON 6 30%GF BLACK</t>
  </si>
  <si>
    <t>XPPH-5005 BLACK UV</t>
  </si>
  <si>
    <t>PP 30% GF BLACK UV</t>
  </si>
  <si>
    <t>PP 30%GF BLACK UV</t>
  </si>
  <si>
    <t>Cost Sheet Status</t>
  </si>
  <si>
    <t>Available</t>
  </si>
  <si>
    <t>TUFNYL SGF 30 BLACK NON UV</t>
  </si>
  <si>
    <t>MX19101429</t>
  </si>
  <si>
    <t>cost sheet not available. 21712(MYSR) avl. 21595(Mysr) Not avl. Part cost extended from Mys 20945 but cost break up not available. Only PR20180104/Sreelakshmi/4Jan18 avl</t>
  </si>
  <si>
    <t>Cost sheet not available. 21712 avl. Part cost extended from Mys 20945 but cost break up not available. Only PR20180104/Sreelakshmi/4Jan18 avl</t>
  </si>
  <si>
    <t>IP20211185</t>
  </si>
  <si>
    <t>MX20101995</t>
  </si>
  <si>
    <t>Scrap cost added. Rs. 0.20 given extra</t>
  </si>
  <si>
    <t xml:space="preserve">Q4 FY 21 22 </t>
  </si>
  <si>
    <t>PDF Not approved</t>
  </si>
  <si>
    <t>Rubber part avl</t>
  </si>
  <si>
    <t>21712(HOS) avl</t>
  </si>
  <si>
    <t>21712(MYSR) avl. 21761(Mysr) Not avl</t>
  </si>
  <si>
    <t>MX19101860</t>
  </si>
  <si>
    <t>R12</t>
  </si>
  <si>
    <t>R24</t>
  </si>
  <si>
    <t>R25</t>
  </si>
  <si>
    <t>R29</t>
  </si>
  <si>
    <t>R30</t>
  </si>
  <si>
    <t>R31</t>
  </si>
  <si>
    <t>R13</t>
  </si>
  <si>
    <t>R14</t>
  </si>
  <si>
    <t>R15</t>
  </si>
  <si>
    <t>R18</t>
  </si>
  <si>
    <t>R16</t>
  </si>
  <si>
    <t>R19</t>
  </si>
  <si>
    <t>R17</t>
  </si>
  <si>
    <t>St1</t>
  </si>
  <si>
    <t>Sticker Part avl</t>
  </si>
  <si>
    <t>R10</t>
  </si>
  <si>
    <t>R5</t>
  </si>
  <si>
    <t>R8</t>
  </si>
  <si>
    <t>R6</t>
  </si>
  <si>
    <t>R9</t>
  </si>
  <si>
    <t>R11</t>
  </si>
  <si>
    <t>Seat1</t>
  </si>
  <si>
    <t>Hose1</t>
  </si>
  <si>
    <t>Seat Part avl</t>
  </si>
  <si>
    <t>Hose2</t>
  </si>
  <si>
    <t>Hose assly avl</t>
  </si>
  <si>
    <t>R27</t>
  </si>
  <si>
    <t>Hose3</t>
  </si>
  <si>
    <t>Hose Asly2</t>
  </si>
  <si>
    <t>Hose Asly1</t>
  </si>
  <si>
    <t>Hose part avl</t>
  </si>
  <si>
    <t>Hose4</t>
  </si>
  <si>
    <t>Hose5</t>
  </si>
  <si>
    <t>21590(MYSR) Not avaiable. Extended from Hos to Mysr</t>
  </si>
  <si>
    <t>21205(HOS),21205(HP),
21557(MYSR) Not available</t>
  </si>
  <si>
    <t>R1</t>
  </si>
  <si>
    <t>R21</t>
  </si>
  <si>
    <t>R22</t>
  </si>
  <si>
    <t>R20</t>
  </si>
  <si>
    <t>Not Done</t>
  </si>
  <si>
    <t>R23</t>
  </si>
  <si>
    <t>21761(hos),21160(hos),20945(hos),20945(HP),21595(MYSR),21761(MYSR) - Not available</t>
  </si>
  <si>
    <t>R26</t>
  </si>
  <si>
    <t>St2</t>
  </si>
  <si>
    <t>Status</t>
  </si>
  <si>
    <t xml:space="preserve">Plastic </t>
  </si>
  <si>
    <t>Nos</t>
  </si>
  <si>
    <t xml:space="preserve">Rubber part </t>
  </si>
  <si>
    <t>Seat assly</t>
  </si>
  <si>
    <t>To do</t>
  </si>
  <si>
    <t xml:space="preserve">pdf </t>
  </si>
  <si>
    <t>repetition</t>
  </si>
  <si>
    <t>NOT DONE</t>
  </si>
  <si>
    <t>IP20231234</t>
  </si>
  <si>
    <t>21.09.2020</t>
  </si>
  <si>
    <t>YES</t>
  </si>
  <si>
    <t>OTHER JUPITER</t>
  </si>
  <si>
    <t>21677(HOS-PREMIER) Not available</t>
  </si>
  <si>
    <t>IP20180225</t>
  </si>
  <si>
    <t>IP20180227</t>
  </si>
  <si>
    <t>21677(HOS-PREMIER) not available.</t>
  </si>
  <si>
    <t>IP20180234</t>
  </si>
  <si>
    <t>IP20180774</t>
  </si>
  <si>
    <t>IP20180228</t>
  </si>
  <si>
    <t>IP20180216</t>
  </si>
  <si>
    <t>IP20180217</t>
  </si>
  <si>
    <t>IP20180709</t>
  </si>
  <si>
    <t>IP20180218</t>
  </si>
  <si>
    <t>PP1 UV BLACK</t>
  </si>
  <si>
    <t>IP20181284</t>
  </si>
  <si>
    <t>K6223070</t>
  </si>
  <si>
    <t xml:space="preserve">Hook Luggage </t>
  </si>
  <si>
    <t>IP20180710</t>
  </si>
  <si>
    <t>IP20180719</t>
  </si>
  <si>
    <t>K6222190</t>
  </si>
  <si>
    <t xml:space="preserve">COVER REAR TOP LH </t>
  </si>
  <si>
    <t>K6222200</t>
  </si>
  <si>
    <t xml:space="preserve">COVER REAR TOP RH </t>
  </si>
  <si>
    <t>IP20180219</t>
  </si>
  <si>
    <t>PP3 UV BLACK</t>
  </si>
  <si>
    <t>K6222000</t>
  </si>
  <si>
    <t>Mudflap</t>
  </si>
  <si>
    <t>IP20171786</t>
  </si>
  <si>
    <t>21697(HOS) Not available</t>
  </si>
  <si>
    <t>IP20162495</t>
  </si>
  <si>
    <t>No Not available</t>
  </si>
  <si>
    <t>NS Murugan</t>
  </si>
  <si>
    <t xml:space="preserve">Cost sheet not approved in the pdf. Also breakup not available for 20089 as well. </t>
  </si>
  <si>
    <t>IP20192887</t>
  </si>
  <si>
    <t>IP20192058</t>
  </si>
  <si>
    <t>APPCOM MF 3200 Silver OAK UV</t>
  </si>
  <si>
    <t>IP20191834</t>
  </si>
  <si>
    <t>IP20211850</t>
  </si>
  <si>
    <t xml:space="preserve">Packing cost 0.22 added extra.No of parts per bin qty is 62 nos but 30 nos is considered. </t>
  </si>
  <si>
    <t>PP1_UV</t>
  </si>
  <si>
    <t>IP20211849</t>
  </si>
  <si>
    <t>No of parts per bin qty is 210 nos but100 nos is considered. Rs.0.08 given extra</t>
  </si>
  <si>
    <t>IP20192916</t>
  </si>
  <si>
    <t>21697(HOS-AURO) Not available</t>
  </si>
  <si>
    <t>IP20172235</t>
  </si>
  <si>
    <t>H2 FY 18 19</t>
  </si>
  <si>
    <t>IP20211583</t>
  </si>
  <si>
    <t xml:space="preserve">Ram kumar </t>
  </si>
  <si>
    <t xml:space="preserve">1. Stock norms : 7 turns considered as against 5 nos. Rejection, 1.25% is given on BO cost. Rs. 0.58 given extra. </t>
  </si>
  <si>
    <t>IP20230886</t>
  </si>
  <si>
    <t>Hruthick C</t>
  </si>
  <si>
    <t>APPCOM GF 1510 BK (NON-UV)</t>
  </si>
  <si>
    <t xml:space="preserve"> Q4 FY 22 23</t>
  </si>
  <si>
    <t xml:space="preserve">Gross wt matched to Part weight as in Cost sheet. Hence Rs. 0.51 to be given to supplier. </t>
  </si>
  <si>
    <t>IP20211570</t>
  </si>
  <si>
    <t>Stock norms considered 7 against 5 turns. Rs 0.37 given extra.</t>
  </si>
  <si>
    <t>IP20221940</t>
  </si>
  <si>
    <t>Toushif Asundi</t>
  </si>
  <si>
    <t>H2 FY 22 23</t>
  </si>
  <si>
    <t>Stock norms considered 7 against 5 turns. Rs .09 given extra.</t>
  </si>
  <si>
    <t>IP20231102</t>
  </si>
  <si>
    <t>H1FY23-24</t>
  </si>
  <si>
    <t>H2 FY 20 21</t>
  </si>
  <si>
    <t>IP20202254</t>
  </si>
  <si>
    <t>PP-1, MI3530</t>
  </si>
  <si>
    <t>APPCOM HC 1510 BK</t>
  </si>
  <si>
    <t>IP20202256</t>
  </si>
  <si>
    <t>IP20202199</t>
  </si>
  <si>
    <t>IP20230687</t>
  </si>
  <si>
    <t>21697(HOS-PREMIER)NOT Avail</t>
  </si>
  <si>
    <t>ASA-PMMA BLACK</t>
  </si>
  <si>
    <t>M5 INSERT-KA220069_1</t>
  </si>
  <si>
    <t>Clinch Film</t>
  </si>
  <si>
    <t>IP20230772</t>
  </si>
  <si>
    <t>APPCOM5000 UV</t>
  </si>
  <si>
    <t>21677 - HOS Not Available</t>
  </si>
  <si>
    <t>21697(HOS-PREMIER)Not avail.Cost is given on part weight rather input weight. Cost  Rs.0. 62 To be given supplier.</t>
  </si>
  <si>
    <t>IP20190915</t>
  </si>
  <si>
    <t>V Jeyaraman</t>
  </si>
  <si>
    <t>ABS-2, DP 29M</t>
  </si>
  <si>
    <t>H1 FY 19 20</t>
  </si>
  <si>
    <t>IP20190961</t>
  </si>
  <si>
    <t>IP20230754</t>
  </si>
  <si>
    <t>INSERT K3220349_1</t>
  </si>
  <si>
    <t>IP20230364</t>
  </si>
  <si>
    <t>PP 1 non UV</t>
  </si>
  <si>
    <t>IP20230365</t>
  </si>
  <si>
    <t>IP20190951</t>
  </si>
  <si>
    <t xml:space="preserve">21697(HOS)Not avail. Rejection given on BO cost and hence Rs. 0.21 given extra. </t>
  </si>
  <si>
    <t>IP20190935</t>
  </si>
  <si>
    <t xml:space="preserve">21697(HOS)Not avail.Rejection given on BO cost and hence Rs. 0.12 given extra. </t>
  </si>
  <si>
    <t>IP20202229</t>
  </si>
  <si>
    <t>IP20202264</t>
  </si>
  <si>
    <t>PA-4, Tufnyl SGF 30 Black UV</t>
  </si>
  <si>
    <t>IP20230752</t>
  </si>
  <si>
    <t>IP20230734</t>
  </si>
  <si>
    <t>IP20232078</t>
  </si>
  <si>
    <t>APPCOM GF 1510 BKUV</t>
  </si>
  <si>
    <t>M6x10 EN1A INSERT</t>
  </si>
  <si>
    <t>IP20232076</t>
  </si>
  <si>
    <t>Absolac® DP29 M Q633 BK907016 from Styrolution,</t>
  </si>
  <si>
    <t>IP20232077</t>
  </si>
  <si>
    <t>PA-3 BLACK UV NYLON 6 WITH 15%(Tufnyl SB 15H1 BK)</t>
  </si>
  <si>
    <t>IP20232158</t>
  </si>
  <si>
    <t>H2 FY 23 24</t>
  </si>
  <si>
    <t>PP-1, APPCOM HC 5000 BK UV</t>
  </si>
  <si>
    <t>IP20232159</t>
  </si>
  <si>
    <t>IP20232192</t>
  </si>
  <si>
    <t>PP-21, LF PP 3010 BK HS - S</t>
  </si>
  <si>
    <t>IP20232193</t>
  </si>
  <si>
    <t>IP20232174</t>
  </si>
  <si>
    <t>IP20232079</t>
  </si>
  <si>
    <t xml:space="preserve">Wheel Hugger BOP </t>
  </si>
  <si>
    <t>IP20232074</t>
  </si>
  <si>
    <t xml:space="preserve">M5 ×10 EN1A </t>
  </si>
  <si>
    <t>IP20201623</t>
  </si>
  <si>
    <t>PVC-5a, PS 70 Black</t>
  </si>
  <si>
    <t>IP20232305</t>
  </si>
  <si>
    <t>21697(HOS) Not available.</t>
  </si>
  <si>
    <t>NYLON 6 + 30% GLASS FILLED</t>
  </si>
  <si>
    <t>IP20230731</t>
  </si>
  <si>
    <t>IP20232040</t>
  </si>
  <si>
    <t xml:space="preserve"> </t>
  </si>
  <si>
    <t>Q3  FY 23 24</t>
  </si>
  <si>
    <t>M3x5 EN1A INSERT</t>
  </si>
  <si>
    <t>IP20222038</t>
  </si>
  <si>
    <t xml:space="preserve">Stock norms considered 7 turns against 5. Rs. 0.32 added extra. </t>
  </si>
  <si>
    <t>PP-3, APPCOM HC 1020 BK UV</t>
  </si>
  <si>
    <t>IP20230863</t>
  </si>
  <si>
    <t xml:space="preserve">Gross wt matched to Part weight as in Cost sheet. Rs. 0.54 to be given to supplier. </t>
  </si>
  <si>
    <t>APPCOM HC 1020 BK</t>
  </si>
  <si>
    <t>IP20222039</t>
  </si>
  <si>
    <t xml:space="preserve">Stock norms considered 7 turns against 5. Rs. 0.12 given extra. </t>
  </si>
  <si>
    <t>PP-1, Mi3530</t>
  </si>
  <si>
    <t>IP20232166</t>
  </si>
  <si>
    <t>PVC-5a, PS70</t>
  </si>
  <si>
    <t>IP20230646</t>
  </si>
  <si>
    <t>IP20230588</t>
  </si>
  <si>
    <t>IP20222078</t>
  </si>
  <si>
    <t>PVC-5a, PS70 Black</t>
  </si>
  <si>
    <t>IP20222061</t>
  </si>
  <si>
    <t>PA-1, Tufnyl SXXIC Black</t>
  </si>
  <si>
    <t xml:space="preserve">Stock norms considered 7 turns against 5. Rs. 0.04 given extra. </t>
  </si>
  <si>
    <t xml:space="preserve">PC-13, Bayblend FR 3010 </t>
  </si>
  <si>
    <t>IP20211526</t>
  </si>
  <si>
    <t>IP20222174</t>
  </si>
  <si>
    <t>Pramod Hegde</t>
  </si>
  <si>
    <t xml:space="preserve">Stock norms considered 7 turns against 5. Rs. 0.02 given extra. </t>
  </si>
  <si>
    <t>IP20200951</t>
  </si>
  <si>
    <t xml:space="preserve">Scrap cost Rs. 5 considered as against Rs. 20. Scrap cost is added. Gross RM cost is taken on Part cost rather than input weight. Rs. 0.17 to be given to supplier. </t>
  </si>
  <si>
    <t>IP20210181</t>
  </si>
  <si>
    <t xml:space="preserve">ABS 2 </t>
  </si>
  <si>
    <t>IP20210229</t>
  </si>
  <si>
    <t>ASA-1, LUPOY SG5009</t>
  </si>
  <si>
    <t>H1 FY 21 22</t>
  </si>
  <si>
    <t>IP20210175</t>
  </si>
  <si>
    <t>ABS 2</t>
  </si>
  <si>
    <t>IP20200952</t>
  </si>
  <si>
    <t>For Gross Cost, Part weight is considered as against Gross weight. Scrap cost is added. Scrap Cost is consdered as Rs. 5 as against Rs. 20. Also scrap cost is added. Rs. 0.27 to be given to supplier</t>
  </si>
  <si>
    <t>IP20200953</t>
  </si>
  <si>
    <t>ASA-1</t>
  </si>
  <si>
    <t>IP20210176</t>
  </si>
  <si>
    <t>IP20210177</t>
  </si>
  <si>
    <t>IP20210178</t>
  </si>
  <si>
    <t>PP-1 BLACK UV</t>
  </si>
  <si>
    <t>IP20210179</t>
  </si>
  <si>
    <t>PP 3 (APPCOM HC 1020 BK UV)</t>
  </si>
  <si>
    <t>IP20200945</t>
  </si>
  <si>
    <t>IP20200946</t>
  </si>
  <si>
    <t>IP20200955</t>
  </si>
  <si>
    <t xml:space="preserve">Scrap cost Rs. 5 considered as against Rs. 20. Scrap cost is added. Gross RM cost is taken on Part cost rather than input weight. Rs. 0.34 to be given to supplier. </t>
  </si>
  <si>
    <t>IP20200956</t>
  </si>
  <si>
    <t xml:space="preserve">Scrap cost Rs. 5 considered as against Rs. 20. Scrap cost is added. Gross RM cost is taken on Part cost rather than input weight. Rs. 0.21 to be given to supplier. </t>
  </si>
  <si>
    <t>IP20200957</t>
  </si>
  <si>
    <t>IP20210228</t>
  </si>
  <si>
    <t>IP20210180</t>
  </si>
  <si>
    <t>IP20200948</t>
  </si>
  <si>
    <t>IP20200949</t>
  </si>
  <si>
    <t>IP20210191</t>
  </si>
  <si>
    <t>IP20210192</t>
  </si>
  <si>
    <t>IP20210193</t>
  </si>
  <si>
    <t>IP20210194</t>
  </si>
  <si>
    <t>IP20210227</t>
  </si>
  <si>
    <t>ABS 2, DP29M</t>
  </si>
  <si>
    <t>IP20230499</t>
  </si>
  <si>
    <t xml:space="preserve">Stock norms considered as 7 turns against 5 turns and hence Rs. 1.25 given extra. </t>
  </si>
  <si>
    <t>IP20230498</t>
  </si>
  <si>
    <t>PP -3 Non UV, APPCOM HC 1020 BK</t>
  </si>
  <si>
    <t>IP20210226</t>
  </si>
  <si>
    <t>PP -1 , MI3530</t>
  </si>
  <si>
    <t>IP20200944</t>
  </si>
  <si>
    <t>PR20240134</t>
  </si>
  <si>
    <t>11.05.2024</t>
  </si>
  <si>
    <t>Breakup not avl</t>
  </si>
  <si>
    <t>IP20202003</t>
  </si>
  <si>
    <t>H2FY20-21</t>
  </si>
  <si>
    <t>IP no</t>
  </si>
  <si>
    <t>CP2 Welding Cost</t>
  </si>
  <si>
    <t>CP2</t>
  </si>
  <si>
    <t>CP2 Packing cost</t>
  </si>
  <si>
    <t>CP2 Type</t>
  </si>
  <si>
    <t>CP2 L in mm</t>
  </si>
  <si>
    <t>CP2 B in mm</t>
  </si>
  <si>
    <t>CP2 H in mm</t>
  </si>
  <si>
    <t>CP2 No. of parts / Bin</t>
  </si>
  <si>
    <t>CP2 Volume per day</t>
  </si>
  <si>
    <t>CP2 No. of Trolleys Per day</t>
  </si>
  <si>
    <t>CP2 Stock norm in days</t>
  </si>
  <si>
    <t>CP2 Total Bins / trolley required</t>
  </si>
  <si>
    <t>CP2 Rate / Bins in Rs.</t>
  </si>
  <si>
    <t>CP2 Total Trolleys cost in Rs.</t>
  </si>
  <si>
    <t>CP2 Interest rate, %</t>
  </si>
  <si>
    <t>CP2 Trolley Cost with interest</t>
  </si>
  <si>
    <t>CP2 Ammortization Years</t>
  </si>
  <si>
    <t>CP2 Amortization volume</t>
  </si>
  <si>
    <t>CP2 Bin Amortization cost in Rs.</t>
  </si>
  <si>
    <t>CP2 Cover Cost per kg</t>
  </si>
  <si>
    <t>CP2 Wt of Cover</t>
  </si>
  <si>
    <t>CP2 Cover cost in Rs</t>
  </si>
  <si>
    <t>CP2 No of parts per cover</t>
  </si>
  <si>
    <t>CP2 Cover cost per part in Rs</t>
  </si>
  <si>
    <t>CP2 Final packing cost</t>
  </si>
  <si>
    <t>CP2 Truck Size  L  in mm</t>
  </si>
  <si>
    <t>CP2 Truck Size  W in mm</t>
  </si>
  <si>
    <t>CP2 Truck Size  H  in mm</t>
  </si>
  <si>
    <t>CP2  No of bin  in  L</t>
  </si>
  <si>
    <t>CP2  No of bin  in  W</t>
  </si>
  <si>
    <t>CP2  No of bin  in  H</t>
  </si>
  <si>
    <t>CP2 Utilisation, %</t>
  </si>
  <si>
    <t>CP2 No. of BIN / Trolleys per vehicle</t>
  </si>
  <si>
    <t>CP2 Cost per trip in Rs.</t>
  </si>
  <si>
    <t>CP2 Transport Cost per part, Rs</t>
  </si>
  <si>
    <t>IP20221212</t>
  </si>
  <si>
    <t>Vishnu K Vijayan</t>
  </si>
  <si>
    <t>01.04.2022</t>
  </si>
  <si>
    <t>Other than jupiter 125</t>
  </si>
  <si>
    <t>IP20221215</t>
  </si>
  <si>
    <t>SXXIC Black</t>
  </si>
  <si>
    <t>IP20221113</t>
  </si>
  <si>
    <t>PP-1, MI 3530</t>
  </si>
  <si>
    <t>IP20221118</t>
  </si>
  <si>
    <t>14.03.2020</t>
  </si>
  <si>
    <t>21691(Plasmotech Automotive)- Not Available,21401(Premier Plasmotech)-Available</t>
  </si>
  <si>
    <t>PP-1 , PPCP without UV</t>
  </si>
  <si>
    <t>IP20192919</t>
  </si>
  <si>
    <t>IP20180554</t>
  </si>
  <si>
    <t>A Gopinath</t>
  </si>
  <si>
    <t>26.06.2018</t>
  </si>
  <si>
    <t>21590(Auroplascom)- Not available,20089(Karnataka Plascom)-Available</t>
  </si>
  <si>
    <t>IP20190748</t>
  </si>
  <si>
    <t>12.07.2019</t>
  </si>
  <si>
    <t>PP-3 BLACK AS PER TSMS 9745</t>
  </si>
  <si>
    <t>IP20190750</t>
  </si>
  <si>
    <t>21691(Plastotech Automotive)-Not Available,21401(Premier Plasmotech)-Available Rs. 1.8 insert cost + 0.05 handling charges added additionally. Extra Cost : Rs. 1.85</t>
  </si>
  <si>
    <t>IP20210953</t>
  </si>
  <si>
    <t>17.09.2021</t>
  </si>
  <si>
    <t>SGF15 BLACK</t>
  </si>
  <si>
    <t>IP20191439</t>
  </si>
  <si>
    <t>19.09.2019</t>
  </si>
  <si>
    <t>21691(Plasmotech)-Not Available,21401(Premier Plasmotech)-Available...Regrind cost is considered as Rs 3 minus from virgin rather than Rs. 5 from virgin cost</t>
  </si>
  <si>
    <t>IP20190749</t>
  </si>
  <si>
    <t>12.06.2019</t>
  </si>
  <si>
    <t>IP20221153</t>
  </si>
  <si>
    <t>D vishnu priya</t>
  </si>
  <si>
    <t>H1 FY 22-23</t>
  </si>
  <si>
    <t>IP20221162</t>
  </si>
  <si>
    <t>stock norms consider 7 turns as against 5 turns … RS 0.17 Added</t>
  </si>
  <si>
    <t>IP20201868</t>
  </si>
  <si>
    <t>25.12.2020</t>
  </si>
  <si>
    <t>Q1 20-21</t>
  </si>
  <si>
    <t>IP20201893</t>
  </si>
  <si>
    <t>23.12.2020</t>
  </si>
  <si>
    <t>PP-1 BLACK with UV</t>
  </si>
  <si>
    <t>IP20221225</t>
  </si>
  <si>
    <t xml:space="preserve">Rejection is given on BO cost and Stock norms is considered 7 turns as against 5 turns. Hence Rs. 0.11 given extra. </t>
  </si>
  <si>
    <t>IP20221197</t>
  </si>
  <si>
    <t xml:space="preserve">Rejection is given on BO cost and Stock norms is considered 7 turns as against 5 turns. Hence Rs. 0.10 given extra. </t>
  </si>
  <si>
    <t>IP20201959</t>
  </si>
  <si>
    <t>05.01.2021</t>
  </si>
  <si>
    <t>PP-1 BLACK</t>
  </si>
  <si>
    <t>IP20221141</t>
  </si>
  <si>
    <t>11.10.2022</t>
  </si>
  <si>
    <t xml:space="preserve">Stock norms considered 7 turns as against 5 turns. Hence Rs. 0.01 added extra. </t>
  </si>
  <si>
    <t>PA-1, SXXIC Black</t>
  </si>
  <si>
    <t>IP20221126</t>
  </si>
  <si>
    <t xml:space="preserve">Stock norms considered 7 turns as against 5 turns. Hence Rs. 0.03 added extra. </t>
  </si>
  <si>
    <t>H1FY22-23</t>
  </si>
  <si>
    <t>IP20221129</t>
  </si>
  <si>
    <t xml:space="preserve">Stock norms considered 7 turns as against 5 turns. Hence Rs. 0.02 added extra. </t>
  </si>
  <si>
    <t>IP20221130</t>
  </si>
  <si>
    <t>IP20221152</t>
  </si>
  <si>
    <t>IP20211857</t>
  </si>
  <si>
    <t>21.01.2022</t>
  </si>
  <si>
    <t>Scrap cost added instead of subtracting, hence Rs. 0.03 Added extra</t>
  </si>
  <si>
    <t>PA-10</t>
  </si>
  <si>
    <t>NF080249_1</t>
  </si>
  <si>
    <t>SPACER</t>
  </si>
  <si>
    <t>N9081170_2</t>
  </si>
  <si>
    <t>TVS_CES_25022021</t>
  </si>
  <si>
    <t>TVS INSCRIPTION</t>
  </si>
  <si>
    <t>IP20221206</t>
  </si>
  <si>
    <t>01.04,2022</t>
  </si>
  <si>
    <t>PA-10, Tufnyl SGF 15 Black UV</t>
  </si>
  <si>
    <t xml:space="preserve">Rej given on BO cost and Stock norms considered as 7 turns as against 5 turns. Rs. 0.04 added extra. </t>
  </si>
  <si>
    <t xml:space="preserve">Rejection of 1.25% is given on bought out cost also. Rs. 0.10 added. </t>
  </si>
  <si>
    <t>IP20221182</t>
  </si>
  <si>
    <t>Stock norms considered 7 turns as against 5 turns.</t>
  </si>
  <si>
    <t>PP-19, THERMOFIL HP F211X99 Black, Sumika</t>
  </si>
  <si>
    <t>IP20221222</t>
  </si>
  <si>
    <t xml:space="preserve">Rej given on BO cost and Stock norms considered as 7 turns as against 5 turns. Rs. 0.05 added extra. </t>
  </si>
  <si>
    <t>IP20221223</t>
  </si>
  <si>
    <t xml:space="preserve">Stock norms considered 7 turns as against 5 turns, hence Rs. 0.01 added extra. </t>
  </si>
  <si>
    <t>IP20211609</t>
  </si>
  <si>
    <t>27.12.2021</t>
  </si>
  <si>
    <t>Q2 20-21</t>
  </si>
  <si>
    <t>IP20211597</t>
  </si>
  <si>
    <t>28.12.2021</t>
  </si>
  <si>
    <t>PA-10, Tufnyl SFM 24 GREY</t>
  </si>
  <si>
    <t>Q4 20-21</t>
  </si>
  <si>
    <t>IP20211608</t>
  </si>
  <si>
    <t>IP20221229</t>
  </si>
  <si>
    <t xml:space="preserve">Rej given on BO cost and Stock norms considered as 7 turns as against 5 turns. Rs. 0.08 added extra. </t>
  </si>
  <si>
    <t>IP20211610</t>
  </si>
  <si>
    <t xml:space="preserve">PA-3, Tufnyl SGF 15 Black </t>
  </si>
  <si>
    <t>IP20211612</t>
  </si>
  <si>
    <t>IP20221163</t>
  </si>
  <si>
    <t xml:space="preserve">Stock norms considered 7 turns as against 5 turns. Rs. 0.02 added extra. </t>
  </si>
  <si>
    <t>IP20220208</t>
  </si>
  <si>
    <t>19.05.2022</t>
  </si>
  <si>
    <t>PA-3, Nylon 6 with 15% glass filler</t>
  </si>
  <si>
    <t>IP20220206</t>
  </si>
  <si>
    <t>Qty per bin is 80 nos whereas cost is referring to 50 nos. Hence Rs. 0.07 is given extra</t>
  </si>
  <si>
    <t>Q4 21-22</t>
  </si>
  <si>
    <t>IP20220207</t>
  </si>
  <si>
    <t>PA-5, Nylon 6 with 10% glass filler and 20% mineral filler.</t>
  </si>
  <si>
    <t>IP20220052</t>
  </si>
  <si>
    <t>11.04.2022</t>
  </si>
  <si>
    <t xml:space="preserve">Stock norms considered 7 turns as against 5 turns. Rs. 0.09 added extra. </t>
  </si>
  <si>
    <t>ABS-2, DP29M Black</t>
  </si>
  <si>
    <t>IP20220053</t>
  </si>
  <si>
    <t>12.04.2022</t>
  </si>
  <si>
    <t>IP20211717</t>
  </si>
  <si>
    <t>IP20220077</t>
  </si>
  <si>
    <t xml:space="preserve">Rej given on BO cost and Stock norms considered as 7 turns as against 5 turns. Rs. 0.16 added extra. </t>
  </si>
  <si>
    <t>PC-1, Lexan 123R</t>
  </si>
  <si>
    <t>Cost sheet not available in IPSF</t>
  </si>
  <si>
    <t>IP20181942</t>
  </si>
  <si>
    <t>31.01.2019</t>
  </si>
  <si>
    <t>(21677)-HOS Not available,21401-Available</t>
  </si>
  <si>
    <t>PVC SHORE 70+/-5</t>
  </si>
  <si>
    <t>gaint</t>
  </si>
  <si>
    <t>IP20230135</t>
  </si>
  <si>
    <t>ANUJKUMAR</t>
  </si>
  <si>
    <t>24.07.2023</t>
  </si>
  <si>
    <t>Stock norms considered 7 turns as against 5 turns. Rs. 0.18 added extra. MYSR plant is not available</t>
  </si>
  <si>
    <t>PP - 1, APPCOM 5000BK UV</t>
  </si>
  <si>
    <t>IP20191276</t>
  </si>
  <si>
    <t>28.08.2019</t>
  </si>
  <si>
    <t>21677-(Hos)- not available, 21554-Hos - Available</t>
  </si>
  <si>
    <t>19.03.2021</t>
  </si>
  <si>
    <t>21691-(MYSR)- not available, 21554-MYSR - Available NPS</t>
  </si>
  <si>
    <t>22.09.2020</t>
  </si>
  <si>
    <t>IP20182085</t>
  </si>
  <si>
    <t>27.02.2019</t>
  </si>
  <si>
    <t>21697-(hos)- not available ,20089(HOS)- Available</t>
  </si>
  <si>
    <t>PP-15, XPPH 5005 BK UV</t>
  </si>
  <si>
    <t>H2FY18-19</t>
  </si>
  <si>
    <t>15.07.2019</t>
  </si>
  <si>
    <t>PP -1  Silver Oak, APPCOM MF 3200 Silver OAK UV</t>
  </si>
  <si>
    <t>H1FY19-20</t>
  </si>
  <si>
    <t>IP20190791</t>
  </si>
  <si>
    <t>MX21103416</t>
  </si>
  <si>
    <t>03.06.2021</t>
  </si>
  <si>
    <t>cost sheet not available</t>
  </si>
  <si>
    <t>IP20190792</t>
  </si>
  <si>
    <t>21697-(Auroplascom) Not available ,  20089-(Karnataka Auroplascom)-Available</t>
  </si>
  <si>
    <t>PP -1  Silver Oak</t>
  </si>
  <si>
    <t>IP20190801</t>
  </si>
  <si>
    <t>21697-(Auroplascom) Not available ,  20089-(Karnataka Auroplascom)- Available</t>
  </si>
  <si>
    <t>IP20190821</t>
  </si>
  <si>
    <t xml:space="preserve">21697-(Auroplascom)- Not available,20089 ( Karnataka Auroplascom) - Available,  Rejection given on BO cost, hence Rs. 0.08 given extra. </t>
  </si>
  <si>
    <t>ABS-2, DP-29M</t>
  </si>
  <si>
    <t>IP20190822</t>
  </si>
  <si>
    <t>PP -1 , APPCOM MF 3200 Silver OAK UV</t>
  </si>
  <si>
    <t>IP20181962</t>
  </si>
  <si>
    <t>02.02.2019</t>
  </si>
  <si>
    <t>PP -1 Beige ,APPCOM MF 3200 Beige  UV</t>
  </si>
  <si>
    <t>H2 FY 18-19</t>
  </si>
  <si>
    <t>IP20190823</t>
  </si>
  <si>
    <t>IP20190825</t>
  </si>
  <si>
    <t>IP20181965</t>
  </si>
  <si>
    <t xml:space="preserve">21697-(Auroplascom) Not available ,  20089-(Karnataka Auroplascom)-Available. Cost matched with available break up. </t>
  </si>
  <si>
    <t xml:space="preserve">PP -1 </t>
  </si>
  <si>
    <t>IP20181964</t>
  </si>
  <si>
    <t>PP -1 Beige , APPCOM MF 3200 Beige  UV</t>
  </si>
  <si>
    <t>IP20192840</t>
  </si>
  <si>
    <t>07.03.2020</t>
  </si>
  <si>
    <t>H2 FY19-20</t>
  </si>
  <si>
    <t>IP20190479</t>
  </si>
  <si>
    <t xml:space="preserve">IP No. is available but break up is not available. </t>
  </si>
  <si>
    <t>IP20190418</t>
  </si>
  <si>
    <t>IP20190478</t>
  </si>
  <si>
    <t>IP20192297</t>
  </si>
  <si>
    <t>19.12.2019</t>
  </si>
  <si>
    <t>PP-1 Silver Oak, APPCOM  MF 3200 Silver Oak UV</t>
  </si>
  <si>
    <t>H2FY19-20</t>
  </si>
  <si>
    <t>IP20190712</t>
  </si>
  <si>
    <t>27.07.2019</t>
  </si>
  <si>
    <t>PA-1, SXXIC</t>
  </si>
  <si>
    <t>H1 19-20</t>
  </si>
  <si>
    <t>21690-(Auroplascom) Not available ,  20089-(Karnataka Auroplascom)-Available</t>
  </si>
  <si>
    <t>IP20190723</t>
  </si>
  <si>
    <t>IP20221742</t>
  </si>
  <si>
    <t>23.01.2023</t>
  </si>
  <si>
    <t>Stock norms considered as 7 turns against 5 turns, hence Rs. 0.02 added extra</t>
  </si>
  <si>
    <t>PP-1, APPCOM HC 5001 BK</t>
  </si>
  <si>
    <t>H2FY22-23</t>
  </si>
  <si>
    <t>13.01.2022</t>
  </si>
  <si>
    <t>PP-1, Black, APPCOM HC 5000 BK UV</t>
  </si>
  <si>
    <t>Cost sheet Not available</t>
  </si>
  <si>
    <t>MX20102016</t>
  </si>
  <si>
    <t>16.01.2020</t>
  </si>
  <si>
    <t>06.12.2023</t>
  </si>
  <si>
    <t xml:space="preserve">21697(HP) - Not avl. </t>
  </si>
  <si>
    <t>No not avl</t>
  </si>
  <si>
    <t>24.03.2023</t>
  </si>
  <si>
    <t>PR20231101</t>
  </si>
  <si>
    <t>27.10.2023</t>
  </si>
  <si>
    <t>IP20190477</t>
  </si>
  <si>
    <t>13.06.2019</t>
  </si>
  <si>
    <t>21697-(Auroplascom) Not available ,  20089-(Karnataka Auroplascom)-Available. Rej is given over BO cost. Rs. 0.14 extra given</t>
  </si>
  <si>
    <t>PP-12, GPPN 1630</t>
  </si>
  <si>
    <t>IP20190762</t>
  </si>
  <si>
    <t>11.07.2019</t>
  </si>
  <si>
    <t>21691(Plasmotech)-Not available , 21401(Premier Plasmotech)-  Available</t>
  </si>
  <si>
    <t>PP-12</t>
  </si>
  <si>
    <t>Q2 19-20</t>
  </si>
  <si>
    <t>IP20190999</t>
  </si>
  <si>
    <t>30.07.2019</t>
  </si>
  <si>
    <t xml:space="preserve">21590(Auroplascom)- Not available, 20089(Karnataka Auroplascom)- Available. Rejection given on BO cost. Rs. 0.12 added extra. </t>
  </si>
  <si>
    <t>PP-9a,APPCOM GF 1510 BK UV</t>
  </si>
  <si>
    <t>J121199</t>
  </si>
  <si>
    <t>INSERT M5x10</t>
  </si>
  <si>
    <t>BUSH,COWLBOTTOM</t>
  </si>
  <si>
    <t>IP20180812</t>
  </si>
  <si>
    <t>21697-(Auroplascom) Not available ,  20089-(Karnataka Auroplascom)-Available,IN me3m price is not available …price is extended (PI20171521) and base price is not found</t>
  </si>
  <si>
    <t>H1FY18-19</t>
  </si>
  <si>
    <t>IP20180813</t>
  </si>
  <si>
    <t>01.03.2018</t>
  </si>
  <si>
    <t>Cost sheet not available. For 20089 also No number/ Manjunath/6 Sep 2018</t>
  </si>
  <si>
    <t>IP20180780</t>
  </si>
  <si>
    <t xml:space="preserve">21697-(Auroplascom) Not available ,  20089-(Karnataka Auroplascom)-Available,IN me3m price is not available …price is extended by 61.73(PI20171521) and base price is not found. Rej is given on BO cost. Rs. 0.25 given extra. </t>
  </si>
  <si>
    <t>IP20180814</t>
  </si>
  <si>
    <t xml:space="preserve">21697-(Auroplascom) Not available ,  20089-(Karnataka Auroplascom)-Available,IN me3m price is not available …price is extended (PI20171521) and base price is not found </t>
  </si>
  <si>
    <t>IP20180815</t>
  </si>
  <si>
    <t xml:space="preserve">21697-(Auroplascom) Not available ,  20089-(Karnataka Auroplascom)-Available,IN me3m price is not available …price is extended (PI20181082) and base price is not found </t>
  </si>
  <si>
    <t>IP20192839</t>
  </si>
  <si>
    <t>21697-(Auroplascom) Not available ,  20089-(Karnataka Auroplascom)-Available. Rejection is given on the BO Cost and hence Rs. 0.11 added extra</t>
  </si>
  <si>
    <t xml:space="preserve">21691(Plasmotech)-Not available,21401(Premier Plasmotech)- Available,Scrap cost. Rs. 3 considered. </t>
  </si>
  <si>
    <t>IP20192836</t>
  </si>
  <si>
    <t>IP20192296</t>
  </si>
  <si>
    <t>PP-1 , APPCOM  MF 3200 Silver Oak UV</t>
  </si>
  <si>
    <t>Cost sheet not available. 20089 - No PO is available</t>
  </si>
  <si>
    <t>PC-13,Bayblend FR 3010 from Covestro</t>
  </si>
  <si>
    <t>Hot foiling cost</t>
  </si>
  <si>
    <t>Parts per Jig</t>
  </si>
  <si>
    <t>Paint Cost</t>
  </si>
  <si>
    <t>Painting Hourly rate</t>
  </si>
  <si>
    <t>Jigs output per hour</t>
  </si>
  <si>
    <t>Painting cost</t>
  </si>
  <si>
    <t>Repainting, %</t>
  </si>
  <si>
    <t>Repainting Cost, Rs</t>
  </si>
  <si>
    <t>Scrap of painted parts</t>
  </si>
  <si>
    <t>Scrap Cost, Rs</t>
  </si>
  <si>
    <t>Jigs reqd per day</t>
  </si>
  <si>
    <t>No of Rotations</t>
  </si>
  <si>
    <t>Total Jigs reqd per day</t>
  </si>
  <si>
    <t>Cost per jig</t>
  </si>
  <si>
    <t>Cost Per Jig, Rs</t>
  </si>
  <si>
    <t>Ammortization years</t>
  </si>
  <si>
    <t>Jig Cost, Rs</t>
  </si>
  <si>
    <t>Paint Conversion Cost, Rs</t>
  </si>
  <si>
    <t>Painting P &amp; OH, %</t>
  </si>
  <si>
    <t>Painting P &amp; OH, Rs</t>
  </si>
  <si>
    <t>Plastic Part cost</t>
  </si>
  <si>
    <t>Hot foil MSR</t>
  </si>
  <si>
    <t>HF Cycle Time</t>
  </si>
  <si>
    <t>HT Cavity nos</t>
  </si>
  <si>
    <t>HF Parts Per shift</t>
  </si>
  <si>
    <t>Foil Usage, sq.m</t>
  </si>
  <si>
    <t>Foil Rej cost, Rs</t>
  </si>
  <si>
    <t>Total Foil Usage,sq.m</t>
  </si>
  <si>
    <t>Foil Cost per sq.m</t>
  </si>
  <si>
    <t>Foil Material cost</t>
  </si>
  <si>
    <t>Total Hot foil Cost per part</t>
  </si>
  <si>
    <t>Colouring charges</t>
  </si>
  <si>
    <t>sree lakshmi</t>
  </si>
  <si>
    <t>OTHER JUPITER 125</t>
  </si>
  <si>
    <t>21697(HOS)-Cost sheet is not available in IPSF.   20089-PR Num available.</t>
  </si>
  <si>
    <t>21697(Hp)-Cost sheet is not available in IPSF.</t>
  </si>
  <si>
    <t>21697(HOS)-Cost sheet is not available in IPSF. 20089/PR20180104/Sreelakshmi/4 Jan 2108</t>
  </si>
  <si>
    <t>21697(Hp)-Cost sheet is not available in IPSF.20089/PR20180105/Sreelakshmi/2Jan2018</t>
  </si>
  <si>
    <t>21590(MYSR)-Cost sheet is not available In IPSF.20089/PR20180104/Sreelakshmi/4 Jan 2108</t>
  </si>
  <si>
    <t>21697(HOS)-Cost sheet is not available in IPSF.  20089/PR20180104/Sreelakshmi/4 Jan 2108</t>
  </si>
  <si>
    <t>presently supplier is not supplying confirmed in meq3.  20089/PR20180104/Sreelakshmi/4 Jan 2108</t>
  </si>
  <si>
    <t>21590(MYSR)-Cost sheet is not available In IPSF.  20089/PR20180104/Sreelakshmi/4 Jan 2108</t>
  </si>
  <si>
    <t>Cost sheet not available in IPSF. Extended. 20089/PR20180104/Sreelakshmi/4 Jan 2108</t>
  </si>
  <si>
    <t>IP20212175</t>
  </si>
  <si>
    <t>vishnu K vijayan</t>
  </si>
  <si>
    <t>D Vishnu priya</t>
  </si>
  <si>
    <t>mar-21-22</t>
  </si>
  <si>
    <t>yes</t>
  </si>
  <si>
    <t>IP20212167</t>
  </si>
  <si>
    <t>PA- 8  AS PER TSMS  9720, Stanyl TW341 from DSM</t>
  </si>
  <si>
    <t>PA- 8  AS PER TSMS  9720.Stanyl TW341 from DSM</t>
  </si>
  <si>
    <t>Anantharaj Kandhasamy</t>
  </si>
  <si>
    <t>may-1-23</t>
  </si>
  <si>
    <t xml:space="preserve">Stanyl </t>
  </si>
  <si>
    <t>IP20230146</t>
  </si>
  <si>
    <t>PR20231011</t>
  </si>
  <si>
    <t>anuj kumar</t>
  </si>
  <si>
    <t xml:space="preserve">Cost sheet not available for 21691. </t>
  </si>
  <si>
    <t>K.Barani Kumar</t>
  </si>
  <si>
    <t>Aug-3-23</t>
  </si>
  <si>
    <t>Scrap Cost added and hence Rs. 0.26 added extra</t>
  </si>
  <si>
    <t xml:space="preserve">THERMOFIL HP F211X99 </t>
  </si>
  <si>
    <t>IP20202531</t>
  </si>
  <si>
    <t>Gururaj rampur</t>
  </si>
  <si>
    <t>K U sree lakshmi</t>
  </si>
  <si>
    <t>mar-31-21</t>
  </si>
  <si>
    <t>Rej is given on BO cost. Hence Rs. 0.06 added extra</t>
  </si>
  <si>
    <t>PP-1, PP UNFILLED AS PER TSMS 9745, Mi3530</t>
  </si>
  <si>
    <t>MX23105576</t>
  </si>
  <si>
    <t>Vishnu priya</t>
  </si>
  <si>
    <t>legacy cost added.</t>
  </si>
  <si>
    <t>Considered the break up available with legacy cost</t>
  </si>
  <si>
    <t>IP20212176</t>
  </si>
  <si>
    <t>PA66+30%GF</t>
  </si>
  <si>
    <t xml:space="preserve">21691(MYSR)-Cost sheet is not available. PR No is available with break up. </t>
  </si>
  <si>
    <t>IP20202028</t>
  </si>
  <si>
    <t>Jan-20-21</t>
  </si>
  <si>
    <t>NYLON 6, SXXIC Black</t>
  </si>
  <si>
    <t>NYLON 6</t>
  </si>
  <si>
    <t>Jun-20-23</t>
  </si>
  <si>
    <t>PP - 1 COLOUR BLACK AS PER TSMS 9745, APPCOM 5000BK UV</t>
  </si>
  <si>
    <t>IP20230243</t>
  </si>
  <si>
    <t>may-22-23</t>
  </si>
  <si>
    <t xml:space="preserve">PP - 1 COLOR BLACK AS PER TSMS 9745, APPCOM HC 5001 BK / EXP 095070 A Black / BS 9285 YZ </t>
  </si>
  <si>
    <t xml:space="preserve">Same cost of 21697 is extended to 21590 also. </t>
  </si>
  <si>
    <t>IP20201851</t>
  </si>
  <si>
    <t>Dec-16-20</t>
  </si>
  <si>
    <t>Scrap cos is added and Rs. 0.12 given extra</t>
  </si>
  <si>
    <t>21691(MYSR)-Cost sheet is not available.  Breakup is not given.</t>
  </si>
  <si>
    <t>IP20220462</t>
  </si>
  <si>
    <t>A.Amal Raj</t>
  </si>
  <si>
    <t>jun-21-22</t>
  </si>
  <si>
    <t>H1 FY 22 23</t>
  </si>
  <si>
    <t>IP20201719</t>
  </si>
  <si>
    <t>PA6-30% GF AS PER TSMS 9720, Nylon 6 with 30% glass filler (Tufnyl SGF 30Black )</t>
  </si>
  <si>
    <t>Dec-22-20</t>
  </si>
  <si>
    <t>_</t>
  </si>
  <si>
    <t>Scrap cos is added and Rs. 0.16 given extra</t>
  </si>
  <si>
    <t xml:space="preserve"> H1 FY 23 24</t>
  </si>
  <si>
    <t>IP20230396</t>
  </si>
  <si>
    <t>IP20181521</t>
  </si>
  <si>
    <t>PP-3 AS PER TSMS 9745 - PP-3, APPCOM 1020BK</t>
  </si>
  <si>
    <t>PP-3 AS PER TSMS 9745 - PP-3, PP-3 _NON UV, APPCOM 1020BK</t>
  </si>
  <si>
    <t>A.Gopinath</t>
  </si>
  <si>
    <t>Nov-27-18</t>
  </si>
  <si>
    <t>21677(HOS)-cost sheet is not available.</t>
  </si>
  <si>
    <t>ABS-2 BLACK AS PER TSMS 9700</t>
  </si>
  <si>
    <t>IP20181522</t>
  </si>
  <si>
    <t>PP-1, BLACK AS PER TSMS 9745</t>
  </si>
  <si>
    <t>Nov-22-21</t>
  </si>
  <si>
    <t>IP20211347</t>
  </si>
  <si>
    <t>IP20211346</t>
  </si>
  <si>
    <t>IP20230441</t>
  </si>
  <si>
    <t>june-20-23</t>
  </si>
  <si>
    <t>IP20230442</t>
  </si>
  <si>
    <t>ABS-2 BLACK AS PER TSMS 9700,DP29</t>
  </si>
  <si>
    <t>IP20201759</t>
  </si>
  <si>
    <t>Dec-10-20</t>
  </si>
  <si>
    <t>PP-1 BLACK AS PER TSMS 9745-UV</t>
  </si>
  <si>
    <t>IP20201758</t>
  </si>
  <si>
    <t>IP20230406</t>
  </si>
  <si>
    <t>Jun-8-23</t>
  </si>
  <si>
    <t>Scrap Cost added and hence Rs. 0.11 added extra</t>
  </si>
  <si>
    <t>IP20230407</t>
  </si>
  <si>
    <t>IP20201767</t>
  </si>
  <si>
    <t>Dec-11-20</t>
  </si>
  <si>
    <t>No</t>
  </si>
  <si>
    <t>Me3m not found but input weight matching.</t>
  </si>
  <si>
    <t>IP20201768</t>
  </si>
  <si>
    <t>IP20230891</t>
  </si>
  <si>
    <t>IP20230425</t>
  </si>
  <si>
    <t>PP-1 BLACK AS PER TSMS 9745, PP-1 BLACK UV</t>
  </si>
  <si>
    <t>IP20230426</t>
  </si>
  <si>
    <t>PP-1 BLACK AS PER TSMS 9745, PP1 Black UV</t>
  </si>
  <si>
    <t>IP20230429</t>
  </si>
  <si>
    <t>PP-1 BLACK AS PER TSMS 9745,PP-1 BLACK UV</t>
  </si>
  <si>
    <t>IP20230410</t>
  </si>
  <si>
    <t>jun-20-23</t>
  </si>
  <si>
    <t>N6224460_1</t>
  </si>
  <si>
    <t>Top Stay Headlamp</t>
  </si>
  <si>
    <t>N6224460_2</t>
  </si>
  <si>
    <t>Bottom Stay Headlamp</t>
  </si>
  <si>
    <t>PP - 1</t>
  </si>
  <si>
    <t>PP-1 BLACK AS PER TSMS 9745, PP - 1</t>
  </si>
  <si>
    <t>IP20201757</t>
  </si>
  <si>
    <t>IP20230414</t>
  </si>
  <si>
    <t>ABS-2 BLACK AS PER TSMS 9700, DP29</t>
  </si>
  <si>
    <t>IP20201756</t>
  </si>
  <si>
    <t>IP20230412</t>
  </si>
  <si>
    <t>IP20230430</t>
  </si>
  <si>
    <t>Scrap cost added and hence Rs. 0.27 given extra</t>
  </si>
  <si>
    <t>PA-3 BLACK AS PER TSMS 9720 , Nylon 6 with 15% GF NON UV</t>
  </si>
  <si>
    <t>jul-31-23</t>
  </si>
  <si>
    <t>Scrap cost added and hence Rs. 0.11 given extra</t>
  </si>
  <si>
    <t>IP20230395</t>
  </si>
  <si>
    <t>TPE-3 AS PER TSMS 9920, TPE - 3</t>
  </si>
  <si>
    <t>/</t>
  </si>
  <si>
    <t>IP20230422</t>
  </si>
  <si>
    <t>TPE-3 TPE-3 AS PER TSMS 9920, TPE - 3, Neoflex 8165-11</t>
  </si>
  <si>
    <t>IP20201769</t>
  </si>
  <si>
    <t>PP-9 COLOR BLACK AS PER TSMS 9745, APPCOM GF 1510 BK (NON-UV)</t>
  </si>
  <si>
    <t>IP20201765</t>
  </si>
  <si>
    <t>IP20211349</t>
  </si>
  <si>
    <t>IP20230400</t>
  </si>
  <si>
    <t>PP-9a BLACK AS PER TSMS 9745. APPCOM GF 1510 BK UV</t>
  </si>
  <si>
    <t>IP20230431</t>
  </si>
  <si>
    <t>jun-8-23</t>
  </si>
  <si>
    <t>PC-12 Lexan 143 R 701 Black</t>
  </si>
  <si>
    <t>IP20230421</t>
  </si>
  <si>
    <t>PP - 3 BLACK AS PER TSMS 9745,APPCOM 1020BK</t>
  </si>
  <si>
    <t>IP20230433</t>
  </si>
  <si>
    <t>Scrap cost added and hence Rs. 0.26 given extra</t>
  </si>
  <si>
    <t>PA-3 AS PER TSMS 9720, Nylon 6 with 15% GF</t>
  </si>
  <si>
    <t>IP20202027</t>
  </si>
  <si>
    <t>jan-20-21</t>
  </si>
  <si>
    <t>Rejection given on BO cost and hence Rs. 0.06 given extra</t>
  </si>
  <si>
    <t>PP-1 BLACK AS PER TSMS 9745, Mi3530</t>
  </si>
  <si>
    <t>Rejection given on BO cost and hence Rs. 0.04 given extra</t>
  </si>
  <si>
    <t>legacy cost added.21590-cost sheet not available in IPSF.</t>
  </si>
  <si>
    <t>IP20211350</t>
  </si>
  <si>
    <t>Q3 FY 21 22</t>
  </si>
  <si>
    <t>PP-9a BLACK AS PER TSMS 9745, APPCOM GF 1510 BK UV</t>
  </si>
  <si>
    <t>IP20230387</t>
  </si>
  <si>
    <t>IP20202306</t>
  </si>
  <si>
    <t>feb-25-21</t>
  </si>
  <si>
    <t>IP20230423</t>
  </si>
  <si>
    <t>PP-1 BLACK AS PER TSMS 9745-UV, APPCOM 5000BK UV</t>
  </si>
  <si>
    <t>IP20202307</t>
  </si>
  <si>
    <t>IP20230403</t>
  </si>
  <si>
    <t>PP-1 BLACK AS PER TSMS 9745, APPCOM 5000BK UV</t>
  </si>
  <si>
    <t>IP20202418</t>
  </si>
  <si>
    <t>mar-10-21</t>
  </si>
  <si>
    <t>IP20230404</t>
  </si>
  <si>
    <t>N6200110</t>
  </si>
  <si>
    <t>Spring</t>
  </si>
  <si>
    <t>N6225470</t>
  </si>
  <si>
    <t>Logo Cover Frame R</t>
  </si>
  <si>
    <t>extended from mysr plant to hosur plant. Cost sheet not available in IPSF(21697)</t>
  </si>
  <si>
    <t>extended from hos plant to hp plant.</t>
  </si>
  <si>
    <t>IP20210660</t>
  </si>
  <si>
    <t>Aug-1-20</t>
  </si>
  <si>
    <t>Rej added on BO cost and Stock norms considered 7 turns against 5 turns</t>
  </si>
  <si>
    <t>PA 4 Tufnyl SGF 30 Black</t>
  </si>
  <si>
    <t>21697(hos)cost sheet not available.20089-PR num available.</t>
  </si>
  <si>
    <t>MX20102325</t>
  </si>
  <si>
    <t>manjunath</t>
  </si>
  <si>
    <t>21590(mysr)cost sheet not available..20089(mysr)-PR num available.</t>
  </si>
  <si>
    <t>IP20160895</t>
  </si>
  <si>
    <t>mysr</t>
  </si>
  <si>
    <t>D.Manjunatha</t>
  </si>
  <si>
    <t>apr-1-16</t>
  </si>
  <si>
    <t>21590(MYSR)-Cost sheet is not available. 
1. ICC given on rejection cost. 
2. Profit given on rejection cost</t>
  </si>
  <si>
    <t>PP-1 MI3530</t>
  </si>
  <si>
    <t>Q1 FY 16 17</t>
  </si>
  <si>
    <t>IP20162187</t>
  </si>
  <si>
    <t>hos</t>
  </si>
  <si>
    <t>Feb-24-17</t>
  </si>
  <si>
    <t>21697(HOS)-Cost sheet is not available. 
1. ICC given on rejection cost. 
2. Profit given on rejection cost</t>
  </si>
  <si>
    <t>H2 FY 16 17</t>
  </si>
  <si>
    <t>IP20160341</t>
  </si>
  <si>
    <t>PP-I</t>
  </si>
  <si>
    <t>IP20191277</t>
  </si>
  <si>
    <t>Aug-28-19</t>
  </si>
  <si>
    <t>PF-3 AS PER TSMS 027</t>
  </si>
  <si>
    <t>IP20201854</t>
  </si>
  <si>
    <t>dec-16-20</t>
  </si>
  <si>
    <t>PA 8 Stanyl TW341 from DSM</t>
  </si>
  <si>
    <t>IP20201855</t>
  </si>
  <si>
    <t>IP20182081</t>
  </si>
  <si>
    <t>feb-22-19</t>
  </si>
  <si>
    <t>PVC-6 (BLACK) AS PER TSMS 003</t>
  </si>
  <si>
    <t>IP20221125</t>
  </si>
  <si>
    <t>IP20192869</t>
  </si>
  <si>
    <t>Suman raj</t>
  </si>
  <si>
    <t>mar-14-20</t>
  </si>
  <si>
    <t>21691(MYSR)-cost sheet not available.</t>
  </si>
  <si>
    <t>PA - 2 (COLOUR NATURAL OR BLACK) AS PER TSMS 9720, Nylon 6 with 15% mineral filler, from Tufnyl SMF 15 T Black from SRF</t>
  </si>
  <si>
    <t xml:space="preserve">NF080330_1 </t>
  </si>
  <si>
    <t>NF080330_2</t>
  </si>
  <si>
    <t>IP20221142</t>
  </si>
  <si>
    <t>D. Vishnu priya</t>
  </si>
  <si>
    <t>apr-1-22</t>
  </si>
  <si>
    <t>Stock norms considered 7 as against 5 turns. Rs.  0.12 given extra</t>
  </si>
  <si>
    <t>PP-1 APPCOM HC 5000 BK UV, APPCOM HC 5000 BK UV</t>
  </si>
  <si>
    <t>IP20180226</t>
  </si>
  <si>
    <t>apr-28-18</t>
  </si>
  <si>
    <t>21590(MYSR)-Cost sheet not available.</t>
  </si>
  <si>
    <t>PP-9 GPP-2610NC002</t>
  </si>
  <si>
    <t>H2 FY 17 18</t>
  </si>
  <si>
    <t>IP20201323</t>
  </si>
  <si>
    <t>oct-9-20</t>
  </si>
  <si>
    <t>PA-1 SXXIC Black</t>
  </si>
  <si>
    <t>H1 FY 20 21</t>
  </si>
  <si>
    <t>dec-4-20</t>
  </si>
  <si>
    <t>PP-3 APPCOM HC 1020 BK UV, APPCOM HC 1020 BK UV</t>
  </si>
  <si>
    <t>IP20201649</t>
  </si>
  <si>
    <t>GUIDE</t>
  </si>
  <si>
    <t>GROM RR COMB LAMP</t>
  </si>
  <si>
    <t>CUSH HSG HEAD LAMP</t>
  </si>
  <si>
    <t>O RING  ENG SPRKT SPACR</t>
  </si>
  <si>
    <t>CUSH FUEL TNK CEN</t>
  </si>
  <si>
    <t>DUST SEAL FR BRK CABLE</t>
  </si>
  <si>
    <t>ABSORBER RR WHEEL HUB SHOCK</t>
  </si>
  <si>
    <t>CUSHION  R.C.LAMP</t>
  </si>
  <si>
    <t>PACKING - NEW</t>
  </si>
  <si>
    <t>DUST SEAL CHAIN COVER XT</t>
  </si>
  <si>
    <t>RIM TAPE</t>
  </si>
  <si>
    <t>TYRE XL 2.5X16 (STAR)</t>
  </si>
  <si>
    <t>TYRE FRONT (SHIMA) 2.5X16 XL</t>
  </si>
  <si>
    <t>BUTYL TUBE 2.25-16/2.50-16 XL</t>
  </si>
  <si>
    <t>TANK REST CUSHION TOP</t>
  </si>
  <si>
    <t>SEALING RING WHEEL HUB</t>
  </si>
  <si>
    <t>B4220380</t>
  </si>
  <si>
    <t>K122810</t>
  </si>
  <si>
    <t>CUSHION COVER FRAME</t>
  </si>
  <si>
    <t>K130190</t>
  </si>
  <si>
    <t>STOPPER SEAT</t>
  </si>
  <si>
    <t>K2010190</t>
  </si>
  <si>
    <t>K2010220</t>
  </si>
  <si>
    <t>COVER CYL HEAD PL</t>
  </si>
  <si>
    <t>K2040050</t>
  </si>
  <si>
    <t>K2040170</t>
  </si>
  <si>
    <t>HOSE SAI INLET</t>
  </si>
  <si>
    <t>K2040180</t>
  </si>
  <si>
    <t>HOSE AIR CUT VALVE</t>
  </si>
  <si>
    <t>K2040200</t>
  </si>
  <si>
    <t>RUBBER CAP</t>
  </si>
  <si>
    <t>K2040320</t>
  </si>
  <si>
    <t>CAP INJECTOR</t>
  </si>
  <si>
    <t>K2040330</t>
  </si>
  <si>
    <t>K2040540</t>
  </si>
  <si>
    <t>K2040880</t>
  </si>
  <si>
    <t>CAP INJECTOR COMP</t>
  </si>
  <si>
    <t>K2060400</t>
  </si>
  <si>
    <t>DAMPER RUBBER  ISG</t>
  </si>
  <si>
    <t>K210800</t>
  </si>
  <si>
    <t>O RING</t>
  </si>
  <si>
    <t>K2110020</t>
  </si>
  <si>
    <t>TYRE TUBELESS 12  10000  FRONT</t>
  </si>
  <si>
    <t>K2110060</t>
  </si>
  <si>
    <t>TYRE TUBELESS 12  11000  REAR</t>
  </si>
  <si>
    <t>K211110</t>
  </si>
  <si>
    <t>BAND HEADLAMP</t>
  </si>
  <si>
    <t>K2120570</t>
  </si>
  <si>
    <t>BATTERY BOX BOT</t>
  </si>
  <si>
    <t>K2130100</t>
  </si>
  <si>
    <t>SEAT ASSY KIT</t>
  </si>
  <si>
    <t>K2130110</t>
  </si>
  <si>
    <t>Seat assy 1</t>
  </si>
  <si>
    <t>K2140030</t>
  </si>
  <si>
    <t>FUEL TANK COMP</t>
  </si>
  <si>
    <t>K2140190</t>
  </si>
  <si>
    <t>HOSE VACUUM 1</t>
  </si>
  <si>
    <t>K2140230</t>
  </si>
  <si>
    <t>HOSE CARBURETTOR</t>
  </si>
  <si>
    <t>K2140250</t>
  </si>
  <si>
    <t>K2140290</t>
  </si>
  <si>
    <t>HOSE CANISTER</t>
  </si>
  <si>
    <t>K2160480</t>
  </si>
  <si>
    <t>CABLE STRAP</t>
  </si>
  <si>
    <t>K2161060</t>
  </si>
  <si>
    <t>BOOT ECU</t>
  </si>
  <si>
    <t>K2180040</t>
  </si>
  <si>
    <t>K2180050</t>
  </si>
  <si>
    <t>K2180060</t>
  </si>
  <si>
    <t>K2180100</t>
  </si>
  <si>
    <t>BEADING COWL TOP R</t>
  </si>
  <si>
    <t>K2180110</t>
  </si>
  <si>
    <t>BEADING COWL BOT L</t>
  </si>
  <si>
    <t>K2180120</t>
  </si>
  <si>
    <t>BEADING COWL BOT R</t>
  </si>
  <si>
    <t>K2180140</t>
  </si>
  <si>
    <t>K2180150</t>
  </si>
  <si>
    <t>K2180160GL</t>
  </si>
  <si>
    <t>FAN ENGINE COOLING - NEON GREEN</t>
  </si>
  <si>
    <t>K2180290</t>
  </si>
  <si>
    <t>HOUSING FAN EFI</t>
  </si>
  <si>
    <t>K2180300</t>
  </si>
  <si>
    <t>DEFLECTOR EFI</t>
  </si>
  <si>
    <t>K2180310</t>
  </si>
  <si>
    <t>COVER FAN EFI</t>
  </si>
  <si>
    <t>K2180340</t>
  </si>
  <si>
    <t>GROMMET PIPE INTAKE EFI</t>
  </si>
  <si>
    <t>K2180350</t>
  </si>
  <si>
    <t>K2180360</t>
  </si>
  <si>
    <t>GROMMET PIPE INTAKE L</t>
  </si>
  <si>
    <t>K2180510</t>
  </si>
  <si>
    <t>GROMMET SENSOR</t>
  </si>
  <si>
    <t>K2180910</t>
  </si>
  <si>
    <t>GROMMET PIPE INTAKE LH</t>
  </si>
  <si>
    <t>K2200130</t>
  </si>
  <si>
    <t>SNAP RIVET PLASTIC</t>
  </si>
  <si>
    <t>K2220500</t>
  </si>
  <si>
    <t>K2220630</t>
  </si>
  <si>
    <t>SIDE PANEL REAR L TOP</t>
  </si>
  <si>
    <t>K2220640</t>
  </si>
  <si>
    <t>SIDE PANEL REAR R TOP</t>
  </si>
  <si>
    <t>K2220650</t>
  </si>
  <si>
    <t>TAIL COVER CTR</t>
  </si>
  <si>
    <t>K2220930</t>
  </si>
  <si>
    <t>K2223460</t>
  </si>
  <si>
    <t>UTILITY BOX ASSY</t>
  </si>
  <si>
    <t>K3010750</t>
  </si>
  <si>
    <t>PACKING SEAL COVER CYL HEAD</t>
  </si>
  <si>
    <t>K3040670</t>
  </si>
  <si>
    <t>HOSE AIR ENTRY</t>
  </si>
  <si>
    <t>K3041330</t>
  </si>
  <si>
    <t>HOSE AIR OUTLET</t>
  </si>
  <si>
    <t>K3081950</t>
  </si>
  <si>
    <t>TUBE INLET CVT</t>
  </si>
  <si>
    <t>K3081960</t>
  </si>
  <si>
    <t>K3081970</t>
  </si>
  <si>
    <t>FOAM FILTER</t>
  </si>
  <si>
    <t>K3082170</t>
  </si>
  <si>
    <t>BUSH KICK STARTER SUPPORT PLATE</t>
  </si>
  <si>
    <t>K3082190</t>
  </si>
  <si>
    <t>BUSH KICK STARTER SHAFT</t>
  </si>
  <si>
    <t>K3082560</t>
  </si>
  <si>
    <t>GEAR OIL PUMP DRIVE NEW</t>
  </si>
  <si>
    <t>K3090310</t>
  </si>
  <si>
    <t>DAMPER TOGGLE LINK</t>
  </si>
  <si>
    <t>K3120800</t>
  </si>
  <si>
    <t>STOPPER CENTER STAND</t>
  </si>
  <si>
    <t>K3123850</t>
  </si>
  <si>
    <t>FOOTREST COMP PILLION</t>
  </si>
  <si>
    <t>K3130280</t>
  </si>
  <si>
    <t>SEAT COMP BLACK NEW -PEP</t>
  </si>
  <si>
    <t>K3130480</t>
  </si>
  <si>
    <t>K3130570</t>
  </si>
  <si>
    <t>K3140120</t>
  </si>
  <si>
    <t>CAP ASSY FUEL TANK PEP+ ZEST</t>
  </si>
  <si>
    <t>K3140620</t>
  </si>
  <si>
    <t>HOSE VACUUM (345mm LONG) - PEP +</t>
  </si>
  <si>
    <t>K3140860</t>
  </si>
  <si>
    <t>K3140880</t>
  </si>
  <si>
    <t>Hose injector ASSY</t>
  </si>
  <si>
    <t>K3180280</t>
  </si>
  <si>
    <t>FAN</t>
  </si>
  <si>
    <t>K3180760</t>
  </si>
  <si>
    <t>K4040370</t>
  </si>
  <si>
    <t>K4040380</t>
  </si>
  <si>
    <t>HOSE AIR INLET</t>
  </si>
  <si>
    <t>K4040440</t>
  </si>
  <si>
    <t>K4100160</t>
  </si>
  <si>
    <t>COVER FORK TUBE COMP L</t>
  </si>
  <si>
    <t>K4100170</t>
  </si>
  <si>
    <t>COVER FORK TUBE COMP R</t>
  </si>
  <si>
    <t>K4121390</t>
  </si>
  <si>
    <t>BATTERY HOLDER BSVI</t>
  </si>
  <si>
    <t>K4130210</t>
  </si>
  <si>
    <t>SEAT ASSY MATTE ZEST BSVI</t>
  </si>
  <si>
    <t>K4130260</t>
  </si>
  <si>
    <t>SEAT ASSY BASIC</t>
  </si>
  <si>
    <t>K4140040</t>
  </si>
  <si>
    <t>K4140180</t>
  </si>
  <si>
    <t>FUEL TANK COMP BSVI</t>
  </si>
  <si>
    <t>K4140190</t>
  </si>
  <si>
    <t>CAP FUEL TANK ASSY</t>
  </si>
  <si>
    <t>K4140200</t>
  </si>
  <si>
    <t>K4140240</t>
  </si>
  <si>
    <t>K4180090</t>
  </si>
  <si>
    <t>GROMMET</t>
  </si>
  <si>
    <t>K4180160</t>
  </si>
  <si>
    <t>K4180170</t>
  </si>
  <si>
    <t>K4220180</t>
  </si>
  <si>
    <t>MUDGUARD FRONT</t>
  </si>
  <si>
    <t>K4220230</t>
  </si>
  <si>
    <t>K4220379</t>
  </si>
  <si>
    <t>PILLION HANDLE</t>
  </si>
  <si>
    <t>K4220419</t>
  </si>
  <si>
    <t>COVER SWITCH L</t>
  </si>
  <si>
    <t>K4220429</t>
  </si>
  <si>
    <t>COVER SWITCH R</t>
  </si>
  <si>
    <t>K4220950</t>
  </si>
  <si>
    <t>K4221370</t>
  </si>
  <si>
    <t>K4221540</t>
  </si>
  <si>
    <t>K4221700</t>
  </si>
  <si>
    <t>SLEEVE PANEL</t>
  </si>
  <si>
    <t>K4222050</t>
  </si>
  <si>
    <t>PANEL REAR SUB ASSY SILVER OAK</t>
  </si>
  <si>
    <t>K4223140</t>
  </si>
  <si>
    <t>K6010540</t>
  </si>
  <si>
    <t>TENSIONER CAMCHAIN - WEGO</t>
  </si>
  <si>
    <t>K6010550</t>
  </si>
  <si>
    <t>GUIDE CAMCHAIN - WEGO</t>
  </si>
  <si>
    <t>K6040340</t>
  </si>
  <si>
    <t>HOSE SAI OUTLET</t>
  </si>
  <si>
    <t>K6040350</t>
  </si>
  <si>
    <t>AIR FILTER ASSY SAI - WEGO</t>
  </si>
  <si>
    <t>K6040400</t>
  </si>
  <si>
    <t>HOSE AIR CUT VALVE - WEGO</t>
  </si>
  <si>
    <t>K6040660</t>
  </si>
  <si>
    <t>AIR CLEANER ASSY ASSY JUPITER</t>
  </si>
  <si>
    <t>K6040910</t>
  </si>
  <si>
    <t>HOSE CRANKCASE BREATHER</t>
  </si>
  <si>
    <t>K6041210</t>
  </si>
  <si>
    <t>K6041300</t>
  </si>
  <si>
    <t>K6080800</t>
  </si>
  <si>
    <t>COVER FAN CVT - WEGO</t>
  </si>
  <si>
    <t>K6081170</t>
  </si>
  <si>
    <t>DAMPER MOVABLE DRIVE 1 - WEGO</t>
  </si>
  <si>
    <t>K6081400</t>
  </si>
  <si>
    <t>FOAM CVT FILTER</t>
  </si>
  <si>
    <t>K6111150</t>
  </si>
  <si>
    <t>TYRE TUBELESS 12  9000  FRONT</t>
  </si>
  <si>
    <t>K6111160</t>
  </si>
  <si>
    <t>TYRE TUBELESS 90/90 - 12  JUPITER</t>
  </si>
  <si>
    <t>K6122340</t>
  </si>
  <si>
    <t>TRAY BATTERY HOLDER - WEGO</t>
  </si>
  <si>
    <t>K6122650</t>
  </si>
  <si>
    <t>PILLION FOOTREST R</t>
  </si>
  <si>
    <t>K6122660</t>
  </si>
  <si>
    <t>PILLION FOOTREST L</t>
  </si>
  <si>
    <t>K6122670</t>
  </si>
  <si>
    <t>BATTERY HOLDER COMP MOD WEGO</t>
  </si>
  <si>
    <t>K6123320</t>
  </si>
  <si>
    <t>K6130390</t>
  </si>
  <si>
    <t>K6130420</t>
  </si>
  <si>
    <t>SEAT ASSY JUPCLAS BSVI</t>
  </si>
  <si>
    <t>K6130520</t>
  </si>
  <si>
    <t>K6130560</t>
  </si>
  <si>
    <t>SEAT ASSY 2</t>
  </si>
  <si>
    <t>K6130600</t>
  </si>
  <si>
    <t>SEAT ASSY 1</t>
  </si>
  <si>
    <t>K6130620</t>
  </si>
  <si>
    <t>K6130700</t>
  </si>
  <si>
    <t>K6140030</t>
  </si>
  <si>
    <t>FUEL TANK COMP - WEGO</t>
  </si>
  <si>
    <t>K6140170</t>
  </si>
  <si>
    <t>HOSE AFC TO CARBURETTOR - WEGO</t>
  </si>
  <si>
    <t>K6140300</t>
  </si>
  <si>
    <t>FUEL TANK COMP JUPITER</t>
  </si>
  <si>
    <t>K6140320</t>
  </si>
  <si>
    <t>K6140380</t>
  </si>
  <si>
    <t>K6140420</t>
  </si>
  <si>
    <t>SEAL</t>
  </si>
  <si>
    <t>K6140490</t>
  </si>
  <si>
    <t>FUEL TANK EFI</t>
  </si>
  <si>
    <t>K6140680</t>
  </si>
  <si>
    <t>K6140760</t>
  </si>
  <si>
    <t>K6140770</t>
  </si>
  <si>
    <t>K6140800</t>
  </si>
  <si>
    <t>K6140950</t>
  </si>
  <si>
    <t>HOSE ASSY 1</t>
  </si>
  <si>
    <t>K6180120</t>
  </si>
  <si>
    <t>GROMMET PIPE INTAKE - WEGO</t>
  </si>
  <si>
    <t>K6180130</t>
  </si>
  <si>
    <t>GROMMET TENSIONER ADJ - WEGO</t>
  </si>
  <si>
    <t>K6180220</t>
  </si>
  <si>
    <t>BEADING DEFLECTOR COWL - WEGO</t>
  </si>
  <si>
    <t>K6180230</t>
  </si>
  <si>
    <t>BEADING HOUSING - WEGO</t>
  </si>
  <si>
    <t>K6180500</t>
  </si>
  <si>
    <t>K6180690</t>
  </si>
  <si>
    <t>GROMMET PIPE INTAKE 1</t>
  </si>
  <si>
    <t>K6180700</t>
  </si>
  <si>
    <t>K6180810</t>
  </si>
  <si>
    <t>K6200230</t>
  </si>
  <si>
    <t>O-RING FUEL COCK</t>
  </si>
  <si>
    <t>K6220019</t>
  </si>
  <si>
    <t>HOUSING HEADLAMP FR UNPAINTED</t>
  </si>
  <si>
    <t>K6220079</t>
  </si>
  <si>
    <t>K6220100</t>
  </si>
  <si>
    <t>TAIL COVER CENTER - WEGO</t>
  </si>
  <si>
    <t>K6220279</t>
  </si>
  <si>
    <t>COVER BOTTOM TAIL CENTER UNPAINTED</t>
  </si>
  <si>
    <t>K6220650</t>
  </si>
  <si>
    <t>GRILL COVER FRONT - WEGO</t>
  </si>
  <si>
    <t>K6220900</t>
  </si>
  <si>
    <t>K6221790</t>
  </si>
  <si>
    <t>GRILL PANEL FRONT JUPITER</t>
  </si>
  <si>
    <t>K6221940</t>
  </si>
  <si>
    <t>COVER FUEL TANK JUPITER</t>
  </si>
  <si>
    <t>K6222180</t>
  </si>
  <si>
    <t>GROMMET, DASHBOARD JUPITER</t>
  </si>
  <si>
    <t>K6223040</t>
  </si>
  <si>
    <t>HOUSING HEADLAMP REAR - BEIGE</t>
  </si>
  <si>
    <t>K6223060</t>
  </si>
  <si>
    <t>FLOOR BOARD BEIGE</t>
  </si>
  <si>
    <t>K6223140</t>
  </si>
  <si>
    <t>COVER FR ASSY - BEIGE</t>
  </si>
  <si>
    <t>K6223150</t>
  </si>
  <si>
    <t>COVER FR ASSY L - BEIGE</t>
  </si>
  <si>
    <t>K6223160</t>
  </si>
  <si>
    <t>COVER FR ASSY R - BEIGE</t>
  </si>
  <si>
    <t>K6223419</t>
  </si>
  <si>
    <t>PILLION HANDLE UNPAINTED</t>
  </si>
  <si>
    <t>K6223830</t>
  </si>
  <si>
    <t>K6224020</t>
  </si>
  <si>
    <t>HOUSING HEADLAMP REAR CAP</t>
  </si>
  <si>
    <t>K6224040</t>
  </si>
  <si>
    <t>PANEL REAR</t>
  </si>
  <si>
    <t>K6224050</t>
  </si>
  <si>
    <t>K6224070</t>
  </si>
  <si>
    <t>K6224710</t>
  </si>
  <si>
    <t>K6224720</t>
  </si>
  <si>
    <t>K6224740</t>
  </si>
  <si>
    <t>COVER FR ASSY L</t>
  </si>
  <si>
    <t>K6224770</t>
  </si>
  <si>
    <t>COVER FR ASSY R</t>
  </si>
  <si>
    <t>K6225720</t>
  </si>
  <si>
    <t>K6225959</t>
  </si>
  <si>
    <t>K6226000</t>
  </si>
  <si>
    <t>GLOVE BOX FRONT</t>
  </si>
  <si>
    <t>K6226020</t>
  </si>
  <si>
    <t>K6226100</t>
  </si>
  <si>
    <t>K6226130</t>
  </si>
  <si>
    <t>GLOVE BOX TYP 2</t>
  </si>
  <si>
    <t>K6226930</t>
  </si>
  <si>
    <t>STICKER PANEL LH</t>
  </si>
  <si>
    <t>K6226970</t>
  </si>
  <si>
    <t>STICKER PANEL RH</t>
  </si>
  <si>
    <t>K6227090</t>
  </si>
  <si>
    <t>HOUSING HEADLAMP REAR 1</t>
  </si>
  <si>
    <t>K6227370</t>
  </si>
  <si>
    <t>HOUSING HEADLAMP SUB ASSY</t>
  </si>
  <si>
    <t>K6227750</t>
  </si>
  <si>
    <t>K6227760</t>
  </si>
  <si>
    <t>K6227770</t>
  </si>
  <si>
    <t>PANEL REAR ASSY</t>
  </si>
  <si>
    <t>K6227780</t>
  </si>
  <si>
    <t>K6227840</t>
  </si>
  <si>
    <t>K6227850</t>
  </si>
  <si>
    <t>K6227860</t>
  </si>
  <si>
    <t>K6227890</t>
  </si>
  <si>
    <t>STICKER SPECIAL</t>
  </si>
  <si>
    <t>K6228260</t>
  </si>
  <si>
    <t>LOGO SIDE PANEL  BLACK</t>
  </si>
  <si>
    <t>K6228400</t>
  </si>
  <si>
    <t>K6228570</t>
  </si>
  <si>
    <t>HOUSING HEADLAMP SUB-ASSY</t>
  </si>
  <si>
    <t>KA040050</t>
  </si>
  <si>
    <t>AIR CLEANER ASSY EFI</t>
  </si>
  <si>
    <t>KA040090</t>
  </si>
  <si>
    <t>KA040120</t>
  </si>
  <si>
    <t>KA120460</t>
  </si>
  <si>
    <t>KA160110</t>
  </si>
  <si>
    <t>KA160410</t>
  </si>
  <si>
    <t>KA180020</t>
  </si>
  <si>
    <t>KA180030</t>
  </si>
  <si>
    <t>BAG HOOK ASSY RR</t>
  </si>
  <si>
    <t>KE110290</t>
  </si>
  <si>
    <t>DUST SEAL COVER</t>
  </si>
  <si>
    <t>KE110490</t>
  </si>
  <si>
    <t>TYRE TUBELESS 12  9000  REAR EV</t>
  </si>
  <si>
    <t>KE130250</t>
  </si>
  <si>
    <t>KE160430</t>
  </si>
  <si>
    <t>COVER HOUSING CAP</t>
  </si>
  <si>
    <t>KE161460</t>
  </si>
  <si>
    <t>CLAMP CABLE CONNECTOR BATTERY</t>
  </si>
  <si>
    <t>KE161730</t>
  </si>
  <si>
    <t>GUIDE 1</t>
  </si>
  <si>
    <t>KE162560</t>
  </si>
  <si>
    <t>GUIDE 2</t>
  </si>
  <si>
    <t>KE163590</t>
  </si>
  <si>
    <t>CASE SCREW TYPE 1</t>
  </si>
  <si>
    <t>KE220080</t>
  </si>
  <si>
    <t>KE220170</t>
  </si>
  <si>
    <t>BAG HOOK ASSY</t>
  </si>
  <si>
    <t>KE220190</t>
  </si>
  <si>
    <t>KE220200</t>
  </si>
  <si>
    <t>LID BATTERY</t>
  </si>
  <si>
    <t>KE220229</t>
  </si>
  <si>
    <t>SIDE TRIM FLOOR FRONT L</t>
  </si>
  <si>
    <t>KE220239</t>
  </si>
  <si>
    <t>SIDE TRIM FLOOR FRONT R</t>
  </si>
  <si>
    <t>KE220240</t>
  </si>
  <si>
    <t>SIDE TRIM FLOOR REAR L</t>
  </si>
  <si>
    <t>KE220250</t>
  </si>
  <si>
    <t>SIDE TRIM FLOOR REAR R</t>
  </si>
  <si>
    <t>KE220269</t>
  </si>
  <si>
    <t>KE220279</t>
  </si>
  <si>
    <t>KE220309</t>
  </si>
  <si>
    <t>KE220429</t>
  </si>
  <si>
    <t>KE220439</t>
  </si>
  <si>
    <t>KE220479</t>
  </si>
  <si>
    <t>KE220600</t>
  </si>
  <si>
    <t>KE220769</t>
  </si>
  <si>
    <t>KE220870</t>
  </si>
  <si>
    <t>COVER SWING ARM CAP</t>
  </si>
  <si>
    <t>KE220910</t>
  </si>
  <si>
    <t>CAP COVER HANDLE REAR</t>
  </si>
  <si>
    <t>KE220980</t>
  </si>
  <si>
    <t>COVER BATTERY</t>
  </si>
  <si>
    <t>KE221069</t>
  </si>
  <si>
    <t>KE221090</t>
  </si>
  <si>
    <t>CAP UTILITY BOX 1</t>
  </si>
  <si>
    <t>KE221100</t>
  </si>
  <si>
    <t>CAP UTILITY BOX 2</t>
  </si>
  <si>
    <t>KE222060</t>
  </si>
  <si>
    <t>FLOOR BOARD 1</t>
  </si>
  <si>
    <t>KE223290</t>
  </si>
  <si>
    <t>KE223359</t>
  </si>
  <si>
    <t>KE240090</t>
  </si>
  <si>
    <t>GASKET TOP</t>
  </si>
  <si>
    <t>KE240420</t>
  </si>
  <si>
    <t>COVER BATTERY TOP</t>
  </si>
  <si>
    <t>KE240710</t>
  </si>
  <si>
    <t>KE240890</t>
  </si>
  <si>
    <t>INSERT SIGNAL</t>
  </si>
  <si>
    <t>KE240910</t>
  </si>
  <si>
    <t>SIDE CONNECTOR STOPPER POWER</t>
  </si>
  <si>
    <t>KE240920</t>
  </si>
  <si>
    <t>SIDE CONNECTOR STOPPER SIGNAL</t>
  </si>
  <si>
    <t>KE241860</t>
  </si>
  <si>
    <t>RUBBER BUSH</t>
  </si>
  <si>
    <t>KE242120</t>
  </si>
  <si>
    <t>KE242130</t>
  </si>
  <si>
    <t>GASKET BOTTOM</t>
  </si>
  <si>
    <t>KE242390</t>
  </si>
  <si>
    <t>GASKET SAFETY FLAP</t>
  </si>
  <si>
    <t>KL010190</t>
  </si>
  <si>
    <t>GUIDE CAMCHAIN PLAS</t>
  </si>
  <si>
    <t>KL010200</t>
  </si>
  <si>
    <t>TENSIONER CAMCHAIN PLAS</t>
  </si>
  <si>
    <t>KL040020</t>
  </si>
  <si>
    <t>KL070010</t>
  </si>
  <si>
    <t>KL140100</t>
  </si>
  <si>
    <t>INLET FUEL TANK COMP</t>
  </si>
  <si>
    <t>KL140130</t>
  </si>
  <si>
    <t>KL140150</t>
  </si>
  <si>
    <t>HOSE VENT</t>
  </si>
  <si>
    <t>KL140260</t>
  </si>
  <si>
    <t>HOSE BREATHER</t>
  </si>
  <si>
    <t>COVER FRONT BOTTOM L UNPAINTED</t>
  </si>
  <si>
    <t>COVER FRONT BOTTOM R UNPAINTED</t>
  </si>
  <si>
    <t>KL221310</t>
  </si>
  <si>
    <t>KL221320</t>
  </si>
  <si>
    <t>RIB LOCK</t>
  </si>
  <si>
    <t>COVER FR LH</t>
  </si>
  <si>
    <t>COVER FR RH</t>
  </si>
  <si>
    <t>COVER TOP L</t>
  </si>
  <si>
    <t>COVER TOP R</t>
  </si>
  <si>
    <t>COVER L</t>
  </si>
  <si>
    <t>COVER R</t>
  </si>
  <si>
    <t>M1010250</t>
  </si>
  <si>
    <t>GUIDE CAM CHAIN</t>
  </si>
  <si>
    <t>M1080990</t>
  </si>
  <si>
    <t>TENSIONER CAM CHAIN</t>
  </si>
  <si>
    <t>M7010910</t>
  </si>
  <si>
    <t>PLUG CYLINDER HEAD</t>
  </si>
  <si>
    <t>M7011110</t>
  </si>
  <si>
    <t>DAMPER 1</t>
  </si>
  <si>
    <t>M7011120</t>
  </si>
  <si>
    <t>DAMPER 2</t>
  </si>
  <si>
    <t>M7011130</t>
  </si>
  <si>
    <t>DAMPER 3</t>
  </si>
  <si>
    <t>M7040060</t>
  </si>
  <si>
    <t>M7040140</t>
  </si>
  <si>
    <t>TUBE OUT LET</t>
  </si>
  <si>
    <t>M7041070</t>
  </si>
  <si>
    <t>AIR CLEANER ASSY - RTR</t>
  </si>
  <si>
    <t>M7081220</t>
  </si>
  <si>
    <t>GEAR OIL PUMP DRIVEN RTR180</t>
  </si>
  <si>
    <t>M7081860</t>
  </si>
  <si>
    <t>BODY GEAR SHIFT SWITCH</t>
  </si>
  <si>
    <t>M7100330</t>
  </si>
  <si>
    <t>CAP TOP</t>
  </si>
  <si>
    <t>M7100610</t>
  </si>
  <si>
    <t>M7100640</t>
  </si>
  <si>
    <t>CAP FRONT FENDER</t>
  </si>
  <si>
    <t>M7101190</t>
  </si>
  <si>
    <t>EXTENSION CONE BOTTOM</t>
  </si>
  <si>
    <t>M7140370</t>
  </si>
  <si>
    <t>N1010660</t>
  </si>
  <si>
    <t>DAMPER 2 CYLINDER</t>
  </si>
  <si>
    <t>N1080110</t>
  </si>
  <si>
    <t>N2041130</t>
  </si>
  <si>
    <t>HOSE No 2</t>
  </si>
  <si>
    <t>N2041470</t>
  </si>
  <si>
    <t>TUBE  BREATHER</t>
  </si>
  <si>
    <t>N2041670</t>
  </si>
  <si>
    <t>CUSHION  VALVE MOUNTING</t>
  </si>
  <si>
    <t>N2080830</t>
  </si>
  <si>
    <t>SPACER KS DRIVE</t>
  </si>
  <si>
    <t>N2081150</t>
  </si>
  <si>
    <t>N2082020</t>
  </si>
  <si>
    <t>ASSEMBLY PLUG C S HOLE (WITH  O RING)</t>
  </si>
  <si>
    <t>N2110360</t>
  </si>
  <si>
    <t>ABSORBER SHOCK REAR HUB</t>
  </si>
  <si>
    <t>N2110670</t>
  </si>
  <si>
    <t>WATER SEAL RING</t>
  </si>
  <si>
    <t>N2140060</t>
  </si>
  <si>
    <t>CUSHION FUEL TANK FRONT</t>
  </si>
  <si>
    <t>N2140130</t>
  </si>
  <si>
    <t>BRACKET ASSY, FUEL TANK MOUNTING REAR</t>
  </si>
  <si>
    <t>N3010790</t>
  </si>
  <si>
    <t>N3010810</t>
  </si>
  <si>
    <t>TENSIONER CAM</t>
  </si>
  <si>
    <t>N3011730</t>
  </si>
  <si>
    <t>N3040980</t>
  </si>
  <si>
    <t>ADAPTOR CARBURETTOR</t>
  </si>
  <si>
    <t>N3080270</t>
  </si>
  <si>
    <t>GUIDE KICK STARTER SPRING</t>
  </si>
  <si>
    <t>N3092230</t>
  </si>
  <si>
    <t>N3092240</t>
  </si>
  <si>
    <t>N3100140</t>
  </si>
  <si>
    <t>N3100220</t>
  </si>
  <si>
    <t>GUIDE CABLE</t>
  </si>
  <si>
    <t>N3111360</t>
  </si>
  <si>
    <t>TYRE RR 3.00x18 ATT-550 GLXM/SR125/U90ES</t>
  </si>
  <si>
    <t>N3120130</t>
  </si>
  <si>
    <t>GROMMET HEADLAMP</t>
  </si>
  <si>
    <t>N3120410</t>
  </si>
  <si>
    <t>PLUG TUBE UPPER</t>
  </si>
  <si>
    <t>N3120990</t>
  </si>
  <si>
    <t>GROMMET VISOR MTG</t>
  </si>
  <si>
    <t>N3121320</t>
  </si>
  <si>
    <t>RUBBER FOOTREST FRONT</t>
  </si>
  <si>
    <t>N3130040</t>
  </si>
  <si>
    <t>SEAT REST REAR</t>
  </si>
  <si>
    <t>N3130100</t>
  </si>
  <si>
    <t>CUSHION</t>
  </si>
  <si>
    <t>N3140160</t>
  </si>
  <si>
    <t>CUSHION FUEL TANK REAR UPPER</t>
  </si>
  <si>
    <t>N3140170</t>
  </si>
  <si>
    <t>CUSHION FUEL TANK REAR LOWER</t>
  </si>
  <si>
    <t>N3140520</t>
  </si>
  <si>
    <t>N3160060</t>
  </si>
  <si>
    <t>BAND BATTERY</t>
  </si>
  <si>
    <t>N3220269</t>
  </si>
  <si>
    <t>N3220279</t>
  </si>
  <si>
    <t>N3220319</t>
  </si>
  <si>
    <t>N3220329</t>
  </si>
  <si>
    <t>N3220339</t>
  </si>
  <si>
    <t>N3220749</t>
  </si>
  <si>
    <t>HOUSING HEADLAMP FR</t>
  </si>
  <si>
    <t>N3221339</t>
  </si>
  <si>
    <t>FENDER FRONT UNPAINTED</t>
  </si>
  <si>
    <t>N3221340</t>
  </si>
  <si>
    <t>LOGO L</t>
  </si>
  <si>
    <t>N4040560</t>
  </si>
  <si>
    <t>TEE INSERT PIPE INTAKE</t>
  </si>
  <si>
    <t>N4040680</t>
  </si>
  <si>
    <t>HOSE TEE INSERT</t>
  </si>
  <si>
    <t>N4080170</t>
  </si>
  <si>
    <t>N4140440</t>
  </si>
  <si>
    <t>HOSE AFC TO CARBURETTOR NP.090</t>
  </si>
  <si>
    <t>N4221130</t>
  </si>
  <si>
    <t>PAD CUSHION 20 * 20</t>
  </si>
  <si>
    <t>N4221260</t>
  </si>
  <si>
    <t>PAD CUSHION 22x8</t>
  </si>
  <si>
    <t>N4221270</t>
  </si>
  <si>
    <t>RUBBER TOOL BOX</t>
  </si>
  <si>
    <t>N4321230</t>
  </si>
  <si>
    <t>O-RING SPEED SENSOR</t>
  </si>
  <si>
    <t>N5030370</t>
  </si>
  <si>
    <t>PLUG CRANKCASE</t>
  </si>
  <si>
    <t>N5040650</t>
  </si>
  <si>
    <t>N5040700CN</t>
  </si>
  <si>
    <t>O-RING 27.10  2.40</t>
  </si>
  <si>
    <t>N5040780</t>
  </si>
  <si>
    <t>AIR CLEANER ASSY PHOENIX</t>
  </si>
  <si>
    <t>AIR CLEANER ASSY N117/U229</t>
  </si>
  <si>
    <t>N5040880</t>
  </si>
  <si>
    <t>N5081280</t>
  </si>
  <si>
    <t>N50814202C</t>
  </si>
  <si>
    <t>COVER ENGINE SPROCKET COMP SIL</t>
  </si>
  <si>
    <t>N5081420CN</t>
  </si>
  <si>
    <t>N5081550</t>
  </si>
  <si>
    <t>GEAR OILPUMP DRIVEN</t>
  </si>
  <si>
    <t>N5102120</t>
  </si>
  <si>
    <t>DUST BELLOW</t>
  </si>
  <si>
    <t>N5111840</t>
  </si>
  <si>
    <t>TYRE TUBELESS 17  9000  REAR</t>
  </si>
  <si>
    <t>N5111850</t>
  </si>
  <si>
    <t>TYRE TUBELESS 17  275  FRONT</t>
  </si>
  <si>
    <t>N5112280</t>
  </si>
  <si>
    <t>TYRE TUBELESS 17  300  REAR</t>
  </si>
  <si>
    <t>N5112380</t>
  </si>
  <si>
    <t>TYRE 9000  18  REAR</t>
  </si>
  <si>
    <t>N5120820</t>
  </si>
  <si>
    <t>N5130320</t>
  </si>
  <si>
    <t>N5140680</t>
  </si>
  <si>
    <t>HOSE ROLL OVER VALVE 2</t>
  </si>
  <si>
    <t>N5140800</t>
  </si>
  <si>
    <t>N5150360</t>
  </si>
  <si>
    <t>COVER HANDLE BAR</t>
  </si>
  <si>
    <t>N5220330</t>
  </si>
  <si>
    <t>N5220340</t>
  </si>
  <si>
    <t>N5220379</t>
  </si>
  <si>
    <t>N52203794D</t>
  </si>
  <si>
    <t>TAIL COVER CENTER POLY BLACK U143 SPORT</t>
  </si>
  <si>
    <t>N5220409</t>
  </si>
  <si>
    <t>HOUSING HEAD LAMP FRONT</t>
  </si>
  <si>
    <t>N52204094D</t>
  </si>
  <si>
    <t>HSG .HEADLAMP FRONT P BLACK W/O STK 143</t>
  </si>
  <si>
    <t>N5220410</t>
  </si>
  <si>
    <t>VISOR HEADLAMP UNPAINTED</t>
  </si>
  <si>
    <t>N52204104D</t>
  </si>
  <si>
    <t>VISOR HEADLAMP PAINT BLK+LOGO  SPORT 143</t>
  </si>
  <si>
    <t>N5220449</t>
  </si>
  <si>
    <t>COVER FRAME L</t>
  </si>
  <si>
    <t>N5220459</t>
  </si>
  <si>
    <t>COVER FRAME R</t>
  </si>
  <si>
    <t>N5220619</t>
  </si>
  <si>
    <t>COVER FRAME INNER LH</t>
  </si>
  <si>
    <t>N52206194D</t>
  </si>
  <si>
    <t>COVER FRAME INNER L POLY BLACK</t>
  </si>
  <si>
    <t>N5220629</t>
  </si>
  <si>
    <t>COVER FRAME INNER RH</t>
  </si>
  <si>
    <t>N52206294D</t>
  </si>
  <si>
    <t>COVER FRAME INNER R POLY BLACK</t>
  </si>
  <si>
    <t>N5220740</t>
  </si>
  <si>
    <t>N5220750</t>
  </si>
  <si>
    <t>N5224609</t>
  </si>
  <si>
    <t>COVER FRAME TOP L</t>
  </si>
  <si>
    <t>N5224619</t>
  </si>
  <si>
    <t>COVER FRAME TOP R</t>
  </si>
  <si>
    <t>N5225369</t>
  </si>
  <si>
    <t>N5225989</t>
  </si>
  <si>
    <t>COVER FRAME FRONT L</t>
  </si>
  <si>
    <t>N5225999</t>
  </si>
  <si>
    <t>COVER FRAME FRONT R</t>
  </si>
  <si>
    <t>N5226009</t>
  </si>
  <si>
    <t>COVER FRAME REAR L</t>
  </si>
  <si>
    <t>N5226019</t>
  </si>
  <si>
    <t>COVER FRAME REAR R</t>
  </si>
  <si>
    <t>N5226029</t>
  </si>
  <si>
    <t>N5226039</t>
  </si>
  <si>
    <t>N5226049</t>
  </si>
  <si>
    <t>N5226069</t>
  </si>
  <si>
    <t>HOUSING HEADLAMP FRONT U/P</t>
  </si>
  <si>
    <t>N5226120</t>
  </si>
  <si>
    <t>CUSHION, HEADLAMP</t>
  </si>
  <si>
    <t>N5226399</t>
  </si>
  <si>
    <t>HOUSING HEADLAMP L</t>
  </si>
  <si>
    <t>N5226409</t>
  </si>
  <si>
    <t>HOUSING HEADLAMP R</t>
  </si>
  <si>
    <t>N5226410</t>
  </si>
  <si>
    <t>N5226440</t>
  </si>
  <si>
    <t>HOUSING NUMBER PLATE LAMP</t>
  </si>
  <si>
    <t>N5226530</t>
  </si>
  <si>
    <t>N5229579</t>
  </si>
  <si>
    <t>N6040050</t>
  </si>
  <si>
    <t>N6040090</t>
  </si>
  <si>
    <t>N6040130</t>
  </si>
  <si>
    <t>N6040210</t>
  </si>
  <si>
    <t>AIR CLEANER ASSY EXP</t>
  </si>
  <si>
    <t>N6040430</t>
  </si>
  <si>
    <t>HOSE BREATHER PCV</t>
  </si>
  <si>
    <t>N6040490</t>
  </si>
  <si>
    <t>N6040600</t>
  </si>
  <si>
    <t>N6040740</t>
  </si>
  <si>
    <t>N6040810</t>
  </si>
  <si>
    <t>AIR CLEANER ASSY N360C</t>
  </si>
  <si>
    <t>N6040850</t>
  </si>
  <si>
    <t>CAP INJECTOR ASSY</t>
  </si>
  <si>
    <t>N6040860</t>
  </si>
  <si>
    <t>N6041040</t>
  </si>
  <si>
    <t>AIR CLEANER ASSY KIT_HLX 150</t>
  </si>
  <si>
    <t>N6041120</t>
  </si>
  <si>
    <t>AIR CLEANER ASSY KIT_HLX 125</t>
  </si>
  <si>
    <t>N6080410</t>
  </si>
  <si>
    <t>STRIP LOWER</t>
  </si>
  <si>
    <t>N6080420</t>
  </si>
  <si>
    <t>STRIP UPPER</t>
  </si>
  <si>
    <t>N6080900</t>
  </si>
  <si>
    <t>N6080910</t>
  </si>
  <si>
    <t>N6090850</t>
  </si>
  <si>
    <t>N6090860</t>
  </si>
  <si>
    <t>N6100770</t>
  </si>
  <si>
    <t>N6110260</t>
  </si>
  <si>
    <t>TYRE 275  17  FRONT</t>
  </si>
  <si>
    <t>N6110530</t>
  </si>
  <si>
    <t>TYRE 10000  17  REAR</t>
  </si>
  <si>
    <t>N6110680</t>
  </si>
  <si>
    <t>TYRE TUBELESS 17  8000  FRONT</t>
  </si>
  <si>
    <t>N6110720</t>
  </si>
  <si>
    <t>TYRE TUBELESS 17  10000  REAR</t>
  </si>
  <si>
    <t>N6122610</t>
  </si>
  <si>
    <t>N6130180</t>
  </si>
  <si>
    <t>SEAT COMP ASSY</t>
  </si>
  <si>
    <t>N6130270</t>
  </si>
  <si>
    <t>SEAT ASSY EXP</t>
  </si>
  <si>
    <t>N6130380</t>
  </si>
  <si>
    <t>N6130540</t>
  </si>
  <si>
    <t>SEAT ASSY RR</t>
  </si>
  <si>
    <t>N6130550</t>
  </si>
  <si>
    <t>SEAT ASSY FR</t>
  </si>
  <si>
    <t>N6130650</t>
  </si>
  <si>
    <t>N6130760</t>
  </si>
  <si>
    <t>SEAT ASSY FRONT</t>
  </si>
  <si>
    <t>N6130770</t>
  </si>
  <si>
    <t>SEAT ASSY REAR</t>
  </si>
  <si>
    <t>N6130910</t>
  </si>
  <si>
    <t>N6130940</t>
  </si>
  <si>
    <t>N6131010</t>
  </si>
  <si>
    <t>SEAT KIT</t>
  </si>
  <si>
    <t>N6131020</t>
  </si>
  <si>
    <t>N6131050</t>
  </si>
  <si>
    <t>SEAT BASE SUB ASSY</t>
  </si>
  <si>
    <t>N6131060</t>
  </si>
  <si>
    <t>N6140330</t>
  </si>
  <si>
    <t>N6140850</t>
  </si>
  <si>
    <t>N6140880</t>
  </si>
  <si>
    <t>HOSE THROTTLE BODY</t>
  </si>
  <si>
    <t>N6140890</t>
  </si>
  <si>
    <t>HOSE VACUUM</t>
  </si>
  <si>
    <t>N6160570</t>
  </si>
  <si>
    <t>N6161330</t>
  </si>
  <si>
    <t>N6170090</t>
  </si>
  <si>
    <t>CABLE RETAINER</t>
  </si>
  <si>
    <t>N6220179</t>
  </si>
  <si>
    <t>N6220189</t>
  </si>
  <si>
    <t>N6220870</t>
  </si>
  <si>
    <t>N6220880</t>
  </si>
  <si>
    <t>N6220899</t>
  </si>
  <si>
    <t>COVER FUEL TANK OUTER L</t>
  </si>
  <si>
    <t>N6220909</t>
  </si>
  <si>
    <t>COVER FUEL TANK OUTER R</t>
  </si>
  <si>
    <t>N6221239</t>
  </si>
  <si>
    <t>N6221250</t>
  </si>
  <si>
    <t>N6221510</t>
  </si>
  <si>
    <t>BODY FRONT FENDER RR EXP</t>
  </si>
  <si>
    <t>N6221690</t>
  </si>
  <si>
    <t>N6223799</t>
  </si>
  <si>
    <t>N6223809</t>
  </si>
  <si>
    <t>N6223830</t>
  </si>
  <si>
    <t>N6223840</t>
  </si>
  <si>
    <t>N6223850</t>
  </si>
  <si>
    <t>N6223930</t>
  </si>
  <si>
    <t>TAIL COVER BRACKET</t>
  </si>
  <si>
    <t>N6224020</t>
  </si>
  <si>
    <t>TAIL COVER BRKT RH</t>
  </si>
  <si>
    <t>N6225340</t>
  </si>
  <si>
    <t>GROMMET ENGINE GUARD</t>
  </si>
  <si>
    <t>N6226010</t>
  </si>
  <si>
    <t>N6226890</t>
  </si>
  <si>
    <t>N6226919</t>
  </si>
  <si>
    <t>TAIL COVER CTR FRONT TOP L</t>
  </si>
  <si>
    <t>N6226929</t>
  </si>
  <si>
    <t>TAIL COVER CTR FRONT TOP R</t>
  </si>
  <si>
    <t>N6321150</t>
  </si>
  <si>
    <t>N7081380</t>
  </si>
  <si>
    <t>RETAINER</t>
  </si>
  <si>
    <t>N7082510</t>
  </si>
  <si>
    <t>CLIP CABLE TIE</t>
  </si>
  <si>
    <t>N7140240</t>
  </si>
  <si>
    <t>BOOT FUEL FILTER MTG</t>
  </si>
  <si>
    <t>N7160620</t>
  </si>
  <si>
    <t>N7160740</t>
  </si>
  <si>
    <t>N7201300</t>
  </si>
  <si>
    <t>N7201600</t>
  </si>
  <si>
    <t>CLIP NUT 3</t>
  </si>
  <si>
    <t>N7202070</t>
  </si>
  <si>
    <t>HOLE CLIP 6</t>
  </si>
  <si>
    <t>N8010320</t>
  </si>
  <si>
    <t>N8010690</t>
  </si>
  <si>
    <t>TENSIONER CAMCHAIN ES  CITY REF</t>
  </si>
  <si>
    <t>TENSIONER CAMCHAIN ES  - CITY REF</t>
  </si>
  <si>
    <t>N8010860</t>
  </si>
  <si>
    <t>CAP INSPECTION HOLE</t>
  </si>
  <si>
    <t>N8030240</t>
  </si>
  <si>
    <t>COVER COMP MAGNETO PAINTED</t>
  </si>
  <si>
    <t>N80304005D</t>
  </si>
  <si>
    <t>COVER ENGINE SPROCKET BLK</t>
  </si>
  <si>
    <t>N8040620</t>
  </si>
  <si>
    <t>N8040960</t>
  </si>
  <si>
    <t>AIR CLEANER SUB ASSY SAI</t>
  </si>
  <si>
    <t>N8041470</t>
  </si>
  <si>
    <t>AIR CLEANER ASSY JIVE</t>
  </si>
  <si>
    <t>N8080410</t>
  </si>
  <si>
    <t>DUST COVER GEARSHIFT CAM</t>
  </si>
  <si>
    <t>N8080470</t>
  </si>
  <si>
    <t>N8081050</t>
  </si>
  <si>
    <t>COVER ENGINE SPROCKET . NP.104</t>
  </si>
  <si>
    <t>N8090380</t>
  </si>
  <si>
    <t>BUFFER CHAINCASE DEFENCE</t>
  </si>
  <si>
    <t>N8090900</t>
  </si>
  <si>
    <t>N8090910</t>
  </si>
  <si>
    <t>N8112230</t>
  </si>
  <si>
    <t>TYRE FRONT 17 2.75/SPORT/U143 /S.AF/M 4R</t>
  </si>
  <si>
    <t>N8112240</t>
  </si>
  <si>
    <t>TYRE REAR 17-3.00 ATT1050/Sport/143/S.AF</t>
  </si>
  <si>
    <t>N8112340</t>
  </si>
  <si>
    <t>TUBE 2.75-17/3.00-17 City 110/sport cvti</t>
  </si>
  <si>
    <t>N8112359</t>
  </si>
  <si>
    <t>PROTECTOR PEDAL BRAKE</t>
  </si>
  <si>
    <t>N8112460</t>
  </si>
  <si>
    <t>TYRE 2.75x17 ATT 525 FRONT City/Jiv/N117</t>
  </si>
  <si>
    <t>N8121560</t>
  </si>
  <si>
    <t>N8122300</t>
  </si>
  <si>
    <t>CUSHION COVER FRAME FRONT</t>
  </si>
  <si>
    <t>N8122830</t>
  </si>
  <si>
    <t>N8130240</t>
  </si>
  <si>
    <t>CUSHION SEAT BASE</t>
  </si>
  <si>
    <t>N8130290</t>
  </si>
  <si>
    <t>SEAT BASE -STAR SPORT</t>
  </si>
  <si>
    <t>N8130320</t>
  </si>
  <si>
    <t>SEAT REST REAR -STAR SPORT</t>
  </si>
  <si>
    <t>N8130380</t>
  </si>
  <si>
    <t>SEAT COMP</t>
  </si>
  <si>
    <t>N8140530</t>
  </si>
  <si>
    <t>CUSHION FUEL TANK L</t>
  </si>
  <si>
    <t>N8140540</t>
  </si>
  <si>
    <t>CUSHION FUEL TANK R</t>
  </si>
  <si>
    <t>N8140550</t>
  </si>
  <si>
    <t>CUSHION FUEL TANK CENTER</t>
  </si>
  <si>
    <t>N8220180</t>
  </si>
  <si>
    <t>GROMMET TAIL COVER</t>
  </si>
  <si>
    <t>N8220490</t>
  </si>
  <si>
    <t>GROMMET COVER FRAME</t>
  </si>
  <si>
    <t>N8220560</t>
  </si>
  <si>
    <t>GROMMET SPEEDOMETER</t>
  </si>
  <si>
    <t>N8220789</t>
  </si>
  <si>
    <t>COVER SEAT TAIL L UNPAINTED</t>
  </si>
  <si>
    <t>N82207894D</t>
  </si>
  <si>
    <t>TAIL COVER L  P BLACK</t>
  </si>
  <si>
    <t>N8220799</t>
  </si>
  <si>
    <t>COVER SEAT TAIL R UNPAINTED</t>
  </si>
  <si>
    <t>N82207994D</t>
  </si>
  <si>
    <t>TAIL COVER RH BLACK U141 W/O STICKER</t>
  </si>
  <si>
    <t>N8221739</t>
  </si>
  <si>
    <t>FENDER FRONT UNPAINTED-N104&amp;U140</t>
  </si>
  <si>
    <t>N82217394D</t>
  </si>
  <si>
    <t>FENDER FRONT BLACK JIVE U143 SPORT</t>
  </si>
  <si>
    <t>N8221839</t>
  </si>
  <si>
    <t>N9011590</t>
  </si>
  <si>
    <t>GUIDE CAMCHAIN 3X4 Lacing</t>
  </si>
  <si>
    <t>N9011600</t>
  </si>
  <si>
    <t>TENSIONER CAMCHAIN 3X4 Lacing</t>
  </si>
  <si>
    <t>N9040020</t>
  </si>
  <si>
    <t>N9040300</t>
  </si>
  <si>
    <t>N9041080</t>
  </si>
  <si>
    <t>N9041670</t>
  </si>
  <si>
    <t>CLEANER SAI UP.131</t>
  </si>
  <si>
    <t>N9041880</t>
  </si>
  <si>
    <t>N9041920</t>
  </si>
  <si>
    <t>N9041990</t>
  </si>
  <si>
    <t>O-RING 3750  240</t>
  </si>
  <si>
    <t>N9042030</t>
  </si>
  <si>
    <t>N9042120</t>
  </si>
  <si>
    <t>N9042130</t>
  </si>
  <si>
    <t>N9042150</t>
  </si>
  <si>
    <t>O-RING AIR INJECTION</t>
  </si>
  <si>
    <t>N9042370</t>
  </si>
  <si>
    <t>SHROUD INLET</t>
  </si>
  <si>
    <t>N9042420</t>
  </si>
  <si>
    <t>N9042560</t>
  </si>
  <si>
    <t>N9080080</t>
  </si>
  <si>
    <t>BUSH COVER MAGNETO</t>
  </si>
  <si>
    <t>N9081400</t>
  </si>
  <si>
    <t>GEAR, OIL PUMP DRIVEN</t>
  </si>
  <si>
    <t>N9082230</t>
  </si>
  <si>
    <t>N9092620</t>
  </si>
  <si>
    <t>WHEEL HUGGER CUM CHAIN COVER</t>
  </si>
  <si>
    <t>N9092690</t>
  </si>
  <si>
    <t>LEG HUGGER L</t>
  </si>
  <si>
    <t>N9092700</t>
  </si>
  <si>
    <t>LEG HUGGER R</t>
  </si>
  <si>
    <t>N9092710</t>
  </si>
  <si>
    <t>WHEEL HUGGER REAR</t>
  </si>
  <si>
    <t>N9092830</t>
  </si>
  <si>
    <t>N9100840</t>
  </si>
  <si>
    <t>CAP LOCKNUT</t>
  </si>
  <si>
    <t>N9101480</t>
  </si>
  <si>
    <t>N9101580</t>
  </si>
  <si>
    <t>DUST SEAL STEERING LOWER</t>
  </si>
  <si>
    <t>N9101690</t>
  </si>
  <si>
    <t>CAP, LOCKNUT</t>
  </si>
  <si>
    <t>N9110640</t>
  </si>
  <si>
    <t>TYRE FR 90/90-17ATT-725 GLX MAG/FLAME</t>
  </si>
  <si>
    <t>N9110650</t>
  </si>
  <si>
    <t>TUBE ASSY 90/90 - 17 Apache/flame/edge</t>
  </si>
  <si>
    <t>N9110660</t>
  </si>
  <si>
    <t>PROTECTOR WHEEL INNER TUBE</t>
  </si>
  <si>
    <t>N9111790</t>
  </si>
  <si>
    <t>TUBE ASSY 100/80-18 /90/90-18 Apache</t>
  </si>
  <si>
    <t>N9113410</t>
  </si>
  <si>
    <t>COVER DISC REAR</t>
  </si>
  <si>
    <t>N9113680</t>
  </si>
  <si>
    <t>TYRE TUBELESS 17  90.00 FRONT RTR160/180</t>
  </si>
  <si>
    <t>N9113690</t>
  </si>
  <si>
    <t>TYRE TUBELESS 17  110.00  REAR</t>
  </si>
  <si>
    <t>N9114040</t>
  </si>
  <si>
    <t>TYRE TUBELESS 17  13000  REAR</t>
  </si>
  <si>
    <t>N9114060</t>
  </si>
  <si>
    <t>ABSORBER RR WHEEL</t>
  </si>
  <si>
    <t>N9114480</t>
  </si>
  <si>
    <t>BUNDY  TUBE ASSY, CAL FRONT N112</t>
  </si>
  <si>
    <t>N9114490</t>
  </si>
  <si>
    <t>BUNDY  TUBE ASSY, MC REAR N112</t>
  </si>
  <si>
    <t>N9114500</t>
  </si>
  <si>
    <t>BUNDY  TUBE ASSY, CAL REAR N112</t>
  </si>
  <si>
    <t>N9114790</t>
  </si>
  <si>
    <t>BUNDY  TUBE ASSY, MC FRONT N112</t>
  </si>
  <si>
    <t>N9115340</t>
  </si>
  <si>
    <t>BUNDY  TUBE ASSY, MC FRONT 4V</t>
  </si>
  <si>
    <t>N9115350</t>
  </si>
  <si>
    <t>BUNDY  TUBE ASSY, CAL FRONT 4V</t>
  </si>
  <si>
    <t>N9120189</t>
  </si>
  <si>
    <t>COVER FRAME L UNPAINTED</t>
  </si>
  <si>
    <t>N9120199</t>
  </si>
  <si>
    <t>COVER FRAME R UNPAINTED</t>
  </si>
  <si>
    <t>N9121030</t>
  </si>
  <si>
    <t>N9121260</t>
  </si>
  <si>
    <t>VISOR HOUSING HEADLAMP FRONT</t>
  </si>
  <si>
    <t>N9121300</t>
  </si>
  <si>
    <t>HOUSING HEADLAMP REAR LH</t>
  </si>
  <si>
    <t>N9122650</t>
  </si>
  <si>
    <t>WASHER PILLION FOOTREST</t>
  </si>
  <si>
    <t>N9124890</t>
  </si>
  <si>
    <t>CUSHION EXHAUST MTG</t>
  </si>
  <si>
    <t>N9125310</t>
  </si>
  <si>
    <t>N9125580</t>
  </si>
  <si>
    <t>N9125690</t>
  </si>
  <si>
    <t>CUSHION ABS SYSTEM</t>
  </si>
  <si>
    <t>N9127770</t>
  </si>
  <si>
    <t>COVER MASTER CYCLINDER</t>
  </si>
  <si>
    <t>N9127850</t>
  </si>
  <si>
    <t>CHAIN GUIDE BOT</t>
  </si>
  <si>
    <t>N9128760</t>
  </si>
  <si>
    <t>N9130120</t>
  </si>
  <si>
    <t>CUSHION SEAT ASSEMBLY</t>
  </si>
  <si>
    <t>N9130160</t>
  </si>
  <si>
    <t>SEAT BASE (APACHE REF)</t>
  </si>
  <si>
    <t>N9130210</t>
  </si>
  <si>
    <t>SEAT ASSY FR N112</t>
  </si>
  <si>
    <t>N9130220</t>
  </si>
  <si>
    <t>SEAT ASSY REAR N112</t>
  </si>
  <si>
    <t>N9130230</t>
  </si>
  <si>
    <t>SEAT BASE FR</t>
  </si>
  <si>
    <t>N9130260</t>
  </si>
  <si>
    <t>SEAT BASE REAR</t>
  </si>
  <si>
    <t>N9130330</t>
  </si>
  <si>
    <t>CUSHION SEAT REAR</t>
  </si>
  <si>
    <t>N9130340</t>
  </si>
  <si>
    <t>SEAT ASSY N289</t>
  </si>
  <si>
    <t>N9130350</t>
  </si>
  <si>
    <t>SEAT BASE</t>
  </si>
  <si>
    <t>N9140530</t>
  </si>
  <si>
    <t>CUSHION FUEL TANK REAR MTG</t>
  </si>
  <si>
    <t>N9140650</t>
  </si>
  <si>
    <t>N9141359</t>
  </si>
  <si>
    <t>N9141360</t>
  </si>
  <si>
    <t>HOSE PUMP OUTLET</t>
  </si>
  <si>
    <t>N9141370</t>
  </si>
  <si>
    <t>HOSE FILTER OUTLET</t>
  </si>
  <si>
    <t>N9141440</t>
  </si>
  <si>
    <t>N9141540</t>
  </si>
  <si>
    <t>N9141590</t>
  </si>
  <si>
    <t>BOOT CANISTER</t>
  </si>
  <si>
    <t>N9141610</t>
  </si>
  <si>
    <t>HOSE PURGE VALVE</t>
  </si>
  <si>
    <t>N9141620</t>
  </si>
  <si>
    <t>N9141990</t>
  </si>
  <si>
    <t>BOOT ROLL OVER VALVE</t>
  </si>
  <si>
    <t>N9142050</t>
  </si>
  <si>
    <t>N9142060</t>
  </si>
  <si>
    <t>HOSE PURGE VALVE TO AIR BOX</t>
  </si>
  <si>
    <t>N9142120</t>
  </si>
  <si>
    <t>N9142140</t>
  </si>
  <si>
    <t>FUEL FILTER</t>
  </si>
  <si>
    <t>N9142150</t>
  </si>
  <si>
    <t>Hose injector 1</t>
  </si>
  <si>
    <t>N9142220</t>
  </si>
  <si>
    <t>HOSE DRAIN CANISTER</t>
  </si>
  <si>
    <t>N9142240</t>
  </si>
  <si>
    <t>N9142470</t>
  </si>
  <si>
    <t>N9150700</t>
  </si>
  <si>
    <t>RUBBER DAMPER MOUNTING</t>
  </si>
  <si>
    <t>N9151660</t>
  </si>
  <si>
    <t>COVER UPPER BRKT COMP (180&amp;180ABS REF)</t>
  </si>
  <si>
    <t>N9151750</t>
  </si>
  <si>
    <t>COVER HANDLE BAR COMP 160 REFRESH</t>
  </si>
  <si>
    <t>N9161640</t>
  </si>
  <si>
    <t>CAP WATER PROOF COUPLER</t>
  </si>
  <si>
    <t>N9163110</t>
  </si>
  <si>
    <t>N9180010</t>
  </si>
  <si>
    <t>COVER  ENGINE SPROCKET  -  PAINTED</t>
  </si>
  <si>
    <t>N9180600</t>
  </si>
  <si>
    <t>PIPE COMP INLET</t>
  </si>
  <si>
    <t>N9180640</t>
  </si>
  <si>
    <t>PIPE COMP OUTLET</t>
  </si>
  <si>
    <t>N9180790</t>
  </si>
  <si>
    <t>N9200300</t>
  </si>
  <si>
    <t>O RING BRAKE PEDAL</t>
  </si>
  <si>
    <t>N9200550</t>
  </si>
  <si>
    <t>O-RING 5700  360</t>
  </si>
  <si>
    <t>N9220030</t>
  </si>
  <si>
    <t>N9220139</t>
  </si>
  <si>
    <t>N9220149</t>
  </si>
  <si>
    <t>N9220159</t>
  </si>
  <si>
    <t>COVER SEAT TAIL CENTER</t>
  </si>
  <si>
    <t>N9220169</t>
  </si>
  <si>
    <t>N9220230</t>
  </si>
  <si>
    <t>BRKT HEADLAMP COMP 3</t>
  </si>
  <si>
    <t>N9220239</t>
  </si>
  <si>
    <t>HSG HEADLAMP FR UNPAINTED</t>
  </si>
  <si>
    <t>N9220530</t>
  </si>
  <si>
    <t>N9220560</t>
  </si>
  <si>
    <t>CUSHION PILLION HANDLE</t>
  </si>
  <si>
    <t>N9220760</t>
  </si>
  <si>
    <t>K3320520</t>
  </si>
  <si>
    <t>N9221370</t>
  </si>
  <si>
    <t>ENGINE GUARD L</t>
  </si>
  <si>
    <t>N9221380</t>
  </si>
  <si>
    <t>N9221390</t>
  </si>
  <si>
    <t>ENGINE GUARD R</t>
  </si>
  <si>
    <t>N9221839</t>
  </si>
  <si>
    <t>COVER FT OUTER L</t>
  </si>
  <si>
    <t>N9221849</t>
  </si>
  <si>
    <t>COVER FT OUTER R</t>
  </si>
  <si>
    <t>N9222279</t>
  </si>
  <si>
    <t>N9222289</t>
  </si>
  <si>
    <t>N9222299</t>
  </si>
  <si>
    <t>N9222300</t>
  </si>
  <si>
    <t>COVER ILLUMINATOR (APACHE REF)</t>
  </si>
  <si>
    <t>N9222759</t>
  </si>
  <si>
    <t>N9222769</t>
  </si>
  <si>
    <t>N9222779</t>
  </si>
  <si>
    <t>ENGINE GUARD CENTER (APACHE REF)</t>
  </si>
  <si>
    <t>N9222809</t>
  </si>
  <si>
    <t>N9222839</t>
  </si>
  <si>
    <t>N9222889</t>
  </si>
  <si>
    <t>N9222890</t>
  </si>
  <si>
    <t>COVER FUEL TANK INNER L (APACHE REFRESH)</t>
  </si>
  <si>
    <t>N9222909</t>
  </si>
  <si>
    <t>N9222910</t>
  </si>
  <si>
    <t>COVER FUEL TANK INNER R (APACHE REFRESH)</t>
  </si>
  <si>
    <t>N9222970</t>
  </si>
  <si>
    <t>HOUSING HEADLAMP REAR (APACHE REF)</t>
  </si>
  <si>
    <t>N9223070</t>
  </si>
  <si>
    <t>COVER FRAME BOT L (APACHE REF)</t>
  </si>
  <si>
    <t>N9223080</t>
  </si>
  <si>
    <t>COVER FRAME BOT R (APACHE REF)</t>
  </si>
  <si>
    <t>N9223110</t>
  </si>
  <si>
    <t>GROMMET FUEL TANK (APACHE REF)</t>
  </si>
  <si>
    <t>N9223350</t>
  </si>
  <si>
    <t>HOUSING HEADLAMP INNER L (APACHE REF)</t>
  </si>
  <si>
    <t>N9223360</t>
  </si>
  <si>
    <t>HOUSING HEADLAMP INNER R (APACHE REF)</t>
  </si>
  <si>
    <t>N9223370</t>
  </si>
  <si>
    <t>BRKT LICENCE PLATE (APACHE REF)</t>
  </si>
  <si>
    <t>N9223920</t>
  </si>
  <si>
    <t>COVER FUEL TANK ASSY UPR</t>
  </si>
  <si>
    <t>N9223960</t>
  </si>
  <si>
    <t>COVER HOUSING (APACHE SERIES)</t>
  </si>
  <si>
    <t>N9224840</t>
  </si>
  <si>
    <t>VISOR HEADLAMP ASSY (APACHE REFRESH NEW)</t>
  </si>
  <si>
    <t>N9225780</t>
  </si>
  <si>
    <t>N9225790</t>
  </si>
  <si>
    <t>N9225800</t>
  </si>
  <si>
    <t>N9225810</t>
  </si>
  <si>
    <t>N9225929</t>
  </si>
  <si>
    <t>N9225959</t>
  </si>
  <si>
    <t>N9225969</t>
  </si>
  <si>
    <t>N9225979</t>
  </si>
  <si>
    <t>N9226069</t>
  </si>
  <si>
    <t>FENDER FRONT TOP</t>
  </si>
  <si>
    <t>N9226079</t>
  </si>
  <si>
    <t xml:space="preserve"> FENDER FRONT L</t>
  </si>
  <si>
    <t>N9226089</t>
  </si>
  <si>
    <t>FENDER FRONT R</t>
  </si>
  <si>
    <t>N9226099</t>
  </si>
  <si>
    <t>N9226109</t>
  </si>
  <si>
    <t>N9226110</t>
  </si>
  <si>
    <t>N9226120</t>
  </si>
  <si>
    <t>N9226209</t>
  </si>
  <si>
    <t>N9226219</t>
  </si>
  <si>
    <t>N9226269</t>
  </si>
  <si>
    <t>COVER FUEL TANK TOP</t>
  </si>
  <si>
    <t>N9226819</t>
  </si>
  <si>
    <t xml:space="preserve"> COVER FRAME FRONT L</t>
  </si>
  <si>
    <t>N9226829</t>
  </si>
  <si>
    <t>N9226840</t>
  </si>
  <si>
    <t>TAIL COVER BOT L</t>
  </si>
  <si>
    <t>N9226869</t>
  </si>
  <si>
    <t>TAIL COVER CTR RR</t>
  </si>
  <si>
    <t>N9226870</t>
  </si>
  <si>
    <t>BODY FRONT FENDER RR ASSY</t>
  </si>
  <si>
    <t>N9226900</t>
  </si>
  <si>
    <t>GRILL COVER FUEL TANK LH</t>
  </si>
  <si>
    <t>N9226910</t>
  </si>
  <si>
    <t>GRILL COVER FUEL TANK RH</t>
  </si>
  <si>
    <t>N9226920</t>
  </si>
  <si>
    <t>N9226930</t>
  </si>
  <si>
    <t>N9226940</t>
  </si>
  <si>
    <t>GRILL TAIL COVER LH</t>
  </si>
  <si>
    <t>N9226950</t>
  </si>
  <si>
    <t>GRILL TAIL COVER RH</t>
  </si>
  <si>
    <t>N9227530</t>
  </si>
  <si>
    <t>HOUSING SPEEDOMETER REAR</t>
  </si>
  <si>
    <t>N9227810</t>
  </si>
  <si>
    <t>N9227820</t>
  </si>
  <si>
    <t>CUSHION FR TOP</t>
  </si>
  <si>
    <t>N9227869</t>
  </si>
  <si>
    <t>N9228640</t>
  </si>
  <si>
    <t>N9229289</t>
  </si>
  <si>
    <t>N9229299</t>
  </si>
  <si>
    <t>N9229309</t>
  </si>
  <si>
    <t>N9229310</t>
  </si>
  <si>
    <t>N9229350</t>
  </si>
  <si>
    <t>N9229420</t>
  </si>
  <si>
    <t>MUFFLER GUARD CENTER</t>
  </si>
  <si>
    <t>N9229599</t>
  </si>
  <si>
    <t>N9229609</t>
  </si>
  <si>
    <t xml:space="preserve"> COVER FRAME LOWER R</t>
  </si>
  <si>
    <t>N9229850</t>
  </si>
  <si>
    <t>COVER CANISTER SYSTEM</t>
  </si>
  <si>
    <t>NA010010</t>
  </si>
  <si>
    <t>NA010060</t>
  </si>
  <si>
    <t>NA040100</t>
  </si>
  <si>
    <t>NA110020</t>
  </si>
  <si>
    <t>TYRE 300x17  REAR</t>
  </si>
  <si>
    <t>NA120460</t>
  </si>
  <si>
    <t>NA120480</t>
  </si>
  <si>
    <t>NA130010</t>
  </si>
  <si>
    <t>NA130040</t>
  </si>
  <si>
    <t>NA130080</t>
  </si>
  <si>
    <t>Seat assy</t>
  </si>
  <si>
    <t>NA140230</t>
  </si>
  <si>
    <t>HOSE INJECTOR ASSY</t>
  </si>
  <si>
    <t>NA140300</t>
  </si>
  <si>
    <t>NA220089</t>
  </si>
  <si>
    <t>NA2200894D</t>
  </si>
  <si>
    <t>TAIL COVER L PAINTED POLY BLACK</t>
  </si>
  <si>
    <t>NA220099</t>
  </si>
  <si>
    <t>NA2200994D</t>
  </si>
  <si>
    <t>TAIL COVER R PAINTED POLY BLACK</t>
  </si>
  <si>
    <t>NA220109</t>
  </si>
  <si>
    <t>NA2201094D</t>
  </si>
  <si>
    <t>TAIL COVER CENTER PAINTED POLY BLACK</t>
  </si>
  <si>
    <t>NA2201294D</t>
  </si>
  <si>
    <t>COVER FRAME UPPER L PAINTED POLY BLACK</t>
  </si>
  <si>
    <t>NA2201394D</t>
  </si>
  <si>
    <t>COVER FRAME UPPER R PAINTED POLY BLACK</t>
  </si>
  <si>
    <t>NA220140</t>
  </si>
  <si>
    <t>NA220150</t>
  </si>
  <si>
    <t>NA220169</t>
  </si>
  <si>
    <t>NA2201794D</t>
  </si>
  <si>
    <t>NA220220</t>
  </si>
  <si>
    <t>NA220230</t>
  </si>
  <si>
    <t>NA220240</t>
  </si>
  <si>
    <t>NA220300</t>
  </si>
  <si>
    <t>BRKT COVER FRAME RH</t>
  </si>
  <si>
    <t>NA222790</t>
  </si>
  <si>
    <t>NA222800</t>
  </si>
  <si>
    <t>LOGO COV FRAME R</t>
  </si>
  <si>
    <t>NA222929</t>
  </si>
  <si>
    <t>COVER FRAME UPPER TOP L</t>
  </si>
  <si>
    <t>NA222939</t>
  </si>
  <si>
    <t>COVER FRAME UPPER TOP R</t>
  </si>
  <si>
    <t>NA222990</t>
  </si>
  <si>
    <t>LOGO COV FRAME LH</t>
  </si>
  <si>
    <t>NA223000</t>
  </si>
  <si>
    <t>LOGO COV FRAME RH</t>
  </si>
  <si>
    <t>NA223399</t>
  </si>
  <si>
    <t>NA223400</t>
  </si>
  <si>
    <t>VISOR HEADLAMP PAINTED</t>
  </si>
  <si>
    <t>NA223409</t>
  </si>
  <si>
    <t>NA223460</t>
  </si>
  <si>
    <t>NA223470</t>
  </si>
  <si>
    <t>NA223490</t>
  </si>
  <si>
    <t>NB140080</t>
  </si>
  <si>
    <t>NB140110</t>
  </si>
  <si>
    <t>HOSE CLAMP 120</t>
  </si>
  <si>
    <t>NB160110</t>
  </si>
  <si>
    <t>ND040240</t>
  </si>
  <si>
    <t>ND040350</t>
  </si>
  <si>
    <t>AIR CLEANER ASSY KIT</t>
  </si>
  <si>
    <t>ND110050</t>
  </si>
  <si>
    <t>TYRE TUBELESS 18  275  FRONT</t>
  </si>
  <si>
    <t>ND110070</t>
  </si>
  <si>
    <t>TYRE TUBELESS 18  300  REAR</t>
  </si>
  <si>
    <t>ND130060</t>
  </si>
  <si>
    <t>ND130090</t>
  </si>
  <si>
    <t>ND130160</t>
  </si>
  <si>
    <t>ND140300</t>
  </si>
  <si>
    <t>ND140430</t>
  </si>
  <si>
    <t>ND140440</t>
  </si>
  <si>
    <t>HOSE THROTTLE BODY 1</t>
  </si>
  <si>
    <t>ND140520</t>
  </si>
  <si>
    <t>ND140530</t>
  </si>
  <si>
    <t>ND150190</t>
  </si>
  <si>
    <t>ND160610</t>
  </si>
  <si>
    <t>ND160760</t>
  </si>
  <si>
    <t>CLAMP BATTERY 3</t>
  </si>
  <si>
    <t>ND160990</t>
  </si>
  <si>
    <t>ND220670</t>
  </si>
  <si>
    <t>BRACKET TAIL LAMP COMP</t>
  </si>
  <si>
    <t>ND220710</t>
  </si>
  <si>
    <t>ND223820</t>
  </si>
  <si>
    <t>GRILL HOUSING</t>
  </si>
  <si>
    <t>NF010090</t>
  </si>
  <si>
    <t>NF010440</t>
  </si>
  <si>
    <t>GROMMET COVER</t>
  </si>
  <si>
    <t>NF040180</t>
  </si>
  <si>
    <t>NF040250</t>
  </si>
  <si>
    <t>NF040470</t>
  </si>
  <si>
    <t>NF040660</t>
  </si>
  <si>
    <t>ARRESTOR PLATE</t>
  </si>
  <si>
    <t>NF040690</t>
  </si>
  <si>
    <t>NF040730</t>
  </si>
  <si>
    <t>NF040870</t>
  </si>
  <si>
    <t>NF040970</t>
  </si>
  <si>
    <t>NF110410</t>
  </si>
  <si>
    <t>BUNDY  TUBE CAL FRONT RTR 2V</t>
  </si>
  <si>
    <t>NF110600</t>
  </si>
  <si>
    <t>HOSE ASSY MC FRONT</t>
  </si>
  <si>
    <t>NF110610</t>
  </si>
  <si>
    <t>HOSE ASSY CAL FRONT</t>
  </si>
  <si>
    <t>NF110750</t>
  </si>
  <si>
    <t>TYRE TUBELESS 17  13000  RADIAL REAR</t>
  </si>
  <si>
    <t>NF110820</t>
  </si>
  <si>
    <t>TYRE TUBELESS 17  11000  FRONT</t>
  </si>
  <si>
    <t>NF110880</t>
  </si>
  <si>
    <t>NF110980</t>
  </si>
  <si>
    <t>BUNDY  TUBE ASSY, MC FRONT</t>
  </si>
  <si>
    <t>NF110990</t>
  </si>
  <si>
    <t>BUNDY  TUBE ASSY, CAL FRONT</t>
  </si>
  <si>
    <t>NF111000</t>
  </si>
  <si>
    <t>BUNDY  TUBE ASSY, MC REAR</t>
  </si>
  <si>
    <t>NF111210</t>
  </si>
  <si>
    <t>NF111400</t>
  </si>
  <si>
    <t>BUNDY  TUBE ASSY, MC FRONT 1</t>
  </si>
  <si>
    <t>NF111410</t>
  </si>
  <si>
    <t>BUNDY  TUBE ASSY, CAL FRONT 1</t>
  </si>
  <si>
    <t>NF111580</t>
  </si>
  <si>
    <t>TYRE TUBELESS 17  12000  REAR</t>
  </si>
  <si>
    <t>NF121460</t>
  </si>
  <si>
    <t>UPPER TUBE Plug</t>
  </si>
  <si>
    <t>NF122260</t>
  </si>
  <si>
    <t>BATTERY BOX</t>
  </si>
  <si>
    <t>NF122270</t>
  </si>
  <si>
    <t>CLAMP BATTERY 1</t>
  </si>
  <si>
    <t>NF130010</t>
  </si>
  <si>
    <t>SEAT ASSY U327</t>
  </si>
  <si>
    <t>NF130030</t>
  </si>
  <si>
    <t>SEAT ASSY 225 ABS</t>
  </si>
  <si>
    <t>NF130070</t>
  </si>
  <si>
    <t>SEAT ASSY N289 BSVI</t>
  </si>
  <si>
    <t>NF130130</t>
  </si>
  <si>
    <t>NF140030</t>
  </si>
  <si>
    <t>NF140040</t>
  </si>
  <si>
    <t>NF140050</t>
  </si>
  <si>
    <t>NF140200</t>
  </si>
  <si>
    <t>NF140300</t>
  </si>
  <si>
    <t>NF140390</t>
  </si>
  <si>
    <t>NF140400</t>
  </si>
  <si>
    <t>NF140410</t>
  </si>
  <si>
    <t>Hose injector</t>
  </si>
  <si>
    <t>NF140530</t>
  </si>
  <si>
    <t>Hose injector ASSY1</t>
  </si>
  <si>
    <t>NF140660</t>
  </si>
  <si>
    <t>HOSE CLAMP 145</t>
  </si>
  <si>
    <t>NF160300</t>
  </si>
  <si>
    <t>NF160690</t>
  </si>
  <si>
    <t>BOOT PURGE VALVE</t>
  </si>
  <si>
    <t>NF160740</t>
  </si>
  <si>
    <t>NF180510</t>
  </si>
  <si>
    <t>NF180520</t>
  </si>
  <si>
    <t>NF180650</t>
  </si>
  <si>
    <t>NF180660</t>
  </si>
  <si>
    <t>NF220150</t>
  </si>
  <si>
    <t>NF220160</t>
  </si>
  <si>
    <t>COVER FRAME OUTER L</t>
  </si>
  <si>
    <t>NF220170</t>
  </si>
  <si>
    <t>COVER FRAME OUTER R</t>
  </si>
  <si>
    <t>NF223140</t>
  </si>
  <si>
    <t>HOUSING HEADLAMP FR LH</t>
  </si>
  <si>
    <t>NF223150</t>
  </si>
  <si>
    <t>HOUSING HEADLAMP FR RH</t>
  </si>
  <si>
    <t>NF223160</t>
  </si>
  <si>
    <t>NF223170</t>
  </si>
  <si>
    <t>NF223190</t>
  </si>
  <si>
    <t>NF224210</t>
  </si>
  <si>
    <t>FENDER FRONT LH</t>
  </si>
  <si>
    <t>NF224220</t>
  </si>
  <si>
    <t>FENDER FRONT RH</t>
  </si>
  <si>
    <t>NF225410</t>
  </si>
  <si>
    <t>ENGINE GUARD CEN</t>
  </si>
  <si>
    <t>NF225799</t>
  </si>
  <si>
    <t>NF228470</t>
  </si>
  <si>
    <t>NF228480</t>
  </si>
  <si>
    <t>NF228690</t>
  </si>
  <si>
    <t>NF228710</t>
  </si>
  <si>
    <t>COVER FRAME ASSY  RH</t>
  </si>
  <si>
    <t>NF228829</t>
  </si>
  <si>
    <t>NF228839</t>
  </si>
  <si>
    <t>NF228970</t>
  </si>
  <si>
    <t>NF228980</t>
  </si>
  <si>
    <t>NF229090</t>
  </si>
  <si>
    <t>LOGO COV FL TANK LH SILVER</t>
  </si>
  <si>
    <t>NF229100</t>
  </si>
  <si>
    <t>LOGO COV FL TANK RH SILVER</t>
  </si>
  <si>
    <t>NF229280</t>
  </si>
  <si>
    <t>NN040030</t>
  </si>
  <si>
    <t>NN220680</t>
  </si>
  <si>
    <t>DEFLECTOR TOP LH</t>
  </si>
  <si>
    <t>NN220690</t>
  </si>
  <si>
    <t>DEFLECTOR TOP RH</t>
  </si>
  <si>
    <t>NR040080</t>
  </si>
  <si>
    <t>NR040090</t>
  </si>
  <si>
    <t>NR040150</t>
  </si>
  <si>
    <t>NR110210</t>
  </si>
  <si>
    <t>NR110490</t>
  </si>
  <si>
    <t>HOSE COMP BRAKE</t>
  </si>
  <si>
    <t>NR120140</t>
  </si>
  <si>
    <t>SILENT BLOC</t>
  </si>
  <si>
    <t>NR130030</t>
  </si>
  <si>
    <t>SEAT ASSY ASSY</t>
  </si>
  <si>
    <t>NR130090</t>
  </si>
  <si>
    <t>SEAT ASSY BLACK</t>
  </si>
  <si>
    <t>NR130100</t>
  </si>
  <si>
    <t>NR160330</t>
  </si>
  <si>
    <t>STRAP</t>
  </si>
  <si>
    <t>NR220580</t>
  </si>
  <si>
    <t>NR220750</t>
  </si>
  <si>
    <t>COVER FRAME ASSY LH 1</t>
  </si>
  <si>
    <t>NR220760</t>
  </si>
  <si>
    <t>COVER FRAME ASSY RH 1</t>
  </si>
  <si>
    <t>NR220860</t>
  </si>
  <si>
    <t>RUBBER STOPPER FRONT INNER</t>
  </si>
  <si>
    <t>NR220940</t>
  </si>
  <si>
    <t>NR220950</t>
  </si>
  <si>
    <t>NR221039</t>
  </si>
  <si>
    <t>COVER FUEL TANK LH</t>
  </si>
  <si>
    <t>NR221049</t>
  </si>
  <si>
    <t>COVER FUEL TANK RH</t>
  </si>
  <si>
    <t>NR221059</t>
  </si>
  <si>
    <t>NR221069</t>
  </si>
  <si>
    <t>NR221079</t>
  </si>
  <si>
    <t>COVER FUEL TANK CENTER</t>
  </si>
  <si>
    <t>NR221110</t>
  </si>
  <si>
    <t>NR221129</t>
  </si>
  <si>
    <t>NR221139</t>
  </si>
  <si>
    <t>NR221339</t>
  </si>
  <si>
    <t>NR221349</t>
  </si>
  <si>
    <t>FENDER FRONT TOP 1</t>
  </si>
  <si>
    <t>NR221350</t>
  </si>
  <si>
    <t>FENDER FRONT BOTTOM ASSY</t>
  </si>
  <si>
    <t>NR221360</t>
  </si>
  <si>
    <t>NR221910</t>
  </si>
  <si>
    <t>COVER FUEL TANK INNER LH</t>
  </si>
  <si>
    <t>NR221920</t>
  </si>
  <si>
    <t>COVER FUEL TANK INNER RH</t>
  </si>
  <si>
    <t>NR221930</t>
  </si>
  <si>
    <t>NR221940</t>
  </si>
  <si>
    <t>HOUSING HEADLAMP REAR COVER</t>
  </si>
  <si>
    <t>NR223050</t>
  </si>
  <si>
    <t>LOGO COV FUEL TANK LH BLACK1</t>
  </si>
  <si>
    <t>NR223060</t>
  </si>
  <si>
    <t>LOGO COV FUEL TANK RH BLACK1</t>
  </si>
  <si>
    <t>NR223650</t>
  </si>
  <si>
    <t>BEADING SPEEDOMETER</t>
  </si>
  <si>
    <t>P1040200</t>
  </si>
  <si>
    <t>P1040220</t>
  </si>
  <si>
    <t>BOOT SAI FILTER</t>
  </si>
  <si>
    <t>P110650</t>
  </si>
  <si>
    <t>ABSORBER REAR WHEEL HUB</t>
  </si>
  <si>
    <t>P121060</t>
  </si>
  <si>
    <t>PAD FENDER REAR</t>
  </si>
  <si>
    <t>P150270</t>
  </si>
  <si>
    <t>DAMPER RUBBER LOWER</t>
  </si>
  <si>
    <t>P6010050</t>
  </si>
  <si>
    <t>P6010070</t>
  </si>
  <si>
    <t>P6010080</t>
  </si>
  <si>
    <t>P6040050</t>
  </si>
  <si>
    <t>P6040180</t>
  </si>
  <si>
    <t>P6040190</t>
  </si>
  <si>
    <t>P6040310</t>
  </si>
  <si>
    <t>P6080290</t>
  </si>
  <si>
    <t>BUFFER CHAIN</t>
  </si>
  <si>
    <t>P6100030</t>
  </si>
  <si>
    <t>P6130020</t>
  </si>
  <si>
    <t>SEAT COMP FRONT</t>
  </si>
  <si>
    <t>P6130060</t>
  </si>
  <si>
    <t>SEAT COMP REAR</t>
  </si>
  <si>
    <t>P6130130</t>
  </si>
  <si>
    <t>P6140200</t>
  </si>
  <si>
    <t>P6140210</t>
  </si>
  <si>
    <t>HOSE FUEL OUTLET</t>
  </si>
  <si>
    <t>P6140290</t>
  </si>
  <si>
    <t>HOSE ROLL OVER VALVE</t>
  </si>
  <si>
    <t>P6140300</t>
  </si>
  <si>
    <t>P6140340</t>
  </si>
  <si>
    <t>HOSE FUEL  RETURN</t>
  </si>
  <si>
    <t>P6180050</t>
  </si>
  <si>
    <t>P6180060</t>
  </si>
  <si>
    <t>P6220140</t>
  </si>
  <si>
    <t>P6220660</t>
  </si>
  <si>
    <t>P7010080</t>
  </si>
  <si>
    <t>P7010090</t>
  </si>
  <si>
    <t>P7080010</t>
  </si>
  <si>
    <t>OIL FILTER</t>
  </si>
  <si>
    <t>P7110010</t>
  </si>
  <si>
    <t>TYRE 250  16  REAR</t>
  </si>
  <si>
    <t>P7130150</t>
  </si>
  <si>
    <t>P7130160</t>
  </si>
  <si>
    <t>P7140060</t>
  </si>
  <si>
    <t>P7140070</t>
  </si>
  <si>
    <t>FUEL FILTER 1</t>
  </si>
  <si>
    <t>P7140080</t>
  </si>
  <si>
    <t>HOSE PUMP OUTLET 1</t>
  </si>
  <si>
    <t>P7160070</t>
  </si>
  <si>
    <t>P7160150</t>
  </si>
  <si>
    <t>P7160240</t>
  </si>
  <si>
    <t>CABLE GUIDE</t>
  </si>
  <si>
    <t>P7220110</t>
  </si>
  <si>
    <t>BEADING LID TOP</t>
  </si>
  <si>
    <t>R1010780</t>
  </si>
  <si>
    <t>R1010780CN</t>
  </si>
  <si>
    <t>GUIDE CAMCHAIN PHOENIX</t>
  </si>
  <si>
    <t>R1010790</t>
  </si>
  <si>
    <t>R1010790CN</t>
  </si>
  <si>
    <t>R1040900</t>
  </si>
  <si>
    <t>HOSE AIR CUTOUT</t>
  </si>
  <si>
    <t>R1041240</t>
  </si>
  <si>
    <t>R1080790</t>
  </si>
  <si>
    <t>KICKSTARTER SPRING GUIDE</t>
  </si>
  <si>
    <t>R1090350</t>
  </si>
  <si>
    <t>BUFFER CHAINCASE</t>
  </si>
  <si>
    <t>R1090420</t>
  </si>
  <si>
    <t>R1091110</t>
  </si>
  <si>
    <t>CHAIN COVER LOWER</t>
  </si>
  <si>
    <t>R1091120</t>
  </si>
  <si>
    <t>CHAIN COVER UPPER</t>
  </si>
  <si>
    <t>R1100140</t>
  </si>
  <si>
    <t>DUST SEAL</t>
  </si>
  <si>
    <t>R1100290</t>
  </si>
  <si>
    <t>R1100470</t>
  </si>
  <si>
    <t>GUIDE CABLE NP.027</t>
  </si>
  <si>
    <t>R1110520</t>
  </si>
  <si>
    <t>TUBE 2.75'' X 17'' - REAR City 110/spor</t>
  </si>
  <si>
    <t>R1111240</t>
  </si>
  <si>
    <t>R1121310</t>
  </si>
  <si>
    <t>CUSHION UTILITY BOX</t>
  </si>
  <si>
    <t>R1122280</t>
  </si>
  <si>
    <t>SLEEVE FOOTREST FRONT</t>
  </si>
  <si>
    <t>R1122350</t>
  </si>
  <si>
    <t>CUSHION 12.5x21x4</t>
  </si>
  <si>
    <t>R1140180</t>
  </si>
  <si>
    <t>HOSE FUEL TANK TO AFC</t>
  </si>
  <si>
    <t>R1140190</t>
  </si>
  <si>
    <t>R1140200</t>
  </si>
  <si>
    <t>HOSE AFC TO CARBURETTOR</t>
  </si>
  <si>
    <t>R1140520</t>
  </si>
  <si>
    <t>HOSE AFC TO CARBURETTOR UP.108</t>
  </si>
  <si>
    <t>R1140620</t>
  </si>
  <si>
    <t>R1150330</t>
  </si>
  <si>
    <t>CUSHION HANDLE BAR</t>
  </si>
  <si>
    <t>R1160440</t>
  </si>
  <si>
    <t>BOOT WIRING HARNESS</t>
  </si>
  <si>
    <t>R1220260</t>
  </si>
  <si>
    <t>CUSHION EXHAUST MOUNTING</t>
  </si>
  <si>
    <t>R1220360</t>
  </si>
  <si>
    <t>R1220590</t>
  </si>
  <si>
    <t>BRKT COMP LIC PLATE FRONT</t>
  </si>
  <si>
    <t>R1220770</t>
  </si>
  <si>
    <t>CUSHION HEAD LAMP</t>
  </si>
  <si>
    <t>R1225000</t>
  </si>
  <si>
    <t>CAP PANEL REAR</t>
  </si>
  <si>
    <t>R1225460</t>
  </si>
  <si>
    <t>BUSH PANEL</t>
  </si>
  <si>
    <t>R2010830</t>
  </si>
  <si>
    <t>R2040140</t>
  </si>
  <si>
    <t>BREATHER HOSE PCV</t>
  </si>
  <si>
    <t>R2090040</t>
  </si>
  <si>
    <t>SILENT BLOCK</t>
  </si>
  <si>
    <t>R2220760</t>
  </si>
  <si>
    <t>CUSHION FOOTREST</t>
  </si>
  <si>
    <t>R3040030</t>
  </si>
  <si>
    <t>HOSE BREATHER PCV NP.101</t>
  </si>
  <si>
    <t>R3040060</t>
  </si>
  <si>
    <t>R3040160</t>
  </si>
  <si>
    <t>R3040170</t>
  </si>
  <si>
    <t>R3040260</t>
  </si>
  <si>
    <t>R3120160</t>
  </si>
  <si>
    <t>RUBBER PILLION FOOTREST</t>
  </si>
  <si>
    <t>R3120640</t>
  </si>
  <si>
    <t>CAP</t>
  </si>
  <si>
    <t>R3140200</t>
  </si>
  <si>
    <t>R3140220</t>
  </si>
  <si>
    <t>DRAIN PIPE</t>
  </si>
  <si>
    <t>R3140230</t>
  </si>
  <si>
    <t>GROMMET FUEL TANK</t>
  </si>
  <si>
    <t>R3160090</t>
  </si>
  <si>
    <t>BOOT STARTER RELAY</t>
  </si>
  <si>
    <t>R3160270</t>
  </si>
  <si>
    <t>HOLDER MUSIC SYSTEM</t>
  </si>
  <si>
    <t>R3160670</t>
  </si>
  <si>
    <t>R3200010</t>
  </si>
  <si>
    <t>O-RING 6260  350</t>
  </si>
  <si>
    <t>R3220560</t>
  </si>
  <si>
    <t>RING SPEAKER HOLDER</t>
  </si>
  <si>
    <t>R3220640</t>
  </si>
  <si>
    <t>R3220650</t>
  </si>
  <si>
    <t>CUSHION RC LAMP</t>
  </si>
  <si>
    <t>R3220670</t>
  </si>
  <si>
    <t>PAD CUSHION 24  21</t>
  </si>
  <si>
    <t>R3320400</t>
  </si>
  <si>
    <t>RUBBER FLAP LOCK ASSY ASSY</t>
  </si>
  <si>
    <t>R3320510</t>
  </si>
  <si>
    <t>RUBBER FLAP LOCK ASSY</t>
  </si>
  <si>
    <t>R4010060</t>
  </si>
  <si>
    <t>R4040010</t>
  </si>
  <si>
    <t>R4040150</t>
  </si>
  <si>
    <t>R4040220</t>
  </si>
  <si>
    <t>R4040230</t>
  </si>
  <si>
    <t>R4040330</t>
  </si>
  <si>
    <t>R4080070</t>
  </si>
  <si>
    <t>R4080180</t>
  </si>
  <si>
    <t>R4140040</t>
  </si>
  <si>
    <t>R4140280</t>
  </si>
  <si>
    <t>R4160130</t>
  </si>
  <si>
    <t>R4180030</t>
  </si>
  <si>
    <t>R4180040</t>
  </si>
  <si>
    <t>R4180050</t>
  </si>
  <si>
    <t>R4180060</t>
  </si>
  <si>
    <t>COVER CVT AIR OUTLET</t>
  </si>
  <si>
    <t>R4180080</t>
  </si>
  <si>
    <t>R4180120</t>
  </si>
  <si>
    <t>R4180130</t>
  </si>
  <si>
    <t>R4180160</t>
  </si>
  <si>
    <t>R4220330</t>
  </si>
  <si>
    <t>MUDFLAP REAR</t>
  </si>
  <si>
    <t>R4221020</t>
  </si>
  <si>
    <t>GROMMET IGNITION LOCK</t>
  </si>
  <si>
    <t>R4221040</t>
  </si>
  <si>
    <t>R4221340</t>
  </si>
  <si>
    <t>S1060310</t>
  </si>
  <si>
    <t>SEAL SPARK PLUG</t>
  </si>
  <si>
    <t>U2100190</t>
  </si>
  <si>
    <t>PLUG,  FENDER FRONT</t>
  </si>
  <si>
    <t>H001</t>
  </si>
  <si>
    <t>ARUL POLYMERS PRIVATE LIMITED</t>
  </si>
  <si>
    <t>TVS Srichakra Limited</t>
  </si>
  <si>
    <t>TVS SRICHAKRA LTD</t>
  </si>
  <si>
    <t>RALSON (INDIA) LTD</t>
  </si>
  <si>
    <t>ARAYMOND  INDIA PRIVATE LIMITED</t>
  </si>
  <si>
    <t>ARAYMOND INDIA PRIVATE LIMITED</t>
  </si>
  <si>
    <t>SOGEFI ENGINE SYSTEM INDIA PVT LTD</t>
  </si>
  <si>
    <t>CAVENDISH INDUSTRIES LIMITED</t>
  </si>
  <si>
    <t>SUNDARAM AUTO COMPONENTS LIMITED</t>
  </si>
  <si>
    <t>HARITA FEHRER LTD</t>
  </si>
  <si>
    <t>BANDO INDIA PVT LTD</t>
  </si>
  <si>
    <t>IMPERIAL AUTO INDUSTRIES LIMITED</t>
  </si>
  <si>
    <t>VW Shift Rate</t>
  </si>
  <si>
    <t>VW Cycle Time</t>
  </si>
  <si>
    <t>VW Cavity</t>
  </si>
  <si>
    <t>VW OEE</t>
  </si>
  <si>
    <t>VW Parts Per Shift</t>
  </si>
  <si>
    <t>VW Cost</t>
  </si>
  <si>
    <t>Profit %</t>
  </si>
  <si>
    <t>Profit Rs.</t>
  </si>
  <si>
    <t>OH %</t>
  </si>
  <si>
    <t>OH Rs.</t>
  </si>
  <si>
    <t>Packing MP Cost</t>
  </si>
  <si>
    <t>Local Bin cost</t>
  </si>
  <si>
    <t>Freight Cost</t>
  </si>
  <si>
    <t>IP20200129</t>
  </si>
  <si>
    <t>R36</t>
  </si>
  <si>
    <t>IP20182011</t>
  </si>
  <si>
    <t>R35</t>
  </si>
  <si>
    <t>IP20190911</t>
  </si>
  <si>
    <t>R37</t>
  </si>
  <si>
    <t>R38</t>
  </si>
  <si>
    <t>IP20200109</t>
  </si>
  <si>
    <t>R39</t>
  </si>
  <si>
    <t>R40</t>
  </si>
  <si>
    <t>R41</t>
  </si>
  <si>
    <t>VISHNUPRIYA</t>
  </si>
  <si>
    <t>MITHUN</t>
  </si>
  <si>
    <t>MX22104170</t>
  </si>
  <si>
    <t>IP20200117</t>
  </si>
  <si>
    <t>R42</t>
  </si>
  <si>
    <t>R43</t>
  </si>
  <si>
    <t>IP20200118</t>
  </si>
  <si>
    <t>R44</t>
  </si>
  <si>
    <t>R45</t>
  </si>
  <si>
    <t>IP20192722</t>
  </si>
  <si>
    <t>R46</t>
  </si>
  <si>
    <t>IP20192715</t>
  </si>
  <si>
    <t>R47</t>
  </si>
  <si>
    <t>R48</t>
  </si>
  <si>
    <t>R58</t>
  </si>
  <si>
    <t>R49</t>
  </si>
  <si>
    <t>R50</t>
  </si>
  <si>
    <t>Yes</t>
  </si>
  <si>
    <t>MX21103605 Packing and freight cost change.3% extra cost given.</t>
  </si>
  <si>
    <t>K2010140_1</t>
  </si>
  <si>
    <t>Cover Cylinder Head</t>
  </si>
  <si>
    <t>K2010140_2</t>
  </si>
  <si>
    <t>Plate Breather</t>
  </si>
  <si>
    <t xml:space="preserve">PP 1 </t>
  </si>
  <si>
    <t>N3011760_1</t>
  </si>
  <si>
    <t>INSERT</t>
  </si>
  <si>
    <t>M8_INSERT</t>
  </si>
  <si>
    <t>M8 INSERT</t>
  </si>
  <si>
    <t>IP20191801</t>
  </si>
  <si>
    <t>3% Extra cost given.</t>
  </si>
  <si>
    <t>Not Avl</t>
  </si>
  <si>
    <t>Stock norms considered 7 turns against 5.Rs.0.01 added extra.</t>
  </si>
  <si>
    <t>Hose6</t>
  </si>
  <si>
    <t>Hose7</t>
  </si>
  <si>
    <t>IP20180868</t>
  </si>
  <si>
    <t>IP20180885</t>
  </si>
  <si>
    <t>Rubber hose avl</t>
  </si>
  <si>
    <t>IP20180675</t>
  </si>
  <si>
    <t>R51</t>
  </si>
  <si>
    <t>IP20190508</t>
  </si>
  <si>
    <t>1. BO cost added to RM and P &amp; OH is given over that. 
2. Profit given on Input cost rather than net material cost.Hence Rs. 0.65 given extra</t>
  </si>
  <si>
    <t>PA610 GF30</t>
  </si>
  <si>
    <t>IP20221674</t>
  </si>
  <si>
    <t>Bo Cost added to RM and P&amp;OH is given over that.Rs.1.40 given extra.</t>
  </si>
  <si>
    <t>PA66 GF30</t>
  </si>
  <si>
    <t>IP20220187</t>
  </si>
  <si>
    <t>Tyre1</t>
  </si>
  <si>
    <t>Tyre2</t>
  </si>
  <si>
    <t>Tyre3</t>
  </si>
  <si>
    <t>Tyre4</t>
  </si>
  <si>
    <t>Tyre part avl</t>
  </si>
  <si>
    <t>IP20180614</t>
  </si>
  <si>
    <t>IP20202335</t>
  </si>
  <si>
    <t>IP20180662</t>
  </si>
  <si>
    <t>IP20202310</t>
  </si>
  <si>
    <t>R57</t>
  </si>
  <si>
    <t>IP20180371</t>
  </si>
  <si>
    <t>PP-9 - Polypropylene + 10% Glass filling
GPPB 2610</t>
  </si>
  <si>
    <t>IP20202196</t>
  </si>
  <si>
    <t>Stock norms considered 6 turns against 5.P &amp; OH is given on the insert cost also. Rs. 0.89 given extra</t>
  </si>
  <si>
    <t>3% more given on the final part cost.</t>
  </si>
  <si>
    <t xml:space="preserve"> Nylon 6 with 30% GF</t>
  </si>
  <si>
    <t>Hose8</t>
  </si>
  <si>
    <t>Hose9</t>
  </si>
  <si>
    <t>IP20182195</t>
  </si>
  <si>
    <t>IP20182257</t>
  </si>
  <si>
    <t>IP20191210</t>
  </si>
  <si>
    <t>Hose10</t>
  </si>
  <si>
    <t>Hose11</t>
  </si>
  <si>
    <t>Extended from MYSR to HP Plant.Breakup not available in the cost sheet.</t>
  </si>
  <si>
    <t>MX21103559</t>
  </si>
  <si>
    <t>IP20200252</t>
  </si>
  <si>
    <t>Breakup Not available.</t>
  </si>
  <si>
    <t>R59</t>
  </si>
  <si>
    <t>R60</t>
  </si>
  <si>
    <t>IP20230769</t>
  </si>
  <si>
    <t>IP20221774</t>
  </si>
  <si>
    <t>IP20180641</t>
  </si>
  <si>
    <t>Cost in pdf ie., Rs. 62.73 is matched with me3m cost ie., Rs. 61.48 by legacy cost. Rej and P&amp;OH is given on BO cost and mould maintenance charges. Rs. 0.40 given extra. Legacy cost of Rs. 1.25 is subtracted</t>
  </si>
  <si>
    <t>XPP H5005 UV BLACK</t>
  </si>
  <si>
    <t>IP20180575</t>
  </si>
  <si>
    <t>Rejction and P &amp; OH is given on mold maintenance charges. Rs. 0.03 extra</t>
  </si>
  <si>
    <t>R61</t>
  </si>
  <si>
    <t>IP20180657</t>
  </si>
  <si>
    <t>IP20180673</t>
  </si>
  <si>
    <t>IP20210225</t>
  </si>
  <si>
    <t>IP20210094</t>
  </si>
  <si>
    <t>R64</t>
  </si>
  <si>
    <t>R62</t>
  </si>
  <si>
    <t>R63</t>
  </si>
  <si>
    <t>IP20180658</t>
  </si>
  <si>
    <t>IP20210224</t>
  </si>
  <si>
    <t>R65</t>
  </si>
  <si>
    <t>R66</t>
  </si>
  <si>
    <t>IP20210095</t>
  </si>
  <si>
    <t>IP20180672</t>
  </si>
  <si>
    <t>R67</t>
  </si>
  <si>
    <t>R68</t>
  </si>
  <si>
    <t>IP20180627</t>
  </si>
  <si>
    <t>Rejction and P &amp; OH is given on mold maintenance charges. Rs. 0.02 extra</t>
  </si>
  <si>
    <t>IP20180659</t>
  </si>
  <si>
    <t>IP20180676</t>
  </si>
  <si>
    <t>Rejection given on BO Cost.Rs.0.10 Extra.</t>
  </si>
  <si>
    <t xml:space="preserve">XPPH 5005 UV Red </t>
  </si>
  <si>
    <t>IP20211693</t>
  </si>
  <si>
    <t>Extended from MYSR to HP.</t>
  </si>
  <si>
    <t xml:space="preserve">XPPH 5005 UV neon green </t>
  </si>
  <si>
    <t>Rejection given on BO Cost.Rs.0.04 Extra.</t>
  </si>
  <si>
    <t>IP20190011</t>
  </si>
  <si>
    <t xml:space="preserve"> Rej and P&amp;OH is given on BO cost and mould maintenance charges. Rs. 0.02 given extra.</t>
  </si>
  <si>
    <t>PVC 5A  Grade:PS 70 Black UV</t>
  </si>
  <si>
    <t>MX2110337</t>
  </si>
  <si>
    <t>IP20190509</t>
  </si>
  <si>
    <t>PP-12 BLACK</t>
  </si>
  <si>
    <t>IP20190703</t>
  </si>
  <si>
    <t>PP-12 ( BLACK )</t>
  </si>
  <si>
    <t>IP20190704</t>
  </si>
  <si>
    <t>IP20210219</t>
  </si>
  <si>
    <t>R70</t>
  </si>
  <si>
    <t>R69</t>
  </si>
  <si>
    <t>R71</t>
  </si>
  <si>
    <t>IP20192728</t>
  </si>
  <si>
    <t>IP20192725</t>
  </si>
  <si>
    <t>R72</t>
  </si>
  <si>
    <t>IP20210218</t>
  </si>
  <si>
    <t>IP20192723</t>
  </si>
  <si>
    <t>IP20192724</t>
  </si>
  <si>
    <t>R73</t>
  </si>
  <si>
    <t>R74</t>
  </si>
  <si>
    <t>R75</t>
  </si>
  <si>
    <t>IP20210241</t>
  </si>
  <si>
    <t>R76</t>
  </si>
  <si>
    <t>IP20192727</t>
  </si>
  <si>
    <t>R77</t>
  </si>
  <si>
    <t>IP20192726</t>
  </si>
  <si>
    <t>R78</t>
  </si>
  <si>
    <t>IP20210129</t>
  </si>
  <si>
    <t>R79</t>
  </si>
  <si>
    <t>R80</t>
  </si>
  <si>
    <t>IP20210086</t>
  </si>
  <si>
    <t>IP20230760</t>
  </si>
  <si>
    <t>R81</t>
  </si>
  <si>
    <t>IP20221888</t>
  </si>
  <si>
    <t>R82</t>
  </si>
  <si>
    <t>IP20180101</t>
  </si>
  <si>
    <t>MX21103312</t>
  </si>
  <si>
    <t>Breakup Not Available.Extented from MYSR Plant to HP Plant.</t>
  </si>
  <si>
    <t>Breakup Not Available.</t>
  </si>
  <si>
    <t>IP20210391</t>
  </si>
  <si>
    <t>CRR Flange PAN Hd Tap Screw ST4.2x13 (1211C0030) 4 Off</t>
  </si>
  <si>
    <t>KA220500</t>
  </si>
  <si>
    <t>BAG HOOK - RETAINER HINGE</t>
  </si>
  <si>
    <t xml:space="preserve">NYLON 6+GF15% Black UV </t>
  </si>
  <si>
    <t>IP20230706</t>
  </si>
  <si>
    <t>Q1 FY 23 24</t>
  </si>
  <si>
    <t>IP20210407</t>
  </si>
  <si>
    <t>IP20210408</t>
  </si>
  <si>
    <t>IP20210412</t>
  </si>
  <si>
    <t>IP20210392</t>
  </si>
  <si>
    <t xml:space="preserve">Child part is considered as Rs. 9.62 whereas the cost is Rs. 9.16 as per break up. 3% extra cost given. Totally : 0.46+2.91 given extra respectively. </t>
  </si>
  <si>
    <t>E TYPE CIRCLIP DIA 5 X 0.7</t>
  </si>
  <si>
    <t>KA220710_1</t>
  </si>
  <si>
    <t>BAG HOOK TOP</t>
  </si>
  <si>
    <t>KA220710_2</t>
  </si>
  <si>
    <t>KA220710_5</t>
  </si>
  <si>
    <t>IP20210413</t>
  </si>
  <si>
    <t>PP GF10 % (APPCOM GF 1510 BK )</t>
  </si>
  <si>
    <t>IP20232311</t>
  </si>
  <si>
    <t>Anantharaj Kandasamy</t>
  </si>
  <si>
    <t>IP20180610</t>
  </si>
  <si>
    <t>R83</t>
  </si>
  <si>
    <t>IP20192082</t>
  </si>
  <si>
    <t>Hose12</t>
  </si>
  <si>
    <t>Hose13</t>
  </si>
  <si>
    <t>IP20191786</t>
  </si>
  <si>
    <t>CAROL.NISHA</t>
  </si>
  <si>
    <t>G.ANAND</t>
  </si>
  <si>
    <t>R85</t>
  </si>
  <si>
    <t>R84</t>
  </si>
  <si>
    <t>IP20200108</t>
  </si>
  <si>
    <t>IP20191587</t>
  </si>
  <si>
    <t>Hose14</t>
  </si>
  <si>
    <t>IP20191571</t>
  </si>
  <si>
    <t>Hose assly3</t>
  </si>
  <si>
    <t>PR20180105</t>
  </si>
  <si>
    <t>IP20192696</t>
  </si>
  <si>
    <t>R88</t>
  </si>
  <si>
    <t>R89</t>
  </si>
  <si>
    <t>MX20102463</t>
  </si>
  <si>
    <t>Hose15</t>
  </si>
  <si>
    <t>Hose16</t>
  </si>
  <si>
    <t>IP20190581</t>
  </si>
  <si>
    <t>IP20190541</t>
  </si>
  <si>
    <t>Hose17</t>
  </si>
  <si>
    <t>Hose18</t>
  </si>
  <si>
    <t>Hose19</t>
  </si>
  <si>
    <t>IP20190601</t>
  </si>
  <si>
    <t>Hose20</t>
  </si>
  <si>
    <t>Hose21</t>
  </si>
  <si>
    <t>Hose22</t>
  </si>
  <si>
    <t>IP20190542</t>
  </si>
  <si>
    <t>Hose23</t>
  </si>
  <si>
    <t>Hose24</t>
  </si>
  <si>
    <t>R90</t>
  </si>
  <si>
    <t>R91</t>
  </si>
  <si>
    <t>Not Approved in IPSF.NO Breakup.</t>
  </si>
  <si>
    <t>IP20192198</t>
  </si>
  <si>
    <t>Not Approved No Breakup.</t>
  </si>
  <si>
    <t>Hose25</t>
  </si>
  <si>
    <t>IP20192595</t>
  </si>
  <si>
    <t>Hose26</t>
  </si>
  <si>
    <t>IP20200597</t>
  </si>
  <si>
    <t>IP20231366</t>
  </si>
  <si>
    <t>LDPE</t>
  </si>
  <si>
    <t>IP20231367</t>
  </si>
  <si>
    <t>APPCOM 5000BK</t>
  </si>
  <si>
    <t>IP20231343</t>
  </si>
  <si>
    <t xml:space="preserve">Rs. 0.67 emery paper cost to be given to supplier. </t>
  </si>
  <si>
    <t>Nylon 22% GF Natural</t>
  </si>
  <si>
    <t>IP20231368</t>
  </si>
  <si>
    <t>IP20231369</t>
  </si>
  <si>
    <t>Breakup Not available.Not Approved in IPSF.</t>
  </si>
  <si>
    <t>IP20231370</t>
  </si>
  <si>
    <t>Handling charges given on CP cost as well. Rs. 0.13 given extra.</t>
  </si>
  <si>
    <t>K3220860</t>
  </si>
  <si>
    <t>Bag Hook</t>
  </si>
  <si>
    <t>K3220870</t>
  </si>
  <si>
    <t>Retainer</t>
  </si>
  <si>
    <t>PA-2 ( Nylon 6 with 15% mineral filler )+UV</t>
  </si>
  <si>
    <t>Hose27</t>
  </si>
  <si>
    <t>IP20201541</t>
  </si>
  <si>
    <t>IP20231401</t>
  </si>
  <si>
    <t>R92</t>
  </si>
  <si>
    <t>IP20200493</t>
  </si>
  <si>
    <t>IP20181307</t>
  </si>
  <si>
    <t>G Pugazhenthi</t>
  </si>
  <si>
    <t>PA 66  Zytel® 45 HSB</t>
  </si>
  <si>
    <t>Vishnu Priya</t>
  </si>
  <si>
    <t>Sree lakhsmi</t>
  </si>
  <si>
    <t>IP20172591</t>
  </si>
  <si>
    <t>Kuhite Waman Moreshwar</t>
  </si>
  <si>
    <t>ICC is added in RM Cost and thus cascading effect given. Rs. 0.02 added extra</t>
  </si>
  <si>
    <t>ZYTEL 45HSB</t>
  </si>
  <si>
    <t>IP20181295</t>
  </si>
  <si>
    <t>R93</t>
  </si>
  <si>
    <t>R94</t>
  </si>
  <si>
    <t>R95</t>
  </si>
  <si>
    <t>R96</t>
  </si>
  <si>
    <t>MX19101301</t>
  </si>
  <si>
    <t>Sreelakhsmi</t>
  </si>
  <si>
    <t>IP20190524</t>
  </si>
  <si>
    <t>MX19101466</t>
  </si>
  <si>
    <t>Extended from Hos to HP plant,as above
1. BO cost added to RM and P &amp; OH is given over that. 
2. Profit given on Input cost rather than net material cost.Hence Rs. 0.65 given extra</t>
  </si>
  <si>
    <t>R97</t>
  </si>
  <si>
    <t>R98</t>
  </si>
  <si>
    <t>R99</t>
  </si>
  <si>
    <t>R100</t>
  </si>
  <si>
    <t>R101</t>
  </si>
  <si>
    <t>IP20190602</t>
  </si>
  <si>
    <t>Hose28</t>
  </si>
  <si>
    <t>Hose29</t>
  </si>
  <si>
    <t>IP20192368</t>
  </si>
  <si>
    <t>IP20180324</t>
  </si>
  <si>
    <t>PY-22 *</t>
  </si>
  <si>
    <t>IP20140552</t>
  </si>
  <si>
    <t>RM Rejection wt, %</t>
  </si>
  <si>
    <t>RM Rejection Wt</t>
  </si>
  <si>
    <t>RM Rejection Cost, Rs</t>
  </si>
  <si>
    <t>Batch Qty, nos</t>
  </si>
  <si>
    <t>Purge Wt, Kg</t>
  </si>
  <si>
    <t>Purge Cost, Rs</t>
  </si>
  <si>
    <t>Spilling loss, %</t>
  </si>
  <si>
    <t>Spilling loss, Rs.</t>
  </si>
  <si>
    <t>Setting time, hrs</t>
  </si>
  <si>
    <t>Setting Cost</t>
  </si>
  <si>
    <t>CP1 Deflashing cost</t>
  </si>
  <si>
    <t>CP1 Packing Cost,Rs</t>
  </si>
  <si>
    <t>CP1 Transport Cost,Rs</t>
  </si>
  <si>
    <t>CP1 Extra Cost</t>
  </si>
  <si>
    <t>CP2 Deflashing Cost</t>
  </si>
  <si>
    <t>CP2 Packing Cost,Rs</t>
  </si>
  <si>
    <t>CP2 Transort Cost,Rs</t>
  </si>
  <si>
    <t>CP2 Extra Cost</t>
  </si>
  <si>
    <t>Breakup Not Available in IPSF.</t>
  </si>
  <si>
    <t>MX19101352</t>
  </si>
  <si>
    <t>IP20180204</t>
  </si>
  <si>
    <t>By roundup and rounddown in transport working, Rs.0.15 is charged extra in break up cost</t>
  </si>
  <si>
    <t>Nylon 6 with 15% glass filler</t>
  </si>
  <si>
    <t>IP20202209</t>
  </si>
  <si>
    <t>3% more given on the final part cost.Amortization year considred 3turns against 2 Rs.0.16 added extra.</t>
  </si>
  <si>
    <t xml:space="preserve">PA-3 Ny 6 UV Blk </t>
  </si>
  <si>
    <t>MX21103471</t>
  </si>
  <si>
    <t>Breahup Not available.</t>
  </si>
  <si>
    <t>IP20180513</t>
  </si>
  <si>
    <t>Dipa Pradeep Savant</t>
  </si>
  <si>
    <t>Seat assly11</t>
  </si>
  <si>
    <t>Seat assly avl</t>
  </si>
  <si>
    <t>IP20190594</t>
  </si>
  <si>
    <t>IP20210255</t>
  </si>
  <si>
    <t>IP20210784</t>
  </si>
  <si>
    <t>IP20220268</t>
  </si>
  <si>
    <t>IP20220194</t>
  </si>
  <si>
    <t>Breakup Not Available in the cost sheet.</t>
  </si>
  <si>
    <t>Seat assly12</t>
  </si>
  <si>
    <t>Seat assly13</t>
  </si>
  <si>
    <t>Seat assly14</t>
  </si>
  <si>
    <t>IP20221004</t>
  </si>
  <si>
    <t>Seat assly15</t>
  </si>
  <si>
    <t>IP20221108</t>
  </si>
  <si>
    <t>Seat assly16</t>
  </si>
  <si>
    <t>Seat assly17</t>
  </si>
  <si>
    <t>IP20230163</t>
  </si>
  <si>
    <t>IP20230345</t>
  </si>
  <si>
    <t>Seat assly18</t>
  </si>
  <si>
    <t>IP20180207</t>
  </si>
  <si>
    <t>Fuel Tank avl</t>
  </si>
  <si>
    <t>Fuel Tank8</t>
  </si>
  <si>
    <t>R102</t>
  </si>
  <si>
    <t>IP20181252</t>
  </si>
  <si>
    <t>IP20180175</t>
  </si>
  <si>
    <t>Fuel Tank9</t>
  </si>
  <si>
    <t>Fuel Tank6</t>
  </si>
  <si>
    <t>IP20192610</t>
  </si>
  <si>
    <t>Breakup not available.</t>
  </si>
  <si>
    <t>IP20192937</t>
  </si>
  <si>
    <t>Fuel Tank10</t>
  </si>
  <si>
    <t>IP20192663</t>
  </si>
  <si>
    <t>IP20192085</t>
  </si>
  <si>
    <t>Hose30</t>
  </si>
  <si>
    <t>Hose31</t>
  </si>
  <si>
    <t>Hose32</t>
  </si>
  <si>
    <t>Hose33</t>
  </si>
  <si>
    <t>IP20192369</t>
  </si>
  <si>
    <t>IP20191262</t>
  </si>
  <si>
    <t>IP20201644</t>
  </si>
  <si>
    <t>Hose34</t>
  </si>
  <si>
    <t>Hose35</t>
  </si>
  <si>
    <t>Hose36</t>
  </si>
  <si>
    <t>Hose37</t>
  </si>
  <si>
    <t>R103</t>
  </si>
  <si>
    <t>R104</t>
  </si>
  <si>
    <t>R108</t>
  </si>
  <si>
    <t>R105</t>
  </si>
  <si>
    <t>R106</t>
  </si>
  <si>
    <t>IP20190566</t>
  </si>
  <si>
    <t>IP20191576</t>
  </si>
  <si>
    <t>IP20200851</t>
  </si>
  <si>
    <t>Hose assly4</t>
  </si>
  <si>
    <t>Hose assly5</t>
  </si>
  <si>
    <t>Hose38</t>
  </si>
  <si>
    <t>Hose39</t>
  </si>
  <si>
    <t>IP20200848</t>
  </si>
  <si>
    <t>Extended from MYSR to HOS.</t>
  </si>
  <si>
    <t>BO Cost added to P&amp;OH and Rej.Rs.0.08 extra.</t>
  </si>
  <si>
    <t>BO Cost added to P&amp;OH and Rej.Rs.0.08 extra.Extented from HOS Plant to MYSR Plant.</t>
  </si>
  <si>
    <t>Not Approved No Breakup in the IPSF.</t>
  </si>
  <si>
    <t>R107</t>
  </si>
  <si>
    <t>R109</t>
  </si>
  <si>
    <t>IP20181240</t>
  </si>
  <si>
    <t>IP20192897</t>
  </si>
  <si>
    <t>IP20192912</t>
  </si>
  <si>
    <t>IP20192913</t>
  </si>
  <si>
    <t>PP-30%GF</t>
  </si>
  <si>
    <t>K3180350</t>
  </si>
  <si>
    <t>SPACER, COWL</t>
  </si>
  <si>
    <t>Legacy cost added to match to the me3m cost</t>
  </si>
  <si>
    <t>MX23105159</t>
  </si>
  <si>
    <t>Extended from Mysr to HP. Legacy cost added to match to the me3m cost</t>
  </si>
  <si>
    <t>IP20202005</t>
  </si>
  <si>
    <t>No Number avl</t>
  </si>
  <si>
    <t xml:space="preserve">1. Child part cost is Rs. 2.36 but in handling charges it is put as Rs. 2.72. </t>
  </si>
  <si>
    <t>L3"a"</t>
  </si>
  <si>
    <t>KL220160</t>
  </si>
  <si>
    <t>Panel Rear</t>
  </si>
  <si>
    <t>K2222190</t>
  </si>
  <si>
    <t>Cover Bottom</t>
  </si>
  <si>
    <t>Tufnyl SXXIC Black</t>
  </si>
  <si>
    <t>IP20211713</t>
  </si>
  <si>
    <t>MX23105158</t>
  </si>
  <si>
    <t>Extended from Mysr to HP. Legacy cost added to match to the me3m cost and also packing and transport cost.</t>
  </si>
  <si>
    <t>IP20190366</t>
  </si>
  <si>
    <t>21590(MYSR) - Not Available.20089 Available.Suplier to be given Rs. 0.02 as 1.25% of handling charges to be given on BO cost of Rs. 5.23 against Rs. 4</t>
  </si>
  <si>
    <t>N3200340</t>
  </si>
  <si>
    <t>CRR FLANGED PAN HD TAP SCREW ST4.2x13</t>
  </si>
  <si>
    <t>K3221860</t>
  </si>
  <si>
    <t>PANEL REAR INNER</t>
  </si>
  <si>
    <t>K3220170</t>
  </si>
  <si>
    <t>Panel Rear Inner (Black)</t>
  </si>
  <si>
    <t xml:space="preserve">K3220860 </t>
  </si>
  <si>
    <t xml:space="preserve">K3220870 </t>
  </si>
  <si>
    <t>Tufnyl SGF 15 Black UV</t>
  </si>
  <si>
    <t>Not reqd</t>
  </si>
  <si>
    <t>IP20192073</t>
  </si>
  <si>
    <t>Ac assy3</t>
  </si>
  <si>
    <t>IP20190511</t>
  </si>
  <si>
    <t>Ac assy2</t>
  </si>
  <si>
    <t>IP20192769</t>
  </si>
  <si>
    <t>Air cleaner avl</t>
  </si>
  <si>
    <t>AC2</t>
  </si>
  <si>
    <t>MX19101614</t>
  </si>
  <si>
    <t>MX19101615</t>
  </si>
  <si>
    <t>MX19101464</t>
  </si>
  <si>
    <t>IP20192825</t>
  </si>
  <si>
    <t>L Dinagaran</t>
  </si>
  <si>
    <t xml:space="preserve">Profit &amp; OH, Mold Maint,Rej,Packing &amp; Transport Cost is given on BO Cost.Rs.0.29 given extra.Child part cost is arrived by dividing the final cost by cavity number rather than dividing the moulding cost. The same is put adjusted in the extra cost of child part. </t>
  </si>
  <si>
    <t xml:space="preserve">HDPE B56003 </t>
  </si>
  <si>
    <t>Lower Cup</t>
  </si>
  <si>
    <t>Washer</t>
  </si>
  <si>
    <t>IP20192605</t>
  </si>
  <si>
    <t>Fuel Tank4</t>
  </si>
  <si>
    <t>IP20180721</t>
  </si>
  <si>
    <t>Stock norms considered 6 turns against Rs.0.007 added extra.</t>
  </si>
  <si>
    <t>IP20180704</t>
  </si>
  <si>
    <t>MX20102594</t>
  </si>
  <si>
    <t>Extented from MYSR to HOS.Stock Norms considered 6 turns against 5 Rs.0.001 added extra.</t>
  </si>
  <si>
    <t>Desmopan 392 LS</t>
  </si>
  <si>
    <t>Stock Norms considered 6 turns against 5 Rs.0.001 added extra.</t>
  </si>
  <si>
    <t>IP20210261</t>
  </si>
  <si>
    <t>Seat assly2</t>
  </si>
  <si>
    <t>IP20220184</t>
  </si>
  <si>
    <t>IP20220158</t>
  </si>
  <si>
    <t>IP20181436</t>
  </si>
  <si>
    <t>Fuel Tank1</t>
  </si>
  <si>
    <t>Cat Type</t>
  </si>
  <si>
    <t>IP20191701</t>
  </si>
  <si>
    <t>Fuel Tank7</t>
  </si>
  <si>
    <t>PI20210360</t>
  </si>
  <si>
    <t>Hose assly6</t>
  </si>
  <si>
    <t>Hose assly7</t>
  </si>
  <si>
    <t>IP20191543</t>
  </si>
  <si>
    <t>Hose41</t>
  </si>
  <si>
    <t>Hose40</t>
  </si>
  <si>
    <t>IP20192363</t>
  </si>
  <si>
    <t>IP20192366</t>
  </si>
  <si>
    <t>IP20172316</t>
  </si>
  <si>
    <t>MX22104142</t>
  </si>
  <si>
    <t>PR20180104 -SREELAKSHMI-5Jan2018.Cost sheet not avl in IPSF.</t>
  </si>
  <si>
    <t>MX22104143</t>
  </si>
  <si>
    <t>Not Approved in IPSF.Breakup Not Available.</t>
  </si>
  <si>
    <t>Seat assly6</t>
  </si>
  <si>
    <t>MX20102612</t>
  </si>
  <si>
    <t>IP20192938</t>
  </si>
  <si>
    <t>AC1</t>
  </si>
  <si>
    <t>ANUJ.KUMAR</t>
  </si>
  <si>
    <t>Cost sheet Not Available in the IPSF.</t>
  </si>
  <si>
    <t>Seat assly8</t>
  </si>
  <si>
    <t>IP20200393</t>
  </si>
  <si>
    <t>IP20200392</t>
  </si>
  <si>
    <t>Seat assly10</t>
  </si>
  <si>
    <t>IP20190457</t>
  </si>
  <si>
    <t>AC5</t>
  </si>
  <si>
    <t>IP20192299</t>
  </si>
  <si>
    <t>IP20221978</t>
  </si>
  <si>
    <t>IP20230026</t>
  </si>
  <si>
    <t>IP20222042</t>
  </si>
  <si>
    <t>Hose assly8</t>
  </si>
  <si>
    <t>Hose assly9</t>
  </si>
  <si>
    <t>Hose assly10</t>
  </si>
  <si>
    <t>IP20152188</t>
  </si>
  <si>
    <t>AC6</t>
  </si>
  <si>
    <t>Seat assly3</t>
  </si>
  <si>
    <t>Same IP No</t>
  </si>
  <si>
    <t>Hose42</t>
  </si>
  <si>
    <t xml:space="preserve">4 ps to be given to supplier since supplier missed to multiply the runner wt with cavity nos. </t>
  </si>
  <si>
    <t>PPCP Black</t>
  </si>
  <si>
    <t>Jumbo Bin</t>
  </si>
  <si>
    <t>IP20191017</t>
  </si>
  <si>
    <t>IP20211655</t>
  </si>
  <si>
    <t>IP20220180</t>
  </si>
  <si>
    <t>IP20202205</t>
  </si>
  <si>
    <t>IP20190452</t>
  </si>
  <si>
    <t>MX20102014</t>
  </si>
  <si>
    <t>Cost Sheet not available in IPSF.</t>
  </si>
  <si>
    <t>Hose43</t>
  </si>
  <si>
    <t>Hose44</t>
  </si>
  <si>
    <t>Hose45</t>
  </si>
  <si>
    <t>IP20191241</t>
  </si>
  <si>
    <t>IP20190721</t>
  </si>
  <si>
    <t>IP20191234</t>
  </si>
  <si>
    <t>Hose46</t>
  </si>
  <si>
    <t>Hose47</t>
  </si>
  <si>
    <t>Hose48</t>
  </si>
  <si>
    <t>Hose50</t>
  </si>
  <si>
    <t>Hose52</t>
  </si>
  <si>
    <t>Hose62</t>
  </si>
  <si>
    <t>IP20190722</t>
  </si>
  <si>
    <t>Hose49</t>
  </si>
  <si>
    <t>Hose51</t>
  </si>
  <si>
    <t>Hose53</t>
  </si>
  <si>
    <t>IP20191263</t>
  </si>
  <si>
    <t>IP20190727</t>
  </si>
  <si>
    <t>Hose54</t>
  </si>
  <si>
    <t>Hose55</t>
  </si>
  <si>
    <t>Hose56</t>
  </si>
  <si>
    <t>Hose57</t>
  </si>
  <si>
    <t>Hose58</t>
  </si>
  <si>
    <t>Hose59</t>
  </si>
  <si>
    <t>IP20191235</t>
  </si>
  <si>
    <t>IP20190726</t>
  </si>
  <si>
    <t>Hose60</t>
  </si>
  <si>
    <t>Hose61</t>
  </si>
  <si>
    <t>IP20181611</t>
  </si>
  <si>
    <t>IP20190161</t>
  </si>
  <si>
    <t>P Geetha</t>
  </si>
  <si>
    <t>Seat assly19</t>
  </si>
  <si>
    <t>IP20221727</t>
  </si>
  <si>
    <t>21590(HP) - Not Available.21591 Available.</t>
  </si>
  <si>
    <t>Stock norms considered 7 turns as against 5 turns. Rs. 0.02 added.</t>
  </si>
  <si>
    <t>IP20230864</t>
  </si>
  <si>
    <t xml:space="preserve">1. Rejection of 1.25% is given on boughtout cost. Rs.1.89.
2. Stock Norms 7 put against 5.  Rs.0.02   Extra. </t>
  </si>
  <si>
    <t>N9227200</t>
  </si>
  <si>
    <t>Reflex reflector</t>
  </si>
  <si>
    <t>P1200060</t>
  </si>
  <si>
    <t>Hexagonal Nut M6</t>
  </si>
  <si>
    <t>Punched Washer A 6.6 ZnB</t>
  </si>
  <si>
    <t>CRR Pan Hd Tap Scr ST 4.2x16</t>
  </si>
  <si>
    <t>KL2220350</t>
  </si>
  <si>
    <t>Fender Rear Outer</t>
  </si>
  <si>
    <t>KL2220340</t>
  </si>
  <si>
    <t>Fender Rear Inner</t>
  </si>
  <si>
    <t>IP20181973</t>
  </si>
  <si>
    <t>Hose63</t>
  </si>
  <si>
    <t>Hose64</t>
  </si>
  <si>
    <t>IP20221198</t>
  </si>
  <si>
    <t>IP20221199</t>
  </si>
  <si>
    <t>Tyre5</t>
  </si>
  <si>
    <t>Tyre6</t>
  </si>
  <si>
    <t>Ac assly</t>
  </si>
  <si>
    <t>Tyre</t>
  </si>
  <si>
    <t>R Hose assly</t>
  </si>
  <si>
    <t>R Hose</t>
  </si>
  <si>
    <t>Tank assly</t>
  </si>
  <si>
    <t>Logo</t>
  </si>
  <si>
    <t>No of sheets</t>
  </si>
  <si>
    <t>Part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</si>
</sst>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0.000"/>
    <numFmt numFmtId="165" formatCode="0.0000"/>
    <numFmt numFmtId="166" formatCode="0.0%"/>
    <numFmt numFmtId="167" formatCode="0.0"/>
    <numFmt numFmtId="168" formatCode="0.00000"/>
    <numFmt numFmtId="169" formatCode="0.000%"/>
  </numFmts>
  <fonts count="40">
    <font>
      <sz val="11"/>
      <color theme="1"/>
      <name val="Aptos Narrow"/>
      <family val="2"/>
      <scheme val="minor"/>
    </font>
    <font>
      <sz val="10"/>
      <name val="Arial"/>
      <family val="2"/>
    </font>
    <font>
      <b/>
      <sz val="11"/>
      <color theme="1"/>
      <name val="Aptos Narrow"/>
      <family val="2"/>
      <scheme val="minor"/>
    </font>
    <font>
      <sz val="11"/>
      <color theme="1"/>
      <name val="Aptos Narrow"/>
      <family val="2"/>
      <scheme val="minor"/>
    </font>
    <font>
      <sz val="11"/>
      <name val="Aptos Narrow"/>
      <family val="2"/>
      <scheme val="minor"/>
    </font>
    <font>
      <sz val="10"/>
      <color theme="1"/>
      <name val="Cambria"/>
      <family val="2"/>
    </font>
    <font>
      <sz val="10"/>
      <name val="Calibri"/>
      <family val="2"/>
    </font>
    <font>
      <b/>
      <sz val="10"/>
      <name val="Arial"/>
      <family val="2"/>
    </font>
    <font>
      <sz val="11"/>
      <color indexed="8"/>
      <name val="Aptos Narrow"/>
      <family val="2"/>
      <scheme val="minor"/>
    </font>
    <font>
      <sz val="11"/>
      <color theme="1"/>
      <name val="Calibri"/>
      <family val="2"/>
    </font>
    <font>
      <sz val="10"/>
      <name val="Times New Roman"/>
      <family val="1"/>
      <charset val="1"/>
    </font>
    <font>
      <sz val="10"/>
      <color theme="1"/>
      <name val="Arial"/>
      <family val="2"/>
    </font>
    <font>
      <sz val="11"/>
      <color indexed="8"/>
      <name val="Calibri"/>
      <family val="2"/>
    </font>
    <font>
      <sz val="11"/>
      <color theme="1"/>
      <name val="Times New Roman"/>
      <family val="1"/>
    </font>
    <font>
      <sz val="10"/>
      <name val="Trebuchet MS"/>
      <family val="2"/>
    </font>
    <font>
      <sz val="12"/>
      <color theme="1"/>
      <name val="Aptos Narrow"/>
      <family val="2"/>
      <scheme val="minor"/>
    </font>
    <font>
      <b/>
      <sz val="9"/>
      <color indexed="81"/>
      <name val="Tahoma"/>
      <family val="2"/>
    </font>
    <font>
      <sz val="11"/>
      <color rgb="FF000000"/>
      <name val="Aptos Narrow"/>
      <family val="2"/>
      <scheme val="minor"/>
    </font>
    <font>
      <sz val="11"/>
      <color rgb="FF000000"/>
      <name val="Arial"/>
      <family val="2"/>
    </font>
    <font>
      <sz val="11"/>
      <color theme="1"/>
      <name val="Arial"/>
      <family val="2"/>
    </font>
    <font>
      <sz val="10"/>
      <color theme="1"/>
      <name val="Calibri"/>
      <family val="2"/>
    </font>
    <font>
      <sz val="12"/>
      <color indexed="8"/>
      <name val="Aptos Narrow"/>
      <family val="2"/>
      <scheme val="minor"/>
    </font>
    <font>
      <sz val="10"/>
      <name val="Times New Roman"/>
      <family val="1"/>
    </font>
    <font>
      <b/>
      <sz val="12"/>
      <color theme="1"/>
      <name val="Aptos Narrow"/>
      <family val="2"/>
      <scheme val="minor"/>
    </font>
    <font>
      <b/>
      <sz val="9"/>
      <color theme="1"/>
      <name val="Arial"/>
      <family val="2"/>
    </font>
    <font>
      <sz val="11"/>
      <color rgb="FF000000"/>
      <name val="Calibri"/>
      <family val="2"/>
    </font>
    <font>
      <sz val="10"/>
      <color rgb="FF32363A"/>
      <name val="72"/>
      <family val="2"/>
    </font>
    <font>
      <sz val="10"/>
      <name val="Aptos Narrow"/>
      <family val="2"/>
      <scheme val="minor"/>
    </font>
    <font>
      <sz val="11"/>
      <color rgb="FFFF0000"/>
      <name val="Aptos Narrow"/>
      <family val="2"/>
      <scheme val="minor"/>
    </font>
    <font>
      <sz val="10"/>
      <color rgb="FFFF0000"/>
      <name val="Calibri"/>
      <family val="2"/>
    </font>
    <font>
      <sz val="10"/>
      <color theme="8" tint="0.39997558519241921"/>
      <name val="Calibri"/>
      <family val="2"/>
    </font>
    <font>
      <b/>
      <sz val="11"/>
      <color rgb="FF000066"/>
      <name val="Aptos Narrow"/>
      <family val="2"/>
      <scheme val="minor"/>
    </font>
    <font>
      <sz val="11"/>
      <color theme="1"/>
      <name val="Arail"/>
    </font>
    <font>
      <sz val="10"/>
      <color theme="1"/>
      <name val="Aptos Narrow"/>
      <family val="2"/>
    </font>
    <font>
      <sz val="12"/>
      <name val="Calibri"/>
      <family val="2"/>
      <charset val="134"/>
    </font>
    <font>
      <sz val="11"/>
      <color indexed="8"/>
      <name val="Calibri"/>
      <family val="2"/>
      <charset val="134"/>
    </font>
    <font>
      <sz val="10"/>
      <color theme="1"/>
      <name val="Malgun Gothic"/>
      <family val="2"/>
    </font>
    <font>
      <sz val="12"/>
      <name val="Aptos Narrow"/>
      <family val="2"/>
      <scheme val="minor"/>
    </font>
    <font>
      <sz val="8"/>
      <name val="Aptos Narrow"/>
      <family val="2"/>
      <scheme val="minor"/>
    </font>
    <font>
      <b/>
      <sz val="11"/>
      <color theme="1"/>
      <name val="Calibri"/>
      <family val="2"/>
    </font>
  </fonts>
  <fills count="2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3" tint="0.89999084444715716"/>
        <bgColor indexed="64"/>
      </patternFill>
    </fill>
    <fill>
      <patternFill patternType="solid">
        <fgColor theme="0"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2"/>
        <bgColor indexed="64"/>
      </patternFill>
    </fill>
    <fill>
      <patternFill patternType="solid">
        <fgColor rgb="FF92D050"/>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66CC"/>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5"/>
        <bgColor indexed="64"/>
      </patternFill>
    </fill>
    <fill>
      <patternFill patternType="solid">
        <fgColor theme="5" tint="-0.249977111117893"/>
        <bgColor indexed="64"/>
      </patternFill>
    </fill>
    <fill>
      <patternFill patternType="solid">
        <fgColor rgb="FFC00000"/>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66FF"/>
        <bgColor indexed="64"/>
      </patternFill>
    </fill>
    <fill>
      <patternFill patternType="solid">
        <fgColor theme="8"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ck">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right style="thin">
        <color indexed="64"/>
      </right>
      <top/>
      <bottom/>
      <diagonal/>
    </border>
    <border>
      <left style="thin">
        <color indexed="64"/>
      </left>
      <right/>
      <top/>
      <bottom/>
      <diagonal/>
    </border>
    <border>
      <left style="hair">
        <color auto="1"/>
      </left>
      <right style="hair">
        <color auto="1"/>
      </right>
      <top style="hair">
        <color auto="1"/>
      </top>
      <bottom style="hair">
        <color auto="1"/>
      </bottom>
      <diagonal/>
    </border>
    <border>
      <left style="thin">
        <color auto="1"/>
      </left>
      <right style="thin">
        <color auto="1"/>
      </right>
      <top style="hair">
        <color auto="1"/>
      </top>
      <bottom style="hair">
        <color auto="1"/>
      </bottom>
      <diagonal/>
    </border>
    <border>
      <left style="hair">
        <color indexed="64"/>
      </left>
      <right style="double">
        <color auto="1"/>
      </right>
      <top style="hair">
        <color indexed="64"/>
      </top>
      <bottom style="hair">
        <color indexed="64"/>
      </bottom>
      <diagonal/>
    </border>
    <border>
      <left style="thick">
        <color indexed="64"/>
      </left>
      <right style="medium">
        <color indexed="64"/>
      </right>
      <top style="hair">
        <color indexed="64"/>
      </top>
      <bottom style="hair">
        <color indexed="64"/>
      </bottom>
      <diagonal/>
    </border>
    <border>
      <left style="hair">
        <color auto="1"/>
      </left>
      <right style="medium">
        <color auto="1"/>
      </right>
      <top/>
      <bottom style="hair">
        <color auto="1"/>
      </bottom>
      <diagonal/>
    </border>
    <border>
      <left style="hair">
        <color auto="1"/>
      </left>
      <right style="thick">
        <color auto="1"/>
      </right>
      <top style="hair">
        <color auto="1"/>
      </top>
      <bottom style="hair">
        <color auto="1"/>
      </bottom>
      <diagonal/>
    </border>
    <border>
      <left style="thin">
        <color auto="1"/>
      </left>
      <right style="medium">
        <color indexed="64"/>
      </right>
      <top style="hair">
        <color auto="1"/>
      </top>
      <bottom style="hair">
        <color auto="1"/>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medium">
        <color indexed="64"/>
      </right>
      <top style="thin">
        <color indexed="64"/>
      </top>
      <bottom style="thin">
        <color indexed="64"/>
      </bottom>
      <diagonal/>
    </border>
    <border>
      <left style="hair">
        <color auto="1"/>
      </left>
      <right style="hair">
        <color auto="1"/>
      </right>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auto="1"/>
      </top>
      <bottom style="hair">
        <color auto="1"/>
      </bottom>
      <diagonal/>
    </border>
    <border>
      <left style="medium">
        <color rgb="FFE5E5E5"/>
      </left>
      <right style="medium">
        <color rgb="FFE5E5E5"/>
      </right>
      <top style="medium">
        <color rgb="FFE5E5E5"/>
      </top>
      <bottom style="medium">
        <color rgb="FFE5E5E5"/>
      </bottom>
      <diagonal/>
    </border>
    <border>
      <left style="thin">
        <color indexed="64"/>
      </left>
      <right style="thin">
        <color indexed="64"/>
      </right>
      <top/>
      <bottom style="thin">
        <color indexed="64"/>
      </bottom>
      <diagonal/>
    </border>
  </borders>
  <cellStyleXfs count="12">
    <xf numFmtId="0" fontId="0" fillId="0" borderId="0"/>
    <xf numFmtId="0" fontId="1" fillId="0" borderId="0"/>
    <xf numFmtId="0" fontId="5" fillId="0" borderId="0"/>
    <xf numFmtId="0" fontId="1" fillId="0" borderId="0"/>
    <xf numFmtId="0" fontId="1" fillId="0" borderId="0"/>
    <xf numFmtId="0" fontId="3" fillId="0" borderId="0"/>
    <xf numFmtId="0" fontId="1" fillId="0" borderId="0"/>
    <xf numFmtId="43" fontId="3" fillId="0" borderId="0" applyFont="0" applyFill="0" applyBorder="0" applyAlignment="0" applyProtection="0"/>
    <xf numFmtId="9" fontId="3" fillId="0" borderId="0" applyFont="0" applyFill="0" applyBorder="0" applyAlignment="0" applyProtection="0"/>
    <xf numFmtId="0" fontId="12" fillId="0" borderId="0"/>
    <xf numFmtId="0" fontId="35" fillId="0" borderId="0">
      <alignment vertical="center"/>
    </xf>
    <xf numFmtId="0" fontId="1" fillId="0" borderId="0"/>
  </cellStyleXfs>
  <cellXfs count="468">
    <xf numFmtId="0" fontId="0" fillId="0" borderId="0" xfId="0"/>
    <xf numFmtId="2" fontId="4" fillId="0" borderId="0" xfId="0" applyNumberFormat="1" applyFont="1" applyAlignment="1">
      <alignment horizontal="right" vertical="center" wrapText="1"/>
    </xf>
    <xf numFmtId="164" fontId="4" fillId="0" borderId="0" xfId="0" applyNumberFormat="1" applyFont="1" applyAlignment="1">
      <alignment horizontal="right" vertical="center" wrapText="1"/>
    </xf>
    <xf numFmtId="1" fontId="4" fillId="0" borderId="0" xfId="0" applyNumberFormat="1" applyFont="1" applyAlignment="1">
      <alignment horizontal="right" vertical="center" wrapText="1"/>
    </xf>
    <xf numFmtId="2" fontId="0" fillId="0" borderId="0" xfId="0" applyNumberFormat="1"/>
    <xf numFmtId="0" fontId="1" fillId="0" borderId="0" xfId="0" applyFont="1" applyAlignment="1">
      <alignment horizontal="left" vertical="center"/>
    </xf>
    <xf numFmtId="0" fontId="2" fillId="0" borderId="0" xfId="0" applyFont="1"/>
    <xf numFmtId="2" fontId="2" fillId="0" borderId="0" xfId="0" applyNumberFormat="1" applyFont="1"/>
    <xf numFmtId="9" fontId="0" fillId="0" borderId="0" xfId="0" applyNumberFormat="1"/>
    <xf numFmtId="10" fontId="0" fillId="0" borderId="0" xfId="0" applyNumberFormat="1"/>
    <xf numFmtId="1" fontId="0" fillId="0" borderId="0" xfId="0" applyNumberFormat="1"/>
    <xf numFmtId="0" fontId="1" fillId="0" borderId="0" xfId="0" applyFont="1" applyAlignment="1">
      <alignment horizontal="right" vertical="center"/>
    </xf>
    <xf numFmtId="2" fontId="0" fillId="9" borderId="0" xfId="0" applyNumberFormat="1" applyFill="1"/>
    <xf numFmtId="0" fontId="0" fillId="0" borderId="0" xfId="0" applyAlignment="1">
      <alignment horizontal="left"/>
    </xf>
    <xf numFmtId="164" fontId="0" fillId="0" borderId="0" xfId="0" applyNumberFormat="1"/>
    <xf numFmtId="2" fontId="2" fillId="0" borderId="0" xfId="0" applyNumberFormat="1" applyFont="1" applyAlignment="1">
      <alignment horizontal="right"/>
    </xf>
    <xf numFmtId="0" fontId="2" fillId="0" borderId="0" xfId="0" applyFont="1" applyAlignment="1">
      <alignment horizontal="right"/>
    </xf>
    <xf numFmtId="164" fontId="3" fillId="10" borderId="0" xfId="1" applyNumberFormat="1" applyFont="1" applyFill="1" applyAlignment="1">
      <alignment horizontal="right" vertical="center" wrapText="1"/>
    </xf>
    <xf numFmtId="9" fontId="0" fillId="0" borderId="0" xfId="0" applyNumberFormat="1" applyAlignment="1">
      <alignment horizontal="right"/>
    </xf>
    <xf numFmtId="164"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10" fontId="0" fillId="0" borderId="0" xfId="0" applyNumberFormat="1" applyAlignment="1">
      <alignment horizontal="right"/>
    </xf>
    <xf numFmtId="1" fontId="0" fillId="0" borderId="0" xfId="0" applyNumberFormat="1" applyAlignment="1">
      <alignment horizontal="right"/>
    </xf>
    <xf numFmtId="164" fontId="3" fillId="0" borderId="0" xfId="1" applyNumberFormat="1" applyFont="1" applyAlignment="1">
      <alignment horizontal="right" vertical="center" wrapText="1"/>
    </xf>
    <xf numFmtId="164" fontId="0" fillId="0" borderId="0" xfId="0" applyNumberFormat="1" applyAlignment="1">
      <alignment horizontal="right" vertical="center" wrapText="1"/>
    </xf>
    <xf numFmtId="0" fontId="3" fillId="0" borderId="0" xfId="2" applyFont="1" applyAlignment="1">
      <alignment horizontal="right" vertical="center"/>
    </xf>
    <xf numFmtId="0" fontId="6" fillId="0" borderId="0" xfId="0" applyFont="1" applyAlignment="1">
      <alignment vertical="top"/>
    </xf>
    <xf numFmtId="0" fontId="6" fillId="0" borderId="0" xfId="0" applyFont="1" applyAlignment="1">
      <alignment horizontal="left" vertical="top"/>
    </xf>
    <xf numFmtId="0" fontId="1" fillId="0" borderId="0" xfId="0" applyFont="1" applyAlignment="1">
      <alignment horizontal="left" vertical="center" wrapText="1"/>
    </xf>
    <xf numFmtId="0" fontId="7" fillId="0" borderId="0" xfId="0" applyFont="1" applyAlignment="1">
      <alignment horizontal="left" vertical="center"/>
    </xf>
    <xf numFmtId="2" fontId="0" fillId="2" borderId="0" xfId="0" applyNumberFormat="1" applyFill="1"/>
    <xf numFmtId="0" fontId="0" fillId="0" borderId="0" xfId="5" applyFont="1" applyAlignment="1">
      <alignment horizontal="right" vertical="center" wrapText="1"/>
    </xf>
    <xf numFmtId="165" fontId="3" fillId="10" borderId="0" xfId="1" applyNumberFormat="1" applyFont="1" applyFill="1" applyAlignment="1">
      <alignment horizontal="right" vertical="center" wrapText="1"/>
    </xf>
    <xf numFmtId="164" fontId="3" fillId="0" borderId="0" xfId="5" applyNumberFormat="1" applyAlignment="1">
      <alignment horizontal="right" vertical="center" wrapText="1"/>
    </xf>
    <xf numFmtId="0" fontId="0" fillId="11" borderId="0" xfId="0" applyFill="1"/>
    <xf numFmtId="166" fontId="0" fillId="0" borderId="0" xfId="0" applyNumberFormat="1"/>
    <xf numFmtId="0" fontId="0" fillId="12" borderId="0" xfId="0" applyFill="1"/>
    <xf numFmtId="164" fontId="4" fillId="0" borderId="0" xfId="3" applyNumberFormat="1" applyFont="1" applyAlignment="1">
      <alignment horizontal="right" vertical="center" wrapText="1"/>
    </xf>
    <xf numFmtId="164" fontId="4" fillId="0" borderId="0" xfId="0" applyNumberFormat="1" applyFont="1" applyAlignment="1">
      <alignment horizontal="center" vertical="center" wrapText="1"/>
    </xf>
    <xf numFmtId="2" fontId="0" fillId="11" borderId="0" xfId="0" applyNumberFormat="1" applyFill="1"/>
    <xf numFmtId="164" fontId="0" fillId="0" borderId="0" xfId="1" applyNumberFormat="1" applyFont="1" applyAlignment="1">
      <alignment horizontal="right" vertical="center" wrapText="1"/>
    </xf>
    <xf numFmtId="2" fontId="2" fillId="10" borderId="0" xfId="0" applyNumberFormat="1" applyFont="1" applyFill="1"/>
    <xf numFmtId="2" fontId="2" fillId="11" borderId="0" xfId="0" applyNumberFormat="1" applyFont="1" applyFill="1"/>
    <xf numFmtId="2" fontId="0" fillId="13" borderId="0" xfId="0" applyNumberFormat="1" applyFill="1"/>
    <xf numFmtId="167" fontId="0" fillId="0" borderId="0" xfId="0" applyNumberFormat="1"/>
    <xf numFmtId="164" fontId="0" fillId="0" borderId="2" xfId="0" applyNumberFormat="1" applyBorder="1" applyAlignment="1">
      <alignment horizontal="right" vertical="center" wrapText="1"/>
    </xf>
    <xf numFmtId="0" fontId="0" fillId="10" borderId="5" xfId="0" applyFill="1" applyBorder="1"/>
    <xf numFmtId="2" fontId="4" fillId="0" borderId="0" xfId="0" applyNumberFormat="1" applyFont="1" applyAlignment="1">
      <alignment horizontal="left" vertical="center" wrapText="1"/>
    </xf>
    <xf numFmtId="0" fontId="0" fillId="0" borderId="0" xfId="0" applyAlignment="1">
      <alignment horizontal="left" vertical="center" wrapText="1"/>
    </xf>
    <xf numFmtId="0" fontId="0" fillId="0" borderId="0" xfId="5" applyFont="1" applyAlignment="1">
      <alignment horizontal="left" vertical="center" wrapText="1"/>
    </xf>
    <xf numFmtId="0" fontId="1" fillId="0" borderId="0" xfId="0" applyFont="1" applyAlignment="1">
      <alignment vertical="center"/>
    </xf>
    <xf numFmtId="0" fontId="10" fillId="0" borderId="0" xfId="0" applyFont="1" applyAlignment="1">
      <alignment wrapText="1"/>
    </xf>
    <xf numFmtId="0" fontId="0" fillId="0" borderId="0" xfId="0" applyAlignment="1">
      <alignment horizontal="left" wrapText="1"/>
    </xf>
    <xf numFmtId="0" fontId="10" fillId="0" borderId="0" xfId="0" applyFont="1"/>
    <xf numFmtId="165" fontId="0" fillId="0" borderId="0" xfId="0" applyNumberFormat="1"/>
    <xf numFmtId="2" fontId="11" fillId="0" borderId="0" xfId="0" applyNumberFormat="1" applyFont="1" applyAlignment="1">
      <alignment wrapText="1"/>
    </xf>
    <xf numFmtId="2" fontId="0" fillId="0" borderId="0" xfId="0" applyNumberFormat="1" applyAlignment="1">
      <alignment horizontal="center"/>
    </xf>
    <xf numFmtId="2" fontId="11" fillId="10" borderId="0" xfId="0" applyNumberFormat="1" applyFont="1" applyFill="1" applyAlignment="1">
      <alignment wrapText="1"/>
    </xf>
    <xf numFmtId="0" fontId="0" fillId="10" borderId="0" xfId="0" applyFill="1"/>
    <xf numFmtId="0" fontId="2" fillId="10" borderId="0" xfId="0" applyFont="1" applyFill="1"/>
    <xf numFmtId="9" fontId="0" fillId="10" borderId="0" xfId="0" applyNumberFormat="1" applyFill="1"/>
    <xf numFmtId="2" fontId="0" fillId="10" borderId="0" xfId="0" applyNumberFormat="1" applyFill="1"/>
    <xf numFmtId="0" fontId="0" fillId="10" borderId="0" xfId="0" applyFill="1" applyAlignment="1">
      <alignment horizontal="center"/>
    </xf>
    <xf numFmtId="10" fontId="0" fillId="10" borderId="0" xfId="0" applyNumberFormat="1" applyFill="1"/>
    <xf numFmtId="1" fontId="0" fillId="10" borderId="0" xfId="0" applyNumberFormat="1" applyFill="1"/>
    <xf numFmtId="0" fontId="0" fillId="0" borderId="0" xfId="0" applyAlignment="1">
      <alignment horizontal="center"/>
    </xf>
    <xf numFmtId="2" fontId="4" fillId="10" borderId="0" xfId="0" applyNumberFormat="1" applyFont="1" applyFill="1" applyAlignment="1">
      <alignment horizontal="right" vertical="center" wrapText="1"/>
    </xf>
    <xf numFmtId="164" fontId="4" fillId="10" borderId="0" xfId="0" applyNumberFormat="1" applyFont="1" applyFill="1" applyAlignment="1">
      <alignment horizontal="right" vertical="center" wrapText="1"/>
    </xf>
    <xf numFmtId="164" fontId="0" fillId="10" borderId="0" xfId="0" applyNumberFormat="1" applyFill="1"/>
    <xf numFmtId="0" fontId="4" fillId="0" borderId="0" xfId="9" applyFont="1" applyAlignment="1">
      <alignment horizontal="left" vertical="center"/>
    </xf>
    <xf numFmtId="0" fontId="4" fillId="0" borderId="0" xfId="9" applyFont="1" applyAlignment="1">
      <alignment horizontal="center"/>
    </xf>
    <xf numFmtId="0" fontId="0" fillId="0" borderId="0" xfId="0" applyAlignment="1">
      <alignment wrapText="1"/>
    </xf>
    <xf numFmtId="0" fontId="13" fillId="0" borderId="0" xfId="0" applyFont="1"/>
    <xf numFmtId="164" fontId="3" fillId="0" borderId="6" xfId="1" applyNumberFormat="1" applyFont="1" applyBorder="1" applyAlignment="1">
      <alignment horizontal="right" vertical="center" wrapText="1"/>
    </xf>
    <xf numFmtId="1" fontId="3" fillId="0" borderId="6" xfId="2" applyNumberFormat="1" applyFont="1" applyBorder="1" applyAlignment="1">
      <alignment horizontal="right" vertical="center"/>
    </xf>
    <xf numFmtId="0" fontId="3" fillId="0" borderId="6" xfId="2" applyFont="1" applyBorder="1" applyAlignment="1">
      <alignment horizontal="right" vertical="center"/>
    </xf>
    <xf numFmtId="9" fontId="0" fillId="0" borderId="0" xfId="8" applyFont="1"/>
    <xf numFmtId="9" fontId="0" fillId="10" borderId="0" xfId="8" applyFont="1" applyFill="1"/>
    <xf numFmtId="2" fontId="2" fillId="0" borderId="1" xfId="0" applyNumberFormat="1" applyFont="1" applyBorder="1"/>
    <xf numFmtId="0" fontId="0" fillId="10" borderId="0" xfId="0" applyFill="1" applyAlignment="1">
      <alignment horizontal="left"/>
    </xf>
    <xf numFmtId="2" fontId="4" fillId="10" borderId="3" xfId="0" applyNumberFormat="1" applyFont="1" applyFill="1" applyBorder="1" applyAlignment="1">
      <alignment horizontal="right" vertical="center" wrapText="1"/>
    </xf>
    <xf numFmtId="164" fontId="4" fillId="10" borderId="3" xfId="0" applyNumberFormat="1" applyFont="1" applyFill="1" applyBorder="1" applyAlignment="1">
      <alignment horizontal="center" wrapText="1"/>
    </xf>
    <xf numFmtId="0" fontId="3" fillId="10" borderId="3" xfId="2" applyFont="1" applyFill="1" applyBorder="1" applyAlignment="1">
      <alignment horizontal="right" vertical="center"/>
    </xf>
    <xf numFmtId="2" fontId="4" fillId="0" borderId="0" xfId="0" applyNumberFormat="1" applyFont="1" applyAlignment="1">
      <alignment vertical="center" wrapText="1"/>
    </xf>
    <xf numFmtId="0" fontId="9" fillId="0" borderId="6" xfId="0" applyFont="1" applyBorder="1" applyAlignment="1">
      <alignment vertical="center"/>
    </xf>
    <xf numFmtId="2" fontId="8" fillId="0" borderId="0" xfId="4" applyNumberFormat="1" applyFont="1" applyAlignment="1">
      <alignment vertical="center" wrapText="1"/>
    </xf>
    <xf numFmtId="0" fontId="0" fillId="0" borderId="0" xfId="5" applyFont="1" applyAlignment="1">
      <alignment vertical="center" wrapText="1"/>
    </xf>
    <xf numFmtId="0" fontId="9" fillId="0" borderId="3" xfId="0" applyFont="1" applyBorder="1" applyAlignment="1">
      <alignment vertical="center"/>
    </xf>
    <xf numFmtId="0" fontId="0" fillId="10" borderId="6" xfId="0" applyFill="1" applyBorder="1" applyAlignment="1">
      <alignment vertical="center" wrapText="1"/>
    </xf>
    <xf numFmtId="2" fontId="4" fillId="10" borderId="3" xfId="0" applyNumberFormat="1" applyFont="1" applyFill="1" applyBorder="1" applyAlignment="1">
      <alignment vertical="center" wrapText="1"/>
    </xf>
    <xf numFmtId="2" fontId="4" fillId="0" borderId="7" xfId="0" applyNumberFormat="1" applyFont="1" applyBorder="1" applyAlignment="1">
      <alignment vertical="center" wrapText="1"/>
    </xf>
    <xf numFmtId="0" fontId="0" fillId="10" borderId="0" xfId="0" applyFill="1" applyAlignment="1">
      <alignment vertical="center"/>
    </xf>
    <xf numFmtId="2" fontId="2" fillId="10" borderId="0" xfId="0" applyNumberFormat="1" applyFont="1" applyFill="1" applyAlignment="1">
      <alignment wrapText="1"/>
    </xf>
    <xf numFmtId="0" fontId="2" fillId="10" borderId="0" xfId="0" applyFont="1" applyFill="1" applyAlignment="1">
      <alignment wrapText="1"/>
    </xf>
    <xf numFmtId="2" fontId="0" fillId="10" borderId="0" xfId="0" applyNumberFormat="1" applyFill="1" applyAlignment="1">
      <alignment wrapText="1"/>
    </xf>
    <xf numFmtId="0" fontId="0" fillId="10" borderId="0" xfId="0" applyFill="1" applyAlignment="1">
      <alignment wrapText="1"/>
    </xf>
    <xf numFmtId="2" fontId="0" fillId="0" borderId="0" xfId="0" applyNumberFormat="1" applyAlignment="1">
      <alignment wrapText="1"/>
    </xf>
    <xf numFmtId="164" fontId="0" fillId="0" borderId="9" xfId="1" applyNumberFormat="1" applyFont="1" applyBorder="1" applyAlignment="1">
      <alignment horizontal="right" vertical="center" wrapText="1"/>
    </xf>
    <xf numFmtId="2" fontId="4" fillId="0" borderId="9" xfId="1" applyNumberFormat="1" applyFont="1" applyBorder="1" applyAlignment="1">
      <alignment horizontal="right" vertical="center" wrapText="1"/>
    </xf>
    <xf numFmtId="164" fontId="0" fillId="10" borderId="9" xfId="1" applyNumberFormat="1" applyFont="1" applyFill="1" applyBorder="1" applyAlignment="1">
      <alignment horizontal="right" vertical="center" wrapText="1"/>
    </xf>
    <xf numFmtId="2" fontId="0" fillId="10" borderId="3" xfId="2" applyNumberFormat="1" applyFont="1" applyFill="1" applyBorder="1" applyAlignment="1">
      <alignment horizontal="right" vertical="center"/>
    </xf>
    <xf numFmtId="0" fontId="0" fillId="10" borderId="0" xfId="0" applyFill="1" applyAlignment="1">
      <alignment horizontal="right"/>
    </xf>
    <xf numFmtId="0" fontId="0" fillId="10" borderId="6" xfId="0" applyFill="1" applyBorder="1" applyAlignment="1">
      <alignment horizontal="right"/>
    </xf>
    <xf numFmtId="2" fontId="0" fillId="14" borderId="6" xfId="0" applyNumberFormat="1" applyFill="1" applyBorder="1"/>
    <xf numFmtId="0" fontId="0" fillId="10" borderId="6" xfId="0" applyFill="1" applyBorder="1"/>
    <xf numFmtId="2" fontId="2" fillId="10" borderId="6" xfId="0" applyNumberFormat="1" applyFont="1" applyFill="1" applyBorder="1"/>
    <xf numFmtId="0" fontId="2" fillId="10" borderId="6" xfId="0" applyFont="1" applyFill="1" applyBorder="1"/>
    <xf numFmtId="9" fontId="0" fillId="10" borderId="6" xfId="0" applyNumberFormat="1" applyFill="1" applyBorder="1"/>
    <xf numFmtId="2" fontId="0" fillId="10" borderId="6" xfId="0" applyNumberFormat="1" applyFill="1" applyBorder="1"/>
    <xf numFmtId="10" fontId="0" fillId="10" borderId="6" xfId="0" applyNumberFormat="1" applyFill="1" applyBorder="1"/>
    <xf numFmtId="1" fontId="0" fillId="10" borderId="6" xfId="0" applyNumberFormat="1" applyFill="1" applyBorder="1"/>
    <xf numFmtId="2" fontId="4" fillId="10" borderId="6" xfId="1" applyNumberFormat="1" applyFont="1" applyFill="1" applyBorder="1" applyAlignment="1">
      <alignment horizontal="right" vertical="center" wrapText="1"/>
    </xf>
    <xf numFmtId="2" fontId="0" fillId="10" borderId="6" xfId="2" applyNumberFormat="1" applyFont="1" applyFill="1" applyBorder="1" applyAlignment="1">
      <alignment horizontal="right" vertical="center"/>
    </xf>
    <xf numFmtId="0" fontId="0" fillId="0" borderId="6" xfId="0" applyBorder="1"/>
    <xf numFmtId="0" fontId="0" fillId="0" borderId="6" xfId="0" applyBorder="1" applyAlignment="1">
      <alignment horizontal="left"/>
    </xf>
    <xf numFmtId="0" fontId="0" fillId="14" borderId="6" xfId="0" applyFill="1" applyBorder="1"/>
    <xf numFmtId="164" fontId="0" fillId="10" borderId="6" xfId="1" applyNumberFormat="1" applyFont="1" applyFill="1" applyBorder="1" applyAlignment="1">
      <alignment horizontal="right" vertical="center" wrapText="1"/>
    </xf>
    <xf numFmtId="2" fontId="0" fillId="0" borderId="6" xfId="0" applyNumberFormat="1" applyBorder="1"/>
    <xf numFmtId="2" fontId="2" fillId="0" borderId="6" xfId="0" applyNumberFormat="1" applyFont="1" applyBorder="1"/>
    <xf numFmtId="9" fontId="0" fillId="0" borderId="6" xfId="0" applyNumberFormat="1" applyBorder="1"/>
    <xf numFmtId="0" fontId="0" fillId="0" borderId="6" xfId="0" applyBorder="1" applyAlignment="1">
      <alignment horizontal="center"/>
    </xf>
    <xf numFmtId="0" fontId="0" fillId="0" borderId="6" xfId="0" applyBorder="1" applyAlignment="1">
      <alignment horizontal="right"/>
    </xf>
    <xf numFmtId="0" fontId="2" fillId="0" borderId="6" xfId="0" applyFont="1" applyBorder="1"/>
    <xf numFmtId="164" fontId="0" fillId="0" borderId="6" xfId="0" applyNumberFormat="1" applyBorder="1"/>
    <xf numFmtId="10" fontId="0" fillId="0" borderId="6" xfId="0" applyNumberFormat="1" applyBorder="1"/>
    <xf numFmtId="1" fontId="0" fillId="0" borderId="6" xfId="0" applyNumberFormat="1" applyBorder="1"/>
    <xf numFmtId="2" fontId="0" fillId="12" borderId="6" xfId="0" applyNumberFormat="1" applyFill="1" applyBorder="1"/>
    <xf numFmtId="1" fontId="3" fillId="0" borderId="6" xfId="0" applyNumberFormat="1" applyFont="1" applyBorder="1"/>
    <xf numFmtId="0" fontId="4" fillId="0" borderId="6" xfId="4" applyFont="1" applyBorder="1" applyAlignment="1">
      <alignment horizontal="center"/>
    </xf>
    <xf numFmtId="0" fontId="4" fillId="0" borderId="6" xfId="4" applyFont="1" applyBorder="1" applyAlignment="1">
      <alignment horizontal="left" vertical="center"/>
    </xf>
    <xf numFmtId="0" fontId="15" fillId="0" borderId="6" xfId="0" applyFont="1" applyBorder="1" applyAlignment="1">
      <alignment horizontal="center" vertical="center" wrapText="1"/>
    </xf>
    <xf numFmtId="0" fontId="20" fillId="0" borderId="6" xfId="0" applyFont="1" applyBorder="1" applyAlignment="1">
      <alignment horizontal="center" vertical="center"/>
    </xf>
    <xf numFmtId="164" fontId="0" fillId="0" borderId="6" xfId="1" applyNumberFormat="1" applyFont="1" applyBorder="1" applyAlignment="1">
      <alignment horizontal="right" wrapText="1"/>
    </xf>
    <xf numFmtId="164" fontId="0" fillId="0" borderId="6" xfId="0" applyNumberFormat="1" applyBorder="1" applyAlignment="1">
      <alignment horizontal="right" wrapText="1"/>
    </xf>
    <xf numFmtId="164" fontId="4" fillId="0" borderId="6" xfId="0" applyNumberFormat="1" applyFont="1" applyBorder="1" applyAlignment="1">
      <alignment horizontal="right" vertical="center" wrapText="1"/>
    </xf>
    <xf numFmtId="164" fontId="3" fillId="0" borderId="6" xfId="1" applyNumberFormat="1" applyFont="1" applyBorder="1" applyAlignment="1">
      <alignment horizontal="right" wrapText="1"/>
    </xf>
    <xf numFmtId="0" fontId="0" fillId="10" borderId="6" xfId="0" applyFill="1" applyBorder="1" applyAlignment="1">
      <alignment horizontal="center"/>
    </xf>
    <xf numFmtId="164" fontId="0" fillId="10" borderId="6" xfId="0" applyNumberFormat="1" applyFill="1" applyBorder="1"/>
    <xf numFmtId="0" fontId="0" fillId="10" borderId="6" xfId="0" applyFill="1" applyBorder="1" applyAlignment="1">
      <alignment horizontal="left"/>
    </xf>
    <xf numFmtId="0" fontId="0" fillId="10" borderId="6" xfId="0" applyFill="1" applyBorder="1" applyAlignment="1">
      <alignment horizontal="left" wrapText="1"/>
    </xf>
    <xf numFmtId="0" fontId="8" fillId="0" borderId="6" xfId="4" applyFont="1" applyBorder="1" applyAlignment="1">
      <alignment horizontal="left" vertical="center"/>
    </xf>
    <xf numFmtId="0" fontId="8" fillId="10" borderId="6" xfId="4" applyFont="1" applyFill="1" applyBorder="1" applyAlignment="1">
      <alignment horizontal="left" vertical="center"/>
    </xf>
    <xf numFmtId="0" fontId="0" fillId="10" borderId="6" xfId="0" applyFill="1" applyBorder="1" applyAlignment="1">
      <alignment horizontal="left" vertical="center" wrapText="1"/>
    </xf>
    <xf numFmtId="0" fontId="0" fillId="10" borderId="6" xfId="0" applyFill="1" applyBorder="1" applyAlignment="1">
      <alignment horizontal="left" vertical="center"/>
    </xf>
    <xf numFmtId="0" fontId="17" fillId="10" borderId="6" xfId="0" applyFont="1" applyFill="1" applyBorder="1" applyAlignment="1">
      <alignment horizontal="left" vertical="center" wrapText="1"/>
    </xf>
    <xf numFmtId="0" fontId="4" fillId="10" borderId="6" xfId="0" applyFont="1" applyFill="1" applyBorder="1" applyAlignment="1">
      <alignment horizontal="left" vertical="center"/>
    </xf>
    <xf numFmtId="0" fontId="4" fillId="0" borderId="6" xfId="0" applyFont="1" applyBorder="1" applyAlignment="1">
      <alignment horizontal="left" vertical="center"/>
    </xf>
    <xf numFmtId="0" fontId="9" fillId="0" borderId="0" xfId="0" applyFont="1" applyAlignment="1">
      <alignment horizontal="left" vertical="center"/>
    </xf>
    <xf numFmtId="0" fontId="9" fillId="10" borderId="0" xfId="0" applyFont="1" applyFill="1" applyAlignment="1">
      <alignment horizontal="left" vertical="center"/>
    </xf>
    <xf numFmtId="0" fontId="9" fillId="10" borderId="6" xfId="0" applyFont="1" applyFill="1" applyBorder="1" applyAlignment="1">
      <alignment horizontal="left" vertical="center"/>
    </xf>
    <xf numFmtId="164" fontId="4" fillId="10" borderId="6" xfId="0" applyNumberFormat="1" applyFont="1" applyFill="1" applyBorder="1" applyAlignment="1">
      <alignment horizontal="left" vertical="center" wrapText="1"/>
    </xf>
    <xf numFmtId="0" fontId="18" fillId="0" borderId="6" xfId="0" applyFont="1" applyBorder="1" applyAlignment="1">
      <alignment horizontal="left" vertical="center" readingOrder="1"/>
    </xf>
    <xf numFmtId="0" fontId="19" fillId="0" borderId="6" xfId="0" applyFont="1" applyBorder="1" applyAlignment="1">
      <alignment horizontal="left" vertical="center" readingOrder="1"/>
    </xf>
    <xf numFmtId="2" fontId="4" fillId="0" borderId="6" xfId="0" applyNumberFormat="1" applyFont="1" applyBorder="1" applyAlignment="1">
      <alignment horizontal="left" vertical="center" wrapText="1"/>
    </xf>
    <xf numFmtId="0" fontId="9" fillId="0" borderId="6" xfId="0" applyFont="1" applyBorder="1" applyAlignment="1">
      <alignment horizontal="left" vertical="center"/>
    </xf>
    <xf numFmtId="0" fontId="21" fillId="0" borderId="6" xfId="4" applyFont="1" applyBorder="1" applyAlignment="1">
      <alignment horizontal="left" vertical="center"/>
    </xf>
    <xf numFmtId="2" fontId="8" fillId="0" borderId="0" xfId="4" applyNumberFormat="1" applyFont="1" applyAlignment="1">
      <alignment horizontal="left" vertical="center" wrapText="1"/>
    </xf>
    <xf numFmtId="165" fontId="0" fillId="10" borderId="0" xfId="0" applyNumberFormat="1" applyFill="1"/>
    <xf numFmtId="2" fontId="8" fillId="10" borderId="0" xfId="4" applyNumberFormat="1" applyFont="1" applyFill="1" applyAlignment="1">
      <alignment horizontal="left" vertical="center" wrapText="1"/>
    </xf>
    <xf numFmtId="0" fontId="6" fillId="10" borderId="0" xfId="0" applyFont="1" applyFill="1" applyAlignment="1">
      <alignment vertical="top" wrapText="1"/>
    </xf>
    <xf numFmtId="167" fontId="0" fillId="10" borderId="0" xfId="0" applyNumberFormat="1" applyFill="1"/>
    <xf numFmtId="0" fontId="6" fillId="0" borderId="0" xfId="0" applyFont="1" applyAlignment="1">
      <alignment vertical="top" wrapText="1"/>
    </xf>
    <xf numFmtId="0" fontId="0" fillId="10" borderId="0" xfId="0" applyFill="1" applyAlignment="1">
      <alignment horizontal="left" wrapText="1"/>
    </xf>
    <xf numFmtId="0" fontId="6" fillId="15" borderId="0" xfId="0" applyFont="1" applyFill="1" applyAlignment="1">
      <alignment vertical="top"/>
    </xf>
    <xf numFmtId="0" fontId="0" fillId="15" borderId="0" xfId="0" applyFill="1"/>
    <xf numFmtId="0" fontId="0" fillId="15" borderId="6" xfId="0" applyFill="1" applyBorder="1" applyAlignment="1">
      <alignment horizontal="left"/>
    </xf>
    <xf numFmtId="0" fontId="0" fillId="15" borderId="0" xfId="0" applyFill="1" applyAlignment="1">
      <alignment horizontal="left"/>
    </xf>
    <xf numFmtId="164" fontId="2" fillId="0" borderId="0" xfId="0" applyNumberFormat="1" applyFont="1"/>
    <xf numFmtId="2" fontId="4" fillId="0" borderId="10" xfId="0" applyNumberFormat="1" applyFont="1" applyBorder="1" applyAlignment="1">
      <alignment horizontal="right" vertical="center" wrapText="1"/>
    </xf>
    <xf numFmtId="0" fontId="0" fillId="14" borderId="0" xfId="0" applyFill="1"/>
    <xf numFmtId="0" fontId="1" fillId="0" borderId="0" xfId="0" applyFont="1" applyAlignment="1">
      <alignment horizontal="right"/>
    </xf>
    <xf numFmtId="0" fontId="4" fillId="10" borderId="0" xfId="9" applyFont="1" applyFill="1" applyAlignment="1">
      <alignment horizontal="left" vertical="center"/>
    </xf>
    <xf numFmtId="0" fontId="4" fillId="10" borderId="0" xfId="9" applyFont="1" applyFill="1" applyAlignment="1">
      <alignment horizontal="center"/>
    </xf>
    <xf numFmtId="2" fontId="2" fillId="13" borderId="0" xfId="0" applyNumberFormat="1" applyFont="1" applyFill="1"/>
    <xf numFmtId="0" fontId="23" fillId="10" borderId="11" xfId="0" applyFont="1" applyFill="1" applyBorder="1" applyAlignment="1">
      <alignment horizontal="center"/>
    </xf>
    <xf numFmtId="0" fontId="24" fillId="10" borderId="11" xfId="0" applyFont="1" applyFill="1" applyBorder="1" applyAlignment="1">
      <alignment horizontal="center" vertical="center" wrapText="1"/>
    </xf>
    <xf numFmtId="165" fontId="3" fillId="0" borderId="0" xfId="1" applyNumberFormat="1" applyFont="1" applyAlignment="1">
      <alignment horizontal="right" vertical="center" wrapText="1"/>
    </xf>
    <xf numFmtId="165" fontId="4" fillId="0" borderId="0" xfId="0" applyNumberFormat="1" applyFont="1" applyAlignment="1">
      <alignment horizontal="right" vertical="center" wrapText="1"/>
    </xf>
    <xf numFmtId="10" fontId="0" fillId="10" borderId="0" xfId="8" applyNumberFormat="1" applyFont="1" applyFill="1"/>
    <xf numFmtId="2" fontId="4" fillId="0" borderId="12" xfId="0" applyNumberFormat="1" applyFont="1" applyBorder="1" applyAlignment="1">
      <alignment horizontal="left" vertical="center" wrapText="1"/>
    </xf>
    <xf numFmtId="164" fontId="4" fillId="10" borderId="3" xfId="0" applyNumberFormat="1" applyFont="1" applyFill="1" applyBorder="1" applyAlignment="1">
      <alignment horizontal="right" vertical="center" wrapText="1"/>
    </xf>
    <xf numFmtId="10" fontId="0" fillId="0" borderId="0" xfId="8" applyNumberFormat="1" applyFont="1"/>
    <xf numFmtId="1" fontId="3" fillId="0" borderId="10" xfId="2" applyNumberFormat="1" applyFont="1" applyBorder="1" applyAlignment="1">
      <alignment horizontal="right" vertical="center"/>
    </xf>
    <xf numFmtId="1" fontId="3" fillId="0" borderId="13" xfId="2" applyNumberFormat="1" applyFont="1" applyBorder="1" applyAlignment="1">
      <alignment horizontal="right" vertical="center"/>
    </xf>
    <xf numFmtId="0" fontId="3" fillId="0" borderId="7" xfId="2" applyFont="1" applyBorder="1" applyAlignment="1">
      <alignment horizontal="right" vertical="center"/>
    </xf>
    <xf numFmtId="1" fontId="3" fillId="0" borderId="14" xfId="2" applyNumberFormat="1" applyFont="1" applyBorder="1" applyAlignment="1">
      <alignment horizontal="right" vertical="center"/>
    </xf>
    <xf numFmtId="0" fontId="0" fillId="17" borderId="0" xfId="0" applyFill="1"/>
    <xf numFmtId="0" fontId="25" fillId="10" borderId="1" xfId="0" applyFont="1" applyFill="1" applyBorder="1" applyAlignment="1">
      <alignment vertical="center"/>
    </xf>
    <xf numFmtId="0" fontId="4" fillId="10" borderId="3" xfId="0" applyFont="1" applyFill="1" applyBorder="1" applyAlignment="1">
      <alignment horizontal="center" vertical="center"/>
    </xf>
    <xf numFmtId="0" fontId="4" fillId="10" borderId="3" xfId="0" applyFont="1" applyFill="1" applyBorder="1" applyAlignment="1">
      <alignment horizontal="center" vertical="center" wrapText="1"/>
    </xf>
    <xf numFmtId="0" fontId="4" fillId="10" borderId="0" xfId="0" applyFont="1" applyFill="1" applyAlignment="1">
      <alignment horizontal="center" vertical="center" wrapText="1"/>
    </xf>
    <xf numFmtId="1" fontId="4" fillId="10" borderId="7" xfId="1" applyNumberFormat="1" applyFont="1" applyFill="1" applyBorder="1" applyAlignment="1">
      <alignment horizontal="right" wrapText="1"/>
    </xf>
    <xf numFmtId="0" fontId="25" fillId="10" borderId="15" xfId="0" applyFont="1" applyFill="1" applyBorder="1" applyAlignment="1">
      <alignment vertical="center"/>
    </xf>
    <xf numFmtId="0" fontId="3" fillId="10" borderId="12" xfId="2" applyFont="1" applyFill="1" applyBorder="1" applyAlignment="1">
      <alignment horizontal="right" vertical="center"/>
    </xf>
    <xf numFmtId="0" fontId="25" fillId="0" borderId="15" xfId="0" applyFont="1" applyBorder="1" applyAlignment="1">
      <alignment vertical="center"/>
    </xf>
    <xf numFmtId="0" fontId="4" fillId="10" borderId="15" xfId="0" applyFont="1" applyFill="1" applyBorder="1" applyAlignment="1">
      <alignment horizontal="center" vertical="center"/>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2" fontId="4" fillId="10" borderId="12" xfId="0" applyNumberFormat="1" applyFont="1" applyFill="1" applyBorder="1" applyAlignment="1">
      <alignment horizontal="left" vertical="center" wrapText="1"/>
    </xf>
    <xf numFmtId="0" fontId="3" fillId="10" borderId="14" xfId="2" applyFont="1" applyFill="1" applyBorder="1" applyAlignment="1">
      <alignment horizontal="right" vertical="center"/>
    </xf>
    <xf numFmtId="2" fontId="0" fillId="0" borderId="6" xfId="0" applyNumberFormat="1" applyBorder="1" applyAlignment="1">
      <alignment horizontal="center"/>
    </xf>
    <xf numFmtId="2" fontId="0" fillId="0" borderId="6" xfId="0" applyNumberFormat="1" applyBorder="1" applyAlignment="1">
      <alignment horizontal="right"/>
    </xf>
    <xf numFmtId="2" fontId="0" fillId="10" borderId="6" xfId="0" applyNumberFormat="1" applyFill="1" applyBorder="1" applyAlignment="1">
      <alignment horizontal="right"/>
    </xf>
    <xf numFmtId="2" fontId="2" fillId="10" borderId="6" xfId="0" applyNumberFormat="1" applyFont="1" applyFill="1" applyBorder="1" applyAlignment="1">
      <alignment horizontal="right"/>
    </xf>
    <xf numFmtId="0" fontId="2" fillId="10" borderId="6" xfId="0" applyFont="1" applyFill="1" applyBorder="1" applyAlignment="1">
      <alignment horizontal="right"/>
    </xf>
    <xf numFmtId="2" fontId="2" fillId="6" borderId="6" xfId="0" applyNumberFormat="1" applyFont="1" applyFill="1" applyBorder="1" applyAlignment="1">
      <alignment horizontal="right"/>
    </xf>
    <xf numFmtId="9" fontId="0" fillId="10" borderId="6" xfId="0" applyNumberFormat="1" applyFill="1" applyBorder="1" applyAlignment="1">
      <alignment horizontal="right"/>
    </xf>
    <xf numFmtId="10" fontId="0" fillId="10" borderId="6" xfId="0" applyNumberFormat="1" applyFill="1" applyBorder="1" applyAlignment="1">
      <alignment horizontal="right"/>
    </xf>
    <xf numFmtId="1" fontId="0" fillId="10" borderId="6" xfId="0" applyNumberFormat="1" applyFill="1" applyBorder="1" applyAlignment="1">
      <alignment horizontal="right"/>
    </xf>
    <xf numFmtId="9" fontId="0" fillId="0" borderId="6" xfId="0" applyNumberFormat="1" applyBorder="1" applyAlignment="1">
      <alignment horizontal="right"/>
    </xf>
    <xf numFmtId="10" fontId="0" fillId="0" borderId="6" xfId="0" applyNumberFormat="1" applyBorder="1" applyAlignment="1">
      <alignment horizontal="right"/>
    </xf>
    <xf numFmtId="2" fontId="0" fillId="10" borderId="6" xfId="0" applyNumberFormat="1" applyFill="1" applyBorder="1" applyAlignment="1">
      <alignment horizontal="center"/>
    </xf>
    <xf numFmtId="0" fontId="0" fillId="2" borderId="6" xfId="0" applyFill="1" applyBorder="1" applyAlignment="1">
      <alignment horizontal="right"/>
    </xf>
    <xf numFmtId="2" fontId="0" fillId="10" borderId="6" xfId="0" applyNumberFormat="1" applyFill="1" applyBorder="1" applyAlignment="1">
      <alignment horizontal="left"/>
    </xf>
    <xf numFmtId="2" fontId="0" fillId="0" borderId="16" xfId="0" applyNumberFormat="1" applyBorder="1" applyAlignment="1">
      <alignment horizontal="right"/>
    </xf>
    <xf numFmtId="0" fontId="0" fillId="10" borderId="17" xfId="0" applyFill="1" applyBorder="1" applyAlignment="1">
      <alignment horizontal="right"/>
    </xf>
    <xf numFmtId="0" fontId="0" fillId="10" borderId="18" xfId="0" applyFill="1" applyBorder="1" applyAlignment="1">
      <alignment horizontal="right"/>
    </xf>
    <xf numFmtId="0" fontId="0" fillId="0" borderId="6" xfId="0" applyBorder="1" applyAlignment="1">
      <alignment horizontal="left" wrapText="1"/>
    </xf>
    <xf numFmtId="2" fontId="2" fillId="0" borderId="6" xfId="0" applyNumberFormat="1" applyFont="1" applyBorder="1" applyAlignment="1">
      <alignment horizontal="right"/>
    </xf>
    <xf numFmtId="0" fontId="2" fillId="0" borderId="6" xfId="0" applyFont="1" applyBorder="1" applyAlignment="1">
      <alignment horizontal="right"/>
    </xf>
    <xf numFmtId="1" fontId="0" fillId="0" borderId="6" xfId="0" applyNumberFormat="1" applyBorder="1" applyAlignment="1">
      <alignment horizontal="right"/>
    </xf>
    <xf numFmtId="0" fontId="0" fillId="17" borderId="6" xfId="0" applyFill="1" applyBorder="1" applyAlignment="1">
      <alignment horizontal="right"/>
    </xf>
    <xf numFmtId="164" fontId="0" fillId="0" borderId="6" xfId="1" applyNumberFormat="1" applyFont="1" applyBorder="1" applyAlignment="1">
      <alignment horizontal="right" vertical="center" wrapText="1"/>
    </xf>
    <xf numFmtId="164" fontId="3" fillId="10" borderId="6" xfId="1" applyNumberFormat="1" applyFont="1" applyFill="1" applyBorder="1" applyAlignment="1">
      <alignment horizontal="right" vertical="center" wrapText="1"/>
    </xf>
    <xf numFmtId="164" fontId="4" fillId="0" borderId="7" xfId="0" applyNumberFormat="1" applyFont="1" applyBorder="1" applyAlignment="1">
      <alignment horizontal="right" vertical="center" wrapText="1"/>
    </xf>
    <xf numFmtId="0" fontId="0" fillId="0" borderId="7" xfId="0" applyBorder="1" applyAlignment="1">
      <alignment horizontal="right"/>
    </xf>
    <xf numFmtId="0" fontId="0" fillId="0" borderId="19" xfId="0" applyBorder="1" applyAlignment="1">
      <alignment horizontal="right"/>
    </xf>
    <xf numFmtId="2" fontId="4" fillId="0" borderId="7" xfId="0" applyNumberFormat="1" applyFont="1" applyBorder="1" applyAlignment="1">
      <alignment horizontal="right" vertical="center" wrapText="1"/>
    </xf>
    <xf numFmtId="0" fontId="0" fillId="10" borderId="19" xfId="0" applyFill="1" applyBorder="1" applyAlignment="1">
      <alignment horizontal="right"/>
    </xf>
    <xf numFmtId="164" fontId="0" fillId="0" borderId="6" xfId="0" applyNumberFormat="1" applyBorder="1" applyAlignment="1">
      <alignment horizontal="right"/>
    </xf>
    <xf numFmtId="9" fontId="4" fillId="0" borderId="6" xfId="1" applyNumberFormat="1" applyFont="1" applyBorder="1" applyAlignment="1">
      <alignment horizontal="right" vertical="center" wrapText="1"/>
    </xf>
    <xf numFmtId="2" fontId="0" fillId="17" borderId="6" xfId="0" applyNumberFormat="1" applyFill="1" applyBorder="1" applyAlignment="1">
      <alignment horizontal="right"/>
    </xf>
    <xf numFmtId="0" fontId="0" fillId="0" borderId="16" xfId="0" applyBorder="1" applyAlignment="1">
      <alignment horizontal="right"/>
    </xf>
    <xf numFmtId="0" fontId="26" fillId="10" borderId="20" xfId="0" applyFont="1" applyFill="1" applyBorder="1" applyAlignment="1">
      <alignment horizontal="center" vertical="top" wrapText="1"/>
    </xf>
    <xf numFmtId="0" fontId="6" fillId="13" borderId="0" xfId="0" applyFont="1" applyFill="1" applyAlignment="1">
      <alignment vertical="top"/>
    </xf>
    <xf numFmtId="0" fontId="6" fillId="13" borderId="0" xfId="0" applyFont="1" applyFill="1" applyAlignment="1">
      <alignment horizontal="left" vertical="top"/>
    </xf>
    <xf numFmtId="0" fontId="6" fillId="0" borderId="1" xfId="0" applyFont="1" applyBorder="1" applyAlignment="1">
      <alignment horizontal="left" vertical="top"/>
    </xf>
    <xf numFmtId="0" fontId="27" fillId="0" borderId="6" xfId="0" applyFont="1" applyBorder="1" applyAlignment="1">
      <alignment vertical="top"/>
    </xf>
    <xf numFmtId="0" fontId="27" fillId="0" borderId="0" xfId="0" applyFont="1" applyAlignment="1">
      <alignment vertical="top"/>
    </xf>
    <xf numFmtId="0" fontId="0" fillId="0" borderId="6" xfId="0" applyBorder="1" applyAlignment="1">
      <alignment horizontal="left" vertical="top"/>
    </xf>
    <xf numFmtId="0" fontId="27" fillId="0" borderId="6" xfId="0" applyFont="1" applyBorder="1" applyAlignment="1">
      <alignment vertical="top" wrapText="1"/>
    </xf>
    <xf numFmtId="166" fontId="0" fillId="0" borderId="6" xfId="0" applyNumberFormat="1" applyBorder="1"/>
    <xf numFmtId="167" fontId="0" fillId="0" borderId="6" xfId="0" applyNumberFormat="1" applyBorder="1"/>
    <xf numFmtId="2" fontId="8" fillId="0" borderId="6" xfId="4" applyNumberFormat="1" applyFont="1" applyBorder="1" applyAlignment="1">
      <alignment horizontal="left" vertical="center" wrapText="1"/>
    </xf>
    <xf numFmtId="0" fontId="0" fillId="16" borderId="0" xfId="0" applyFill="1"/>
    <xf numFmtId="168" fontId="0" fillId="0" borderId="6" xfId="0" applyNumberFormat="1" applyBorder="1"/>
    <xf numFmtId="164" fontId="2" fillId="10" borderId="6" xfId="0" applyNumberFormat="1" applyFont="1" applyFill="1" applyBorder="1"/>
    <xf numFmtId="166" fontId="0" fillId="10" borderId="6" xfId="0" applyNumberFormat="1" applyFill="1" applyBorder="1"/>
    <xf numFmtId="165" fontId="0" fillId="0" borderId="6" xfId="0" applyNumberFormat="1" applyBorder="1"/>
    <xf numFmtId="15" fontId="1" fillId="0" borderId="0" xfId="0" applyNumberFormat="1" applyFont="1" applyAlignment="1">
      <alignment horizontal="left" vertical="center"/>
    </xf>
    <xf numFmtId="0" fontId="29" fillId="0" borderId="0" xfId="0" applyFont="1" applyAlignment="1">
      <alignment horizontal="left" vertical="top"/>
    </xf>
    <xf numFmtId="0" fontId="29" fillId="0" borderId="0" xfId="0" applyFont="1" applyAlignment="1">
      <alignment vertical="top"/>
    </xf>
    <xf numFmtId="0" fontId="28" fillId="0" borderId="0" xfId="0" applyFont="1"/>
    <xf numFmtId="0" fontId="2" fillId="0" borderId="0" xfId="0" applyFont="1" applyAlignment="1">
      <alignment horizontal="center"/>
    </xf>
    <xf numFmtId="9" fontId="0" fillId="0" borderId="0" xfId="0" applyNumberFormat="1" applyAlignment="1">
      <alignment horizontal="center"/>
    </xf>
    <xf numFmtId="0" fontId="2" fillId="0" borderId="0" xfId="0" applyFont="1" applyAlignment="1">
      <alignment horizontal="center" wrapText="1"/>
    </xf>
    <xf numFmtId="0" fontId="30" fillId="0" borderId="0" xfId="0" applyFont="1" applyAlignment="1">
      <alignment horizontal="left" vertical="top"/>
    </xf>
    <xf numFmtId="0" fontId="30" fillId="0" borderId="0" xfId="0" applyFont="1" applyAlignment="1">
      <alignment vertical="top"/>
    </xf>
    <xf numFmtId="0" fontId="4" fillId="0" borderId="0" xfId="0" applyFont="1"/>
    <xf numFmtId="0" fontId="13" fillId="0" borderId="0" xfId="0" applyFont="1" applyAlignment="1">
      <alignment wrapText="1"/>
    </xf>
    <xf numFmtId="0" fontId="20" fillId="0" borderId="0" xfId="0" applyFont="1" applyAlignment="1">
      <alignment horizontal="left" vertical="top"/>
    </xf>
    <xf numFmtId="0" fontId="20" fillId="0" borderId="0" xfId="0" applyFont="1" applyAlignment="1">
      <alignment vertical="top"/>
    </xf>
    <xf numFmtId="0" fontId="20" fillId="0" borderId="0" xfId="0" applyFont="1" applyAlignment="1">
      <alignment horizontal="left" vertical="center"/>
    </xf>
    <xf numFmtId="0" fontId="0" fillId="0" borderId="0" xfId="0" applyAlignment="1">
      <alignment horizontal="left" vertical="center"/>
    </xf>
    <xf numFmtId="0" fontId="0" fillId="17" borderId="6" xfId="0" applyFill="1" applyBorder="1" applyAlignment="1">
      <alignment horizontal="left" vertical="center"/>
    </xf>
    <xf numFmtId="0" fontId="6" fillId="0" borderId="0" xfId="0" applyFont="1" applyAlignment="1">
      <alignment horizontal="left" vertical="center"/>
    </xf>
    <xf numFmtId="0" fontId="0" fillId="0" borderId="6" xfId="0" applyBorder="1" applyAlignment="1">
      <alignment horizontal="left" vertical="center"/>
    </xf>
    <xf numFmtId="0" fontId="27" fillId="0" borderId="6" xfId="0" applyFont="1" applyBorder="1" applyAlignment="1">
      <alignment horizontal="left" vertical="center"/>
    </xf>
    <xf numFmtId="0" fontId="27" fillId="0" borderId="6" xfId="0" applyFont="1" applyBorder="1" applyAlignment="1">
      <alignment horizontal="left" vertical="center" wrapText="1"/>
    </xf>
    <xf numFmtId="0" fontId="0" fillId="0" borderId="6" xfId="0" applyBorder="1" applyAlignment="1">
      <alignment horizontal="right" vertical="center"/>
    </xf>
    <xf numFmtId="2" fontId="2" fillId="0" borderId="6" xfId="0" applyNumberFormat="1" applyFont="1" applyBorder="1" applyAlignment="1">
      <alignment vertical="center"/>
    </xf>
    <xf numFmtId="0" fontId="0" fillId="0" borderId="6" xfId="0" applyBorder="1" applyAlignment="1">
      <alignment vertical="center"/>
    </xf>
    <xf numFmtId="9" fontId="0" fillId="0" borderId="6" xfId="0" applyNumberFormat="1" applyBorder="1" applyAlignment="1">
      <alignment vertical="center"/>
    </xf>
    <xf numFmtId="2" fontId="0" fillId="0" borderId="6" xfId="0" applyNumberFormat="1" applyBorder="1" applyAlignment="1">
      <alignment vertical="center"/>
    </xf>
    <xf numFmtId="10" fontId="0" fillId="0" borderId="6" xfId="0" applyNumberFormat="1" applyBorder="1" applyAlignment="1">
      <alignment vertical="center"/>
    </xf>
    <xf numFmtId="1" fontId="0" fillId="0" borderId="6" xfId="0" applyNumberFormat="1" applyBorder="1" applyAlignment="1">
      <alignment vertical="center"/>
    </xf>
    <xf numFmtId="0" fontId="0" fillId="0" borderId="0" xfId="0" applyAlignment="1">
      <alignment horizontal="right" vertical="center"/>
    </xf>
    <xf numFmtId="0" fontId="27" fillId="0" borderId="6" xfId="0" applyFont="1" applyBorder="1" applyAlignment="1">
      <alignment horizontal="left" vertical="top"/>
    </xf>
    <xf numFmtId="167" fontId="0" fillId="10" borderId="6" xfId="0" applyNumberFormat="1" applyFill="1" applyBorder="1"/>
    <xf numFmtId="0" fontId="27" fillId="0" borderId="6" xfId="0" applyFont="1" applyBorder="1" applyAlignment="1">
      <alignment horizontal="left"/>
    </xf>
    <xf numFmtId="0" fontId="27" fillId="17" borderId="6" xfId="0" applyFont="1" applyFill="1" applyBorder="1" applyAlignment="1">
      <alignment horizontal="left" vertical="top"/>
    </xf>
    <xf numFmtId="0" fontId="0" fillId="17" borderId="6" xfId="0" applyFill="1" applyBorder="1"/>
    <xf numFmtId="0" fontId="27" fillId="17" borderId="6" xfId="0" applyFont="1" applyFill="1" applyBorder="1" applyAlignment="1">
      <alignment horizontal="left"/>
    </xf>
    <xf numFmtId="0" fontId="0" fillId="3" borderId="0" xfId="0" applyFill="1" applyAlignment="1">
      <alignment horizontal="center" wrapText="1"/>
    </xf>
    <xf numFmtId="0" fontId="0" fillId="5" borderId="0" xfId="0" applyFill="1" applyAlignment="1">
      <alignment horizontal="center" wrapText="1"/>
    </xf>
    <xf numFmtId="0" fontId="0" fillId="6" borderId="0" xfId="0" applyFill="1" applyAlignment="1">
      <alignment horizontal="center" wrapText="1"/>
    </xf>
    <xf numFmtId="0" fontId="0" fillId="2" borderId="0" xfId="0" applyFill="1" applyAlignment="1">
      <alignment horizontal="center" wrapText="1"/>
    </xf>
    <xf numFmtId="0" fontId="0" fillId="18" borderId="0" xfId="0" applyFill="1" applyAlignment="1">
      <alignment horizontal="center" wrapText="1"/>
    </xf>
    <xf numFmtId="0" fontId="0" fillId="19" borderId="0" xfId="0" applyFill="1" applyAlignment="1">
      <alignment horizontal="center" wrapText="1"/>
    </xf>
    <xf numFmtId="0" fontId="19" fillId="0" borderId="6" xfId="0" applyFont="1" applyBorder="1" applyAlignment="1">
      <alignment vertical="center"/>
    </xf>
    <xf numFmtId="0" fontId="0" fillId="10" borderId="6" xfId="0" applyFill="1" applyBorder="1" applyAlignment="1">
      <alignment vertical="center"/>
    </xf>
    <xf numFmtId="0" fontId="14" fillId="10" borderId="0" xfId="0" applyFont="1" applyFill="1"/>
    <xf numFmtId="0" fontId="0" fillId="0" borderId="8" xfId="0" applyBorder="1"/>
    <xf numFmtId="0" fontId="0" fillId="20" borderId="0" xfId="0" applyFill="1"/>
    <xf numFmtId="0" fontId="31" fillId="0" borderId="6" xfId="0" applyFont="1" applyBorder="1" applyAlignment="1">
      <alignment horizontal="right" vertical="center"/>
    </xf>
    <xf numFmtId="168" fontId="0" fillId="0" borderId="0" xfId="0" applyNumberFormat="1"/>
    <xf numFmtId="0" fontId="1" fillId="10" borderId="0" xfId="0" applyFont="1" applyFill="1" applyAlignment="1">
      <alignment horizontal="left" vertical="center"/>
    </xf>
    <xf numFmtId="164" fontId="2" fillId="10" borderId="0" xfId="0" applyNumberFormat="1" applyFont="1" applyFill="1"/>
    <xf numFmtId="0" fontId="32" fillId="0" borderId="0" xfId="0" applyFont="1"/>
    <xf numFmtId="2" fontId="27" fillId="0" borderId="13" xfId="1" applyNumberFormat="1" applyFont="1" applyBorder="1" applyAlignment="1">
      <alignment horizontal="left" vertical="center"/>
    </xf>
    <xf numFmtId="0" fontId="0" fillId="21" borderId="0" xfId="0" applyFill="1"/>
    <xf numFmtId="0" fontId="0" fillId="7" borderId="1" xfId="0" applyFill="1" applyBorder="1" applyAlignment="1">
      <alignment wrapText="1"/>
    </xf>
    <xf numFmtId="0" fontId="0" fillId="7" borderId="0" xfId="0" applyFill="1" applyAlignment="1">
      <alignment wrapText="1"/>
    </xf>
    <xf numFmtId="0" fontId="0" fillId="8" borderId="1" xfId="0" applyFill="1" applyBorder="1" applyAlignment="1">
      <alignment wrapText="1"/>
    </xf>
    <xf numFmtId="0" fontId="0" fillId="2" borderId="21" xfId="0" applyFill="1" applyBorder="1" applyAlignment="1">
      <alignment wrapText="1"/>
    </xf>
    <xf numFmtId="0" fontId="0" fillId="2" borderId="14" xfId="0" applyFill="1" applyBorder="1" applyAlignment="1">
      <alignment horizontal="center" wrapText="1"/>
    </xf>
    <xf numFmtId="0" fontId="0" fillId="4" borderId="14" xfId="0" applyFill="1" applyBorder="1" applyAlignment="1">
      <alignment horizontal="center" wrapText="1"/>
    </xf>
    <xf numFmtId="0" fontId="0" fillId="5" borderId="21" xfId="0" applyFill="1" applyBorder="1" applyAlignment="1">
      <alignment wrapText="1"/>
    </xf>
    <xf numFmtId="10" fontId="3" fillId="10" borderId="0" xfId="8" applyNumberFormat="1" applyFont="1" applyFill="1"/>
    <xf numFmtId="9" fontId="3" fillId="10" borderId="0" xfId="8" applyFont="1" applyFill="1"/>
    <xf numFmtId="0" fontId="21" fillId="10" borderId="1" xfId="0" applyFont="1" applyFill="1" applyBorder="1" applyAlignment="1">
      <alignment vertical="center"/>
    </xf>
    <xf numFmtId="164" fontId="4" fillId="10" borderId="6" xfId="1" applyNumberFormat="1" applyFont="1" applyFill="1" applyBorder="1" applyAlignment="1">
      <alignment horizontal="right" vertical="center" wrapText="1"/>
    </xf>
    <xf numFmtId="164" fontId="4" fillId="10" borderId="6" xfId="0" applyNumberFormat="1" applyFont="1" applyFill="1" applyBorder="1" applyAlignment="1">
      <alignment horizontal="right" vertical="center" wrapText="1"/>
    </xf>
    <xf numFmtId="0" fontId="33" fillId="10" borderId="0" xfId="2" applyFont="1" applyFill="1" applyAlignment="1">
      <alignment horizontal="right" vertical="center"/>
    </xf>
    <xf numFmtId="0" fontId="34" fillId="10" borderId="1" xfId="3" applyFont="1" applyFill="1" applyBorder="1" applyAlignment="1">
      <alignment vertical="center"/>
    </xf>
    <xf numFmtId="2" fontId="8" fillId="0" borderId="6" xfId="0" applyNumberFormat="1" applyFont="1" applyBorder="1" applyAlignment="1">
      <alignment horizontal="left" vertical="center" wrapText="1"/>
    </xf>
    <xf numFmtId="164" fontId="21" fillId="10" borderId="13" xfId="0" applyNumberFormat="1" applyFont="1" applyFill="1" applyBorder="1" applyAlignment="1">
      <alignment horizontal="right" vertical="center"/>
    </xf>
    <xf numFmtId="0" fontId="0" fillId="2" borderId="0" xfId="0" applyFill="1" applyAlignment="1">
      <alignment wrapText="1"/>
    </xf>
    <xf numFmtId="0" fontId="0" fillId="0" borderId="6" xfId="0" applyBorder="1" applyAlignment="1">
      <alignment wrapText="1"/>
    </xf>
    <xf numFmtId="0" fontId="0" fillId="0" borderId="6" xfId="0" applyBorder="1" applyAlignment="1">
      <alignment horizontal="left" vertical="center" wrapText="1"/>
    </xf>
    <xf numFmtId="0" fontId="1" fillId="10" borderId="0" xfId="0" applyFont="1" applyFill="1" applyAlignment="1">
      <alignment horizontal="left" vertical="center" wrapText="1"/>
    </xf>
    <xf numFmtId="166" fontId="0" fillId="10" borderId="0" xfId="0" applyNumberFormat="1" applyFill="1"/>
    <xf numFmtId="2" fontId="1" fillId="10" borderId="6" xfId="6" applyNumberFormat="1" applyFill="1" applyBorder="1" applyAlignment="1">
      <alignment horizontal="right" vertical="center" wrapText="1"/>
    </xf>
    <xf numFmtId="14" fontId="0" fillId="0" borderId="0" xfId="0" applyNumberFormat="1" applyAlignment="1">
      <alignment horizontal="left"/>
    </xf>
    <xf numFmtId="0" fontId="2" fillId="8" borderId="1" xfId="0" applyFont="1" applyFill="1" applyBorder="1" applyAlignment="1">
      <alignment vertical="center" wrapText="1"/>
    </xf>
    <xf numFmtId="15" fontId="0" fillId="0" borderId="6" xfId="0" applyNumberFormat="1" applyBorder="1" applyAlignment="1">
      <alignment horizontal="center"/>
    </xf>
    <xf numFmtId="15" fontId="0" fillId="0" borderId="0" xfId="0" applyNumberFormat="1" applyAlignment="1">
      <alignment horizontal="center"/>
    </xf>
    <xf numFmtId="0" fontId="0" fillId="22" borderId="0" xfId="0" applyFill="1"/>
    <xf numFmtId="9" fontId="4" fillId="0" borderId="6" xfId="1" applyNumberFormat="1" applyFont="1" applyBorder="1" applyAlignment="1">
      <alignment vertical="center" wrapText="1"/>
    </xf>
    <xf numFmtId="0" fontId="0" fillId="6" borderId="6" xfId="0" applyFill="1" applyBorder="1" applyAlignment="1">
      <alignment horizontal="right"/>
    </xf>
    <xf numFmtId="15" fontId="6" fillId="0" borderId="0" xfId="0" applyNumberFormat="1" applyFont="1" applyAlignment="1">
      <alignment horizontal="left" vertical="top"/>
    </xf>
    <xf numFmtId="15" fontId="0" fillId="0" borderId="0" xfId="0" applyNumberFormat="1" applyAlignment="1">
      <alignment horizontal="left"/>
    </xf>
    <xf numFmtId="15" fontId="0" fillId="0" borderId="6" xfId="0" applyNumberFormat="1" applyBorder="1" applyAlignment="1">
      <alignment horizontal="left"/>
    </xf>
    <xf numFmtId="0" fontId="27" fillId="0" borderId="0" xfId="0" applyFont="1" applyAlignment="1">
      <alignment horizontal="left" vertical="top"/>
    </xf>
    <xf numFmtId="0" fontId="0" fillId="17" borderId="6" xfId="0" applyFill="1" applyBorder="1" applyAlignment="1">
      <alignment horizontal="center"/>
    </xf>
    <xf numFmtId="164" fontId="0" fillId="10" borderId="6" xfId="0" applyNumberFormat="1" applyFill="1" applyBorder="1" applyAlignment="1">
      <alignment horizontal="right"/>
    </xf>
    <xf numFmtId="15" fontId="0" fillId="10" borderId="6" xfId="0" applyNumberFormat="1" applyFill="1" applyBorder="1" applyAlignment="1">
      <alignment horizontal="left"/>
    </xf>
    <xf numFmtId="15" fontId="0" fillId="10" borderId="6" xfId="0" applyNumberFormat="1" applyFill="1" applyBorder="1" applyAlignment="1">
      <alignment horizontal="center"/>
    </xf>
    <xf numFmtId="0" fontId="1" fillId="0" borderId="0" xfId="0" applyFont="1" applyAlignment="1">
      <alignment horizontal="center" vertical="center"/>
    </xf>
    <xf numFmtId="2" fontId="4" fillId="0" borderId="0" xfId="0" applyNumberFormat="1" applyFont="1" applyAlignment="1">
      <alignment horizontal="center" vertical="center" wrapText="1"/>
    </xf>
    <xf numFmtId="2" fontId="4" fillId="0" borderId="6" xfId="0" applyNumberFormat="1" applyFont="1" applyBorder="1" applyAlignment="1">
      <alignment horizontal="center" vertical="center" wrapText="1"/>
    </xf>
    <xf numFmtId="0" fontId="0" fillId="0" borderId="0" xfId="5" applyFont="1" applyAlignment="1">
      <alignment horizontal="center" vertical="center" wrapText="1"/>
    </xf>
    <xf numFmtId="0" fontId="0" fillId="10" borderId="4" xfId="0" applyFill="1" applyBorder="1" applyAlignment="1">
      <alignment horizontal="center"/>
    </xf>
    <xf numFmtId="2" fontId="4" fillId="10" borderId="0" xfId="0" applyNumberFormat="1" applyFont="1" applyFill="1" applyAlignment="1">
      <alignment horizontal="center" vertical="center" wrapText="1"/>
    </xf>
    <xf numFmtId="0" fontId="15" fillId="10" borderId="0" xfId="0" applyFont="1" applyFill="1" applyAlignment="1">
      <alignment horizontal="center" vertical="center" wrapText="1"/>
    </xf>
    <xf numFmtId="2" fontId="4" fillId="10" borderId="6" xfId="0" applyNumberFormat="1" applyFont="1" applyFill="1" applyBorder="1" applyAlignment="1">
      <alignment horizontal="center" vertical="center" wrapText="1"/>
    </xf>
    <xf numFmtId="2" fontId="4" fillId="10" borderId="3" xfId="0" applyNumberFormat="1" applyFont="1" applyFill="1" applyBorder="1" applyAlignment="1">
      <alignment horizontal="center" vertical="center" wrapText="1"/>
    </xf>
    <xf numFmtId="2" fontId="0" fillId="10" borderId="0" xfId="0" applyNumberFormat="1" applyFill="1" applyAlignment="1">
      <alignment horizontal="center"/>
    </xf>
    <xf numFmtId="2" fontId="11" fillId="0" borderId="0" xfId="0" applyNumberFormat="1" applyFont="1" applyAlignment="1">
      <alignment horizontal="center" wrapText="1"/>
    </xf>
    <xf numFmtId="0" fontId="0" fillId="0" borderId="6" xfId="0" applyBorder="1" applyAlignment="1">
      <alignment horizontal="center" vertical="center"/>
    </xf>
    <xf numFmtId="164" fontId="0" fillId="0" borderId="6" xfId="0" applyNumberFormat="1" applyBorder="1" applyAlignment="1">
      <alignment horizontal="center"/>
    </xf>
    <xf numFmtId="165" fontId="0" fillId="0" borderId="6" xfId="0" applyNumberFormat="1" applyBorder="1" applyAlignment="1">
      <alignment horizontal="right"/>
    </xf>
    <xf numFmtId="0" fontId="0" fillId="0" borderId="6" xfId="0" applyBorder="1" applyAlignment="1">
      <alignment horizontal="center" wrapText="1"/>
    </xf>
    <xf numFmtId="0" fontId="0" fillId="10" borderId="6" xfId="0" applyFill="1" applyBorder="1" applyAlignment="1">
      <alignment horizontal="center" wrapText="1"/>
    </xf>
    <xf numFmtId="2" fontId="36" fillId="0" borderId="6" xfId="0" applyNumberFormat="1" applyFont="1" applyBorder="1" applyAlignment="1">
      <alignment vertical="center"/>
    </xf>
    <xf numFmtId="164" fontId="2" fillId="10" borderId="6" xfId="0" applyNumberFormat="1" applyFont="1" applyFill="1" applyBorder="1" applyAlignment="1">
      <alignment horizontal="right"/>
    </xf>
    <xf numFmtId="167" fontId="0" fillId="10" borderId="6" xfId="0" applyNumberFormat="1" applyFill="1" applyBorder="1" applyAlignment="1">
      <alignment horizontal="right"/>
    </xf>
    <xf numFmtId="0" fontId="0" fillId="5" borderId="6" xfId="0" applyFill="1" applyBorder="1" applyAlignment="1">
      <alignment horizontal="center" vertical="center" wrapText="1"/>
    </xf>
    <xf numFmtId="2" fontId="8" fillId="10" borderId="6" xfId="0" applyNumberFormat="1" applyFont="1" applyFill="1" applyBorder="1" applyAlignment="1">
      <alignment horizontal="right" vertical="center"/>
    </xf>
    <xf numFmtId="167" fontId="0" fillId="0" borderId="6" xfId="0" applyNumberFormat="1" applyBorder="1" applyAlignment="1">
      <alignment horizontal="right"/>
    </xf>
    <xf numFmtId="0" fontId="37" fillId="0" borderId="6" xfId="1" applyFont="1" applyBorder="1" applyAlignment="1">
      <alignment horizontal="center" vertical="center"/>
    </xf>
    <xf numFmtId="0" fontId="37" fillId="0" borderId="6" xfId="1" applyFont="1" applyBorder="1" applyAlignment="1">
      <alignment horizontal="left" vertical="center"/>
    </xf>
    <xf numFmtId="2" fontId="37" fillId="0" borderId="6" xfId="1" applyNumberFormat="1" applyFont="1" applyBorder="1" applyAlignment="1">
      <alignment vertical="center"/>
    </xf>
    <xf numFmtId="2" fontId="4" fillId="0" borderId="6" xfId="0" applyNumberFormat="1" applyFont="1" applyBorder="1" applyAlignment="1">
      <alignment horizontal="right" vertical="center" wrapText="1"/>
    </xf>
    <xf numFmtId="0" fontId="21" fillId="10" borderId="6" xfId="4" applyFont="1" applyFill="1" applyBorder="1" applyAlignment="1">
      <alignment horizontal="left" vertical="center" wrapText="1"/>
    </xf>
    <xf numFmtId="0" fontId="6" fillId="0" borderId="1" xfId="0" applyFont="1" applyBorder="1" applyAlignment="1">
      <alignment vertical="top"/>
    </xf>
    <xf numFmtId="0" fontId="6" fillId="16" borderId="0" xfId="0" applyFont="1" applyFill="1" applyAlignment="1">
      <alignment horizontal="left" vertical="top"/>
    </xf>
    <xf numFmtId="2" fontId="0" fillId="10" borderId="0" xfId="0" applyNumberFormat="1" applyFill="1" applyAlignment="1">
      <alignment horizontal="right"/>
    </xf>
    <xf numFmtId="0" fontId="9" fillId="0" borderId="0" xfId="0" applyFont="1"/>
    <xf numFmtId="15" fontId="6" fillId="0" borderId="0" xfId="0" applyNumberFormat="1" applyFont="1" applyAlignment="1">
      <alignment vertical="top"/>
    </xf>
    <xf numFmtId="0" fontId="9" fillId="0" borderId="0" xfId="0" applyFont="1" applyAlignment="1">
      <alignment horizontal="left" vertical="top"/>
    </xf>
    <xf numFmtId="0" fontId="6" fillId="0" borderId="6" xfId="0" applyFont="1" applyBorder="1" applyAlignment="1">
      <alignment vertical="top"/>
    </xf>
    <xf numFmtId="0" fontId="27" fillId="17" borderId="0" xfId="0" applyFont="1" applyFill="1" applyAlignment="1">
      <alignment horizontal="left"/>
    </xf>
    <xf numFmtId="0" fontId="27" fillId="0" borderId="0" xfId="0" applyFont="1" applyAlignment="1">
      <alignment horizontal="left"/>
    </xf>
    <xf numFmtId="0" fontId="6" fillId="0" borderId="16" xfId="0" applyFont="1" applyBorder="1" applyAlignment="1">
      <alignment vertical="top"/>
    </xf>
    <xf numFmtId="0" fontId="6" fillId="15" borderId="6" xfId="0" applyFont="1" applyFill="1" applyBorder="1" applyAlignment="1">
      <alignment vertical="top"/>
    </xf>
    <xf numFmtId="0" fontId="27" fillId="17" borderId="0" xfId="0" applyFont="1" applyFill="1" applyAlignment="1">
      <alignment horizontal="left" vertical="top"/>
    </xf>
    <xf numFmtId="0" fontId="6" fillId="15" borderId="16" xfId="0" applyFont="1" applyFill="1" applyBorder="1" applyAlignment="1">
      <alignment vertical="top"/>
    </xf>
    <xf numFmtId="0" fontId="0" fillId="0" borderId="0" xfId="0" applyAlignment="1">
      <alignment horizontal="left" vertical="top"/>
    </xf>
    <xf numFmtId="0" fontId="6" fillId="0" borderId="6" xfId="0" applyFont="1" applyBorder="1" applyAlignment="1">
      <alignment horizontal="left" vertical="top"/>
    </xf>
    <xf numFmtId="1" fontId="0" fillId="0" borderId="6" xfId="0" applyNumberFormat="1" applyBorder="1" applyAlignment="1">
      <alignment horizontal="left"/>
    </xf>
    <xf numFmtId="0" fontId="1" fillId="0" borderId="6" xfId="0" applyFont="1" applyBorder="1" applyAlignment="1">
      <alignment horizontal="left" vertical="center" wrapText="1"/>
    </xf>
    <xf numFmtId="0" fontId="27" fillId="0" borderId="0" xfId="0" applyFont="1" applyAlignment="1">
      <alignment vertical="top" wrapText="1"/>
    </xf>
    <xf numFmtId="0" fontId="10" fillId="0" borderId="6" xfId="0" applyFont="1" applyBorder="1" applyAlignment="1">
      <alignment wrapText="1"/>
    </xf>
    <xf numFmtId="0" fontId="6" fillId="10" borderId="6" xfId="0" applyFont="1" applyFill="1" applyBorder="1" applyAlignment="1">
      <alignment vertical="top" wrapText="1"/>
    </xf>
    <xf numFmtId="0" fontId="7" fillId="0" borderId="6" xfId="0" applyFont="1" applyBorder="1" applyAlignment="1">
      <alignment horizontal="left" vertical="center"/>
    </xf>
    <xf numFmtId="0" fontId="6" fillId="0" borderId="6" xfId="0" applyFont="1" applyBorder="1" applyAlignment="1">
      <alignment vertical="top" wrapText="1"/>
    </xf>
    <xf numFmtId="2" fontId="8" fillId="10" borderId="6" xfId="4" applyNumberFormat="1" applyFont="1" applyFill="1" applyBorder="1" applyAlignment="1">
      <alignment horizontal="left" vertical="center" wrapText="1"/>
    </xf>
    <xf numFmtId="0" fontId="0" fillId="12" borderId="6" xfId="0" applyFill="1" applyBorder="1"/>
    <xf numFmtId="0" fontId="9" fillId="0" borderId="0" xfId="0" applyFont="1" applyAlignment="1">
      <alignment horizontal="left"/>
    </xf>
    <xf numFmtId="2" fontId="9" fillId="0" borderId="0" xfId="0" applyNumberFormat="1" applyFont="1"/>
    <xf numFmtId="9" fontId="9" fillId="0" borderId="0" xfId="8" applyFont="1"/>
    <xf numFmtId="10" fontId="9" fillId="0" borderId="0" xfId="0" applyNumberFormat="1" applyFont="1"/>
    <xf numFmtId="164" fontId="9" fillId="0" borderId="0" xfId="0" applyNumberFormat="1" applyFont="1"/>
    <xf numFmtId="9" fontId="9" fillId="0" borderId="0" xfId="0" applyNumberFormat="1" applyFont="1"/>
    <xf numFmtId="1" fontId="9" fillId="0" borderId="0" xfId="0" applyNumberFormat="1" applyFont="1"/>
    <xf numFmtId="0" fontId="6" fillId="0" borderId="0" xfId="11" applyFont="1"/>
    <xf numFmtId="2" fontId="9" fillId="10" borderId="0" xfId="0" applyNumberFormat="1" applyFont="1" applyFill="1"/>
    <xf numFmtId="9" fontId="9" fillId="0" borderId="0" xfId="8" applyFont="1" applyFill="1"/>
    <xf numFmtId="0" fontId="6" fillId="17" borderId="0" xfId="0" applyFont="1" applyFill="1" applyAlignment="1">
      <alignment vertical="top"/>
    </xf>
    <xf numFmtId="0" fontId="9" fillId="0" borderId="0" xfId="0" applyFont="1" applyAlignment="1">
      <alignment horizontal="left" wrapText="1"/>
    </xf>
    <xf numFmtId="167" fontId="9" fillId="0" borderId="0" xfId="0" applyNumberFormat="1" applyFont="1"/>
    <xf numFmtId="166" fontId="9" fillId="0" borderId="0" xfId="0" applyNumberFormat="1" applyFont="1"/>
    <xf numFmtId="0" fontId="9" fillId="0" borderId="0" xfId="0" applyFont="1" applyAlignment="1">
      <alignment wrapText="1"/>
    </xf>
    <xf numFmtId="9" fontId="6" fillId="0" borderId="0" xfId="8" applyFont="1" applyAlignment="1">
      <alignment vertical="top" wrapText="1"/>
    </xf>
    <xf numFmtId="15" fontId="9" fillId="0" borderId="0" xfId="0" applyNumberFormat="1" applyFont="1"/>
    <xf numFmtId="165" fontId="9" fillId="0" borderId="0" xfId="0" applyNumberFormat="1" applyFont="1"/>
    <xf numFmtId="168" fontId="9" fillId="0" borderId="0" xfId="0" applyNumberFormat="1" applyFont="1"/>
    <xf numFmtId="15" fontId="0" fillId="0" borderId="0" xfId="0" applyNumberFormat="1" applyAlignment="1">
      <alignment horizontal="right"/>
    </xf>
    <xf numFmtId="0" fontId="39" fillId="5" borderId="0" xfId="0" applyFont="1" applyFill="1" applyAlignment="1">
      <alignment vertical="center"/>
    </xf>
    <xf numFmtId="0" fontId="39" fillId="5" borderId="0" xfId="0" applyFont="1" applyFill="1" applyAlignment="1">
      <alignment vertical="center" wrapText="1"/>
    </xf>
    <xf numFmtId="0" fontId="0" fillId="0" borderId="6" xfId="0" applyBorder="1" applyAlignment="1">
      <alignment horizontal="right" wrapText="1"/>
    </xf>
    <xf numFmtId="0" fontId="0" fillId="10" borderId="6" xfId="0" applyFill="1" applyBorder="1" applyAlignment="1">
      <alignment horizontal="right" wrapText="1"/>
    </xf>
    <xf numFmtId="2" fontId="0" fillId="10" borderId="6" xfId="0" applyNumberFormat="1" applyFill="1" applyBorder="1" applyAlignment="1">
      <alignment horizontal="right" wrapText="1"/>
    </xf>
    <xf numFmtId="1" fontId="0" fillId="10" borderId="0" xfId="0" applyNumberFormat="1" applyFill="1" applyAlignment="1">
      <alignment wrapText="1"/>
    </xf>
    <xf numFmtId="1" fontId="0" fillId="10" borderId="6" xfId="0" applyNumberFormat="1" applyFill="1" applyBorder="1" applyAlignment="1">
      <alignment horizontal="right" wrapText="1"/>
    </xf>
    <xf numFmtId="1" fontId="9" fillId="0" borderId="0" xfId="0" applyNumberFormat="1" applyFont="1" applyAlignment="1">
      <alignment wrapText="1"/>
    </xf>
    <xf numFmtId="2" fontId="9" fillId="0" borderId="0" xfId="0" applyNumberFormat="1" applyFont="1" applyAlignment="1">
      <alignment wrapText="1"/>
    </xf>
    <xf numFmtId="0" fontId="39" fillId="2" borderId="0" xfId="0" applyFont="1" applyFill="1" applyAlignment="1">
      <alignment vertical="center" wrapText="1"/>
    </xf>
    <xf numFmtId="0" fontId="39" fillId="3" borderId="0" xfId="0" applyFont="1" applyFill="1" applyAlignment="1">
      <alignment vertical="center" wrapText="1"/>
    </xf>
    <xf numFmtId="0" fontId="0" fillId="3" borderId="21" xfId="0" applyFill="1" applyBorder="1" applyAlignment="1">
      <alignment wrapText="1"/>
    </xf>
    <xf numFmtId="0" fontId="39" fillId="15" borderId="0" xfId="0" applyFont="1" applyFill="1" applyAlignment="1">
      <alignment vertical="center" wrapText="1"/>
    </xf>
    <xf numFmtId="0" fontId="2" fillId="8" borderId="6" xfId="0" applyFont="1" applyFill="1" applyBorder="1" applyAlignment="1">
      <alignment horizontal="center" vertical="center" wrapText="1"/>
    </xf>
    <xf numFmtId="0" fontId="2" fillId="8" borderId="0" xfId="0" applyFont="1" applyFill="1" applyAlignment="1">
      <alignment vertical="center" wrapText="1"/>
    </xf>
    <xf numFmtId="0" fontId="39" fillId="7" borderId="0" xfId="0" applyFont="1" applyFill="1" applyAlignment="1">
      <alignment vertical="center" wrapText="1"/>
    </xf>
    <xf numFmtId="0" fontId="39" fillId="24" borderId="0" xfId="0" applyFont="1" applyFill="1" applyAlignment="1">
      <alignment vertical="center" wrapText="1"/>
    </xf>
    <xf numFmtId="0" fontId="0" fillId="2" borderId="0" xfId="0" applyFill="1" applyAlignment="1">
      <alignment horizontal="left" wrapText="1"/>
    </xf>
    <xf numFmtId="0" fontId="0" fillId="2" borderId="14" xfId="0" applyFill="1" applyBorder="1" applyAlignment="1">
      <alignment wrapText="1"/>
    </xf>
    <xf numFmtId="0" fontId="0" fillId="3" borderId="0" xfId="0" applyFill="1" applyAlignment="1">
      <alignment wrapText="1"/>
    </xf>
    <xf numFmtId="0" fontId="39" fillId="3" borderId="0" xfId="0" applyFont="1" applyFill="1" applyAlignment="1">
      <alignment horizontal="center" wrapText="1"/>
    </xf>
    <xf numFmtId="0" fontId="0" fillId="3" borderId="14" xfId="0" applyFill="1" applyBorder="1" applyAlignment="1">
      <alignment wrapText="1"/>
    </xf>
    <xf numFmtId="0" fontId="0" fillId="4" borderId="0" xfId="0" applyFill="1" applyAlignment="1">
      <alignment wrapText="1"/>
    </xf>
    <xf numFmtId="0" fontId="0" fillId="4" borderId="21" xfId="0" applyFill="1" applyBorder="1" applyAlignment="1">
      <alignment wrapText="1"/>
    </xf>
    <xf numFmtId="0" fontId="0" fillId="5" borderId="0" xfId="0" applyFill="1" applyAlignment="1">
      <alignment wrapText="1"/>
    </xf>
    <xf numFmtId="0" fontId="9" fillId="23" borderId="0" xfId="0" applyFont="1" applyFill="1" applyAlignment="1">
      <alignment wrapText="1"/>
    </xf>
    <xf numFmtId="0" fontId="9" fillId="6" borderId="0" xfId="0" applyFont="1" applyFill="1" applyAlignment="1">
      <alignment wrapText="1"/>
    </xf>
    <xf numFmtId="9" fontId="9" fillId="6" borderId="0" xfId="8" applyFont="1" applyFill="1" applyAlignment="1">
      <alignment wrapText="1"/>
    </xf>
    <xf numFmtId="0" fontId="0" fillId="6" borderId="0" xfId="0" applyFill="1" applyAlignment="1">
      <alignment wrapText="1"/>
    </xf>
    <xf numFmtId="0" fontId="9" fillId="7" borderId="0" xfId="0" applyFont="1" applyFill="1" applyAlignment="1">
      <alignment wrapText="1"/>
    </xf>
    <xf numFmtId="0" fontId="0" fillId="8" borderId="0" xfId="0" applyFill="1" applyAlignment="1">
      <alignment wrapText="1"/>
    </xf>
    <xf numFmtId="0" fontId="9" fillId="8" borderId="0" xfId="0" applyFont="1" applyFill="1" applyAlignment="1">
      <alignment wrapText="1"/>
    </xf>
    <xf numFmtId="15" fontId="6" fillId="0" borderId="0" xfId="0" applyNumberFormat="1" applyFont="1" applyAlignment="1">
      <alignment horizontal="right" vertical="top"/>
    </xf>
    <xf numFmtId="0" fontId="9" fillId="0" borderId="0" xfId="0" applyFont="1" applyAlignment="1">
      <alignment horizontal="right"/>
    </xf>
    <xf numFmtId="15" fontId="6" fillId="0" borderId="0" xfId="0" applyNumberFormat="1" applyFont="1" applyAlignment="1">
      <alignment vertical="top" wrapText="1"/>
    </xf>
    <xf numFmtId="10" fontId="9" fillId="0" borderId="0" xfId="8" applyNumberFormat="1" applyFont="1"/>
    <xf numFmtId="166" fontId="9" fillId="0" borderId="0" xfId="8" applyNumberFormat="1" applyFont="1"/>
    <xf numFmtId="0" fontId="9" fillId="0" borderId="0" xfId="8" applyNumberFormat="1" applyFont="1"/>
    <xf numFmtId="2" fontId="9" fillId="0" borderId="0" xfId="8" applyNumberFormat="1" applyFont="1"/>
    <xf numFmtId="15" fontId="6" fillId="17" borderId="0" xfId="0" applyNumberFormat="1" applyFont="1" applyFill="1" applyAlignment="1">
      <alignment vertical="top"/>
    </xf>
    <xf numFmtId="0" fontId="6" fillId="0" borderId="0" xfId="0" applyFont="1" applyAlignment="1">
      <alignment horizontal="right" vertical="top"/>
    </xf>
    <xf numFmtId="0" fontId="6" fillId="25" borderId="0" xfId="0" applyFont="1" applyFill="1"/>
    <xf numFmtId="0" fontId="6" fillId="25" borderId="0" xfId="0" applyFont="1" applyFill="1" applyAlignment="1">
      <alignment vertical="top"/>
    </xf>
    <xf numFmtId="0" fontId="6" fillId="0" borderId="0" xfId="0" applyFont="1"/>
    <xf numFmtId="0" fontId="6" fillId="18" borderId="0" xfId="0" applyFont="1" applyFill="1" applyAlignment="1">
      <alignment vertical="top"/>
    </xf>
    <xf numFmtId="15" fontId="6" fillId="0" borderId="0" xfId="0" applyNumberFormat="1" applyFont="1" applyAlignment="1">
      <alignment horizontal="left" vertical="top" wrapText="1"/>
    </xf>
    <xf numFmtId="0" fontId="6" fillId="0" borderId="0" xfId="0" applyFont="1" applyAlignment="1">
      <alignment vertical="center"/>
    </xf>
    <xf numFmtId="0" fontId="9" fillId="0" borderId="0" xfId="0" applyFont="1" applyAlignment="1">
      <alignment horizontal="right" vertical="top"/>
    </xf>
    <xf numFmtId="10" fontId="9" fillId="0" borderId="0" xfId="8" applyNumberFormat="1" applyFont="1" applyFill="1"/>
    <xf numFmtId="169" fontId="9" fillId="0" borderId="0" xfId="8" applyNumberFormat="1" applyFont="1" applyFill="1"/>
    <xf numFmtId="0" fontId="9" fillId="0" borderId="0" xfId="8" applyNumberFormat="1" applyFont="1" applyFill="1"/>
    <xf numFmtId="166" fontId="9" fillId="0" borderId="0" xfId="8" applyNumberFormat="1" applyFont="1" applyFill="1"/>
    <xf numFmtId="0" fontId="6" fillId="26" borderId="0" xfId="0" applyFont="1" applyFill="1" applyAlignment="1">
      <alignment vertical="top"/>
    </xf>
    <xf numFmtId="15" fontId="6" fillId="0" borderId="0" xfId="0" applyNumberFormat="1" applyFont="1"/>
    <xf numFmtId="15" fontId="6" fillId="0" borderId="0" xfId="0" applyNumberFormat="1" applyFont="1" applyAlignment="1">
      <alignment vertical="center"/>
    </xf>
    <xf numFmtId="0" fontId="0" fillId="0" borderId="1" xfId="0" applyBorder="1" applyAlignment="1">
      <alignment horizontal="left"/>
    </xf>
    <xf numFmtId="0" fontId="0" fillId="0" borderId="1" xfId="0" applyBorder="1" applyAlignment="1">
      <alignment horizontal="center"/>
    </xf>
    <xf numFmtId="15" fontId="0" fillId="0" borderId="1" xfId="0" applyNumberFormat="1" applyBorder="1" applyAlignment="1">
      <alignment horizontal="center"/>
    </xf>
  </cellXfs>
  <cellStyles count="12">
    <cellStyle name="AutoFormat-Optionen" xfId="1" xr:uid="{90A8E0BE-E3B0-439C-925D-19E692C56E37}"/>
    <cellStyle name="AutoFormat-Optionen 2" xfId="3" xr:uid="{BABD3E4D-6E1A-4996-8B8C-9A65C01EE0E0}"/>
    <cellStyle name="Comma 2" xfId="7" xr:uid="{9FB24546-6A02-4E8E-8884-7288F14BB9F8}"/>
    <cellStyle name="Normal" xfId="0" builtinId="0"/>
    <cellStyle name="Normal 11" xfId="6" xr:uid="{3B7B8B35-7444-46DA-8662-7509A0D5EBEC}"/>
    <cellStyle name="Normal 11 2" xfId="10" xr:uid="{4C3EBB48-4B96-412C-9B8E-EDE1298BC5DE}"/>
    <cellStyle name="Normal 13 3" xfId="5" xr:uid="{70DD0583-8243-4751-8860-91760F950597}"/>
    <cellStyle name="Normal 2" xfId="9" xr:uid="{8814D280-8CEB-40B2-9AE0-6382A84AC5C5}"/>
    <cellStyle name="Normal 2 2" xfId="4" xr:uid="{F8539CB4-E948-41CF-ACCD-A084AFC2FFD7}"/>
    <cellStyle name="Normal 4 5" xfId="2" xr:uid="{DAB266EC-C36B-4A38-B73E-0B9A97C8D3B5}"/>
    <cellStyle name="Normal_U66 AC assy_Rev2_15032008" xfId="11" xr:uid="{72BC4544-F8C4-4EAB-9031-B83F7DF550D2}"/>
    <cellStyle name="Percent" xfId="8" builtinId="5"/>
  </cellStyles>
  <dxfs count="0"/>
  <tableStyles count="0" defaultTableStyle="TableStyleMedium2" defaultPivotStyle="PivotStyleLight16"/>
  <colors>
    <mruColors>
      <color rgb="FFFF66CC"/>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B40AF-24A1-4D2C-AD8C-7D6A074BA0A1}">
  <dimension ref="A1:NZ2600"/>
  <sheetViews>
    <sheetView tabSelected="1" zoomScale="112" zoomScaleNormal="85" workbookViewId="0">
      <pane xSplit="5" ySplit="1" topLeftCell="AD205" activePane="bottomRight" state="frozen"/>
      <selection pane="topRight" activeCell="F1" sqref="F1"/>
      <selection pane="bottomLeft" activeCell="A4" sqref="A4"/>
      <selection pane="bottomRight" activeCell="AE1" sqref="AE1"/>
    </sheetView>
  </sheetViews>
  <sheetFormatPr defaultRowHeight="15"/>
  <cols>
    <col min="1" max="1" width="7.85546875" bestFit="1" customWidth="1"/>
    <col min="2" max="2" width="9.85546875" bestFit="1" customWidth="1"/>
    <col min="3" max="3" width="13.140625" bestFit="1" customWidth="1"/>
    <col min="4" max="4" width="14.42578125" style="13" customWidth="1"/>
    <col min="5" max="5" width="35.7109375" bestFit="1" customWidth="1"/>
    <col min="6" max="6" width="18.28515625" bestFit="1" customWidth="1"/>
    <col min="7" max="7" width="8.85546875" bestFit="1" customWidth="1"/>
    <col min="8" max="8" width="12" bestFit="1" customWidth="1"/>
    <col min="9" max="9" width="13.85546875" bestFit="1" customWidth="1"/>
    <col min="10" max="10" width="15.5703125" style="13" bestFit="1" customWidth="1"/>
    <col min="11" max="11" width="39.140625" bestFit="1" customWidth="1"/>
    <col min="12" max="12" width="20.7109375" bestFit="1" customWidth="1"/>
    <col min="13" max="13" width="37.42578125" bestFit="1" customWidth="1"/>
    <col min="14" max="14" width="15.85546875" style="13" bestFit="1" customWidth="1"/>
    <col min="15" max="15" width="12.7109375" style="13" bestFit="1" customWidth="1"/>
    <col min="16" max="16" width="14.140625" style="13" bestFit="1" customWidth="1"/>
    <col min="17" max="17" width="19.140625" style="13" bestFit="1" customWidth="1"/>
    <col min="18" max="18" width="15.5703125" style="13" bestFit="1" customWidth="1"/>
    <col min="19" max="19" width="19.85546875" bestFit="1" customWidth="1"/>
    <col min="20" max="20" width="18.85546875" bestFit="1" customWidth="1"/>
    <col min="21" max="21" width="12.85546875" bestFit="1" customWidth="1"/>
    <col min="22" max="22" width="15.7109375" style="72" customWidth="1"/>
    <col min="23" max="23" width="45.140625" style="13" customWidth="1"/>
    <col min="24" max="26" width="13" style="13" customWidth="1"/>
    <col min="27" max="27" width="60.28515625" style="13" bestFit="1" customWidth="1"/>
    <col min="28" max="28" width="12.85546875" style="66" bestFit="1" customWidth="1"/>
    <col min="29" max="29" width="21.140625" bestFit="1" customWidth="1"/>
    <col min="30" max="30" width="13.85546875" style="13" bestFit="1" customWidth="1"/>
    <col min="31" max="31" width="15.140625" bestFit="1" customWidth="1"/>
    <col min="32" max="32" width="17" bestFit="1" customWidth="1"/>
    <col min="33" max="33" width="16.85546875" bestFit="1" customWidth="1"/>
    <col min="34" max="34" width="14.85546875" bestFit="1" customWidth="1"/>
    <col min="35" max="35" width="18.5703125" bestFit="1" customWidth="1"/>
    <col min="36" max="36" width="17.5703125" bestFit="1" customWidth="1"/>
    <col min="37" max="37" width="15.140625" bestFit="1" customWidth="1"/>
    <col min="38" max="38" width="13.28515625" bestFit="1" customWidth="1"/>
    <col min="39" max="39" width="15.140625" bestFit="1" customWidth="1"/>
    <col min="40" max="40" width="16.85546875" bestFit="1" customWidth="1"/>
    <col min="41" max="41" width="16.42578125" bestFit="1" customWidth="1"/>
    <col min="42" max="42" width="16.28515625" bestFit="1" customWidth="1"/>
    <col min="43" max="43" width="16.7109375" bestFit="1" customWidth="1"/>
    <col min="44" max="44" width="11.42578125" bestFit="1" customWidth="1"/>
    <col min="45" max="45" width="14" bestFit="1" customWidth="1"/>
    <col min="46" max="46" width="13.28515625" bestFit="1" customWidth="1"/>
    <col min="47" max="47" width="11.85546875" bestFit="1" customWidth="1"/>
    <col min="48" max="48" width="15.28515625" bestFit="1" customWidth="1"/>
    <col min="49" max="49" width="11.140625" bestFit="1" customWidth="1"/>
    <col min="50" max="50" width="9.5703125" bestFit="1" customWidth="1"/>
    <col min="51" max="51" width="16.5703125" bestFit="1" customWidth="1"/>
    <col min="52" max="52" width="19" bestFit="1" customWidth="1"/>
    <col min="53" max="53" width="13.7109375" bestFit="1" customWidth="1"/>
    <col min="54" max="61" width="13.7109375" customWidth="1"/>
    <col min="62" max="62" width="15" bestFit="1" customWidth="1"/>
    <col min="63" max="63" width="16.28515625" bestFit="1" customWidth="1"/>
    <col min="64" max="64" width="16.28515625" customWidth="1"/>
    <col min="65" max="65" width="14.5703125" bestFit="1" customWidth="1"/>
    <col min="66" max="66" width="15.5703125" bestFit="1" customWidth="1"/>
    <col min="67" max="68" width="15" bestFit="1" customWidth="1"/>
    <col min="69" max="69" width="18.28515625" bestFit="1" customWidth="1"/>
    <col min="70" max="70" width="15.140625" bestFit="1" customWidth="1"/>
    <col min="71" max="71" width="17.5703125" bestFit="1" customWidth="1"/>
    <col min="72" max="72" width="19.140625" bestFit="1" customWidth="1"/>
    <col min="73" max="73" width="15" bestFit="1" customWidth="1"/>
    <col min="74" max="74" width="15.5703125" bestFit="1" customWidth="1"/>
    <col min="75" max="75" width="15" bestFit="1" customWidth="1"/>
    <col min="76" max="76" width="13.7109375" customWidth="1"/>
    <col min="77" max="77" width="18.28515625" bestFit="1" customWidth="1"/>
    <col min="78" max="78" width="15.140625" bestFit="1" customWidth="1"/>
    <col min="79" max="79" width="17.5703125" bestFit="1" customWidth="1"/>
    <col min="80" max="80" width="19.140625" bestFit="1" customWidth="1"/>
    <col min="81" max="81" width="18.5703125" bestFit="1" customWidth="1"/>
    <col min="82" max="82" width="10.42578125" bestFit="1" customWidth="1"/>
    <col min="83" max="83" width="15" bestFit="1" customWidth="1"/>
    <col min="84" max="84" width="12.140625" bestFit="1" customWidth="1"/>
    <col min="85" max="85" width="17.5703125" bestFit="1" customWidth="1"/>
    <col min="86" max="86" width="11.42578125" bestFit="1" customWidth="1"/>
    <col min="87" max="87" width="21.42578125" bestFit="1" customWidth="1"/>
    <col min="88" max="88" width="29" bestFit="1" customWidth="1"/>
    <col min="89" max="89" width="13.7109375" bestFit="1" customWidth="1"/>
    <col min="90" max="91" width="18.5703125" bestFit="1" customWidth="1"/>
    <col min="92" max="92" width="16.42578125" bestFit="1" customWidth="1"/>
    <col min="93" max="93" width="23.140625" bestFit="1" customWidth="1"/>
    <col min="94" max="94" width="15.42578125" bestFit="1" customWidth="1"/>
    <col min="95" max="95" width="15.5703125" bestFit="1" customWidth="1"/>
    <col min="96" max="96" width="17.28515625" bestFit="1" customWidth="1"/>
    <col min="97" max="97" width="15" bestFit="1" customWidth="1"/>
    <col min="98" max="98" width="16.85546875" bestFit="1" customWidth="1"/>
    <col min="99" max="99" width="13.7109375" bestFit="1" customWidth="1"/>
    <col min="100" max="100" width="15.28515625" bestFit="1" customWidth="1"/>
    <col min="101" max="101" width="17.28515625" bestFit="1" customWidth="1"/>
    <col min="102" max="102" width="11.5703125" bestFit="1" customWidth="1"/>
    <col min="103" max="103" width="23.85546875" bestFit="1" customWidth="1"/>
    <col min="104" max="104" width="13.7109375" bestFit="1" customWidth="1"/>
    <col min="105" max="105" width="14.7109375" bestFit="1" customWidth="1"/>
    <col min="106" max="106" width="17.28515625" bestFit="1" customWidth="1"/>
    <col min="107" max="107" width="14.28515625" bestFit="1" customWidth="1"/>
    <col min="108" max="108" width="18.5703125" bestFit="1" customWidth="1"/>
    <col min="109" max="109" width="15.28515625" bestFit="1" customWidth="1"/>
    <col min="110" max="110" width="12.85546875" bestFit="1" customWidth="1"/>
    <col min="111" max="111" width="21" bestFit="1" customWidth="1"/>
    <col min="112" max="112" width="18.5703125" bestFit="1" customWidth="1"/>
    <col min="113" max="113" width="16.85546875" bestFit="1" customWidth="1"/>
    <col min="114" max="114" width="16.28515625" bestFit="1" customWidth="1"/>
    <col min="115" max="115" width="14" bestFit="1" customWidth="1"/>
    <col min="116" max="116" width="17.28515625" bestFit="1" customWidth="1"/>
    <col min="117" max="117" width="15" bestFit="1" customWidth="1"/>
    <col min="118" max="119" width="20.85546875" bestFit="1" customWidth="1"/>
    <col min="120" max="120" width="18.7109375" bestFit="1" customWidth="1"/>
    <col min="121" max="121" width="16.42578125" bestFit="1" customWidth="1"/>
    <col min="122" max="122" width="23.28515625" bestFit="1" customWidth="1"/>
    <col min="123" max="123" width="19.140625" bestFit="1" customWidth="1"/>
    <col min="124" max="124" width="17.7109375" bestFit="1" customWidth="1"/>
    <col min="125" max="125" width="19.140625" bestFit="1" customWidth="1"/>
    <col min="126" max="126" width="18.7109375" customWidth="1"/>
    <col min="127" max="128" width="21.42578125" bestFit="1" customWidth="1"/>
    <col min="129" max="129" width="20.7109375" bestFit="1" customWidth="1"/>
    <col min="130" max="130" width="19.140625" bestFit="1" customWidth="1"/>
    <col min="131" max="131" width="25" bestFit="1" customWidth="1"/>
    <col min="132" max="132" width="21.42578125" bestFit="1" customWidth="1"/>
    <col min="133" max="133" width="22.5703125" bestFit="1" customWidth="1"/>
    <col min="134" max="134" width="20" bestFit="1" customWidth="1"/>
    <col min="135" max="135" width="22.7109375" bestFit="1" customWidth="1"/>
    <col min="136" max="136" width="19.5703125" bestFit="1" customWidth="1"/>
    <col min="137" max="137" width="19.42578125" bestFit="1" customWidth="1"/>
    <col min="138" max="138" width="25.5703125" bestFit="1" customWidth="1"/>
    <col min="139" max="139" width="16" bestFit="1" customWidth="1"/>
    <col min="140" max="140" width="13.5703125" bestFit="1" customWidth="1"/>
    <col min="141" max="141" width="14.85546875" bestFit="1" customWidth="1"/>
    <col min="142" max="142" width="19.42578125" bestFit="1" customWidth="1"/>
    <col min="143" max="143" width="22.42578125" bestFit="1" customWidth="1"/>
    <col min="144" max="144" width="17.28515625" bestFit="1" customWidth="1"/>
    <col min="145" max="145" width="18.140625" bestFit="1" customWidth="1"/>
    <col min="146" max="147" width="18.5703125" bestFit="1" customWidth="1"/>
    <col min="148" max="148" width="19.140625" bestFit="1" customWidth="1"/>
    <col min="149" max="150" width="19.140625" customWidth="1"/>
    <col min="151" max="151" width="17.5703125" bestFit="1" customWidth="1"/>
    <col min="152" max="152" width="15.42578125" bestFit="1" customWidth="1"/>
    <col min="153" max="153" width="15.42578125" customWidth="1"/>
    <col min="154" max="154" width="23.28515625" bestFit="1" customWidth="1"/>
    <col min="155" max="155" width="28.7109375" bestFit="1" customWidth="1"/>
    <col min="156" max="156" width="17" bestFit="1" customWidth="1"/>
    <col min="157" max="157" width="24.7109375" bestFit="1" customWidth="1"/>
    <col min="158" max="199" width="24.7109375" customWidth="1"/>
    <col min="200" max="200" width="16.28515625" bestFit="1" customWidth="1"/>
    <col min="201" max="201" width="17.42578125" bestFit="1" customWidth="1"/>
    <col min="202" max="202" width="8.5703125" bestFit="1" customWidth="1"/>
    <col min="203" max="203" width="9.140625" bestFit="1" customWidth="1"/>
    <col min="204" max="204" width="19.85546875" bestFit="1" customWidth="1"/>
    <col min="205" max="205" width="20.7109375" bestFit="1" customWidth="1"/>
    <col min="206" max="206" width="12.28515625" bestFit="1" customWidth="1"/>
    <col min="207" max="207" width="14.42578125" bestFit="1" customWidth="1"/>
    <col min="208" max="208" width="10.42578125" bestFit="1" customWidth="1"/>
    <col min="209" max="209" width="10.140625" bestFit="1" customWidth="1"/>
    <col min="210" max="210" width="10.42578125" bestFit="1" customWidth="1"/>
    <col min="211" max="211" width="10.5703125" bestFit="1" customWidth="1"/>
    <col min="212" max="212" width="18.140625" bestFit="1" customWidth="1"/>
    <col min="213" max="213" width="17" bestFit="1" customWidth="1"/>
    <col min="214" max="214" width="23" bestFit="1" customWidth="1"/>
    <col min="215" max="215" width="20.140625" bestFit="1" customWidth="1"/>
    <col min="216" max="216" width="27.28515625" bestFit="1" customWidth="1"/>
    <col min="217" max="217" width="18" bestFit="1" customWidth="1"/>
    <col min="218" max="218" width="24.85546875" bestFit="1" customWidth="1"/>
    <col min="219" max="219" width="16.42578125" bestFit="1" customWidth="1"/>
    <col min="220" max="220" width="25" bestFit="1" customWidth="1"/>
    <col min="221" max="221" width="21.85546875" bestFit="1" customWidth="1"/>
    <col min="222" max="222" width="21.7109375" bestFit="1" customWidth="1"/>
    <col min="223" max="223" width="27.85546875" bestFit="1" customWidth="1"/>
    <col min="224" max="224" width="18.28515625" bestFit="1" customWidth="1"/>
    <col min="225" max="225" width="13" bestFit="1" customWidth="1"/>
    <col min="226" max="226" width="17.140625" bestFit="1" customWidth="1"/>
    <col min="227" max="227" width="21.7109375" bestFit="1" customWidth="1"/>
    <col min="228" max="228" width="24.7109375" bestFit="1" customWidth="1"/>
    <col min="229" max="229" width="24.7109375" customWidth="1"/>
    <col min="230" max="230" width="19.5703125" bestFit="1" customWidth="1"/>
    <col min="231" max="231" width="19.5703125" customWidth="1"/>
    <col min="232" max="232" width="20.42578125" bestFit="1" customWidth="1"/>
    <col min="233" max="234" width="20.85546875" bestFit="1" customWidth="1"/>
    <col min="235" max="235" width="16.140625" bestFit="1" customWidth="1"/>
    <col min="236" max="236" width="17" bestFit="1" customWidth="1"/>
    <col min="237" max="237" width="16.5703125" bestFit="1" customWidth="1"/>
    <col min="238" max="238" width="15" bestFit="1" customWidth="1"/>
    <col min="239" max="239" width="31" bestFit="1" customWidth="1"/>
    <col min="240" max="240" width="19.28515625" bestFit="1" customWidth="1"/>
    <col min="241" max="241" width="27" bestFit="1" customWidth="1"/>
    <col min="242" max="242" width="27" customWidth="1"/>
    <col min="243" max="243" width="16.5703125" bestFit="1" customWidth="1"/>
    <col min="244" max="244" width="18.28515625" bestFit="1" customWidth="1"/>
    <col min="245" max="245" width="10.7109375" customWidth="1"/>
    <col min="246" max="247" width="14.5703125" customWidth="1"/>
    <col min="248" max="248" width="12" bestFit="1" customWidth="1"/>
    <col min="249" max="249" width="14" bestFit="1" customWidth="1"/>
    <col min="250" max="250" width="12" bestFit="1" customWidth="1"/>
    <col min="251" max="251" width="13.42578125" bestFit="1" customWidth="1"/>
    <col min="252" max="252" width="8.28515625" bestFit="1" customWidth="1"/>
    <col min="253" max="253" width="8.7109375" bestFit="1" customWidth="1"/>
    <col min="254" max="254" width="9.7109375" bestFit="1" customWidth="1"/>
    <col min="255" max="255" width="8" bestFit="1" customWidth="1"/>
    <col min="256" max="256" width="7.28515625" bestFit="1" customWidth="1"/>
    <col min="257" max="257" width="8.140625" bestFit="1" customWidth="1"/>
    <col min="258" max="258" width="7.28515625" bestFit="1" customWidth="1"/>
    <col min="259" max="259" width="8.7109375" bestFit="1" customWidth="1"/>
    <col min="260" max="260" width="9.28515625" bestFit="1" customWidth="1"/>
    <col min="261" max="261" width="8.7109375" bestFit="1" customWidth="1"/>
    <col min="262" max="262" width="6" bestFit="1" customWidth="1"/>
    <col min="263" max="263" width="9.42578125" bestFit="1" customWidth="1"/>
    <col min="264" max="264" width="8.7109375" bestFit="1" customWidth="1"/>
    <col min="265" max="265" width="9.28515625" bestFit="1" customWidth="1"/>
    <col min="266" max="266" width="8.7109375" bestFit="1" customWidth="1"/>
    <col min="267" max="267" width="6" bestFit="1" customWidth="1"/>
    <col min="268" max="268" width="9.42578125" bestFit="1" customWidth="1"/>
    <col min="269" max="269" width="8.7109375" bestFit="1" customWidth="1"/>
    <col min="270" max="270" width="9.28515625" bestFit="1" customWidth="1"/>
    <col min="271" max="271" width="8.7109375" bestFit="1" customWidth="1"/>
    <col min="272" max="272" width="6" bestFit="1" customWidth="1"/>
    <col min="273" max="273" width="9.42578125" bestFit="1" customWidth="1"/>
    <col min="274" max="274" width="8.7109375" bestFit="1" customWidth="1"/>
    <col min="275" max="275" width="9.28515625" bestFit="1" customWidth="1"/>
    <col min="276" max="276" width="8.7109375" bestFit="1" customWidth="1"/>
    <col min="277" max="277" width="6" bestFit="1" customWidth="1"/>
    <col min="278" max="278" width="9.42578125" bestFit="1" customWidth="1"/>
    <col min="280" max="281" width="9" bestFit="1" customWidth="1"/>
    <col min="282" max="282" width="8.42578125" bestFit="1" customWidth="1"/>
    <col min="283" max="284" width="8.5703125" bestFit="1" customWidth="1"/>
    <col min="285" max="285" width="7.85546875" bestFit="1" customWidth="1"/>
    <col min="286" max="286" width="8.140625" bestFit="1" customWidth="1"/>
    <col min="287" max="287" width="8.28515625" bestFit="1" customWidth="1"/>
    <col min="288" max="288" width="8.28515625" customWidth="1"/>
    <col min="289" max="291" width="12.5703125" style="72" customWidth="1"/>
    <col min="292" max="294" width="8.5703125" bestFit="1" customWidth="1"/>
    <col min="295" max="296" width="8" bestFit="1" customWidth="1"/>
    <col min="297" max="299" width="8" customWidth="1"/>
    <col min="302" max="302" width="8.85546875" bestFit="1" customWidth="1"/>
    <col min="303" max="304" width="7.42578125" bestFit="1" customWidth="1"/>
    <col min="305" max="305" width="9.42578125" bestFit="1" customWidth="1"/>
    <col min="306" max="306" width="7.42578125" bestFit="1" customWidth="1"/>
    <col min="307" max="307" width="8.85546875" bestFit="1" customWidth="1"/>
    <col min="308" max="308" width="8.28515625" bestFit="1" customWidth="1"/>
    <col min="309" max="309" width="8.7109375" bestFit="1" customWidth="1"/>
    <col min="310" max="310" width="9.7109375" bestFit="1" customWidth="1"/>
    <col min="311" max="311" width="8" bestFit="1" customWidth="1"/>
    <col min="312" max="314" width="7.28515625" bestFit="1" customWidth="1"/>
    <col min="315" max="315" width="8.140625" bestFit="1" customWidth="1"/>
    <col min="316" max="316" width="7.28515625" bestFit="1" customWidth="1"/>
    <col min="317" max="318" width="9" bestFit="1" customWidth="1"/>
    <col min="319" max="319" width="8.42578125" bestFit="1" customWidth="1"/>
    <col min="320" max="321" width="8.5703125" bestFit="1" customWidth="1"/>
    <col min="322" max="322" width="7.85546875" bestFit="1" customWidth="1"/>
    <col min="323" max="323" width="8.140625" bestFit="1" customWidth="1"/>
    <col min="324" max="324" width="8.28515625" bestFit="1" customWidth="1"/>
    <col min="325" max="325" width="8.28515625" customWidth="1"/>
    <col min="326" max="326" width="6" bestFit="1" customWidth="1"/>
    <col min="327" max="327" width="8.85546875" bestFit="1" customWidth="1"/>
    <col min="328" max="328" width="8.5703125" bestFit="1" customWidth="1"/>
    <col min="329" max="329" width="8.5703125" customWidth="1"/>
    <col min="330" max="331" width="8.5703125" bestFit="1" customWidth="1"/>
    <col min="332" max="333" width="8" bestFit="1" customWidth="1"/>
    <col min="334" max="336" width="8" customWidth="1"/>
    <col min="340" max="341" width="7.42578125" bestFit="1" customWidth="1"/>
    <col min="342" max="342" width="9.42578125" bestFit="1" customWidth="1"/>
    <col min="343" max="343" width="7.42578125" bestFit="1" customWidth="1"/>
    <col min="344" max="344" width="8.85546875" bestFit="1" customWidth="1"/>
    <col min="345" max="345" width="8.28515625" bestFit="1" customWidth="1"/>
    <col min="346" max="346" width="8.7109375" bestFit="1" customWidth="1"/>
    <col min="347" max="347" width="9.7109375" bestFit="1" customWidth="1"/>
    <col min="348" max="348" width="8" bestFit="1" customWidth="1"/>
    <col min="349" max="349" width="6.85546875" bestFit="1" customWidth="1"/>
    <col min="350" max="350" width="8.140625" bestFit="1" customWidth="1"/>
    <col min="351" max="351" width="7.28515625" bestFit="1" customWidth="1"/>
    <col min="352" max="352" width="8.7109375" bestFit="1" customWidth="1"/>
    <col min="353" max="353" width="9.28515625" bestFit="1" customWidth="1"/>
    <col min="354" max="354" width="8.7109375" bestFit="1" customWidth="1"/>
    <col min="355" max="355" width="6" bestFit="1" customWidth="1"/>
    <col min="356" max="356" width="9.42578125" bestFit="1" customWidth="1"/>
    <col min="357" max="357" width="8.7109375" bestFit="1" customWidth="1"/>
    <col min="358" max="358" width="9.28515625" bestFit="1" customWidth="1"/>
    <col min="359" max="359" width="8.7109375" bestFit="1" customWidth="1"/>
    <col min="360" max="360" width="9" bestFit="1" customWidth="1"/>
    <col min="361" max="361" width="9.42578125" bestFit="1" customWidth="1"/>
    <col min="362" max="362" width="8.7109375" bestFit="1" customWidth="1"/>
    <col min="363" max="363" width="9.28515625" bestFit="1" customWidth="1"/>
    <col min="364" max="364" width="8.7109375" bestFit="1" customWidth="1"/>
    <col min="365" max="365" width="6" bestFit="1" customWidth="1"/>
    <col min="366" max="366" width="9.42578125" bestFit="1" customWidth="1"/>
    <col min="367" max="367" width="8.7109375" bestFit="1" customWidth="1"/>
    <col min="368" max="368" width="9.28515625" bestFit="1" customWidth="1"/>
    <col min="369" max="369" width="8.7109375" bestFit="1" customWidth="1"/>
    <col min="370" max="370" width="6" bestFit="1" customWidth="1"/>
    <col min="371" max="371" width="9" bestFit="1" customWidth="1"/>
    <col min="373" max="374" width="9" bestFit="1" customWidth="1"/>
    <col min="375" max="375" width="8.42578125" bestFit="1" customWidth="1"/>
    <col min="376" max="377" width="8.5703125" bestFit="1" customWidth="1"/>
    <col min="378" max="378" width="7.85546875" bestFit="1" customWidth="1"/>
    <col min="379" max="379" width="8.140625" bestFit="1" customWidth="1"/>
    <col min="380" max="380" width="8.28515625" bestFit="1" customWidth="1"/>
    <col min="381" max="381" width="6" bestFit="1" customWidth="1"/>
    <col min="382" max="382" width="8.85546875" bestFit="1" customWidth="1"/>
    <col min="383" max="385" width="8.5703125" bestFit="1" customWidth="1"/>
    <col min="386" max="387" width="8" bestFit="1" customWidth="1"/>
    <col min="390" max="390" width="8.85546875" bestFit="1" customWidth="1"/>
  </cols>
  <sheetData>
    <row r="1" spans="1:388" s="72" customFormat="1" ht="75">
      <c r="A1" t="s">
        <v>2001</v>
      </c>
      <c r="B1" t="s">
        <v>2240</v>
      </c>
      <c r="C1" s="318" t="s">
        <v>2447</v>
      </c>
      <c r="D1" s="427" t="s">
        <v>0</v>
      </c>
      <c r="E1" s="318" t="s">
        <v>1</v>
      </c>
      <c r="F1" s="318" t="s">
        <v>2181</v>
      </c>
      <c r="G1" s="318" t="s">
        <v>88</v>
      </c>
      <c r="H1" s="318" t="s">
        <v>4961</v>
      </c>
      <c r="I1" s="318" t="s">
        <v>93</v>
      </c>
      <c r="J1" s="427" t="s">
        <v>95</v>
      </c>
      <c r="K1" s="318" t="s">
        <v>96</v>
      </c>
      <c r="L1" s="318" t="s">
        <v>428</v>
      </c>
      <c r="M1" s="318" t="s">
        <v>429</v>
      </c>
      <c r="N1" s="427" t="s">
        <v>1219</v>
      </c>
      <c r="O1" s="427" t="s">
        <v>1220</v>
      </c>
      <c r="P1" s="427" t="s">
        <v>1238</v>
      </c>
      <c r="Q1" s="427" t="s">
        <v>1031</v>
      </c>
      <c r="R1" s="427" t="s">
        <v>1032</v>
      </c>
      <c r="S1" s="428" t="s">
        <v>2164</v>
      </c>
      <c r="T1" s="305" t="s">
        <v>2165</v>
      </c>
      <c r="U1" s="305" t="s">
        <v>2168</v>
      </c>
      <c r="V1" s="318" t="s">
        <v>10</v>
      </c>
      <c r="W1" s="427" t="s">
        <v>231</v>
      </c>
      <c r="X1" s="72" t="s">
        <v>2173</v>
      </c>
      <c r="Y1" s="72" t="s">
        <v>2174</v>
      </c>
      <c r="Z1" s="72" t="s">
        <v>2175</v>
      </c>
      <c r="AA1" s="427" t="s">
        <v>22</v>
      </c>
      <c r="AB1" s="287" t="s">
        <v>4</v>
      </c>
      <c r="AC1" s="318" t="s">
        <v>23</v>
      </c>
      <c r="AD1" s="427" t="s">
        <v>20</v>
      </c>
      <c r="AE1" s="318" t="s">
        <v>11</v>
      </c>
      <c r="AF1" s="306" t="s">
        <v>2024</v>
      </c>
      <c r="AG1" s="318" t="s">
        <v>12</v>
      </c>
      <c r="AH1" s="318" t="s">
        <v>13</v>
      </c>
      <c r="AI1" s="318" t="s">
        <v>76</v>
      </c>
      <c r="AJ1" s="318" t="s">
        <v>81</v>
      </c>
      <c r="AK1" s="318" t="s">
        <v>14</v>
      </c>
      <c r="AL1" s="318" t="s">
        <v>15</v>
      </c>
      <c r="AM1" s="318" t="s">
        <v>16</v>
      </c>
      <c r="AN1" s="318" t="s">
        <v>17</v>
      </c>
      <c r="AO1" s="318" t="s">
        <v>18</v>
      </c>
      <c r="AP1" s="305" t="s">
        <v>962</v>
      </c>
      <c r="AQ1" s="318" t="s">
        <v>19</v>
      </c>
      <c r="AR1" s="318" t="s">
        <v>450</v>
      </c>
      <c r="AS1" s="318" t="s">
        <v>540</v>
      </c>
      <c r="AT1" s="318" t="s">
        <v>1111</v>
      </c>
      <c r="AU1" s="318" t="s">
        <v>268</v>
      </c>
      <c r="AV1" s="318" t="s">
        <v>9</v>
      </c>
      <c r="AW1" s="429" t="s">
        <v>2</v>
      </c>
      <c r="AX1" s="429" t="s">
        <v>3</v>
      </c>
      <c r="AY1" s="429" t="s">
        <v>82</v>
      </c>
      <c r="AZ1" s="429" t="s">
        <v>21</v>
      </c>
      <c r="BA1" s="429" t="s">
        <v>5</v>
      </c>
      <c r="BB1" s="420" t="s">
        <v>4803</v>
      </c>
      <c r="BC1" s="420" t="s">
        <v>4804</v>
      </c>
      <c r="BD1" s="420" t="s">
        <v>4805</v>
      </c>
      <c r="BE1" s="420" t="s">
        <v>4806</v>
      </c>
      <c r="BF1" s="420" t="s">
        <v>4807</v>
      </c>
      <c r="BG1" s="420" t="s">
        <v>4808</v>
      </c>
      <c r="BH1" s="420" t="s">
        <v>4809</v>
      </c>
      <c r="BI1" s="420" t="s">
        <v>4810</v>
      </c>
      <c r="BJ1" s="421" t="s">
        <v>2166</v>
      </c>
      <c r="BK1" s="421" t="s">
        <v>2167</v>
      </c>
      <c r="BL1" s="430" t="s">
        <v>11</v>
      </c>
      <c r="BM1" s="431" t="s">
        <v>1221</v>
      </c>
      <c r="BN1" s="431" t="s">
        <v>1222</v>
      </c>
      <c r="BO1" s="431" t="s">
        <v>1223</v>
      </c>
      <c r="BP1" s="431" t="s">
        <v>1224</v>
      </c>
      <c r="BQ1" s="431" t="s">
        <v>1225</v>
      </c>
      <c r="BR1" s="431" t="s">
        <v>1226</v>
      </c>
      <c r="BS1" s="431" t="s">
        <v>1227</v>
      </c>
      <c r="BT1" s="431" t="s">
        <v>1228</v>
      </c>
      <c r="BU1" s="431" t="s">
        <v>1229</v>
      </c>
      <c r="BV1" s="431" t="s">
        <v>1230</v>
      </c>
      <c r="BW1" s="431" t="s">
        <v>1231</v>
      </c>
      <c r="BX1" s="431" t="s">
        <v>1232</v>
      </c>
      <c r="BY1" s="431" t="s">
        <v>1233</v>
      </c>
      <c r="BZ1" s="431" t="s">
        <v>1234</v>
      </c>
      <c r="CA1" s="431" t="s">
        <v>1235</v>
      </c>
      <c r="CB1" s="431" t="s">
        <v>1236</v>
      </c>
      <c r="CC1" s="431" t="s">
        <v>1237</v>
      </c>
      <c r="CD1" s="432" t="s">
        <v>26</v>
      </c>
      <c r="CE1" s="432" t="s">
        <v>27</v>
      </c>
      <c r="CF1" s="432" t="s">
        <v>28</v>
      </c>
      <c r="CG1" s="432" t="s">
        <v>30</v>
      </c>
      <c r="CH1" s="432" t="s">
        <v>232</v>
      </c>
      <c r="CI1" s="432" t="s">
        <v>233</v>
      </c>
      <c r="CJ1" s="432" t="s">
        <v>234</v>
      </c>
      <c r="CK1" s="432" t="s">
        <v>235</v>
      </c>
      <c r="CL1" s="432" t="s">
        <v>236</v>
      </c>
      <c r="CM1" s="432" t="s">
        <v>237</v>
      </c>
      <c r="CN1" s="432" t="s">
        <v>238</v>
      </c>
      <c r="CO1" s="432" t="s">
        <v>239</v>
      </c>
      <c r="CP1" s="432" t="s">
        <v>240</v>
      </c>
      <c r="CQ1" s="432" t="s">
        <v>241</v>
      </c>
      <c r="CR1" s="432" t="s">
        <v>242</v>
      </c>
      <c r="CS1" s="432" t="s">
        <v>243</v>
      </c>
      <c r="CT1" s="432" t="s">
        <v>244</v>
      </c>
      <c r="CU1" s="432" t="s">
        <v>245</v>
      </c>
      <c r="CV1" s="432" t="s">
        <v>246</v>
      </c>
      <c r="CW1" s="432" t="s">
        <v>247</v>
      </c>
      <c r="CX1" s="432" t="s">
        <v>248</v>
      </c>
      <c r="CY1" s="432" t="s">
        <v>249</v>
      </c>
      <c r="CZ1" s="432" t="s">
        <v>250</v>
      </c>
      <c r="DA1" s="432" t="s">
        <v>251</v>
      </c>
      <c r="DB1" s="432" t="s">
        <v>252</v>
      </c>
      <c r="DC1" s="432" t="s">
        <v>253</v>
      </c>
      <c r="DD1" s="432" t="s">
        <v>254</v>
      </c>
      <c r="DE1" s="432" t="s">
        <v>255</v>
      </c>
      <c r="DF1" s="432" t="s">
        <v>256</v>
      </c>
      <c r="DG1" s="432" t="s">
        <v>257</v>
      </c>
      <c r="DH1" s="432" t="s">
        <v>258</v>
      </c>
      <c r="DI1" s="432" t="s">
        <v>259</v>
      </c>
      <c r="DJ1" s="432" t="s">
        <v>260</v>
      </c>
      <c r="DK1" s="432" t="s">
        <v>261</v>
      </c>
      <c r="DL1" s="432" t="s">
        <v>262</v>
      </c>
      <c r="DM1" s="432" t="s">
        <v>263</v>
      </c>
      <c r="DN1" s="432" t="s">
        <v>29</v>
      </c>
      <c r="DO1" s="432" t="s">
        <v>29</v>
      </c>
      <c r="DP1" s="432" t="s">
        <v>75</v>
      </c>
      <c r="DQ1" s="433" t="s">
        <v>1043</v>
      </c>
      <c r="DR1" s="433" t="s">
        <v>1044</v>
      </c>
      <c r="DS1" s="433" t="s">
        <v>1045</v>
      </c>
      <c r="DT1" s="433" t="s">
        <v>1046</v>
      </c>
      <c r="DU1" s="307" t="s">
        <v>2169</v>
      </c>
      <c r="DV1" s="307" t="s">
        <v>2025</v>
      </c>
      <c r="DW1" s="307" t="s">
        <v>2026</v>
      </c>
      <c r="DX1" s="307" t="s">
        <v>2027</v>
      </c>
      <c r="DY1" s="307" t="s">
        <v>2028</v>
      </c>
      <c r="DZ1" s="307" t="s">
        <v>2170</v>
      </c>
      <c r="EA1" s="307" t="s">
        <v>2029</v>
      </c>
      <c r="EB1" s="307" t="s">
        <v>2030</v>
      </c>
      <c r="EC1" s="307" t="s">
        <v>2031</v>
      </c>
      <c r="ED1" s="307" t="s">
        <v>2032</v>
      </c>
      <c r="EE1" s="307" t="s">
        <v>2171</v>
      </c>
      <c r="EF1" s="434" t="s">
        <v>6</v>
      </c>
      <c r="EG1" s="434" t="s">
        <v>25</v>
      </c>
      <c r="EH1" s="434" t="s">
        <v>31</v>
      </c>
      <c r="EI1" s="434" t="s">
        <v>32</v>
      </c>
      <c r="EJ1" s="434" t="s">
        <v>33</v>
      </c>
      <c r="EK1" s="434" t="s">
        <v>34</v>
      </c>
      <c r="EL1" s="434" t="s">
        <v>7</v>
      </c>
      <c r="EM1" s="434" t="s">
        <v>264</v>
      </c>
      <c r="EN1" s="434" t="s">
        <v>1047</v>
      </c>
      <c r="EO1" s="434" t="s">
        <v>625</v>
      </c>
      <c r="EP1" s="434" t="s">
        <v>451</v>
      </c>
      <c r="EQ1" s="434" t="s">
        <v>452</v>
      </c>
      <c r="ER1" s="434" t="s">
        <v>453</v>
      </c>
      <c r="ES1" s="411" t="s">
        <v>4811</v>
      </c>
      <c r="ET1" s="411" t="s">
        <v>4812</v>
      </c>
      <c r="EU1" s="434" t="s">
        <v>8</v>
      </c>
      <c r="EV1" s="308" t="s">
        <v>498</v>
      </c>
      <c r="EW1" s="358" t="s">
        <v>2746</v>
      </c>
      <c r="EX1" s="308" t="s">
        <v>265</v>
      </c>
      <c r="EY1" s="308" t="s">
        <v>266</v>
      </c>
      <c r="EZ1" s="308" t="s">
        <v>963</v>
      </c>
      <c r="FA1" s="308" t="s">
        <v>267</v>
      </c>
      <c r="FB1" s="435" t="s">
        <v>4514</v>
      </c>
      <c r="FC1" s="435" t="s">
        <v>4515</v>
      </c>
      <c r="FD1" s="435" t="s">
        <v>4516</v>
      </c>
      <c r="FE1" s="435" t="s">
        <v>4517</v>
      </c>
      <c r="FF1" s="435" t="s">
        <v>4518</v>
      </c>
      <c r="FG1" s="435" t="s">
        <v>4519</v>
      </c>
      <c r="FH1" s="423" t="s">
        <v>2736</v>
      </c>
      <c r="FI1" s="325" t="s">
        <v>2737</v>
      </c>
      <c r="FJ1" s="325" t="s">
        <v>2738</v>
      </c>
      <c r="FK1" s="325" t="s">
        <v>2739</v>
      </c>
      <c r="FL1" s="325" t="s">
        <v>2715</v>
      </c>
      <c r="FM1" s="325" t="s">
        <v>2740</v>
      </c>
      <c r="FN1" s="325" t="s">
        <v>2741</v>
      </c>
      <c r="FO1" s="325" t="s">
        <v>2742</v>
      </c>
      <c r="FP1" s="325" t="s">
        <v>2743</v>
      </c>
      <c r="FQ1" s="325" t="s">
        <v>2744</v>
      </c>
      <c r="FR1" s="325" t="s">
        <v>2745</v>
      </c>
      <c r="FS1" s="424" t="s">
        <v>2716</v>
      </c>
      <c r="FT1" s="424" t="s">
        <v>2717</v>
      </c>
      <c r="FU1" s="424" t="s">
        <v>2718</v>
      </c>
      <c r="FV1" s="424" t="s">
        <v>2719</v>
      </c>
      <c r="FW1" s="424" t="s">
        <v>2720</v>
      </c>
      <c r="FX1" s="424" t="s">
        <v>2721</v>
      </c>
      <c r="FY1" s="424" t="s">
        <v>2722</v>
      </c>
      <c r="FZ1" s="424" t="s">
        <v>2723</v>
      </c>
      <c r="GA1" s="424" t="s">
        <v>2724</v>
      </c>
      <c r="GB1" s="424" t="s">
        <v>49</v>
      </c>
      <c r="GC1" s="424" t="s">
        <v>2725</v>
      </c>
      <c r="GD1" s="424" t="s">
        <v>2726</v>
      </c>
      <c r="GE1" s="424" t="s">
        <v>2727</v>
      </c>
      <c r="GF1" s="424" t="s">
        <v>2728</v>
      </c>
      <c r="GG1" s="424" t="s">
        <v>2729</v>
      </c>
      <c r="GH1" s="424" t="s">
        <v>2730</v>
      </c>
      <c r="GI1" s="424" t="s">
        <v>2731</v>
      </c>
      <c r="GJ1" s="424" t="s">
        <v>2732</v>
      </c>
      <c r="GK1" s="424" t="s">
        <v>2733</v>
      </c>
      <c r="GL1" s="424" t="s">
        <v>2734</v>
      </c>
      <c r="GM1" s="424" t="s">
        <v>2735</v>
      </c>
      <c r="GN1" s="436" t="s">
        <v>4520</v>
      </c>
      <c r="GO1" s="436" t="s">
        <v>4521</v>
      </c>
      <c r="GP1" s="437" t="s">
        <v>4522</v>
      </c>
      <c r="GQ1" s="436" t="s">
        <v>4523</v>
      </c>
      <c r="GR1" s="438" t="s">
        <v>35</v>
      </c>
      <c r="GS1" s="438" t="s">
        <v>36</v>
      </c>
      <c r="GT1" s="438" t="s">
        <v>37</v>
      </c>
      <c r="GU1" s="438" t="s">
        <v>38</v>
      </c>
      <c r="GV1" s="438" t="s">
        <v>40</v>
      </c>
      <c r="GW1" s="438" t="s">
        <v>39</v>
      </c>
      <c r="GX1" s="438" t="s">
        <v>41</v>
      </c>
      <c r="GY1" s="303" t="s">
        <v>42</v>
      </c>
      <c r="GZ1" s="303" t="s">
        <v>44</v>
      </c>
      <c r="HA1" s="303" t="s">
        <v>45</v>
      </c>
      <c r="HB1" s="303" t="s">
        <v>46</v>
      </c>
      <c r="HC1" s="303" t="s">
        <v>47</v>
      </c>
      <c r="HD1" s="303" t="s">
        <v>48</v>
      </c>
      <c r="HE1" s="303" t="s">
        <v>49</v>
      </c>
      <c r="HF1" s="303" t="s">
        <v>50</v>
      </c>
      <c r="HG1" s="303" t="s">
        <v>51</v>
      </c>
      <c r="HH1" s="303" t="s">
        <v>52</v>
      </c>
      <c r="HI1" s="303" t="s">
        <v>53</v>
      </c>
      <c r="HJ1" s="303" t="s">
        <v>54</v>
      </c>
      <c r="HK1" s="303" t="s">
        <v>269</v>
      </c>
      <c r="HL1" s="303" t="s">
        <v>270</v>
      </c>
      <c r="HM1" s="303" t="s">
        <v>62</v>
      </c>
      <c r="HN1" s="303" t="s">
        <v>55</v>
      </c>
      <c r="HO1" s="303" t="s">
        <v>56</v>
      </c>
      <c r="HP1" s="303" t="s">
        <v>63</v>
      </c>
      <c r="HQ1" s="303" t="s">
        <v>64</v>
      </c>
      <c r="HR1" s="303" t="s">
        <v>57</v>
      </c>
      <c r="HS1" s="303" t="s">
        <v>58</v>
      </c>
      <c r="HT1" s="303" t="s">
        <v>59</v>
      </c>
      <c r="HU1" s="439" t="s">
        <v>4524</v>
      </c>
      <c r="HV1" s="303" t="s">
        <v>60</v>
      </c>
      <c r="HW1" s="439" t="s">
        <v>4525</v>
      </c>
      <c r="HX1" s="440" t="s">
        <v>65</v>
      </c>
      <c r="HY1" s="440" t="s">
        <v>66</v>
      </c>
      <c r="HZ1" s="440" t="s">
        <v>67</v>
      </c>
      <c r="IA1" s="440" t="s">
        <v>68</v>
      </c>
      <c r="IB1" s="440" t="s">
        <v>69</v>
      </c>
      <c r="IC1" s="440" t="s">
        <v>70</v>
      </c>
      <c r="ID1" s="440" t="s">
        <v>73</v>
      </c>
      <c r="IE1" s="440" t="s">
        <v>71</v>
      </c>
      <c r="IF1" s="440" t="s">
        <v>72</v>
      </c>
      <c r="IG1" s="440" t="s">
        <v>74</v>
      </c>
      <c r="IH1" s="441" t="s">
        <v>4526</v>
      </c>
      <c r="II1" s="440" t="s">
        <v>454</v>
      </c>
      <c r="IJ1" s="440" t="s">
        <v>455</v>
      </c>
      <c r="IK1" s="287" t="s">
        <v>2033</v>
      </c>
      <c r="IL1" s="287" t="s">
        <v>2034</v>
      </c>
      <c r="IM1" s="287" t="s">
        <v>2035</v>
      </c>
      <c r="IN1" s="287" t="s">
        <v>2036</v>
      </c>
      <c r="IO1" s="284" t="s">
        <v>2037</v>
      </c>
      <c r="IP1" s="284" t="s">
        <v>2038</v>
      </c>
      <c r="IQ1" s="284" t="s">
        <v>2039</v>
      </c>
      <c r="IR1" s="284" t="s">
        <v>2040</v>
      </c>
      <c r="IS1" s="284" t="s">
        <v>2041</v>
      </c>
      <c r="IT1" s="307" t="s">
        <v>2042</v>
      </c>
      <c r="IU1" s="307" t="s">
        <v>2043</v>
      </c>
      <c r="IV1" s="307" t="s">
        <v>2044</v>
      </c>
      <c r="IW1" s="307" t="s">
        <v>2045</v>
      </c>
      <c r="IX1" s="307" t="s">
        <v>2046</v>
      </c>
      <c r="IY1" s="307" t="s">
        <v>2047</v>
      </c>
      <c r="IZ1" s="307" t="s">
        <v>2048</v>
      </c>
      <c r="JA1" s="307" t="s">
        <v>2049</v>
      </c>
      <c r="JB1" s="307" t="s">
        <v>2050</v>
      </c>
      <c r="JC1" s="307" t="s">
        <v>2051</v>
      </c>
      <c r="JD1" s="307" t="s">
        <v>2052</v>
      </c>
      <c r="JE1" s="307" t="s">
        <v>2053</v>
      </c>
      <c r="JF1" s="307" t="s">
        <v>2054</v>
      </c>
      <c r="JG1" s="307" t="s">
        <v>2055</v>
      </c>
      <c r="JH1" s="307" t="s">
        <v>2056</v>
      </c>
      <c r="JI1" s="307" t="s">
        <v>2057</v>
      </c>
      <c r="JJ1" s="307" t="s">
        <v>2058</v>
      </c>
      <c r="JK1" s="307" t="s">
        <v>2059</v>
      </c>
      <c r="JL1" s="307" t="s">
        <v>2060</v>
      </c>
      <c r="JM1" s="307" t="s">
        <v>2061</v>
      </c>
      <c r="JN1" s="307" t="s">
        <v>2062</v>
      </c>
      <c r="JO1" s="307" t="s">
        <v>2063</v>
      </c>
      <c r="JP1" s="307" t="s">
        <v>2064</v>
      </c>
      <c r="JQ1" s="307" t="s">
        <v>2065</v>
      </c>
      <c r="JR1" s="307" t="s">
        <v>2066</v>
      </c>
      <c r="JS1" s="307" t="s">
        <v>2066</v>
      </c>
      <c r="JT1" s="307" t="s">
        <v>2067</v>
      </c>
      <c r="JU1" s="285" t="s">
        <v>2068</v>
      </c>
      <c r="JV1" s="285" t="s">
        <v>2069</v>
      </c>
      <c r="JW1" s="285" t="s">
        <v>2070</v>
      </c>
      <c r="JX1" s="285" t="s">
        <v>2071</v>
      </c>
      <c r="JY1" s="285" t="s">
        <v>2072</v>
      </c>
      <c r="JZ1" s="285" t="s">
        <v>2073</v>
      </c>
      <c r="KA1" s="285" t="s">
        <v>2074</v>
      </c>
      <c r="KB1" s="410" t="s">
        <v>4813</v>
      </c>
      <c r="KC1" s="285" t="s">
        <v>2075</v>
      </c>
      <c r="KD1" s="285" t="s">
        <v>2076</v>
      </c>
      <c r="KE1" s="286" t="s">
        <v>2077</v>
      </c>
      <c r="KF1" s="286" t="s">
        <v>2078</v>
      </c>
      <c r="KG1" s="286" t="s">
        <v>2079</v>
      </c>
      <c r="KH1" s="286" t="s">
        <v>2080</v>
      </c>
      <c r="KI1" s="286" t="s">
        <v>2081</v>
      </c>
      <c r="KJ1" s="286" t="s">
        <v>2082</v>
      </c>
      <c r="KK1" s="425" t="s">
        <v>4814</v>
      </c>
      <c r="KL1" s="422" t="s">
        <v>4815</v>
      </c>
      <c r="KM1" s="419" t="s">
        <v>4816</v>
      </c>
      <c r="KN1" s="287" t="s">
        <v>2083</v>
      </c>
      <c r="KO1" s="284" t="s">
        <v>2084</v>
      </c>
      <c r="KP1" s="284" t="s">
        <v>2085</v>
      </c>
      <c r="KQ1" s="284" t="s">
        <v>2086</v>
      </c>
      <c r="KR1" s="284" t="s">
        <v>2087</v>
      </c>
      <c r="KS1" s="284" t="s">
        <v>2088</v>
      </c>
      <c r="KT1" s="284" t="s">
        <v>2089</v>
      </c>
      <c r="KU1" s="284" t="s">
        <v>2090</v>
      </c>
      <c r="KV1" s="284" t="s">
        <v>2091</v>
      </c>
      <c r="KW1" s="284" t="s">
        <v>2092</v>
      </c>
      <c r="KX1" s="288" t="s">
        <v>2093</v>
      </c>
      <c r="KY1" s="288" t="s">
        <v>2094</v>
      </c>
      <c r="KZ1" s="288" t="s">
        <v>2095</v>
      </c>
      <c r="LA1" s="288" t="s">
        <v>2096</v>
      </c>
      <c r="LB1" s="288" t="s">
        <v>2097</v>
      </c>
      <c r="LC1" s="288" t="s">
        <v>2098</v>
      </c>
      <c r="LD1" s="288" t="s">
        <v>2098</v>
      </c>
      <c r="LE1" s="288" t="s">
        <v>2099</v>
      </c>
      <c r="LF1" s="285" t="s">
        <v>2100</v>
      </c>
      <c r="LG1" s="285" t="s">
        <v>2101</v>
      </c>
      <c r="LH1" s="285" t="s">
        <v>2102</v>
      </c>
      <c r="LI1" s="285" t="s">
        <v>2103</v>
      </c>
      <c r="LJ1" s="285" t="s">
        <v>2104</v>
      </c>
      <c r="LK1" s="285" t="s">
        <v>2105</v>
      </c>
      <c r="LL1" s="285" t="s">
        <v>2106</v>
      </c>
      <c r="LM1" s="411" t="s">
        <v>4817</v>
      </c>
      <c r="LN1" s="285" t="s">
        <v>2107</v>
      </c>
      <c r="LO1" s="308" t="s">
        <v>2448</v>
      </c>
      <c r="LP1" s="286" t="s">
        <v>2108</v>
      </c>
      <c r="LQ1" s="286" t="s">
        <v>2109</v>
      </c>
      <c r="LR1" s="286" t="s">
        <v>2110</v>
      </c>
      <c r="LS1" s="286" t="s">
        <v>2111</v>
      </c>
      <c r="LT1" s="286" t="s">
        <v>2112</v>
      </c>
      <c r="LU1" s="286" t="s">
        <v>2113</v>
      </c>
      <c r="LV1" s="425" t="s">
        <v>4818</v>
      </c>
      <c r="LW1" s="426" t="s">
        <v>4819</v>
      </c>
      <c r="LX1" s="419" t="s">
        <v>4820</v>
      </c>
      <c r="LY1" s="305" t="s">
        <v>2114</v>
      </c>
      <c r="LZ1" s="284" t="s">
        <v>2115</v>
      </c>
      <c r="MA1" s="284" t="s">
        <v>2116</v>
      </c>
      <c r="MB1" s="284" t="s">
        <v>2117</v>
      </c>
      <c r="MC1" s="284" t="s">
        <v>2118</v>
      </c>
      <c r="MD1" s="284" t="s">
        <v>2119</v>
      </c>
      <c r="ME1" s="284" t="s">
        <v>2120</v>
      </c>
      <c r="MF1" s="284" t="s">
        <v>2121</v>
      </c>
      <c r="MG1" s="284" t="s">
        <v>2122</v>
      </c>
      <c r="MH1" s="284" t="s">
        <v>2123</v>
      </c>
      <c r="MI1" s="307" t="s">
        <v>2124</v>
      </c>
      <c r="MJ1" s="307" t="s">
        <v>2125</v>
      </c>
      <c r="MK1" s="307" t="s">
        <v>2126</v>
      </c>
      <c r="ML1" s="307" t="s">
        <v>2127</v>
      </c>
      <c r="MM1" s="307" t="s">
        <v>2128</v>
      </c>
      <c r="MN1" s="307" t="s">
        <v>2129</v>
      </c>
      <c r="MO1" s="307" t="s">
        <v>2130</v>
      </c>
      <c r="MP1" s="307" t="s">
        <v>2131</v>
      </c>
      <c r="MQ1" s="307" t="s">
        <v>2132</v>
      </c>
      <c r="MR1" s="307" t="s">
        <v>2133</v>
      </c>
      <c r="MS1" s="307" t="s">
        <v>2134</v>
      </c>
      <c r="MT1" s="307" t="s">
        <v>2135</v>
      </c>
      <c r="MU1" s="307" t="s">
        <v>2136</v>
      </c>
      <c r="MV1" s="307" t="s">
        <v>2137</v>
      </c>
      <c r="MW1" s="307" t="s">
        <v>2138</v>
      </c>
      <c r="MX1" s="307" t="s">
        <v>2139</v>
      </c>
      <c r="MY1" s="307" t="s">
        <v>2140</v>
      </c>
      <c r="MZ1" s="307" t="s">
        <v>2141</v>
      </c>
      <c r="NA1" s="307" t="s">
        <v>2142</v>
      </c>
      <c r="NB1" s="307" t="s">
        <v>2143</v>
      </c>
      <c r="NC1" s="307" t="s">
        <v>2144</v>
      </c>
      <c r="ND1" s="307" t="s">
        <v>2145</v>
      </c>
      <c r="NE1" s="307" t="s">
        <v>2146</v>
      </c>
      <c r="NF1" s="307" t="s">
        <v>2147</v>
      </c>
      <c r="NG1" s="307" t="s">
        <v>2148</v>
      </c>
      <c r="NH1" s="307" t="s">
        <v>2148</v>
      </c>
      <c r="NI1" s="307" t="s">
        <v>2149</v>
      </c>
      <c r="NJ1" s="289" t="s">
        <v>2150</v>
      </c>
      <c r="NK1" s="289" t="s">
        <v>2151</v>
      </c>
      <c r="NL1" s="289" t="s">
        <v>2152</v>
      </c>
      <c r="NM1" s="289" t="s">
        <v>2153</v>
      </c>
      <c r="NN1" s="289" t="s">
        <v>2154</v>
      </c>
      <c r="NO1" s="289" t="s">
        <v>2155</v>
      </c>
      <c r="NP1" s="289" t="s">
        <v>2156</v>
      </c>
      <c r="NQ1" s="289" t="s">
        <v>2157</v>
      </c>
      <c r="NR1" s="286" t="s">
        <v>2158</v>
      </c>
      <c r="NS1" s="286" t="s">
        <v>2159</v>
      </c>
      <c r="NT1" s="286" t="s">
        <v>2160</v>
      </c>
      <c r="NU1" s="286" t="s">
        <v>2161</v>
      </c>
      <c r="NV1" s="286" t="s">
        <v>2162</v>
      </c>
      <c r="NW1" s="286" t="s">
        <v>2163</v>
      </c>
      <c r="NX1" s="287" t="s">
        <v>2032</v>
      </c>
    </row>
    <row r="2" spans="1:388">
      <c r="A2">
        <v>1</v>
      </c>
      <c r="B2" t="s">
        <v>468</v>
      </c>
      <c r="C2" s="5" t="s">
        <v>442</v>
      </c>
      <c r="D2" s="5" t="s">
        <v>77</v>
      </c>
      <c r="E2" s="5" t="s">
        <v>78</v>
      </c>
      <c r="F2" s="5" t="s">
        <v>2182</v>
      </c>
      <c r="G2" s="5" t="s">
        <v>89</v>
      </c>
      <c r="H2" s="5"/>
      <c r="I2" s="5" t="s">
        <v>94</v>
      </c>
      <c r="J2" s="5">
        <v>21591</v>
      </c>
      <c r="K2" s="5" t="s">
        <v>97</v>
      </c>
      <c r="L2" s="5"/>
      <c r="M2" s="5"/>
      <c r="N2" s="5"/>
      <c r="O2" s="5"/>
      <c r="P2" s="5"/>
      <c r="Q2" s="5" t="s">
        <v>1777</v>
      </c>
      <c r="R2" s="5" t="s">
        <v>1831</v>
      </c>
      <c r="S2" s="5"/>
      <c r="T2" s="5"/>
      <c r="U2" s="5"/>
      <c r="V2" s="29" t="s">
        <v>79</v>
      </c>
      <c r="W2" s="5" t="s">
        <v>230</v>
      </c>
      <c r="X2" s="291" t="s">
        <v>2183</v>
      </c>
      <c r="Y2" s="290" t="s">
        <v>2176</v>
      </c>
      <c r="Z2" t="s">
        <v>2177</v>
      </c>
      <c r="AA2" s="51" t="s">
        <v>80</v>
      </c>
      <c r="AB2" s="339">
        <v>200</v>
      </c>
      <c r="AC2" s="11">
        <f>AB2-5</f>
        <v>195</v>
      </c>
      <c r="AD2" s="13" t="s">
        <v>24</v>
      </c>
      <c r="AE2" s="7">
        <f t="shared" ref="AE2:AE3" si="0">BA2</f>
        <v>3.4000000000000004</v>
      </c>
      <c r="AF2" s="7"/>
      <c r="AG2" s="7">
        <f t="shared" ref="AG2:AG3" si="1">EU2</f>
        <v>0.54824561403508776</v>
      </c>
      <c r="AH2" s="7">
        <f t="shared" ref="AH2:AH3" si="2">DM2</f>
        <v>0</v>
      </c>
      <c r="AI2" s="7">
        <f t="shared" ref="AI2:AI3" si="3">DO2</f>
        <v>0</v>
      </c>
      <c r="AJ2" s="7">
        <f t="shared" ref="AJ2:AJ3" si="4">GW2</f>
        <v>1.0964912280701756E-2</v>
      </c>
      <c r="AK2" s="7">
        <f t="shared" ref="AK2:AK3" si="5">GU2</f>
        <v>4.9353070175438607E-2</v>
      </c>
      <c r="AL2" s="7">
        <f t="shared" ref="AL2:AL3" si="6">GS2</f>
        <v>0.4343070175438597</v>
      </c>
      <c r="AM2" s="7">
        <f t="shared" ref="AM2:AM3" si="7">HV2</f>
        <v>1.4102564102564103E-2</v>
      </c>
      <c r="AN2" s="7">
        <f t="shared" ref="AN2:AN3" si="8">IG2</f>
        <v>1.5432098765432098E-2</v>
      </c>
      <c r="AO2" s="6">
        <v>0</v>
      </c>
      <c r="AP2" s="6"/>
      <c r="AQ2" s="7">
        <f t="shared" ref="AQ2:AQ3" si="9">SUM(AE2:AO2)</f>
        <v>4.4724052769030846</v>
      </c>
      <c r="AR2" s="7"/>
      <c r="AS2" s="7"/>
      <c r="AT2" s="6">
        <v>0</v>
      </c>
      <c r="AU2" s="6"/>
      <c r="AV2" s="7">
        <f t="shared" ref="AV2:AV3" si="10">AQ2+AT2</f>
        <v>4.4724052769030846</v>
      </c>
      <c r="AW2">
        <v>1.7000000000000001E-2</v>
      </c>
      <c r="AX2">
        <v>1.0999999999999999E-2</v>
      </c>
      <c r="AY2" s="8">
        <v>0.9</v>
      </c>
      <c r="AZ2">
        <f t="shared" ref="AZ2:AZ3" si="11">(AW2-AX2)*AY2</f>
        <v>5.400000000000002E-3</v>
      </c>
      <c r="BA2" s="12">
        <f>AW2*AB2</f>
        <v>3.4000000000000004</v>
      </c>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E2">
        <v>0</v>
      </c>
      <c r="CF2">
        <v>0</v>
      </c>
      <c r="CG2">
        <v>0</v>
      </c>
      <c r="CH2">
        <f>CF2*CG2</f>
        <v>0</v>
      </c>
      <c r="DM2">
        <f t="shared" ref="DM2:DM3" si="12">CH2+CM2+CR2+CW2+DB2+DG2+DG2+DL2</f>
        <v>0</v>
      </c>
      <c r="DN2" s="9">
        <v>1.2500000000000001E-2</v>
      </c>
      <c r="DO2" s="4">
        <f t="shared" ref="DO2:DO3" si="13">DN2*DM2</f>
        <v>0</v>
      </c>
      <c r="DP2" s="4">
        <f t="shared" ref="DP2:DP3" si="14">DM2+DO2</f>
        <v>0</v>
      </c>
      <c r="DQ2" s="4"/>
      <c r="DR2" s="4"/>
      <c r="DS2" s="4"/>
      <c r="DT2" s="4"/>
      <c r="DU2" s="4"/>
      <c r="DV2" s="4"/>
      <c r="DW2" s="4"/>
      <c r="DX2" s="4"/>
      <c r="DY2" s="4"/>
      <c r="DZ2" s="4"/>
      <c r="EA2" s="4"/>
      <c r="EB2" s="4"/>
      <c r="EC2" s="4"/>
      <c r="ED2" s="4"/>
      <c r="EE2" s="4"/>
      <c r="EF2">
        <v>100</v>
      </c>
      <c r="EG2">
        <f>125*8</f>
        <v>1000</v>
      </c>
      <c r="EH2">
        <v>8</v>
      </c>
      <c r="EI2" s="8">
        <v>0.95</v>
      </c>
      <c r="EJ2">
        <v>4</v>
      </c>
      <c r="EK2">
        <v>60</v>
      </c>
      <c r="EL2" s="10">
        <f t="shared" ref="EL2:EL3" si="15">ROUND(3600/EK2*EH2*EJ2*EI2,0)</f>
        <v>1824</v>
      </c>
      <c r="EM2" s="4"/>
      <c r="EN2" s="4"/>
      <c r="EO2" s="4"/>
      <c r="EP2" s="4"/>
      <c r="EQ2" s="4"/>
      <c r="ER2" s="4"/>
      <c r="ES2" s="4"/>
      <c r="ET2" s="4"/>
      <c r="EU2" s="4">
        <f t="shared" ref="EU2:EU3" si="16">EG2/EL2</f>
        <v>0.54824561403508776</v>
      </c>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8">
        <v>0.11</v>
      </c>
      <c r="GS2" s="4">
        <f t="shared" ref="GS2:GS3" si="17">GR2*(BA2+EU2)</f>
        <v>0.4343070175438597</v>
      </c>
      <c r="GT2" s="9">
        <v>1.2500000000000001E-2</v>
      </c>
      <c r="GU2" s="4">
        <f t="shared" ref="GU2:GU3" si="18">GT2*(BA2+EU2)</f>
        <v>4.9353070175438607E-2</v>
      </c>
      <c r="GV2" s="8">
        <v>0.02</v>
      </c>
      <c r="GW2" s="4">
        <f t="shared" ref="GW2:GW3" si="19">GV2*EU2</f>
        <v>1.0964912280701756E-2</v>
      </c>
      <c r="GX2" s="4">
        <f t="shared" ref="GX2:GX3" si="20">GS2+GU2+GW2</f>
        <v>0.49462500000000004</v>
      </c>
      <c r="GY2" s="13" t="s">
        <v>43</v>
      </c>
      <c r="GZ2" s="13" t="s">
        <v>87</v>
      </c>
      <c r="HA2" s="4">
        <v>650</v>
      </c>
      <c r="HB2" s="4">
        <v>450</v>
      </c>
      <c r="HC2">
        <v>320</v>
      </c>
      <c r="HD2">
        <v>600</v>
      </c>
      <c r="HE2">
        <v>650</v>
      </c>
      <c r="HF2" s="4">
        <f t="shared" ref="HF2:HF3" si="21">ROUNDUP(HE2/HD2,0)</f>
        <v>2</v>
      </c>
      <c r="HG2">
        <v>5</v>
      </c>
      <c r="HH2" s="4">
        <f t="shared" ref="HH2:HH3" si="22">HF2*HG2</f>
        <v>10</v>
      </c>
      <c r="HI2">
        <v>550</v>
      </c>
      <c r="HJ2" s="4">
        <f t="shared" ref="HJ2:HJ3" si="23">HH2*HI2</f>
        <v>5500</v>
      </c>
      <c r="HK2" s="4"/>
      <c r="HL2" s="4"/>
      <c r="HM2" s="4">
        <v>2</v>
      </c>
      <c r="HN2" s="10">
        <f>HM2*12*25*HE2</f>
        <v>390000</v>
      </c>
      <c r="HO2" s="4">
        <f t="shared" ref="HO2:HO3" si="24">IF(GY2="carton box",HI2/HD2,HJ2/HN2)</f>
        <v>1.4102564102564103E-2</v>
      </c>
      <c r="HP2" s="4">
        <v>160</v>
      </c>
      <c r="HQ2">
        <v>0</v>
      </c>
      <c r="HR2" s="4">
        <f>HP2*HQ2</f>
        <v>0</v>
      </c>
      <c r="HS2">
        <v>0</v>
      </c>
      <c r="HT2" s="4">
        <v>0</v>
      </c>
      <c r="HU2" s="4"/>
      <c r="HV2" s="4">
        <f t="shared" ref="HV2:HV3" si="25">HO2+HT2</f>
        <v>1.4102564102564103E-2</v>
      </c>
      <c r="HW2" s="4"/>
      <c r="HX2" s="4">
        <v>2917</v>
      </c>
      <c r="HY2" s="4">
        <v>1689</v>
      </c>
      <c r="HZ2" s="4">
        <v>1842</v>
      </c>
      <c r="IA2" s="4">
        <f t="shared" ref="IA2:IC3" si="26">ROUNDDOWN(HX2/HA2,0)</f>
        <v>4</v>
      </c>
      <c r="IB2" s="4">
        <f t="shared" si="26"/>
        <v>3</v>
      </c>
      <c r="IC2" s="4">
        <f t="shared" si="26"/>
        <v>5</v>
      </c>
      <c r="ID2" s="8">
        <v>0.9</v>
      </c>
      <c r="IE2" s="4">
        <f t="shared" ref="IE2:IE3" si="27">ROUND(PRODUCT(IA2:ID2),0)</f>
        <v>54</v>
      </c>
      <c r="IF2" s="4">
        <v>500</v>
      </c>
      <c r="IG2" s="4">
        <f t="shared" ref="IG2:IG3" si="28">IF2/(IE2*HD2)</f>
        <v>1.5432098765432098E-2</v>
      </c>
      <c r="IH2" s="4"/>
    </row>
    <row r="3" spans="1:388">
      <c r="A3">
        <v>2</v>
      </c>
      <c r="B3" t="s">
        <v>468</v>
      </c>
      <c r="C3" t="s">
        <v>523</v>
      </c>
      <c r="D3" s="5" t="s">
        <v>83</v>
      </c>
      <c r="E3" s="5" t="s">
        <v>84</v>
      </c>
      <c r="F3" s="5" t="s">
        <v>2182</v>
      </c>
      <c r="G3" s="5" t="s">
        <v>89</v>
      </c>
      <c r="H3" s="5"/>
      <c r="I3" s="5" t="s">
        <v>94</v>
      </c>
      <c r="J3" s="5">
        <v>21591</v>
      </c>
      <c r="K3" s="5" t="s">
        <v>97</v>
      </c>
      <c r="L3" s="5"/>
      <c r="M3" s="5"/>
      <c r="N3" s="5"/>
      <c r="O3" s="5"/>
      <c r="P3" s="5"/>
      <c r="Q3" s="5" t="s">
        <v>1777</v>
      </c>
      <c r="R3" s="5" t="s">
        <v>1831</v>
      </c>
      <c r="S3" s="5"/>
      <c r="T3" s="5"/>
      <c r="U3" s="5"/>
      <c r="V3" s="29" t="s">
        <v>79</v>
      </c>
      <c r="W3" s="5"/>
      <c r="X3" s="291" t="s">
        <v>2178</v>
      </c>
      <c r="Y3" s="290" t="s">
        <v>2179</v>
      </c>
      <c r="Z3" t="s">
        <v>2180</v>
      </c>
      <c r="AA3" s="51" t="s">
        <v>85</v>
      </c>
      <c r="AB3" s="339">
        <v>127.69</v>
      </c>
      <c r="AC3" s="11">
        <f>AB3-5</f>
        <v>122.69</v>
      </c>
      <c r="AD3" s="13" t="s">
        <v>24</v>
      </c>
      <c r="AE3" s="7">
        <f t="shared" si="0"/>
        <v>12.51362</v>
      </c>
      <c r="AF3" s="7"/>
      <c r="AG3" s="7">
        <f t="shared" si="1"/>
        <v>2.3391812865497075</v>
      </c>
      <c r="AH3" s="7">
        <f t="shared" si="2"/>
        <v>5.6999999999999993</v>
      </c>
      <c r="AI3" s="7">
        <f t="shared" si="3"/>
        <v>7.1249999999999994E-2</v>
      </c>
      <c r="AJ3" s="7">
        <f t="shared" si="4"/>
        <v>4.6783625730994149E-2</v>
      </c>
      <c r="AK3" s="7">
        <f t="shared" si="5"/>
        <v>0.18566001608187133</v>
      </c>
      <c r="AL3" s="7">
        <f t="shared" si="6"/>
        <v>1.6338081415204677</v>
      </c>
      <c r="AM3" s="7">
        <f t="shared" si="7"/>
        <v>7.7564102564102566E-2</v>
      </c>
      <c r="AN3" s="7">
        <f t="shared" si="8"/>
        <v>0.15432098765432098</v>
      </c>
      <c r="AO3" s="6">
        <v>0</v>
      </c>
      <c r="AP3" s="6"/>
      <c r="AQ3" s="7">
        <f t="shared" si="9"/>
        <v>22.722188160101464</v>
      </c>
      <c r="AR3" s="7"/>
      <c r="AS3" s="7"/>
      <c r="AT3" s="6">
        <v>0</v>
      </c>
      <c r="AU3" s="6"/>
      <c r="AV3" s="7">
        <f t="shared" si="10"/>
        <v>22.722188160101464</v>
      </c>
      <c r="AW3">
        <v>9.8000000000000004E-2</v>
      </c>
      <c r="AX3">
        <v>9.8000000000000004E-2</v>
      </c>
      <c r="AY3" s="8">
        <v>0.9</v>
      </c>
      <c r="AZ3">
        <f t="shared" si="11"/>
        <v>0</v>
      </c>
      <c r="BA3" s="4">
        <f t="shared" ref="BA3" si="29">AW3*AB3-AZ3*AC3</f>
        <v>12.51362</v>
      </c>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t="s">
        <v>86</v>
      </c>
      <c r="CE3">
        <v>0</v>
      </c>
      <c r="CF3">
        <v>3</v>
      </c>
      <c r="CG3">
        <v>1.9</v>
      </c>
      <c r="CH3">
        <f t="shared" ref="CH3" si="30">CF3*CG3</f>
        <v>5.6999999999999993</v>
      </c>
      <c r="DM3">
        <f t="shared" si="12"/>
        <v>5.6999999999999993</v>
      </c>
      <c r="DN3" s="9">
        <v>1.2500000000000001E-2</v>
      </c>
      <c r="DO3" s="4">
        <f t="shared" si="13"/>
        <v>7.1249999999999994E-2</v>
      </c>
      <c r="DP3" s="4">
        <f t="shared" si="14"/>
        <v>5.7712499999999993</v>
      </c>
      <c r="DQ3" s="4"/>
      <c r="DR3" s="4"/>
      <c r="DS3" s="4"/>
      <c r="DT3" s="4"/>
      <c r="DU3" s="4"/>
      <c r="DV3" s="4"/>
      <c r="DW3" s="4"/>
      <c r="DX3" s="4"/>
      <c r="DY3" s="4"/>
      <c r="DZ3" s="4"/>
      <c r="EA3" s="4"/>
      <c r="EB3" s="4"/>
      <c r="EC3" s="4"/>
      <c r="ED3" s="4"/>
      <c r="EE3" s="4"/>
      <c r="EF3">
        <v>160</v>
      </c>
      <c r="EG3">
        <v>1600</v>
      </c>
      <c r="EH3">
        <v>8</v>
      </c>
      <c r="EI3" s="8">
        <v>0.95</v>
      </c>
      <c r="EJ3">
        <v>2</v>
      </c>
      <c r="EK3">
        <v>80</v>
      </c>
      <c r="EL3" s="10">
        <f t="shared" si="15"/>
        <v>684</v>
      </c>
      <c r="EM3" s="4"/>
      <c r="EN3" s="4"/>
      <c r="EO3" s="4"/>
      <c r="EP3" s="4"/>
      <c r="EQ3" s="4"/>
      <c r="ER3" s="4"/>
      <c r="ES3" s="4"/>
      <c r="ET3" s="4"/>
      <c r="EU3" s="4">
        <f t="shared" si="16"/>
        <v>2.3391812865497075</v>
      </c>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8">
        <v>0.11</v>
      </c>
      <c r="GS3" s="4">
        <f t="shared" si="17"/>
        <v>1.6338081415204677</v>
      </c>
      <c r="GT3" s="9">
        <v>1.2500000000000001E-2</v>
      </c>
      <c r="GU3" s="4">
        <f t="shared" si="18"/>
        <v>0.18566001608187133</v>
      </c>
      <c r="GV3" s="8">
        <v>0.02</v>
      </c>
      <c r="GW3" s="4">
        <f t="shared" si="19"/>
        <v>4.6783625730994149E-2</v>
      </c>
      <c r="GX3" s="4">
        <f t="shared" si="20"/>
        <v>1.8662517833333332</v>
      </c>
      <c r="GY3" s="13" t="s">
        <v>43</v>
      </c>
      <c r="GZ3" s="13" t="s">
        <v>87</v>
      </c>
      <c r="HA3" s="4">
        <v>650</v>
      </c>
      <c r="HB3" s="4">
        <v>450</v>
      </c>
      <c r="HC3">
        <v>320</v>
      </c>
      <c r="HD3">
        <v>60</v>
      </c>
      <c r="HE3">
        <v>650</v>
      </c>
      <c r="HF3" s="4">
        <f t="shared" si="21"/>
        <v>11</v>
      </c>
      <c r="HG3">
        <v>5</v>
      </c>
      <c r="HH3" s="4">
        <f t="shared" si="22"/>
        <v>55</v>
      </c>
      <c r="HI3">
        <v>550</v>
      </c>
      <c r="HJ3" s="4">
        <f t="shared" si="23"/>
        <v>30250</v>
      </c>
      <c r="HK3" s="4"/>
      <c r="HL3" s="4"/>
      <c r="HM3" s="4">
        <v>2</v>
      </c>
      <c r="HN3" s="10">
        <f>HM3*12*25*HE3</f>
        <v>390000</v>
      </c>
      <c r="HO3" s="4">
        <f t="shared" si="24"/>
        <v>7.7564102564102566E-2</v>
      </c>
      <c r="HP3" s="4">
        <v>160</v>
      </c>
      <c r="HQ3">
        <v>0</v>
      </c>
      <c r="HR3" s="4">
        <v>0</v>
      </c>
      <c r="HS3" s="4">
        <v>0</v>
      </c>
      <c r="HT3" s="4">
        <v>0</v>
      </c>
      <c r="HU3" s="4"/>
      <c r="HV3" s="4">
        <f t="shared" si="25"/>
        <v>7.7564102564102566E-2</v>
      </c>
      <c r="HW3" s="4"/>
      <c r="HX3" s="4">
        <v>2917</v>
      </c>
      <c r="HY3" s="4">
        <v>1689</v>
      </c>
      <c r="HZ3" s="4">
        <v>1842</v>
      </c>
      <c r="IA3" s="4">
        <f t="shared" si="26"/>
        <v>4</v>
      </c>
      <c r="IB3" s="4">
        <f t="shared" si="26"/>
        <v>3</v>
      </c>
      <c r="IC3" s="4">
        <f t="shared" si="26"/>
        <v>5</v>
      </c>
      <c r="ID3" s="8">
        <v>0.9</v>
      </c>
      <c r="IE3" s="4">
        <f t="shared" si="27"/>
        <v>54</v>
      </c>
      <c r="IF3" s="4">
        <v>500</v>
      </c>
      <c r="IG3" s="4">
        <f t="shared" si="28"/>
        <v>0.15432098765432098</v>
      </c>
      <c r="IH3" s="4"/>
    </row>
    <row r="4" spans="1:388">
      <c r="A4">
        <v>158</v>
      </c>
      <c r="B4" t="s">
        <v>468</v>
      </c>
      <c r="C4" t="s">
        <v>1876</v>
      </c>
      <c r="D4" s="28" t="s">
        <v>352</v>
      </c>
      <c r="E4" s="27" t="s">
        <v>353</v>
      </c>
      <c r="F4" s="27" t="s">
        <v>2182</v>
      </c>
      <c r="G4" t="s">
        <v>90</v>
      </c>
      <c r="H4" t="s">
        <v>2217</v>
      </c>
      <c r="I4" s="27" t="s">
        <v>121</v>
      </c>
      <c r="J4" s="28">
        <v>21819</v>
      </c>
      <c r="K4" s="27" t="s">
        <v>408</v>
      </c>
      <c r="L4" s="28" t="s">
        <v>487</v>
      </c>
      <c r="M4" s="28" t="s">
        <v>121</v>
      </c>
      <c r="N4" s="28"/>
      <c r="O4" s="28" t="s">
        <v>1193</v>
      </c>
      <c r="P4" s="331">
        <v>45149</v>
      </c>
      <c r="Q4" s="28" t="s">
        <v>1035</v>
      </c>
      <c r="R4" s="28" t="s">
        <v>1877</v>
      </c>
      <c r="S4" s="27"/>
      <c r="T4" s="27"/>
      <c r="U4" s="27"/>
      <c r="V4" s="29" t="s">
        <v>79</v>
      </c>
      <c r="W4"/>
      <c r="X4"/>
      <c r="Y4"/>
      <c r="Z4"/>
      <c r="AA4" s="21"/>
    </row>
    <row r="5" spans="1:388">
      <c r="A5">
        <v>4</v>
      </c>
      <c r="B5" t="s">
        <v>468</v>
      </c>
      <c r="C5" t="s">
        <v>1832</v>
      </c>
      <c r="D5" s="5" t="s">
        <v>98</v>
      </c>
      <c r="E5" s="5" t="s">
        <v>99</v>
      </c>
      <c r="F5" s="5" t="s">
        <v>2182</v>
      </c>
      <c r="G5" s="5" t="s">
        <v>101</v>
      </c>
      <c r="H5" s="5"/>
      <c r="I5" s="5" t="s">
        <v>94</v>
      </c>
      <c r="J5" s="5">
        <v>21591</v>
      </c>
      <c r="K5" s="5" t="s">
        <v>97</v>
      </c>
      <c r="L5" s="5"/>
      <c r="M5" s="5"/>
      <c r="N5" s="5"/>
      <c r="O5" s="5"/>
      <c r="P5" s="5"/>
      <c r="Q5" s="5" t="s">
        <v>1777</v>
      </c>
      <c r="R5" s="5" t="s">
        <v>1831</v>
      </c>
      <c r="S5" s="5"/>
      <c r="T5" s="5"/>
      <c r="U5" s="5"/>
      <c r="V5" s="29" t="s">
        <v>79</v>
      </c>
      <c r="W5" s="5"/>
      <c r="X5" s="5"/>
      <c r="Y5" s="5"/>
      <c r="Z5" s="5"/>
      <c r="AA5" s="84" t="s">
        <v>100</v>
      </c>
      <c r="AB5" s="340">
        <v>520</v>
      </c>
      <c r="AC5" s="1">
        <v>20</v>
      </c>
      <c r="AD5" s="48"/>
      <c r="AE5" s="7">
        <f>BA5</f>
        <v>6.1800000000000006</v>
      </c>
      <c r="AF5" s="7"/>
      <c r="AG5" s="7">
        <f>EU5</f>
        <v>0.50251256281407031</v>
      </c>
      <c r="AH5" s="7">
        <f>DM5</f>
        <v>0</v>
      </c>
      <c r="AI5" s="7">
        <f>DO5</f>
        <v>0</v>
      </c>
      <c r="AJ5" s="7">
        <f>GW5</f>
        <v>1.0050251256281407E-2</v>
      </c>
      <c r="AK5" s="7">
        <f>GU5</f>
        <v>8.3531407035175892E-2</v>
      </c>
      <c r="AL5" s="7">
        <f>GS5</f>
        <v>0.73507638190954783</v>
      </c>
      <c r="AM5" s="7">
        <f>HV5</f>
        <v>1.4102564102564103E-2</v>
      </c>
      <c r="AN5" s="7">
        <f>IG5</f>
        <v>1.5432098765432098E-2</v>
      </c>
      <c r="AO5" s="6">
        <v>0</v>
      </c>
      <c r="AP5" s="6"/>
      <c r="AQ5" s="7">
        <f>SUM(AE5:AO5)</f>
        <v>7.540705265883072</v>
      </c>
      <c r="AR5" s="7"/>
      <c r="AS5" s="7"/>
      <c r="AT5" s="6">
        <v>0</v>
      </c>
      <c r="AU5" s="6"/>
      <c r="AV5" s="7">
        <f>AQ5+AT5</f>
        <v>7.540705265883072</v>
      </c>
      <c r="AW5">
        <v>1.2E-2</v>
      </c>
      <c r="AX5">
        <v>8.9999999999999993E-3</v>
      </c>
      <c r="AY5" s="8">
        <v>1</v>
      </c>
      <c r="AZ5">
        <f>(AW5-AX5)*AY5</f>
        <v>3.0000000000000009E-3</v>
      </c>
      <c r="BA5" s="4">
        <f>AW5*AB5-AZ5*AC5</f>
        <v>6.1800000000000006</v>
      </c>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E5">
        <v>0</v>
      </c>
      <c r="CF5">
        <v>0</v>
      </c>
      <c r="CG5">
        <v>0</v>
      </c>
      <c r="CH5">
        <f>CF5*CG5</f>
        <v>0</v>
      </c>
      <c r="DM5">
        <f>CH5+CM5+CR5+CW5+DB5+DG5+DG5+DL5</f>
        <v>0</v>
      </c>
      <c r="DN5" s="9">
        <v>1.2500000000000001E-2</v>
      </c>
      <c r="DO5" s="4">
        <f>DN5*DM5</f>
        <v>0</v>
      </c>
      <c r="DP5" s="4">
        <f>DM5+DO5</f>
        <v>0</v>
      </c>
      <c r="DQ5" s="4"/>
      <c r="DR5" s="4"/>
      <c r="DS5" s="4"/>
      <c r="DT5" s="4"/>
      <c r="DU5" s="4"/>
      <c r="DV5" s="4"/>
      <c r="DW5" s="4"/>
      <c r="DX5" s="4"/>
      <c r="DY5" s="4"/>
      <c r="DZ5" s="4"/>
      <c r="EA5" s="4"/>
      <c r="EB5" s="4"/>
      <c r="EC5" s="4"/>
      <c r="ED5" s="4"/>
      <c r="EE5" s="4"/>
      <c r="EF5">
        <v>100</v>
      </c>
      <c r="EG5">
        <v>1000</v>
      </c>
      <c r="EH5">
        <v>8</v>
      </c>
      <c r="EI5" s="8">
        <v>0.95</v>
      </c>
      <c r="EJ5">
        <v>4</v>
      </c>
      <c r="EK5">
        <v>55</v>
      </c>
      <c r="EL5" s="10">
        <f>ROUND(3600/EK5*EH5*EJ5*EI5,0)</f>
        <v>1990</v>
      </c>
      <c r="EM5" s="4"/>
      <c r="EN5" s="4"/>
      <c r="EO5" s="4"/>
      <c r="EP5" s="4"/>
      <c r="EQ5" s="4"/>
      <c r="ER5" s="4"/>
      <c r="ES5" s="4"/>
      <c r="ET5" s="4"/>
      <c r="EU5" s="4">
        <f>EG5/EL5</f>
        <v>0.50251256281407031</v>
      </c>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8">
        <v>0.11</v>
      </c>
      <c r="GS5" s="4">
        <f>GR5*(BA5+EU5)</f>
        <v>0.73507638190954783</v>
      </c>
      <c r="GT5" s="9">
        <v>1.2500000000000001E-2</v>
      </c>
      <c r="GU5" s="4">
        <f>GT5*(BA5+EU5)</f>
        <v>8.3531407035175892E-2</v>
      </c>
      <c r="GV5" s="8">
        <v>0.02</v>
      </c>
      <c r="GW5" s="4">
        <f>GV5*EU5</f>
        <v>1.0050251256281407E-2</v>
      </c>
      <c r="GX5" s="4">
        <f>GS5+GU5+GW5</f>
        <v>0.8286580402010052</v>
      </c>
      <c r="GY5" s="13" t="s">
        <v>43</v>
      </c>
      <c r="GZ5" s="13" t="s">
        <v>87</v>
      </c>
      <c r="HA5" s="4">
        <v>650</v>
      </c>
      <c r="HB5" s="4">
        <v>450</v>
      </c>
      <c r="HC5">
        <v>320</v>
      </c>
      <c r="HD5">
        <v>600</v>
      </c>
      <c r="HE5">
        <v>650</v>
      </c>
      <c r="HF5" s="4">
        <f>ROUNDUP(HE5/HD5,0)</f>
        <v>2</v>
      </c>
      <c r="HG5">
        <v>5</v>
      </c>
      <c r="HH5" s="4">
        <f>HF5*HG5</f>
        <v>10</v>
      </c>
      <c r="HI5">
        <v>550</v>
      </c>
      <c r="HJ5" s="4">
        <f>HH5*HI5</f>
        <v>5500</v>
      </c>
      <c r="HK5" s="4"/>
      <c r="HL5" s="4"/>
      <c r="HM5" s="4">
        <v>2</v>
      </c>
      <c r="HN5" s="10">
        <f>HM5*12*25*HE5</f>
        <v>390000</v>
      </c>
      <c r="HO5" s="4">
        <f>IF(GY5="carton box",HI5/HD5,HJ5/HN5)</f>
        <v>1.4102564102564103E-2</v>
      </c>
      <c r="HP5" s="4">
        <v>160</v>
      </c>
      <c r="HQ5">
        <v>0</v>
      </c>
      <c r="HR5">
        <v>0</v>
      </c>
      <c r="HS5">
        <v>0</v>
      </c>
      <c r="HT5">
        <v>0</v>
      </c>
      <c r="HV5" s="4">
        <f>HO5+HT5</f>
        <v>1.4102564102564103E-2</v>
      </c>
      <c r="HW5" s="4"/>
      <c r="HX5" s="4">
        <v>2917</v>
      </c>
      <c r="HY5" s="4">
        <v>1689</v>
      </c>
      <c r="HZ5" s="4">
        <v>1842</v>
      </c>
      <c r="IA5" s="4">
        <f t="shared" ref="IA5:IC9" si="31">ROUNDDOWN(HX5/HA5,0)</f>
        <v>4</v>
      </c>
      <c r="IB5" s="4">
        <f t="shared" si="31"/>
        <v>3</v>
      </c>
      <c r="IC5" s="4">
        <f t="shared" si="31"/>
        <v>5</v>
      </c>
      <c r="ID5" s="8">
        <v>0.9</v>
      </c>
      <c r="IE5" s="4">
        <f>ROUND(PRODUCT(IA5:ID5),0)</f>
        <v>54</v>
      </c>
      <c r="IF5" s="4">
        <v>500</v>
      </c>
      <c r="IG5" s="4">
        <f>IF5/(IE5*HD5)</f>
        <v>1.5432098765432098E-2</v>
      </c>
      <c r="IH5" s="4"/>
    </row>
    <row r="6" spans="1:388">
      <c r="A6">
        <v>5</v>
      </c>
      <c r="B6" t="s">
        <v>468</v>
      </c>
      <c r="C6" t="s">
        <v>1833</v>
      </c>
      <c r="D6" s="5" t="s">
        <v>103</v>
      </c>
      <c r="E6" s="5" t="s">
        <v>104</v>
      </c>
      <c r="F6" s="5" t="s">
        <v>2182</v>
      </c>
      <c r="G6" s="5" t="s">
        <v>102</v>
      </c>
      <c r="H6" s="5"/>
      <c r="I6" s="5" t="s">
        <v>94</v>
      </c>
      <c r="J6" s="5">
        <v>21591</v>
      </c>
      <c r="K6" s="5" t="s">
        <v>97</v>
      </c>
      <c r="L6" s="5"/>
      <c r="M6" s="5"/>
      <c r="N6" s="5"/>
      <c r="O6" s="5"/>
      <c r="Q6" s="5" t="s">
        <v>1777</v>
      </c>
      <c r="R6" s="5" t="s">
        <v>1831</v>
      </c>
      <c r="S6" s="5"/>
      <c r="T6" s="5"/>
      <c r="U6" s="5"/>
      <c r="V6" s="29" t="s">
        <v>79</v>
      </c>
      <c r="W6" s="5"/>
      <c r="X6" s="5"/>
      <c r="Y6" s="5"/>
      <c r="Z6" s="5"/>
      <c r="AA6" s="48" t="s">
        <v>105</v>
      </c>
      <c r="AB6" s="340">
        <v>136</v>
      </c>
      <c r="AC6" s="1">
        <v>20</v>
      </c>
      <c r="AD6" s="48" t="s">
        <v>24</v>
      </c>
      <c r="AE6" s="7">
        <f>BA6</f>
        <v>4.08</v>
      </c>
      <c r="AF6" s="7"/>
      <c r="AG6" s="7">
        <f>EU6</f>
        <v>1.4802631578947369</v>
      </c>
      <c r="AH6" s="7">
        <f>DM6</f>
        <v>18.23</v>
      </c>
      <c r="AI6" s="7">
        <f>DO6</f>
        <v>0</v>
      </c>
      <c r="AJ6" s="7">
        <f>GW6</f>
        <v>2.9605263157894739E-2</v>
      </c>
      <c r="AK6" s="7">
        <f>GU6</f>
        <v>6.9503289473684213E-2</v>
      </c>
      <c r="AL6" s="7">
        <f>GS6</f>
        <v>0.61162894736842111</v>
      </c>
      <c r="AM6" s="7">
        <f>HV6</f>
        <v>3.3333333333333333E-2</v>
      </c>
      <c r="AN6" s="7">
        <f>IG6</f>
        <v>7.8125E-2</v>
      </c>
      <c r="AO6" s="6">
        <v>0</v>
      </c>
      <c r="AP6" s="6"/>
      <c r="AQ6" s="7">
        <f>SUM(AE6:AO6)</f>
        <v>24.61245899122807</v>
      </c>
      <c r="AR6" s="7"/>
      <c r="AS6" s="7"/>
      <c r="AT6" s="6">
        <v>0</v>
      </c>
      <c r="AU6" s="6"/>
      <c r="AV6" s="7">
        <f>AQ6+AT6</f>
        <v>24.61245899122807</v>
      </c>
      <c r="AW6">
        <v>0.03</v>
      </c>
      <c r="AX6">
        <v>0.03</v>
      </c>
      <c r="AY6" s="8">
        <v>1</v>
      </c>
      <c r="AZ6">
        <f>(AW6-AX6)*AY6</f>
        <v>0</v>
      </c>
      <c r="BA6" s="4">
        <f>AW6*AB6-AZ6*AC6</f>
        <v>4.08</v>
      </c>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E6">
        <v>0</v>
      </c>
      <c r="CF6">
        <v>1</v>
      </c>
      <c r="CG6">
        <v>18.23</v>
      </c>
      <c r="CH6">
        <f>CF6*CG6</f>
        <v>18.23</v>
      </c>
      <c r="DM6">
        <f>CH6+CM6+CR6+CW6+DB6+DG6+DG6+DL6</f>
        <v>18.23</v>
      </c>
      <c r="DN6" s="8">
        <v>0</v>
      </c>
      <c r="DO6" s="4">
        <f>DN6*DM6</f>
        <v>0</v>
      </c>
      <c r="DP6" s="4">
        <f>DM6+DO6</f>
        <v>18.23</v>
      </c>
      <c r="DQ6" s="4"/>
      <c r="DR6" s="4"/>
      <c r="DS6" s="4"/>
      <c r="DT6" s="4"/>
      <c r="DU6" s="4"/>
      <c r="DV6" s="4"/>
      <c r="DW6" s="4"/>
      <c r="DX6" s="4"/>
      <c r="DY6" s="4"/>
      <c r="DZ6" s="4"/>
      <c r="EA6" s="4"/>
      <c r="EB6" s="4"/>
      <c r="EC6" s="4"/>
      <c r="ED6" s="4"/>
      <c r="EE6" s="4"/>
      <c r="EF6">
        <v>180</v>
      </c>
      <c r="EG6">
        <v>1800</v>
      </c>
      <c r="EH6">
        <v>8</v>
      </c>
      <c r="EI6" s="8">
        <v>0.95</v>
      </c>
      <c r="EJ6">
        <v>2</v>
      </c>
      <c r="EK6">
        <v>45</v>
      </c>
      <c r="EL6" s="10">
        <f>ROUND(3600/EK6*EH6*EJ6*EI6,0)</f>
        <v>1216</v>
      </c>
      <c r="EM6" s="4"/>
      <c r="EN6" s="4"/>
      <c r="EO6" s="4"/>
      <c r="EP6" s="4"/>
      <c r="EQ6" s="4"/>
      <c r="ER6" s="4"/>
      <c r="ES6" s="4"/>
      <c r="ET6" s="4"/>
      <c r="EU6" s="4">
        <f>EG6/EL6</f>
        <v>1.4802631578947369</v>
      </c>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8">
        <v>0.11</v>
      </c>
      <c r="GS6" s="4">
        <f>GR6*(BA6+EU6)</f>
        <v>0.61162894736842111</v>
      </c>
      <c r="GT6" s="9">
        <v>1.2500000000000001E-2</v>
      </c>
      <c r="GU6" s="4">
        <f>GT6*(BA6+EU6)</f>
        <v>6.9503289473684213E-2</v>
      </c>
      <c r="GV6" s="8">
        <v>0.02</v>
      </c>
      <c r="GW6" s="4">
        <f>GV6*EU6</f>
        <v>2.9605263157894739E-2</v>
      </c>
      <c r="GX6" s="4">
        <f>GS6+GU6+GW6</f>
        <v>0.71073750000000002</v>
      </c>
      <c r="GY6" s="13" t="s">
        <v>43</v>
      </c>
      <c r="GZ6" s="13" t="s">
        <v>87</v>
      </c>
      <c r="HA6" s="4">
        <v>650</v>
      </c>
      <c r="HB6" s="4">
        <v>450</v>
      </c>
      <c r="HC6">
        <v>480</v>
      </c>
      <c r="HD6">
        <v>200</v>
      </c>
      <c r="HE6">
        <v>650</v>
      </c>
      <c r="HF6" s="4">
        <f>ROUNDUP(HE6/HD6,0)</f>
        <v>4</v>
      </c>
      <c r="HG6">
        <v>5</v>
      </c>
      <c r="HH6" s="4">
        <f>HF6*HG6</f>
        <v>20</v>
      </c>
      <c r="HI6">
        <v>650</v>
      </c>
      <c r="HJ6" s="4">
        <f>HH6*HI6</f>
        <v>13000</v>
      </c>
      <c r="HK6" s="4"/>
      <c r="HL6" s="4"/>
      <c r="HM6" s="4">
        <v>2</v>
      </c>
      <c r="HN6" s="10">
        <f>HM6*12*25*HE6</f>
        <v>390000</v>
      </c>
      <c r="HO6" s="4">
        <f>IF(GY6="carton box",HI6/HD6,HJ6/HN6)</f>
        <v>3.3333333333333333E-2</v>
      </c>
      <c r="HP6">
        <v>160</v>
      </c>
      <c r="HQ6">
        <v>0</v>
      </c>
      <c r="HR6" s="4">
        <f>HP6*HQ6</f>
        <v>0</v>
      </c>
      <c r="HS6">
        <v>0</v>
      </c>
      <c r="HT6">
        <v>0</v>
      </c>
      <c r="HV6" s="4">
        <f>HO6+HT6</f>
        <v>3.3333333333333333E-2</v>
      </c>
      <c r="HW6" s="4"/>
      <c r="HX6">
        <v>2917</v>
      </c>
      <c r="HY6">
        <v>1689</v>
      </c>
      <c r="HZ6">
        <v>1842</v>
      </c>
      <c r="IA6" s="4">
        <f t="shared" si="31"/>
        <v>4</v>
      </c>
      <c r="IB6" s="4">
        <f t="shared" si="31"/>
        <v>3</v>
      </c>
      <c r="IC6" s="4">
        <f t="shared" si="31"/>
        <v>3</v>
      </c>
      <c r="ID6" s="8">
        <v>0.9</v>
      </c>
      <c r="IE6" s="4">
        <f>ROUND(PRODUCT(IA6:ID6),0)</f>
        <v>32</v>
      </c>
      <c r="IF6">
        <v>500</v>
      </c>
      <c r="IG6" s="4">
        <f>IF6/(IE6*HD6)</f>
        <v>7.8125E-2</v>
      </c>
      <c r="IH6" s="4"/>
    </row>
    <row r="7" spans="1:388">
      <c r="A7">
        <v>6</v>
      </c>
      <c r="B7" t="s">
        <v>468</v>
      </c>
      <c r="C7" t="s">
        <v>568</v>
      </c>
      <c r="D7" s="5" t="s">
        <v>106</v>
      </c>
      <c r="E7" s="5" t="s">
        <v>107</v>
      </c>
      <c r="F7" s="5" t="s">
        <v>2182</v>
      </c>
      <c r="G7" s="5" t="s">
        <v>108</v>
      </c>
      <c r="H7" s="5"/>
      <c r="I7" s="5" t="s">
        <v>94</v>
      </c>
      <c r="J7" s="5">
        <v>21591</v>
      </c>
      <c r="K7" s="5" t="s">
        <v>97</v>
      </c>
      <c r="L7" s="5"/>
      <c r="M7" s="5"/>
      <c r="N7" s="5"/>
      <c r="O7" s="5"/>
      <c r="P7" s="5"/>
      <c r="Q7" s="5" t="s">
        <v>1777</v>
      </c>
      <c r="R7" s="5" t="s">
        <v>1831</v>
      </c>
      <c r="S7" s="5"/>
      <c r="T7" s="5"/>
      <c r="U7" s="5"/>
      <c r="V7" s="29" t="s">
        <v>79</v>
      </c>
      <c r="W7" s="5"/>
      <c r="X7" s="5"/>
      <c r="Y7" s="5"/>
      <c r="Z7" s="5"/>
      <c r="AA7" s="84" t="s">
        <v>109</v>
      </c>
      <c r="AB7" s="340">
        <v>108.48</v>
      </c>
      <c r="AC7" s="1">
        <f>AB7-5</f>
        <v>103.48</v>
      </c>
      <c r="AD7" s="48" t="s">
        <v>24</v>
      </c>
      <c r="AE7" s="7">
        <f>BA7</f>
        <v>1.347804</v>
      </c>
      <c r="AF7" s="7"/>
      <c r="AG7" s="7">
        <f>EU7</f>
        <v>1.5075376884422111</v>
      </c>
      <c r="AH7" s="7">
        <f>DM7</f>
        <v>16</v>
      </c>
      <c r="AI7" s="7">
        <f>DO7</f>
        <v>0.2</v>
      </c>
      <c r="AJ7" s="7">
        <f>GW7</f>
        <v>3.0150753768844223E-2</v>
      </c>
      <c r="AK7" s="7">
        <f>GU7</f>
        <v>3.5691771105527639E-2</v>
      </c>
      <c r="AL7" s="7">
        <f>GS7</f>
        <v>0.3140875857286432</v>
      </c>
      <c r="AM7" s="7">
        <f>HV7</f>
        <v>3.5256410256410256E-2</v>
      </c>
      <c r="AN7" s="7">
        <f>IG7</f>
        <v>6.1728395061728392E-2</v>
      </c>
      <c r="AO7" s="6">
        <v>0</v>
      </c>
      <c r="AP7" s="6"/>
      <c r="AQ7" s="7">
        <f>SUM(AE7:AO7)</f>
        <v>19.532256604363358</v>
      </c>
      <c r="AR7" s="7"/>
      <c r="AS7" s="7"/>
      <c r="AT7" s="6">
        <v>0</v>
      </c>
      <c r="AU7" s="6"/>
      <c r="AV7" s="7">
        <f>AQ7+AT7</f>
        <v>19.532256604363358</v>
      </c>
      <c r="AW7">
        <v>1.4999999999999999E-2</v>
      </c>
      <c r="AX7">
        <v>1.2E-2</v>
      </c>
      <c r="AY7" s="8">
        <v>0.9</v>
      </c>
      <c r="AZ7">
        <f>(AW7-AX7)*AY7</f>
        <v>2.6999999999999993E-3</v>
      </c>
      <c r="BA7" s="4">
        <f>AW7*AB7-AZ7*AC7</f>
        <v>1.347804</v>
      </c>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t="s">
        <v>110</v>
      </c>
      <c r="CE7">
        <v>0</v>
      </c>
      <c r="CF7">
        <v>1</v>
      </c>
      <c r="CG7">
        <v>16</v>
      </c>
      <c r="CH7">
        <f>CF7*CG7</f>
        <v>16</v>
      </c>
      <c r="DM7">
        <f>CH7+CM7+CR7+CW7+DB7+DG7+DG7+DL7</f>
        <v>16</v>
      </c>
      <c r="DN7" s="9">
        <v>1.2500000000000001E-2</v>
      </c>
      <c r="DO7" s="4">
        <f>DN7*DM7</f>
        <v>0.2</v>
      </c>
      <c r="DP7" s="4">
        <f>DM7+DO7</f>
        <v>16.2</v>
      </c>
      <c r="DQ7" s="4"/>
      <c r="DR7" s="4"/>
      <c r="DS7" s="4"/>
      <c r="DT7" s="4"/>
      <c r="DU7" s="4"/>
      <c r="DV7" s="4"/>
      <c r="DW7" s="4"/>
      <c r="DX7" s="4"/>
      <c r="DY7" s="4"/>
      <c r="DZ7" s="4"/>
      <c r="EA7" s="4"/>
      <c r="EB7" s="4"/>
      <c r="EC7" s="4"/>
      <c r="ED7" s="4"/>
      <c r="EE7" s="4"/>
      <c r="EF7">
        <v>150</v>
      </c>
      <c r="EG7">
        <v>1500</v>
      </c>
      <c r="EH7">
        <v>8</v>
      </c>
      <c r="EI7" s="8">
        <v>0.95</v>
      </c>
      <c r="EJ7">
        <v>2</v>
      </c>
      <c r="EK7">
        <v>55</v>
      </c>
      <c r="EL7" s="10">
        <f>ROUND(3600/EK7*EH7*EJ7*EI7,0)</f>
        <v>995</v>
      </c>
      <c r="EM7" s="4"/>
      <c r="EN7" s="4"/>
      <c r="EO7" s="4"/>
      <c r="EP7" s="4"/>
      <c r="EQ7" s="4"/>
      <c r="ER7" s="4"/>
      <c r="ES7" s="4"/>
      <c r="ET7" s="4"/>
      <c r="EU7" s="4">
        <f>EG7/EL7</f>
        <v>1.5075376884422111</v>
      </c>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8">
        <v>0.11</v>
      </c>
      <c r="GS7" s="4">
        <f>GR7*(BA7+EU7)</f>
        <v>0.3140875857286432</v>
      </c>
      <c r="GT7" s="9">
        <v>1.2500000000000001E-2</v>
      </c>
      <c r="GU7" s="4">
        <f>GT7*(BA7+EU7)</f>
        <v>3.5691771105527639E-2</v>
      </c>
      <c r="GV7" s="8">
        <v>0.02</v>
      </c>
      <c r="GW7" s="4">
        <f>GV7*EU7</f>
        <v>3.0150753768844223E-2</v>
      </c>
      <c r="GX7" s="4">
        <f>GS7+GU7+GW7</f>
        <v>0.37993011060301507</v>
      </c>
      <c r="GY7" s="13" t="s">
        <v>43</v>
      </c>
      <c r="GZ7" s="13" t="s">
        <v>87</v>
      </c>
      <c r="HA7">
        <v>650</v>
      </c>
      <c r="HB7">
        <v>450</v>
      </c>
      <c r="HC7">
        <v>320</v>
      </c>
      <c r="HD7">
        <v>150</v>
      </c>
      <c r="HE7">
        <v>650</v>
      </c>
      <c r="HF7" s="4">
        <f>ROUNDUP(HE7/HD7,0)</f>
        <v>5</v>
      </c>
      <c r="HG7">
        <v>5</v>
      </c>
      <c r="HH7" s="4">
        <f>HF7*HG7</f>
        <v>25</v>
      </c>
      <c r="HI7">
        <v>550</v>
      </c>
      <c r="HJ7" s="4">
        <f>HH7*HI7</f>
        <v>13750</v>
      </c>
      <c r="HK7" s="4"/>
      <c r="HL7" s="4"/>
      <c r="HM7">
        <v>2</v>
      </c>
      <c r="HN7">
        <v>390000</v>
      </c>
      <c r="HO7" s="4">
        <f>IF(GY7="carton box",HI7/HD7,HJ7/HN7)</f>
        <v>3.5256410256410256E-2</v>
      </c>
      <c r="HP7">
        <v>160</v>
      </c>
      <c r="HQ7">
        <v>0</v>
      </c>
      <c r="HR7">
        <v>0</v>
      </c>
      <c r="HS7">
        <v>0</v>
      </c>
      <c r="HT7">
        <v>0</v>
      </c>
      <c r="HV7" s="4">
        <f>HO7+HT7</f>
        <v>3.5256410256410256E-2</v>
      </c>
      <c r="HW7" s="4"/>
      <c r="HX7">
        <v>2917</v>
      </c>
      <c r="HY7">
        <v>1689</v>
      </c>
      <c r="HZ7">
        <v>1842</v>
      </c>
      <c r="IA7" s="4">
        <f t="shared" si="31"/>
        <v>4</v>
      </c>
      <c r="IB7" s="4">
        <f t="shared" si="31"/>
        <v>3</v>
      </c>
      <c r="IC7" s="4">
        <f t="shared" si="31"/>
        <v>5</v>
      </c>
      <c r="ID7" s="8">
        <v>0.9</v>
      </c>
      <c r="IE7" s="4">
        <f>ROUND(PRODUCT(IA7:ID7),0)</f>
        <v>54</v>
      </c>
      <c r="IF7" s="4">
        <v>500</v>
      </c>
      <c r="IG7" s="4">
        <f>IF7/(IE7*HD7)</f>
        <v>6.1728395061728392E-2</v>
      </c>
      <c r="IH7" s="4"/>
    </row>
    <row r="8" spans="1:388">
      <c r="A8">
        <v>417</v>
      </c>
      <c r="B8" t="s">
        <v>468</v>
      </c>
      <c r="C8" s="27" t="s">
        <v>4906</v>
      </c>
      <c r="D8" s="28" t="s">
        <v>1271</v>
      </c>
      <c r="E8" s="28" t="s">
        <v>1272</v>
      </c>
      <c r="F8" s="28" t="s">
        <v>2182</v>
      </c>
      <c r="G8" s="27" t="s">
        <v>90</v>
      </c>
      <c r="I8" s="27" t="s">
        <v>94</v>
      </c>
      <c r="J8" s="28">
        <v>21691</v>
      </c>
      <c r="K8" s="27" t="s">
        <v>404</v>
      </c>
      <c r="L8" s="27"/>
      <c r="M8" s="27"/>
      <c r="N8" s="27"/>
      <c r="O8" s="27"/>
      <c r="P8" s="370"/>
      <c r="Q8" s="27" t="s">
        <v>1035</v>
      </c>
      <c r="R8" s="27" t="s">
        <v>1778</v>
      </c>
      <c r="S8" s="370">
        <v>44211</v>
      </c>
      <c r="T8" s="443" t="s">
        <v>2841</v>
      </c>
      <c r="U8" s="406">
        <v>44197</v>
      </c>
      <c r="V8" s="369"/>
      <c r="W8" s="370" t="s">
        <v>4903</v>
      </c>
      <c r="X8" s="370"/>
      <c r="Y8" s="370"/>
      <c r="Z8" s="370"/>
      <c r="AA8" s="369" t="s">
        <v>1808</v>
      </c>
      <c r="AB8" s="369">
        <v>85.45</v>
      </c>
      <c r="AC8" s="369">
        <v>20</v>
      </c>
      <c r="AD8" s="369" t="s">
        <v>596</v>
      </c>
      <c r="AE8" s="369">
        <f t="shared" ref="AE8:AE9" si="32">BA8</f>
        <v>21.131600000000002</v>
      </c>
      <c r="AF8" s="369"/>
      <c r="AG8" s="369">
        <f t="shared" ref="AG8:AG9" si="33">EU8</f>
        <v>11.513157894736842</v>
      </c>
      <c r="AH8" s="369">
        <f t="shared" ref="AH8:AH9" si="34">DM8</f>
        <v>0</v>
      </c>
      <c r="AI8" s="369">
        <f t="shared" ref="AI8:AI9" si="35">DO8</f>
        <v>0</v>
      </c>
      <c r="AJ8" s="369">
        <f t="shared" ref="AJ8:AJ9" si="36">GW8</f>
        <v>0.23026315789473686</v>
      </c>
      <c r="AK8" s="369">
        <f t="shared" ref="AK8:AK9" si="37">GU8</f>
        <v>0.40805947368421053</v>
      </c>
      <c r="AL8" s="369">
        <f t="shared" ref="AL8:AL9" si="38">GS8</f>
        <v>3.5909233684210524</v>
      </c>
      <c r="AM8" s="369">
        <f t="shared" ref="AM8:AM9" si="39">HV8</f>
        <v>0.41249999999999998</v>
      </c>
      <c r="AN8" s="369">
        <f t="shared" ref="AN8:AN9" si="40">IG8</f>
        <v>0.43478260869565216</v>
      </c>
      <c r="AO8" s="369">
        <f t="shared" ref="AO8:AO9" si="41">EY8</f>
        <v>0</v>
      </c>
      <c r="AP8" s="369"/>
      <c r="AQ8" s="369">
        <f t="shared" ref="AQ8:AQ9" si="42">SUM(AE8:AO8)</f>
        <v>37.721286503432495</v>
      </c>
      <c r="AR8" s="369">
        <f t="shared" ref="AR8:AR9" si="43">IJ8</f>
        <v>0</v>
      </c>
      <c r="AS8" s="369">
        <f t="shared" ref="AS8:AS9" si="44">EO8</f>
        <v>0</v>
      </c>
      <c r="AT8" s="369">
        <f>41.59-37.72</f>
        <v>3.8700000000000045</v>
      </c>
      <c r="AU8" s="369">
        <v>0</v>
      </c>
      <c r="AV8" s="391">
        <f t="shared" ref="AV8:AV9" si="45">AQ8+AT8+AU8+AR8+AS8</f>
        <v>41.591286503432499</v>
      </c>
      <c r="AW8" s="369">
        <v>0.248</v>
      </c>
      <c r="AX8" s="369">
        <v>0.245</v>
      </c>
      <c r="AY8" s="369">
        <v>1</v>
      </c>
      <c r="AZ8" s="369">
        <f t="shared" ref="AZ8:AZ9" si="46">(AW8-AX8)*AY8</f>
        <v>3.0000000000000027E-3</v>
      </c>
      <c r="BA8" s="369">
        <f t="shared" ref="BA8:BA9" si="47">AW8*AB8-AZ8*AC8</f>
        <v>21.131600000000002</v>
      </c>
      <c r="BB8" s="369"/>
      <c r="BC8" s="369"/>
      <c r="BD8" s="369"/>
      <c r="BE8" s="369"/>
      <c r="BF8" s="369"/>
      <c r="BG8" s="369"/>
      <c r="BH8" s="369"/>
      <c r="BI8" s="369"/>
      <c r="BJ8" s="369"/>
      <c r="BK8" s="369"/>
      <c r="BL8" s="369"/>
      <c r="BM8" s="369"/>
      <c r="BN8" s="369"/>
      <c r="BO8" s="369"/>
      <c r="BP8" s="369"/>
      <c r="BQ8" s="369"/>
      <c r="BR8" s="369"/>
      <c r="BS8" s="369"/>
      <c r="BT8" s="369"/>
      <c r="BU8" s="369"/>
      <c r="BV8" s="369"/>
      <c r="BW8" s="369"/>
      <c r="BX8" s="369"/>
      <c r="BY8" s="369"/>
      <c r="BZ8" s="369"/>
      <c r="CA8" s="369"/>
      <c r="CB8" s="369"/>
      <c r="CC8" s="369"/>
      <c r="CD8" s="369"/>
      <c r="CE8" s="369"/>
      <c r="CF8" s="369"/>
      <c r="CG8" s="369"/>
      <c r="CH8" s="369"/>
      <c r="CI8" s="369"/>
      <c r="CJ8" s="369"/>
      <c r="CK8" s="369"/>
      <c r="CL8" s="369"/>
      <c r="CM8" s="369"/>
      <c r="CN8" s="369"/>
      <c r="CO8" s="369"/>
      <c r="CP8" s="369"/>
      <c r="CQ8" s="369"/>
      <c r="CR8" s="369"/>
      <c r="CS8" s="369"/>
      <c r="CT8" s="369"/>
      <c r="CU8" s="369"/>
      <c r="CV8" s="369"/>
      <c r="CW8" s="369"/>
      <c r="CX8" s="369"/>
      <c r="CY8" s="369"/>
      <c r="CZ8" s="369"/>
      <c r="DA8" s="369"/>
      <c r="DB8" s="369"/>
      <c r="DC8" s="369"/>
      <c r="DD8" s="369"/>
      <c r="DE8" s="369"/>
      <c r="DF8" s="369"/>
      <c r="DG8" s="369"/>
      <c r="DH8" s="369"/>
      <c r="DI8" s="369"/>
      <c r="DJ8" s="369"/>
      <c r="DK8" s="369"/>
      <c r="DL8" s="369"/>
      <c r="DM8" s="369">
        <f t="shared" ref="DM8:DM9" si="48">CH8+CM8+CR8+CW8+DB8+DG8+DL8</f>
        <v>0</v>
      </c>
      <c r="DN8" s="369">
        <v>1.2500000000000001E-2</v>
      </c>
      <c r="DO8" s="369">
        <f t="shared" ref="DO8:DO9" si="49">(DM8*DN8)</f>
        <v>0</v>
      </c>
      <c r="DP8" s="369">
        <f t="shared" ref="DP8:DP9" si="50">DM8+DO8</f>
        <v>0</v>
      </c>
      <c r="DQ8" s="369"/>
      <c r="DR8" s="369"/>
      <c r="DS8" s="369"/>
      <c r="DT8" s="369"/>
      <c r="DU8" s="369"/>
      <c r="DV8" s="369"/>
      <c r="DW8" s="369"/>
      <c r="DX8" s="369"/>
      <c r="DY8" s="369"/>
      <c r="DZ8" s="369"/>
      <c r="EA8" s="369"/>
      <c r="EB8" s="369"/>
      <c r="EC8" s="369"/>
      <c r="ED8" s="369"/>
      <c r="EE8" s="369"/>
      <c r="EF8" s="369">
        <v>500</v>
      </c>
      <c r="EG8" s="369">
        <v>5000</v>
      </c>
      <c r="EH8" s="369">
        <v>8</v>
      </c>
      <c r="EI8" s="369">
        <v>0.95</v>
      </c>
      <c r="EJ8" s="369">
        <v>1</v>
      </c>
      <c r="EK8" s="369">
        <v>63</v>
      </c>
      <c r="EL8" s="369">
        <f t="shared" ref="EL8:EL9" si="51">3600/EK8*EH8*EJ8*EI8</f>
        <v>434.28571428571428</v>
      </c>
      <c r="EM8" s="369"/>
      <c r="EN8" s="369"/>
      <c r="EO8" s="369"/>
      <c r="EP8" s="369"/>
      <c r="EQ8" s="369"/>
      <c r="ER8" s="369"/>
      <c r="ES8" s="369"/>
      <c r="ET8" s="369"/>
      <c r="EU8" s="369">
        <f>(EG8/EL8+EM8+EX8+EP8+EQ8+ER8+EO8)</f>
        <v>11.513157894736842</v>
      </c>
      <c r="EV8" s="369"/>
      <c r="EW8" s="369"/>
      <c r="EX8" s="369"/>
      <c r="EY8" s="369"/>
      <c r="EZ8" s="369"/>
      <c r="FA8" s="369"/>
      <c r="FB8" s="369"/>
      <c r="FC8" s="369"/>
      <c r="FD8" s="369"/>
      <c r="FE8" s="369"/>
      <c r="FF8" s="369"/>
      <c r="FG8" s="369"/>
      <c r="FH8" s="369"/>
      <c r="FI8" s="369"/>
      <c r="FJ8" s="369"/>
      <c r="FK8" s="369"/>
      <c r="FL8" s="369"/>
      <c r="FM8" s="369"/>
      <c r="FN8" s="369"/>
      <c r="FO8" s="369"/>
      <c r="FP8" s="369"/>
      <c r="FQ8" s="369"/>
      <c r="FR8" s="369"/>
      <c r="FS8" s="369"/>
      <c r="FT8" s="369"/>
      <c r="FU8" s="369"/>
      <c r="FV8" s="369"/>
      <c r="FW8" s="369"/>
      <c r="FX8" s="369"/>
      <c r="FY8" s="369"/>
      <c r="FZ8" s="369"/>
      <c r="GA8" s="369"/>
      <c r="GB8" s="369"/>
      <c r="GC8" s="369"/>
      <c r="GD8" s="369"/>
      <c r="GE8" s="369"/>
      <c r="GF8" s="369"/>
      <c r="GG8" s="369"/>
      <c r="GH8" s="369"/>
      <c r="GI8" s="369"/>
      <c r="GJ8" s="369"/>
      <c r="GK8" s="369"/>
      <c r="GL8" s="369"/>
      <c r="GM8" s="369"/>
      <c r="GN8" s="369"/>
      <c r="GO8" s="369"/>
      <c r="GP8" s="369"/>
      <c r="GQ8" s="369"/>
      <c r="GR8" s="369">
        <v>0.11</v>
      </c>
      <c r="GS8" s="369">
        <f t="shared" ref="GS8:GS9" si="52">GR8*(BA8+EU8)</f>
        <v>3.5909233684210524</v>
      </c>
      <c r="GT8" s="369">
        <v>1.2500000000000001E-2</v>
      </c>
      <c r="GU8" s="369">
        <f t="shared" ref="GU8:GU9" si="53">GT8*(EU8+BA8)</f>
        <v>0.40805947368421053</v>
      </c>
      <c r="GV8" s="369">
        <v>0.02</v>
      </c>
      <c r="GW8" s="369">
        <f t="shared" ref="GW8:GW9" si="54">GV8*(EU8-EP8-EQ8)</f>
        <v>0.23026315789473686</v>
      </c>
      <c r="GX8" s="369">
        <f t="shared" ref="GX8:GX9" si="55">GS8+GU8+GW8</f>
        <v>4.2292459999999998</v>
      </c>
      <c r="GY8" s="369" t="s">
        <v>130</v>
      </c>
      <c r="GZ8" s="369" t="s">
        <v>130</v>
      </c>
      <c r="HA8" s="369">
        <v>810</v>
      </c>
      <c r="HB8" s="369">
        <v>568</v>
      </c>
      <c r="HC8" s="369">
        <v>425</v>
      </c>
      <c r="HD8" s="369">
        <v>23</v>
      </c>
      <c r="HE8" s="369">
        <v>600</v>
      </c>
      <c r="HF8" s="369">
        <f t="shared" ref="HF8:HF9" si="56">ROUNDUP(HE8/HD8,0)</f>
        <v>27</v>
      </c>
      <c r="HG8" s="369">
        <v>5</v>
      </c>
      <c r="HH8" s="369">
        <f t="shared" ref="HH8:HH9" si="57">HF8*HG8</f>
        <v>135</v>
      </c>
      <c r="HI8" s="369">
        <v>1100</v>
      </c>
      <c r="HJ8" s="369">
        <f t="shared" ref="HJ8:HJ9" si="58">HH8*HI8</f>
        <v>148500</v>
      </c>
      <c r="HK8" s="369"/>
      <c r="HL8" s="369"/>
      <c r="HM8" s="369">
        <v>2</v>
      </c>
      <c r="HN8" s="369">
        <f t="shared" ref="HN8:HN9" si="59">HM8*12*25*HE8</f>
        <v>360000</v>
      </c>
      <c r="HO8" s="369">
        <f t="shared" ref="HO8:HO9" si="60">(IF(GY8="carton box",HI8/HD8,HJ8/HN8))</f>
        <v>0.41249999999999998</v>
      </c>
      <c r="HP8" s="369"/>
      <c r="HQ8" s="369"/>
      <c r="HR8" s="369"/>
      <c r="HS8" s="369"/>
      <c r="HT8" s="369"/>
      <c r="HU8" s="447"/>
      <c r="HV8" s="369">
        <f t="shared" ref="HV8:HV9" si="61">HO8+HT8</f>
        <v>0.41249999999999998</v>
      </c>
      <c r="HW8" s="369"/>
      <c r="HX8" s="369">
        <v>5016</v>
      </c>
      <c r="HY8" s="369">
        <v>1976</v>
      </c>
      <c r="HZ8" s="369">
        <v>2280</v>
      </c>
      <c r="IA8" s="369">
        <f t="shared" si="31"/>
        <v>6</v>
      </c>
      <c r="IB8" s="369">
        <f t="shared" si="31"/>
        <v>3</v>
      </c>
      <c r="IC8" s="369">
        <f t="shared" si="31"/>
        <v>5</v>
      </c>
      <c r="ID8" s="369">
        <v>1</v>
      </c>
      <c r="IE8" s="369">
        <f>PRODUCT(IA8:ID8)-40</f>
        <v>50</v>
      </c>
      <c r="IF8" s="369">
        <v>500</v>
      </c>
      <c r="IG8" s="369">
        <f t="shared" ref="IG8:IG9" si="62">IF8/(IE8*HD8)</f>
        <v>0.43478260869565216</v>
      </c>
    </row>
    <row r="9" spans="1:388" ht="25.5">
      <c r="A9">
        <v>418</v>
      </c>
      <c r="B9" t="s">
        <v>468</v>
      </c>
      <c r="C9" s="27" t="s">
        <v>4906</v>
      </c>
      <c r="D9" s="28" t="s">
        <v>1271</v>
      </c>
      <c r="E9" s="28" t="s">
        <v>737</v>
      </c>
      <c r="F9" s="28" t="s">
        <v>2182</v>
      </c>
      <c r="G9" s="27" t="s">
        <v>90</v>
      </c>
      <c r="I9" s="27" t="s">
        <v>226</v>
      </c>
      <c r="J9" s="28">
        <v>21691</v>
      </c>
      <c r="K9" s="27" t="s">
        <v>404</v>
      </c>
      <c r="L9" s="27"/>
      <c r="M9" s="27"/>
      <c r="N9" s="27" t="s">
        <v>4904</v>
      </c>
      <c r="O9" s="27" t="s">
        <v>1877</v>
      </c>
      <c r="P9" s="370">
        <v>44971</v>
      </c>
      <c r="Q9" s="27" t="s">
        <v>1035</v>
      </c>
      <c r="R9" s="27" t="s">
        <v>1778</v>
      </c>
      <c r="S9" s="370">
        <v>44211</v>
      </c>
      <c r="T9" s="443"/>
      <c r="U9" s="370"/>
      <c r="V9" s="369"/>
      <c r="W9" s="444" t="s">
        <v>4905</v>
      </c>
      <c r="X9" s="370"/>
      <c r="Y9" s="370"/>
      <c r="Z9" s="370"/>
      <c r="AA9" s="369" t="s">
        <v>1808</v>
      </c>
      <c r="AB9" s="369">
        <v>85.45</v>
      </c>
      <c r="AC9" s="369">
        <v>20</v>
      </c>
      <c r="AD9" s="369" t="s">
        <v>596</v>
      </c>
      <c r="AE9" s="369">
        <f t="shared" si="32"/>
        <v>21.131600000000002</v>
      </c>
      <c r="AF9" s="369"/>
      <c r="AG9" s="369">
        <f t="shared" si="33"/>
        <v>11.513157894736842</v>
      </c>
      <c r="AH9" s="369">
        <f t="shared" si="34"/>
        <v>0</v>
      </c>
      <c r="AI9" s="369">
        <f t="shared" si="35"/>
        <v>0</v>
      </c>
      <c r="AJ9" s="369">
        <f t="shared" si="36"/>
        <v>0.23026315789473686</v>
      </c>
      <c r="AK9" s="369">
        <f t="shared" si="37"/>
        <v>0.40805947368421053</v>
      </c>
      <c r="AL9" s="369">
        <f t="shared" si="38"/>
        <v>3.5909233684210524</v>
      </c>
      <c r="AM9" s="369">
        <f t="shared" si="39"/>
        <v>0.41249999999999998</v>
      </c>
      <c r="AN9" s="369">
        <f t="shared" si="40"/>
        <v>0.43478260869565216</v>
      </c>
      <c r="AO9" s="369">
        <f t="shared" si="41"/>
        <v>0</v>
      </c>
      <c r="AP9" s="369"/>
      <c r="AQ9" s="369">
        <f t="shared" si="42"/>
        <v>37.721286503432495</v>
      </c>
      <c r="AR9" s="369">
        <f t="shared" si="43"/>
        <v>0</v>
      </c>
      <c r="AS9" s="369">
        <f t="shared" si="44"/>
        <v>0</v>
      </c>
      <c r="AT9" s="369">
        <f>41.59-37.72</f>
        <v>3.8700000000000045</v>
      </c>
      <c r="AU9" s="369">
        <v>0</v>
      </c>
      <c r="AV9" s="391">
        <f t="shared" si="45"/>
        <v>41.591286503432499</v>
      </c>
      <c r="AW9" s="369">
        <v>0.248</v>
      </c>
      <c r="AX9" s="369">
        <v>0.245</v>
      </c>
      <c r="AY9" s="369">
        <v>1</v>
      </c>
      <c r="AZ9" s="369">
        <f t="shared" si="46"/>
        <v>3.0000000000000027E-3</v>
      </c>
      <c r="BA9" s="369">
        <f t="shared" si="47"/>
        <v>21.131600000000002</v>
      </c>
      <c r="BB9" s="369"/>
      <c r="BC9" s="369"/>
      <c r="BD9" s="369"/>
      <c r="BE9" s="369"/>
      <c r="BF9" s="369"/>
      <c r="BG9" s="369"/>
      <c r="BH9" s="369"/>
      <c r="BI9" s="369"/>
      <c r="BJ9" s="369"/>
      <c r="BK9" s="369"/>
      <c r="BL9" s="369"/>
      <c r="BM9" s="369"/>
      <c r="BN9" s="369"/>
      <c r="BO9" s="369"/>
      <c r="BP9" s="369"/>
      <c r="BQ9" s="369"/>
      <c r="BR9" s="369"/>
      <c r="BS9" s="369"/>
      <c r="BT9" s="369"/>
      <c r="BU9" s="369"/>
      <c r="BV9" s="369"/>
      <c r="BW9" s="369"/>
      <c r="BX9" s="369"/>
      <c r="BY9" s="369"/>
      <c r="BZ9" s="369"/>
      <c r="CA9" s="369"/>
      <c r="CB9" s="369"/>
      <c r="CC9" s="369"/>
      <c r="CD9" s="369"/>
      <c r="CE9" s="369"/>
      <c r="CF9" s="369"/>
      <c r="CG9" s="369"/>
      <c r="CH9" s="369"/>
      <c r="CI9" s="369"/>
      <c r="CJ9" s="369"/>
      <c r="CK9" s="369"/>
      <c r="CL9" s="369"/>
      <c r="CM9" s="369"/>
      <c r="CN9" s="369"/>
      <c r="CO9" s="369"/>
      <c r="CP9" s="369"/>
      <c r="CQ9" s="369"/>
      <c r="CR9" s="369"/>
      <c r="CS9" s="369"/>
      <c r="CT9" s="369"/>
      <c r="CU9" s="369"/>
      <c r="CV9" s="369"/>
      <c r="CW9" s="369"/>
      <c r="CX9" s="369"/>
      <c r="CY9" s="369"/>
      <c r="CZ9" s="369"/>
      <c r="DA9" s="369"/>
      <c r="DB9" s="369"/>
      <c r="DC9" s="369"/>
      <c r="DD9" s="369"/>
      <c r="DE9" s="369"/>
      <c r="DF9" s="369"/>
      <c r="DG9" s="369"/>
      <c r="DH9" s="369"/>
      <c r="DI9" s="369"/>
      <c r="DJ9" s="369"/>
      <c r="DK9" s="369"/>
      <c r="DL9" s="369"/>
      <c r="DM9" s="369">
        <f t="shared" si="48"/>
        <v>0</v>
      </c>
      <c r="DN9" s="369">
        <v>1.2500000000000001E-2</v>
      </c>
      <c r="DO9" s="369">
        <f t="shared" si="49"/>
        <v>0</v>
      </c>
      <c r="DP9" s="369">
        <f t="shared" si="50"/>
        <v>0</v>
      </c>
      <c r="DQ9" s="369"/>
      <c r="DR9" s="369"/>
      <c r="DS9" s="369"/>
      <c r="DT9" s="369"/>
      <c r="DU9" s="369"/>
      <c r="DV9" s="369"/>
      <c r="DW9" s="369"/>
      <c r="DX9" s="369"/>
      <c r="DY9" s="369"/>
      <c r="DZ9" s="369"/>
      <c r="EA9" s="369"/>
      <c r="EB9" s="369"/>
      <c r="EC9" s="369"/>
      <c r="ED9" s="369"/>
      <c r="EE9" s="369"/>
      <c r="EF9" s="369">
        <v>500</v>
      </c>
      <c r="EG9" s="369">
        <v>5000</v>
      </c>
      <c r="EH9" s="369">
        <v>8</v>
      </c>
      <c r="EI9" s="369">
        <v>0.95</v>
      </c>
      <c r="EJ9" s="369">
        <v>1</v>
      </c>
      <c r="EK9" s="369">
        <v>63</v>
      </c>
      <c r="EL9" s="369">
        <f t="shared" si="51"/>
        <v>434.28571428571428</v>
      </c>
      <c r="EM9" s="369"/>
      <c r="EN9" s="369"/>
      <c r="EO9" s="369"/>
      <c r="EP9" s="369"/>
      <c r="EQ9" s="369"/>
      <c r="ER9" s="369"/>
      <c r="ES9" s="369"/>
      <c r="ET9" s="369"/>
      <c r="EU9" s="369">
        <f>(EG9/EL9+EM9+EX9+EP9+EQ9+ER9+EO9)</f>
        <v>11.513157894736842</v>
      </c>
      <c r="EV9" s="369"/>
      <c r="EW9" s="369"/>
      <c r="EX9" s="369"/>
      <c r="EY9" s="369"/>
      <c r="EZ9" s="369"/>
      <c r="FA9" s="369"/>
      <c r="FB9" s="369"/>
      <c r="FC9" s="369"/>
      <c r="FD9" s="369"/>
      <c r="FE9" s="369"/>
      <c r="FF9" s="369"/>
      <c r="FG9" s="369"/>
      <c r="FH9" s="369"/>
      <c r="FI9" s="369"/>
      <c r="FJ9" s="369"/>
      <c r="FK9" s="369"/>
      <c r="FL9" s="369"/>
      <c r="FM9" s="369"/>
      <c r="FN9" s="369"/>
      <c r="FO9" s="369"/>
      <c r="FP9" s="369"/>
      <c r="FQ9" s="369"/>
      <c r="FR9" s="369"/>
      <c r="FS9" s="369"/>
      <c r="FT9" s="369"/>
      <c r="FU9" s="369"/>
      <c r="FV9" s="369"/>
      <c r="FW9" s="369"/>
      <c r="FX9" s="369"/>
      <c r="FY9" s="369"/>
      <c r="FZ9" s="369"/>
      <c r="GA9" s="369"/>
      <c r="GB9" s="369"/>
      <c r="GC9" s="369"/>
      <c r="GD9" s="369"/>
      <c r="GE9" s="369"/>
      <c r="GF9" s="369"/>
      <c r="GG9" s="369"/>
      <c r="GH9" s="369"/>
      <c r="GI9" s="369"/>
      <c r="GJ9" s="369"/>
      <c r="GK9" s="369"/>
      <c r="GL9" s="369"/>
      <c r="GM9" s="369"/>
      <c r="GN9" s="369"/>
      <c r="GO9" s="369"/>
      <c r="GP9" s="369"/>
      <c r="GQ9" s="369"/>
      <c r="GR9" s="369">
        <v>0.11</v>
      </c>
      <c r="GS9" s="369">
        <f t="shared" si="52"/>
        <v>3.5909233684210524</v>
      </c>
      <c r="GT9" s="369">
        <v>1.2500000000000001E-2</v>
      </c>
      <c r="GU9" s="369">
        <f t="shared" si="53"/>
        <v>0.40805947368421053</v>
      </c>
      <c r="GV9" s="369">
        <v>0.02</v>
      </c>
      <c r="GW9" s="369">
        <f t="shared" si="54"/>
        <v>0.23026315789473686</v>
      </c>
      <c r="GX9" s="369">
        <f t="shared" si="55"/>
        <v>4.2292459999999998</v>
      </c>
      <c r="GY9" s="369" t="s">
        <v>43</v>
      </c>
      <c r="GZ9" s="369" t="s">
        <v>87</v>
      </c>
      <c r="HA9" s="369">
        <v>810</v>
      </c>
      <c r="HB9" s="369">
        <v>568</v>
      </c>
      <c r="HC9" s="369">
        <v>425</v>
      </c>
      <c r="HD9" s="369">
        <v>23</v>
      </c>
      <c r="HE9" s="369">
        <v>600</v>
      </c>
      <c r="HF9" s="369">
        <f t="shared" si="56"/>
        <v>27</v>
      </c>
      <c r="HG9" s="369">
        <v>5</v>
      </c>
      <c r="HH9" s="369">
        <f t="shared" si="57"/>
        <v>135</v>
      </c>
      <c r="HI9" s="369">
        <v>1100</v>
      </c>
      <c r="HJ9" s="369">
        <f t="shared" si="58"/>
        <v>148500</v>
      </c>
      <c r="HK9" s="369"/>
      <c r="HL9" s="369"/>
      <c r="HM9" s="369">
        <v>2</v>
      </c>
      <c r="HN9" s="369">
        <f t="shared" si="59"/>
        <v>360000</v>
      </c>
      <c r="HO9" s="369">
        <f t="shared" si="60"/>
        <v>0.41249999999999998</v>
      </c>
      <c r="HP9" s="369"/>
      <c r="HQ9" s="369"/>
      <c r="HR9" s="369"/>
      <c r="HS9" s="369"/>
      <c r="HT9" s="369"/>
      <c r="HU9" s="447"/>
      <c r="HV9" s="369">
        <f t="shared" si="61"/>
        <v>0.41249999999999998</v>
      </c>
      <c r="HW9" s="369"/>
      <c r="HX9" s="369">
        <v>5016</v>
      </c>
      <c r="HY9" s="369">
        <v>1976</v>
      </c>
      <c r="HZ9" s="369">
        <v>2280</v>
      </c>
      <c r="IA9" s="369">
        <f t="shared" si="31"/>
        <v>6</v>
      </c>
      <c r="IB9" s="369">
        <f t="shared" si="31"/>
        <v>3</v>
      </c>
      <c r="IC9" s="369">
        <f t="shared" si="31"/>
        <v>5</v>
      </c>
      <c r="ID9" s="369">
        <v>1</v>
      </c>
      <c r="IE9" s="369">
        <f>PRODUCT(IA9:ID9)-40</f>
        <v>50</v>
      </c>
      <c r="IF9" s="369">
        <v>500</v>
      </c>
      <c r="IG9" s="369">
        <f t="shared" si="62"/>
        <v>0.43478260869565216</v>
      </c>
    </row>
    <row r="10" spans="1:388">
      <c r="A10">
        <v>419</v>
      </c>
      <c r="C10" t="s">
        <v>567</v>
      </c>
      <c r="D10" s="28" t="s">
        <v>1273</v>
      </c>
      <c r="E10" s="28" t="s">
        <v>1274</v>
      </c>
      <c r="F10" s="28" t="s">
        <v>2444</v>
      </c>
      <c r="G10" s="27" t="s">
        <v>90</v>
      </c>
      <c r="I10" s="27" t="s">
        <v>94</v>
      </c>
      <c r="J10" s="28">
        <v>21590</v>
      </c>
      <c r="K10" s="27" t="s">
        <v>397</v>
      </c>
      <c r="L10" s="27"/>
      <c r="M10" s="27"/>
      <c r="N10" s="27" t="s">
        <v>4907</v>
      </c>
      <c r="O10" s="27" t="s">
        <v>1877</v>
      </c>
      <c r="P10" s="370">
        <v>44971</v>
      </c>
      <c r="Q10" s="27"/>
      <c r="R10" s="27"/>
      <c r="S10" s="370"/>
      <c r="T10" s="369"/>
      <c r="U10" s="370"/>
      <c r="V10" s="369"/>
      <c r="W10" s="370" t="s">
        <v>1765</v>
      </c>
    </row>
    <row r="11" spans="1:388">
      <c r="A11">
        <v>10</v>
      </c>
      <c r="B11" t="s">
        <v>468</v>
      </c>
      <c r="C11" s="115" t="s">
        <v>612</v>
      </c>
      <c r="D11" s="5" t="s">
        <v>113</v>
      </c>
      <c r="E11" s="5" t="s">
        <v>114</v>
      </c>
      <c r="F11" s="5" t="s">
        <v>2182</v>
      </c>
      <c r="G11" s="5" t="s">
        <v>102</v>
      </c>
      <c r="H11" s="5"/>
      <c r="I11" s="5" t="s">
        <v>94</v>
      </c>
      <c r="J11" s="5">
        <v>21591</v>
      </c>
      <c r="K11" s="5" t="s">
        <v>97</v>
      </c>
      <c r="L11" s="5"/>
      <c r="M11" s="5"/>
      <c r="N11" s="5"/>
      <c r="O11" s="5"/>
      <c r="P11" s="5"/>
      <c r="Q11" s="5" t="s">
        <v>1777</v>
      </c>
      <c r="R11" s="5" t="s">
        <v>1037</v>
      </c>
      <c r="S11" s="5"/>
      <c r="T11" s="5"/>
      <c r="U11" s="5"/>
      <c r="V11" s="29" t="s">
        <v>79</v>
      </c>
      <c r="W11" s="5"/>
      <c r="X11" s="5"/>
      <c r="Y11" s="5"/>
      <c r="Z11" s="5"/>
      <c r="AA11" s="48" t="s">
        <v>126</v>
      </c>
      <c r="AB11" s="340">
        <v>102</v>
      </c>
      <c r="AC11" s="1">
        <v>20</v>
      </c>
      <c r="AD11" s="48"/>
      <c r="AE11" s="7">
        <f>BA11</f>
        <v>13.42014</v>
      </c>
      <c r="AF11" s="7"/>
      <c r="AG11" s="7">
        <f>EU11</f>
        <v>1.918158567774936</v>
      </c>
      <c r="AH11" s="7">
        <f>DM11</f>
        <v>0</v>
      </c>
      <c r="AI11" s="7">
        <f>DO11</f>
        <v>0</v>
      </c>
      <c r="AJ11" s="7">
        <f>GW11</f>
        <v>3.8363171355498722E-2</v>
      </c>
      <c r="AK11" s="7">
        <f>GU11</f>
        <v>0.19172873209718672</v>
      </c>
      <c r="AL11" s="7">
        <f>GS11</f>
        <v>1.6872128424552431</v>
      </c>
      <c r="AM11" s="7">
        <f>HV11</f>
        <v>2.2916666666666665E-2</v>
      </c>
      <c r="AN11" s="7">
        <f>IG11</f>
        <v>4.1666666666666664E-2</v>
      </c>
      <c r="AO11" s="6">
        <v>0</v>
      </c>
      <c r="AP11" s="6"/>
      <c r="AQ11" s="7">
        <f>SUM(AE11:AO11)</f>
        <v>17.3201866470162</v>
      </c>
      <c r="AR11" s="7"/>
      <c r="AS11" s="7"/>
      <c r="AT11" s="6">
        <v>0</v>
      </c>
      <c r="AU11" s="6"/>
      <c r="AV11" s="7">
        <f>AQ11+AT11</f>
        <v>17.3201866470162</v>
      </c>
      <c r="AW11" s="24">
        <v>0.13156999999999999</v>
      </c>
      <c r="AX11" s="25">
        <f>125.57/1000</f>
        <v>0.12556999999999999</v>
      </c>
      <c r="AY11" s="8">
        <v>0</v>
      </c>
      <c r="AZ11">
        <f>(AW11-AX11)*AY11</f>
        <v>0</v>
      </c>
      <c r="BA11" s="20">
        <f>AW11*AB11-AZ11*AC11</f>
        <v>13.42014</v>
      </c>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E11">
        <v>0</v>
      </c>
      <c r="CF11">
        <v>0</v>
      </c>
      <c r="CG11">
        <v>0</v>
      </c>
      <c r="CH11">
        <f>CF11*CG11</f>
        <v>0</v>
      </c>
      <c r="DM11">
        <f>CH11+CM11+CR11+CW11+DB11+DG11+DG11+DL11</f>
        <v>0</v>
      </c>
      <c r="DN11" s="9">
        <v>1.2500000000000001E-2</v>
      </c>
      <c r="DO11" s="4">
        <f>DN11*DM11</f>
        <v>0</v>
      </c>
      <c r="DP11" s="4">
        <f>DM11+DO11</f>
        <v>0</v>
      </c>
      <c r="DQ11" s="4"/>
      <c r="DR11" s="4"/>
      <c r="DS11" s="4"/>
      <c r="DT11" s="4"/>
      <c r="DU11" s="4"/>
      <c r="DV11" s="4"/>
      <c r="DW11" s="4"/>
      <c r="DX11" s="4"/>
      <c r="DY11" s="4"/>
      <c r="DZ11" s="4"/>
      <c r="EA11" s="4"/>
      <c r="EB11" s="4"/>
      <c r="EC11" s="4"/>
      <c r="ED11" s="4"/>
      <c r="EE11" s="4"/>
      <c r="EF11">
        <v>150</v>
      </c>
      <c r="EG11">
        <v>1500</v>
      </c>
      <c r="EH11">
        <v>8</v>
      </c>
      <c r="EI11" s="8">
        <v>0.95</v>
      </c>
      <c r="EJ11">
        <v>2</v>
      </c>
      <c r="EK11">
        <v>70</v>
      </c>
      <c r="EL11" s="10">
        <f>ROUND(3600/EK11*EH11*EJ11*EI11,0)</f>
        <v>782</v>
      </c>
      <c r="EM11" s="4"/>
      <c r="EN11" s="4"/>
      <c r="EO11" s="4"/>
      <c r="EP11" s="4"/>
      <c r="EQ11" s="4"/>
      <c r="ER11" s="4"/>
      <c r="ES11" s="4"/>
      <c r="ET11" s="4"/>
      <c r="EU11" s="4">
        <f>EG11/EL11</f>
        <v>1.918158567774936</v>
      </c>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8">
        <v>0.11</v>
      </c>
      <c r="GS11" s="4">
        <f>GR11*(BA11+EU11)</f>
        <v>1.6872128424552431</v>
      </c>
      <c r="GT11" s="9">
        <v>1.2500000000000001E-2</v>
      </c>
      <c r="GU11" s="4">
        <f>GT11*(BA11+EU11)</f>
        <v>0.19172873209718672</v>
      </c>
      <c r="GV11" s="8">
        <v>0.02</v>
      </c>
      <c r="GW11" s="4">
        <f>GV11*EU11</f>
        <v>3.8363171355498722E-2</v>
      </c>
      <c r="GX11" s="4">
        <f>GS11+GU11+GW11</f>
        <v>1.9173047459079287</v>
      </c>
      <c r="GY11" s="13" t="s">
        <v>43</v>
      </c>
      <c r="GZ11" s="13" t="s">
        <v>87</v>
      </c>
      <c r="HA11" s="4">
        <v>650</v>
      </c>
      <c r="HB11" s="4">
        <v>450</v>
      </c>
      <c r="HC11">
        <v>315</v>
      </c>
      <c r="HD11">
        <v>200</v>
      </c>
      <c r="HE11">
        <v>800</v>
      </c>
      <c r="HF11" s="4">
        <f>ROUNDUP(HE11/HD11,0)</f>
        <v>4</v>
      </c>
      <c r="HG11">
        <v>5</v>
      </c>
      <c r="HH11" s="4">
        <f>HF11*HG11</f>
        <v>20</v>
      </c>
      <c r="HI11">
        <v>550</v>
      </c>
      <c r="HJ11" s="4">
        <f>HH11*HI11</f>
        <v>11000</v>
      </c>
      <c r="HK11" s="4"/>
      <c r="HL11" s="4"/>
      <c r="HM11" s="4">
        <v>2</v>
      </c>
      <c r="HN11" s="10">
        <f>HM11*12*25*HE11</f>
        <v>480000</v>
      </c>
      <c r="HO11" s="4">
        <f>IF(GY11="carton box",HI11/HD11,HJ11/HN11)</f>
        <v>2.2916666666666665E-2</v>
      </c>
      <c r="HP11" s="4">
        <v>160</v>
      </c>
      <c r="HQ11">
        <v>0</v>
      </c>
      <c r="HR11" s="4">
        <v>0</v>
      </c>
      <c r="HS11" s="4">
        <v>0</v>
      </c>
      <c r="HT11" s="4">
        <v>0</v>
      </c>
      <c r="HU11" s="4"/>
      <c r="HV11" s="4">
        <f>HO11+HT11</f>
        <v>2.2916666666666665E-2</v>
      </c>
      <c r="HW11" s="4"/>
      <c r="HX11" s="26">
        <f>9.5*307</f>
        <v>2916.5</v>
      </c>
      <c r="HY11" s="26">
        <f>5.5*307</f>
        <v>1688.5</v>
      </c>
      <c r="HZ11" s="26">
        <f>6*307</f>
        <v>1842</v>
      </c>
      <c r="IA11" s="4">
        <f t="shared" ref="IA11:IC12" si="63">ROUNDDOWN(HX11/HA11,0)</f>
        <v>4</v>
      </c>
      <c r="IB11" s="4">
        <f t="shared" si="63"/>
        <v>3</v>
      </c>
      <c r="IC11" s="4">
        <f t="shared" si="63"/>
        <v>5</v>
      </c>
      <c r="ID11" s="8">
        <v>0.9</v>
      </c>
      <c r="IE11" s="4">
        <v>60</v>
      </c>
      <c r="IF11" s="4">
        <v>500</v>
      </c>
      <c r="IG11" s="4">
        <f>IF11/(IE11*HD11)</f>
        <v>4.1666666666666664E-2</v>
      </c>
      <c r="IH11" s="4"/>
    </row>
    <row r="12" spans="1:388">
      <c r="A12">
        <v>11</v>
      </c>
      <c r="B12" t="s">
        <v>468</v>
      </c>
      <c r="C12" s="5" t="s">
        <v>1837</v>
      </c>
      <c r="D12" s="5" t="s">
        <v>115</v>
      </c>
      <c r="E12" s="5" t="s">
        <v>116</v>
      </c>
      <c r="F12" s="5" t="s">
        <v>2182</v>
      </c>
      <c r="G12" s="5" t="s">
        <v>108</v>
      </c>
      <c r="H12" s="5"/>
      <c r="I12" s="5" t="s">
        <v>94</v>
      </c>
      <c r="J12" s="5">
        <v>21591</v>
      </c>
      <c r="K12" s="5" t="s">
        <v>97</v>
      </c>
      <c r="L12" s="5"/>
      <c r="M12" s="5"/>
      <c r="N12" s="5"/>
      <c r="O12" s="5"/>
      <c r="P12" s="5"/>
      <c r="Q12" s="5" t="s">
        <v>1777</v>
      </c>
      <c r="R12" s="5" t="s">
        <v>1037</v>
      </c>
      <c r="S12" s="5"/>
      <c r="T12" s="5"/>
      <c r="U12" s="5"/>
      <c r="V12" s="29" t="s">
        <v>79</v>
      </c>
      <c r="W12" s="5" t="s">
        <v>426</v>
      </c>
      <c r="X12" s="5"/>
      <c r="Y12" s="5"/>
      <c r="Z12" s="5"/>
      <c r="AA12" s="85" t="s">
        <v>541</v>
      </c>
      <c r="AB12" s="341">
        <v>102</v>
      </c>
      <c r="AC12">
        <f>AB12-5</f>
        <v>97</v>
      </c>
      <c r="AD12"/>
      <c r="AE12" s="7">
        <f>BA12</f>
        <v>8.7975000000000012</v>
      </c>
      <c r="AF12" s="7"/>
      <c r="AG12" s="7">
        <f>EU12</f>
        <v>1.918158567774936</v>
      </c>
      <c r="AH12" s="7">
        <f>DP12</f>
        <v>7.13</v>
      </c>
      <c r="AI12" s="7">
        <f>DO12</f>
        <v>0</v>
      </c>
      <c r="AJ12" s="7">
        <f>GW12</f>
        <v>3.8363171355498722E-2</v>
      </c>
      <c r="AK12" s="7">
        <f>GU12</f>
        <v>0.13394573209718671</v>
      </c>
      <c r="AL12" s="7">
        <f>GS12</f>
        <v>1.1787224424552432</v>
      </c>
      <c r="AM12" s="7">
        <f>HV12</f>
        <v>2.2916666666666665E-2</v>
      </c>
      <c r="AN12" s="7">
        <f>IG12</f>
        <v>4.6296296296296294E-2</v>
      </c>
      <c r="AO12" s="6">
        <v>0</v>
      </c>
      <c r="AP12" s="6"/>
      <c r="AQ12" s="7">
        <f>SUM(AE12:AO12)</f>
        <v>19.265902876645828</v>
      </c>
      <c r="AR12" s="7"/>
      <c r="AS12" s="7"/>
      <c r="AT12" s="7"/>
      <c r="AU12" s="7"/>
      <c r="AV12" s="7">
        <f>AQ12</f>
        <v>19.265902876645828</v>
      </c>
      <c r="AW12" s="74">
        <v>8.6250000000000007E-2</v>
      </c>
      <c r="AX12">
        <v>8.0250000000000002E-2</v>
      </c>
      <c r="AY12" s="8">
        <v>0</v>
      </c>
      <c r="AZ12" s="55">
        <f>(AW12-AX12)*AY12</f>
        <v>0</v>
      </c>
      <c r="BA12" s="4">
        <f>AW12*AB12-(AZ12*AC12)*AY12</f>
        <v>8.7975000000000012</v>
      </c>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E12">
        <v>0</v>
      </c>
      <c r="CF12">
        <v>1</v>
      </c>
      <c r="CG12">
        <v>7.13</v>
      </c>
      <c r="DN12" s="9">
        <v>0</v>
      </c>
      <c r="DO12" s="4">
        <f>DN12*CG12*CF12</f>
        <v>0</v>
      </c>
      <c r="DP12" s="4">
        <f>CG12*CF12</f>
        <v>7.13</v>
      </c>
      <c r="DQ12" s="4"/>
      <c r="DR12" s="4"/>
      <c r="DS12" s="4"/>
      <c r="DT12" s="4"/>
      <c r="DU12" s="4"/>
      <c r="DV12" s="4"/>
      <c r="DW12" s="4"/>
      <c r="DX12" s="4"/>
      <c r="DY12" s="4"/>
      <c r="DZ12" s="4"/>
      <c r="EA12" s="4"/>
      <c r="EB12" s="4"/>
      <c r="EC12" s="4"/>
      <c r="ED12" s="4"/>
      <c r="EE12" s="4"/>
      <c r="EF12">
        <v>150</v>
      </c>
      <c r="EG12">
        <v>1500</v>
      </c>
      <c r="EH12">
        <v>8</v>
      </c>
      <c r="EI12" s="8">
        <v>0.95</v>
      </c>
      <c r="EJ12">
        <v>2</v>
      </c>
      <c r="EK12">
        <v>70</v>
      </c>
      <c r="EL12" s="10">
        <f>ROUND(3600/EK12*EH12*EJ12*EI12,0)</f>
        <v>782</v>
      </c>
      <c r="EM12" s="10"/>
      <c r="EN12" s="10"/>
      <c r="EO12" s="10"/>
      <c r="EP12" s="10"/>
      <c r="EQ12" s="10"/>
      <c r="ER12" s="10"/>
      <c r="ES12" s="10"/>
      <c r="ET12" s="10"/>
      <c r="EU12" s="4">
        <f>EG12/EL12</f>
        <v>1.918158567774936</v>
      </c>
      <c r="EV12" s="4"/>
      <c r="EW12" s="4"/>
      <c r="GR12" s="8">
        <v>0.11</v>
      </c>
      <c r="GS12" s="4">
        <f>GR12*(BA12+EU12)</f>
        <v>1.1787224424552432</v>
      </c>
      <c r="GT12" s="9">
        <v>1.2500000000000001E-2</v>
      </c>
      <c r="GU12" s="4">
        <f>GT12*(BA12+EU12)</f>
        <v>0.13394573209718671</v>
      </c>
      <c r="GV12" s="8">
        <v>0.02</v>
      </c>
      <c r="GW12" s="4">
        <f>GV12*EU12</f>
        <v>3.8363171355498722E-2</v>
      </c>
      <c r="GX12" s="4">
        <f>GS12+GU12+GW12</f>
        <v>1.3510313459079286</v>
      </c>
      <c r="GY12" t="s">
        <v>43</v>
      </c>
      <c r="GZ12" t="s">
        <v>87</v>
      </c>
      <c r="HA12" s="75">
        <v>650</v>
      </c>
      <c r="HB12" s="75">
        <v>450</v>
      </c>
      <c r="HC12" s="76">
        <v>315</v>
      </c>
      <c r="HD12">
        <v>200</v>
      </c>
      <c r="HE12">
        <v>800</v>
      </c>
      <c r="HF12" s="4">
        <f>ROUNDUP(HE12/HD12,0)</f>
        <v>4</v>
      </c>
      <c r="HG12">
        <v>5</v>
      </c>
      <c r="HH12" s="4">
        <f>HF12*HG12</f>
        <v>20</v>
      </c>
      <c r="HI12">
        <v>550</v>
      </c>
      <c r="HJ12" s="4">
        <f>HH12*HI12</f>
        <v>11000</v>
      </c>
      <c r="HK12" s="4"/>
      <c r="HL12" s="4"/>
      <c r="HM12" s="4">
        <v>2</v>
      </c>
      <c r="HN12" s="10">
        <f>HM12*12*25*HE12</f>
        <v>480000</v>
      </c>
      <c r="HO12" s="4">
        <f>IF(GY12="carton box",HI12/HD12,HJ12/HN12)</f>
        <v>2.2916666666666665E-2</v>
      </c>
      <c r="HP12" s="4">
        <v>160</v>
      </c>
      <c r="HQ12">
        <v>0</v>
      </c>
      <c r="HR12" s="4">
        <v>0</v>
      </c>
      <c r="HS12" s="4">
        <v>0</v>
      </c>
      <c r="HT12" s="4">
        <v>0</v>
      </c>
      <c r="HU12" s="4"/>
      <c r="HV12" s="4">
        <f>HO12+HT12</f>
        <v>2.2916666666666665E-2</v>
      </c>
      <c r="HW12" s="4"/>
      <c r="HX12" s="75">
        <f>9.5*307</f>
        <v>2916.5</v>
      </c>
      <c r="HY12" s="75">
        <f>5.5*307</f>
        <v>1688.5</v>
      </c>
      <c r="HZ12" s="76">
        <f>6*307</f>
        <v>1842</v>
      </c>
      <c r="IA12" s="4">
        <f t="shared" si="63"/>
        <v>4</v>
      </c>
      <c r="IB12" s="4">
        <f t="shared" si="63"/>
        <v>3</v>
      </c>
      <c r="IC12" s="4">
        <f t="shared" si="63"/>
        <v>5</v>
      </c>
      <c r="ID12" s="8">
        <v>0.9</v>
      </c>
      <c r="IE12" s="4">
        <f>ROUND(PRODUCT(IA12:ID12),0)</f>
        <v>54</v>
      </c>
      <c r="IF12" s="4">
        <v>500</v>
      </c>
      <c r="IG12" s="4">
        <f>IF12/(IE12*HD12)</f>
        <v>4.6296296296296294E-2</v>
      </c>
      <c r="IH12" s="4"/>
    </row>
    <row r="13" spans="1:388">
      <c r="A13">
        <v>12</v>
      </c>
      <c r="B13" t="s">
        <v>468</v>
      </c>
      <c r="C13" t="s">
        <v>522</v>
      </c>
      <c r="D13" s="5" t="s">
        <v>117</v>
      </c>
      <c r="E13" s="5" t="s">
        <v>118</v>
      </c>
      <c r="F13" s="5" t="s">
        <v>2182</v>
      </c>
      <c r="G13" s="5" t="s">
        <v>122</v>
      </c>
      <c r="H13" s="5"/>
      <c r="I13" s="5" t="s">
        <v>121</v>
      </c>
      <c r="J13" s="5">
        <v>21480</v>
      </c>
      <c r="K13" s="5" t="s">
        <v>97</v>
      </c>
      <c r="L13" s="5"/>
      <c r="M13" s="5"/>
      <c r="N13" s="5"/>
      <c r="O13" s="5"/>
      <c r="P13" s="5"/>
      <c r="Q13" s="5" t="s">
        <v>1033</v>
      </c>
      <c r="R13" s="5" t="s">
        <v>1194</v>
      </c>
      <c r="S13" s="5"/>
      <c r="T13" s="5"/>
      <c r="U13" s="5"/>
      <c r="V13" s="29" t="s">
        <v>79</v>
      </c>
      <c r="W13" s="5"/>
      <c r="X13" s="5"/>
      <c r="Y13" s="5"/>
      <c r="Z13" s="5"/>
      <c r="AA13" s="56" t="s">
        <v>499</v>
      </c>
      <c r="AB13" s="57">
        <v>236.5</v>
      </c>
      <c r="AC13">
        <v>20</v>
      </c>
      <c r="AD13" t="s">
        <v>272</v>
      </c>
      <c r="AE13" s="7">
        <f>BA13</f>
        <v>1.6154999999999999</v>
      </c>
      <c r="AF13" s="7"/>
      <c r="AG13" s="7">
        <f>EU13</f>
        <v>0.49342105263157893</v>
      </c>
      <c r="AH13" s="7">
        <f>DM13</f>
        <v>0.2</v>
      </c>
      <c r="AI13" s="7">
        <f>DO13</f>
        <v>0</v>
      </c>
      <c r="AJ13" s="7">
        <f>GW13</f>
        <v>9.8684210526315784E-3</v>
      </c>
      <c r="AK13" s="7">
        <f>GU13</f>
        <v>2.6361513157894735E-2</v>
      </c>
      <c r="AL13" s="7">
        <f>GS13</f>
        <v>0.23198131578947365</v>
      </c>
      <c r="AM13" s="7">
        <f>HV13</f>
        <v>2.2916666666666665E-2</v>
      </c>
      <c r="AN13" s="7">
        <f>IG13</f>
        <v>1.6666666666666666E-2</v>
      </c>
      <c r="AO13" s="7">
        <f>EY13</f>
        <v>0.19808222222222222</v>
      </c>
      <c r="AP13" s="7"/>
      <c r="AQ13" s="7">
        <f>SUM(AE13:AO13)</f>
        <v>2.8147978581871342</v>
      </c>
      <c r="AR13" s="7"/>
      <c r="AS13" s="7"/>
      <c r="AT13" s="7">
        <f>IJ13</f>
        <v>0</v>
      </c>
      <c r="AU13" s="6">
        <v>0</v>
      </c>
      <c r="AV13" s="7">
        <f>AQ13+AT13+AU13</f>
        <v>2.8147978581871342</v>
      </c>
      <c r="AW13">
        <v>7.0000000000000001E-3</v>
      </c>
      <c r="AX13">
        <v>5.0000000000000001E-3</v>
      </c>
      <c r="AY13" s="8">
        <v>1</v>
      </c>
      <c r="AZ13">
        <f>(AW13-AX13)*AY13</f>
        <v>2E-3</v>
      </c>
      <c r="BA13" s="4">
        <f>AW13*AB13-AZ13*AC13</f>
        <v>1.6154999999999999</v>
      </c>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v>0</v>
      </c>
      <c r="CF13" s="4">
        <v>1</v>
      </c>
      <c r="CG13" s="45">
        <v>0.2</v>
      </c>
      <c r="CH13" s="4">
        <f>CF13*CG13</f>
        <v>0.2</v>
      </c>
      <c r="CI13" s="4"/>
      <c r="CJ13" s="4"/>
      <c r="CK13" s="57"/>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f>CH13+CM13+CR13+CW13+DB13+DG13+DL13</f>
        <v>0.2</v>
      </c>
      <c r="DN13" s="9">
        <v>0</v>
      </c>
      <c r="DO13" s="4">
        <v>0</v>
      </c>
      <c r="DP13" s="4">
        <f>DM13+DO13</f>
        <v>0.2</v>
      </c>
      <c r="DQ13" s="4"/>
      <c r="DR13" s="4"/>
      <c r="DS13" s="4"/>
      <c r="DT13" s="4"/>
      <c r="DU13" s="4"/>
      <c r="DV13" s="4"/>
      <c r="DW13" s="4"/>
      <c r="DX13" s="4"/>
      <c r="DY13" s="4"/>
      <c r="DZ13" s="4"/>
      <c r="EA13" s="4"/>
      <c r="EB13" s="4"/>
      <c r="EC13" s="4"/>
      <c r="ED13" s="4"/>
      <c r="EE13" s="4"/>
      <c r="EF13" s="4">
        <v>120</v>
      </c>
      <c r="EG13" s="4">
        <v>1200</v>
      </c>
      <c r="EH13" s="4">
        <v>8</v>
      </c>
      <c r="EI13" s="8">
        <v>0.95</v>
      </c>
      <c r="EJ13" s="10">
        <v>4</v>
      </c>
      <c r="EK13" s="10">
        <v>45</v>
      </c>
      <c r="EL13" s="10">
        <f>ROUND(3600/EK13*EH13*EJ13*EI13,0)</f>
        <v>2432</v>
      </c>
      <c r="EM13" s="10"/>
      <c r="EN13" s="10"/>
      <c r="EO13" s="10"/>
      <c r="EP13" s="10"/>
      <c r="EQ13" s="10"/>
      <c r="ER13" s="10"/>
      <c r="ES13" s="10"/>
      <c r="ET13" s="10"/>
      <c r="EU13" s="4">
        <f>EG13/EL13</f>
        <v>0.49342105263157893</v>
      </c>
      <c r="EV13" s="4"/>
      <c r="EW13" s="4"/>
      <c r="EX13" s="4">
        <v>0</v>
      </c>
      <c r="EY13" s="4">
        <f>178274/(3000*300)</f>
        <v>0.19808222222222222</v>
      </c>
      <c r="EZ13" s="4"/>
      <c r="FA13" s="4">
        <v>0</v>
      </c>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8">
        <v>0.11</v>
      </c>
      <c r="GS13" s="4">
        <f>GR13*(BA13+EU13)</f>
        <v>0.23198131578947365</v>
      </c>
      <c r="GT13" s="9">
        <v>1.2500000000000001E-2</v>
      </c>
      <c r="GU13" s="4">
        <f>GT13*(BA13+EU13)</f>
        <v>2.6361513157894735E-2</v>
      </c>
      <c r="GV13" s="8">
        <v>0.02</v>
      </c>
      <c r="GW13" s="4">
        <f>GV13*EU13</f>
        <v>9.8684210526315784E-3</v>
      </c>
      <c r="GX13" s="4">
        <f>GS13+GU13+GW13</f>
        <v>0.26821124999999996</v>
      </c>
      <c r="GY13" s="4" t="s">
        <v>43</v>
      </c>
      <c r="GZ13" s="4" t="s">
        <v>61</v>
      </c>
      <c r="HA13" s="4">
        <v>650</v>
      </c>
      <c r="HB13" s="4">
        <v>450</v>
      </c>
      <c r="HC13" s="4">
        <v>480</v>
      </c>
      <c r="HD13" s="4">
        <v>500</v>
      </c>
      <c r="HE13" s="4">
        <v>200</v>
      </c>
      <c r="HF13" s="4">
        <f>ROUNDUP(HE13/HD13,0)</f>
        <v>1</v>
      </c>
      <c r="HG13" s="10">
        <v>5</v>
      </c>
      <c r="HH13" s="4">
        <v>5</v>
      </c>
      <c r="HI13" s="4">
        <v>550</v>
      </c>
      <c r="HJ13" s="4">
        <f>HH13*HI13</f>
        <v>2750</v>
      </c>
      <c r="HK13" s="4"/>
      <c r="HL13" s="4"/>
      <c r="HM13" s="4">
        <v>2</v>
      </c>
      <c r="HN13" s="10">
        <f>HM13*12*25*HE13</f>
        <v>120000</v>
      </c>
      <c r="HO13" s="4">
        <f>IF(GY13="carton box",HI13/HD13,HJ13/HN13)</f>
        <v>2.2916666666666665E-2</v>
      </c>
      <c r="HP13" s="4">
        <v>160</v>
      </c>
      <c r="HQ13" s="4">
        <v>0</v>
      </c>
      <c r="HR13" s="4">
        <v>0</v>
      </c>
      <c r="HS13" s="4">
        <v>0</v>
      </c>
      <c r="HT13" s="4">
        <v>0</v>
      </c>
      <c r="HU13" s="4"/>
      <c r="HV13" s="4">
        <f>HO13+HT13</f>
        <v>2.2916666666666665E-2</v>
      </c>
      <c r="HW13" s="4"/>
      <c r="HX13" s="4">
        <v>2917</v>
      </c>
      <c r="HY13" s="4">
        <v>1689</v>
      </c>
      <c r="HZ13" s="4">
        <v>1842</v>
      </c>
      <c r="IA13" s="4">
        <f>ROUNDDOWN(HX13/HA13,0)</f>
        <v>4</v>
      </c>
      <c r="IB13" s="4">
        <f>ROUNDDOWN(HY13/HB13,0)</f>
        <v>3</v>
      </c>
      <c r="IC13" s="4">
        <f>ROUNDDOWN(HZ13/HC13,0)+2</f>
        <v>5</v>
      </c>
      <c r="ID13" s="8">
        <v>1</v>
      </c>
      <c r="IE13" s="4">
        <v>60</v>
      </c>
      <c r="IF13" s="4">
        <v>500</v>
      </c>
      <c r="IG13" s="4">
        <f>IF13/(IE13*HD13)</f>
        <v>1.6666666666666666E-2</v>
      </c>
      <c r="IH13" s="4"/>
    </row>
    <row r="14" spans="1:388" ht="25.5">
      <c r="A14">
        <v>420</v>
      </c>
      <c r="B14" t="s">
        <v>468</v>
      </c>
      <c r="C14" s="27" t="s">
        <v>4915</v>
      </c>
      <c r="D14" s="28" t="s">
        <v>1273</v>
      </c>
      <c r="E14" s="28" t="s">
        <v>1274</v>
      </c>
      <c r="F14" s="28" t="s">
        <v>2182</v>
      </c>
      <c r="G14" s="27" t="s">
        <v>90</v>
      </c>
      <c r="I14" s="27" t="s">
        <v>226</v>
      </c>
      <c r="J14" s="28">
        <v>21590</v>
      </c>
      <c r="K14" s="27" t="s">
        <v>397</v>
      </c>
      <c r="L14" s="27"/>
      <c r="M14" s="27"/>
      <c r="N14" s="27"/>
      <c r="O14" s="27"/>
      <c r="P14" s="370"/>
      <c r="Q14" s="27" t="s">
        <v>1035</v>
      </c>
      <c r="R14" s="27" t="s">
        <v>1194</v>
      </c>
      <c r="S14" s="370">
        <v>44570</v>
      </c>
      <c r="T14" s="369" t="s">
        <v>4555</v>
      </c>
      <c r="U14" s="370">
        <v>44595</v>
      </c>
      <c r="V14" s="369"/>
      <c r="W14" s="444" t="s">
        <v>4908</v>
      </c>
      <c r="X14" s="444"/>
      <c r="Y14" s="444"/>
      <c r="Z14" s="444"/>
      <c r="AA14" s="369" t="s">
        <v>4909</v>
      </c>
      <c r="AB14" s="369">
        <v>0</v>
      </c>
      <c r="AC14" s="369">
        <v>0</v>
      </c>
      <c r="AD14" s="369"/>
      <c r="AE14" s="396">
        <f t="shared" ref="AE14:AE15" si="64">BA14</f>
        <v>0</v>
      </c>
      <c r="AF14" s="391">
        <f>DU14+DZ14+EE14</f>
        <v>182.64948869039353</v>
      </c>
      <c r="AG14" s="391">
        <f t="shared" ref="AG14:AG15" si="65">EU14</f>
        <v>11.851851851851851</v>
      </c>
      <c r="AH14" s="369">
        <f t="shared" ref="AH14:AH15" si="66">DM14</f>
        <v>0</v>
      </c>
      <c r="AI14" s="369">
        <f t="shared" ref="AI14:AI15" si="67">DO14</f>
        <v>0</v>
      </c>
      <c r="AJ14" s="391">
        <f t="shared" ref="AJ14:AJ15" si="68">GW14</f>
        <v>0.23703703703703702</v>
      </c>
      <c r="AK14" s="391">
        <f t="shared" ref="AK14:AK15" si="69">GU14</f>
        <v>0.14814814814814814</v>
      </c>
      <c r="AL14" s="391">
        <f t="shared" ref="AL14:AL15" si="70">GS14</f>
        <v>1.3037037037037036</v>
      </c>
      <c r="AM14" s="369">
        <f t="shared" ref="AM14:AM15" si="71">HV14</f>
        <v>3.9899999999999998</v>
      </c>
      <c r="AN14" s="369">
        <f t="shared" ref="AN14:AN15" si="72">IG14</f>
        <v>7.31</v>
      </c>
      <c r="AO14" s="369">
        <f t="shared" ref="AO14:AO15" si="73">EY14</f>
        <v>0</v>
      </c>
      <c r="AP14" s="369"/>
      <c r="AQ14" s="391">
        <f t="shared" ref="AQ14:AQ15" si="74">SUM(AE14:AO14)</f>
        <v>207.49022943113425</v>
      </c>
      <c r="AR14" s="369">
        <f t="shared" ref="AR14:AR15" si="75">IJ14</f>
        <v>0</v>
      </c>
      <c r="AS14" s="369">
        <f t="shared" ref="AS14:AS15" si="76">EO14</f>
        <v>0</v>
      </c>
      <c r="AT14" s="369">
        <v>0</v>
      </c>
      <c r="AU14" s="369">
        <v>0</v>
      </c>
      <c r="AV14" s="391">
        <f t="shared" ref="AV14:AV15" si="77">AQ14+AT14+AU14+AR14+AS14</f>
        <v>207.49022943113425</v>
      </c>
      <c r="AW14" s="369">
        <v>0</v>
      </c>
      <c r="AX14" s="369">
        <v>0</v>
      </c>
      <c r="AY14" s="369">
        <v>0</v>
      </c>
      <c r="AZ14" s="369">
        <f t="shared" ref="AZ14:AZ15" si="78">(AW14-AX14)*AY14</f>
        <v>0</v>
      </c>
      <c r="BA14" s="369">
        <f t="shared" ref="BA14:BA15" si="79">AW14*AB14-AZ14*AC14</f>
        <v>0</v>
      </c>
      <c r="BB14" s="369"/>
      <c r="BC14" s="369"/>
      <c r="BD14" s="369"/>
      <c r="BE14" s="369"/>
      <c r="BF14" s="369"/>
      <c r="BG14" s="369"/>
      <c r="BH14" s="369"/>
      <c r="BI14" s="369"/>
      <c r="BJ14" s="369"/>
      <c r="BK14" s="369"/>
      <c r="BL14" s="369"/>
      <c r="BM14" s="369"/>
      <c r="BN14" s="369"/>
      <c r="BO14" s="369"/>
      <c r="BP14" s="369"/>
      <c r="BQ14" s="369"/>
      <c r="BR14" s="369"/>
      <c r="BS14" s="369"/>
      <c r="BT14" s="369"/>
      <c r="BU14" s="369"/>
      <c r="BV14" s="369"/>
      <c r="BW14" s="369"/>
      <c r="BX14" s="369"/>
      <c r="BY14" s="369"/>
      <c r="BZ14" s="369"/>
      <c r="CA14" s="369"/>
      <c r="CB14" s="369"/>
      <c r="CC14" s="369"/>
      <c r="CD14" s="369"/>
      <c r="CE14" s="369"/>
      <c r="CF14" s="369"/>
      <c r="CG14" s="369"/>
      <c r="CH14" s="369"/>
      <c r="CI14" s="369"/>
      <c r="CJ14" s="369"/>
      <c r="CK14" s="369"/>
      <c r="CL14" s="369"/>
      <c r="CM14" s="369"/>
      <c r="CN14" s="369"/>
      <c r="CO14" s="369"/>
      <c r="CP14" s="369"/>
      <c r="CQ14" s="369"/>
      <c r="CR14" s="369"/>
      <c r="CS14" s="369"/>
      <c r="CT14" s="369"/>
      <c r="CU14" s="369"/>
      <c r="CV14" s="369"/>
      <c r="CW14" s="369"/>
      <c r="CX14" s="369"/>
      <c r="CY14" s="369"/>
      <c r="CZ14" s="369"/>
      <c r="DA14" s="369"/>
      <c r="DB14" s="369"/>
      <c r="DC14" s="369"/>
      <c r="DD14" s="369"/>
      <c r="DE14" s="369"/>
      <c r="DF14" s="369"/>
      <c r="DG14" s="369"/>
      <c r="DH14" s="369"/>
      <c r="DI14" s="369"/>
      <c r="DJ14" s="369"/>
      <c r="DK14" s="369"/>
      <c r="DL14" s="369"/>
      <c r="DM14" s="369">
        <f>CH14+CM14+CR14+CW14+DB14+DG14+DL14</f>
        <v>0</v>
      </c>
      <c r="DN14" s="369">
        <v>1.2500000000000001E-2</v>
      </c>
      <c r="DO14" s="369">
        <f t="shared" ref="DO14" si="80">(DM14*DN14)</f>
        <v>0</v>
      </c>
      <c r="DP14" s="369">
        <f t="shared" ref="DP14:DP15" si="81">DM14+DO14</f>
        <v>0</v>
      </c>
      <c r="DQ14" s="369" t="s">
        <v>4910</v>
      </c>
      <c r="DR14" s="369" t="s">
        <v>4911</v>
      </c>
      <c r="DS14" s="369">
        <v>1</v>
      </c>
      <c r="DT14" s="369">
        <f>KN14</f>
        <v>161.21924876131686</v>
      </c>
      <c r="DU14" s="369">
        <f t="shared" ref="DU14" si="82">DS14*DT14</f>
        <v>161.21924876131686</v>
      </c>
      <c r="DV14" s="369" t="s">
        <v>4912</v>
      </c>
      <c r="DW14" s="369" t="s">
        <v>4913</v>
      </c>
      <c r="DX14" s="369">
        <v>1</v>
      </c>
      <c r="DY14" s="369">
        <f>LY14</f>
        <v>3.9821052806712962</v>
      </c>
      <c r="DZ14" s="369">
        <f t="shared" ref="DZ14" si="83">DX14*DY14</f>
        <v>3.9821052806712962</v>
      </c>
      <c r="EA14" s="369"/>
      <c r="EB14" s="369" t="s">
        <v>296</v>
      </c>
      <c r="EC14" s="369">
        <v>1</v>
      </c>
      <c r="ED14" s="369">
        <f>NX14</f>
        <v>17.448134648405347</v>
      </c>
      <c r="EE14" s="369">
        <f>EC14*ED14</f>
        <v>17.448134648405347</v>
      </c>
      <c r="EF14" s="369"/>
      <c r="EG14" s="369"/>
      <c r="EH14" s="369"/>
      <c r="EI14" s="369"/>
      <c r="EJ14" s="369"/>
      <c r="EK14" s="369"/>
      <c r="EL14" s="369"/>
      <c r="EM14" s="369"/>
      <c r="EN14" s="369"/>
      <c r="EO14" s="369"/>
      <c r="EP14" s="369"/>
      <c r="EQ14" s="369"/>
      <c r="ER14" s="369"/>
      <c r="ES14" s="369"/>
      <c r="ET14" s="369"/>
      <c r="EU14" s="369">
        <f>EX14</f>
        <v>11.851851851851851</v>
      </c>
      <c r="EV14" s="369"/>
      <c r="EW14" s="369"/>
      <c r="EX14" s="369">
        <f>3600/(3600/80*7.5*0.9)</f>
        <v>11.851851851851851</v>
      </c>
      <c r="EY14" s="369"/>
      <c r="EZ14" s="369"/>
      <c r="FA14" s="369"/>
      <c r="FB14" s="369"/>
      <c r="FC14" s="369"/>
      <c r="FD14" s="369"/>
      <c r="FE14" s="369"/>
      <c r="FF14" s="369"/>
      <c r="FG14" s="369"/>
      <c r="FH14" s="369"/>
      <c r="FI14" s="369"/>
      <c r="FJ14" s="369"/>
      <c r="FK14" s="369"/>
      <c r="FL14" s="369"/>
      <c r="FM14" s="369"/>
      <c r="FN14" s="369"/>
      <c r="FO14" s="369"/>
      <c r="FP14" s="369"/>
      <c r="FQ14" s="369"/>
      <c r="FR14" s="369"/>
      <c r="FS14" s="369"/>
      <c r="FT14" s="369"/>
      <c r="FU14" s="369"/>
      <c r="FV14" s="369"/>
      <c r="FW14" s="369"/>
      <c r="FX14" s="369"/>
      <c r="FY14" s="369"/>
      <c r="FZ14" s="369"/>
      <c r="GA14" s="369"/>
      <c r="GB14" s="369"/>
      <c r="GC14" s="369"/>
      <c r="GD14" s="369"/>
      <c r="GE14" s="369"/>
      <c r="GF14" s="369"/>
      <c r="GG14" s="369"/>
      <c r="GH14" s="369"/>
      <c r="GI14" s="369"/>
      <c r="GJ14" s="369"/>
      <c r="GK14" s="369"/>
      <c r="GL14" s="369"/>
      <c r="GM14" s="369"/>
      <c r="GN14" s="369"/>
      <c r="GO14" s="369"/>
      <c r="GP14" s="369"/>
      <c r="GQ14" s="369"/>
      <c r="GR14" s="369">
        <v>0.11</v>
      </c>
      <c r="GS14" s="369">
        <f>GR14*(BA14+EU14)</f>
        <v>1.3037037037037036</v>
      </c>
      <c r="GT14" s="369">
        <v>1.2500000000000001E-2</v>
      </c>
      <c r="GU14" s="369">
        <f>GT14*(EU14+BA14)</f>
        <v>0.14814814814814814</v>
      </c>
      <c r="GV14" s="369">
        <v>0.02</v>
      </c>
      <c r="GW14" s="369">
        <f>GV14*(EU14-EP14-EQ14)</f>
        <v>0.23703703703703702</v>
      </c>
      <c r="GX14" s="369">
        <f t="shared" ref="GX14:GX15" si="84">GS14+GU14+GW14</f>
        <v>1.6888888888888887</v>
      </c>
      <c r="GY14" s="369" t="s">
        <v>130</v>
      </c>
      <c r="GZ14" s="369" t="s">
        <v>130</v>
      </c>
      <c r="HA14" s="369">
        <v>1100</v>
      </c>
      <c r="HB14" s="369">
        <v>1000</v>
      </c>
      <c r="HC14" s="369">
        <v>1800</v>
      </c>
      <c r="HD14" s="369">
        <v>24</v>
      </c>
      <c r="HE14" s="369">
        <v>400</v>
      </c>
      <c r="HF14" s="369">
        <f t="shared" ref="HF14:HF15" si="85">ROUNDUP(HE14/HD14,0)</f>
        <v>17</v>
      </c>
      <c r="HG14" s="369">
        <v>5</v>
      </c>
      <c r="HH14" s="369">
        <f t="shared" ref="HH14:HH15" si="86">HF14*HG14</f>
        <v>85</v>
      </c>
      <c r="HI14" s="369">
        <v>16500</v>
      </c>
      <c r="HJ14" s="369">
        <f t="shared" ref="HJ14:HJ15" si="87">HH14*HI14</f>
        <v>1402500</v>
      </c>
      <c r="HK14" s="369"/>
      <c r="HL14" s="369"/>
      <c r="HM14" s="369">
        <v>3</v>
      </c>
      <c r="HN14" s="369">
        <f t="shared" ref="HN14:HN15" si="88">HM14*12*25*HE14</f>
        <v>360000</v>
      </c>
      <c r="HO14" s="369">
        <f t="shared" ref="HO14" si="89">(IF(GY14="carton box",HI14/HD14,HJ14/HN14))</f>
        <v>3.8958333333333335</v>
      </c>
      <c r="HP14" s="369">
        <v>160</v>
      </c>
      <c r="HQ14" s="369">
        <v>0</v>
      </c>
      <c r="HR14" s="369">
        <v>0.09</v>
      </c>
      <c r="HS14" s="369">
        <v>1</v>
      </c>
      <c r="HT14" s="369">
        <f t="shared" ref="HT14:HT15" si="90">IF(ISERROR(HR14/HS14),0,HR14/HS14)</f>
        <v>0.09</v>
      </c>
      <c r="HU14" s="447"/>
      <c r="HV14" s="369">
        <f>ROUNDUP(HO14+HT14,2)</f>
        <v>3.9899999999999998</v>
      </c>
      <c r="HW14" s="369"/>
      <c r="HX14" s="369">
        <v>4200</v>
      </c>
      <c r="HY14" s="369">
        <v>1900</v>
      </c>
      <c r="HZ14" s="369">
        <v>1975</v>
      </c>
      <c r="IA14" s="369">
        <f t="shared" ref="IA14:IC15" si="91">ROUNDDOWN(HX14/HA14,0)</f>
        <v>3</v>
      </c>
      <c r="IB14" s="369">
        <f t="shared" si="91"/>
        <v>1</v>
      </c>
      <c r="IC14" s="369">
        <f t="shared" si="91"/>
        <v>1</v>
      </c>
      <c r="ID14" s="369">
        <v>0.95</v>
      </c>
      <c r="IE14" s="369">
        <f t="shared" ref="IE14:IE15" si="92">PRODUCT(IA14:ID14)</f>
        <v>2.8499999999999996</v>
      </c>
      <c r="IF14" s="369">
        <v>500</v>
      </c>
      <c r="IG14" s="369">
        <f t="shared" ref="IG14:IG15" si="93">ROUNDUP(IF14/(IE14*HD14),2)</f>
        <v>7.31</v>
      </c>
      <c r="IH14" s="369"/>
      <c r="II14" s="369"/>
      <c r="IJ14" s="369"/>
      <c r="IK14" s="369" t="s">
        <v>440</v>
      </c>
      <c r="IL14" s="369">
        <v>110.86</v>
      </c>
      <c r="IM14" s="369">
        <v>20</v>
      </c>
      <c r="IN14" s="369"/>
      <c r="IO14" s="369">
        <v>0.98</v>
      </c>
      <c r="IP14" s="369">
        <v>0.98</v>
      </c>
      <c r="IQ14" s="392">
        <v>0</v>
      </c>
      <c r="IR14" s="369">
        <f>(IO14-IP14)*IQ14</f>
        <v>0</v>
      </c>
      <c r="IS14" s="369">
        <f>IO14*IL14-IR14*IM14</f>
        <v>108.64279999999999</v>
      </c>
      <c r="IT14" s="369">
        <v>1</v>
      </c>
      <c r="IU14" s="369">
        <f>5.94+2.36</f>
        <v>8.3000000000000007</v>
      </c>
      <c r="IV14" s="369">
        <f>IU14*IT14</f>
        <v>8.3000000000000007</v>
      </c>
      <c r="IW14" s="369"/>
      <c r="IX14" s="369"/>
      <c r="IY14" s="369"/>
      <c r="IZ14" s="369"/>
      <c r="JA14" s="369"/>
      <c r="JB14" s="369"/>
      <c r="JC14" s="369"/>
      <c r="JD14" s="369"/>
      <c r="JE14" s="369"/>
      <c r="JF14" s="369"/>
      <c r="JG14" s="369"/>
      <c r="JH14" s="369"/>
      <c r="JI14" s="369"/>
      <c r="JJ14" s="369"/>
      <c r="JK14" s="369"/>
      <c r="JL14" s="369"/>
      <c r="JM14" s="369"/>
      <c r="JN14" s="369"/>
      <c r="JO14" s="369"/>
      <c r="JP14" s="369"/>
      <c r="JQ14" s="369">
        <f>IV14+JA14+JF14+JK14+JP14</f>
        <v>8.3000000000000007</v>
      </c>
      <c r="JR14" s="369">
        <v>1.2500000000000001E-2</v>
      </c>
      <c r="JS14" s="369">
        <f>JR14*JQ14</f>
        <v>0.10375000000000001</v>
      </c>
      <c r="JT14" s="369">
        <f>JS14+JQ14</f>
        <v>8.4037500000000005</v>
      </c>
      <c r="JU14" s="369">
        <v>775</v>
      </c>
      <c r="JV14" s="369">
        <v>7750</v>
      </c>
      <c r="JW14" s="369">
        <v>7.5</v>
      </c>
      <c r="JX14" s="392">
        <v>0.9</v>
      </c>
      <c r="JY14" s="369">
        <v>1</v>
      </c>
      <c r="JZ14" s="369">
        <v>80</v>
      </c>
      <c r="KA14" s="369">
        <f>3600/JZ14*JY14*JX14*JW14</f>
        <v>303.75</v>
      </c>
      <c r="KB14" s="369"/>
      <c r="KC14" s="369">
        <f>JV14/KA14+KD14</f>
        <v>27.014403292181068</v>
      </c>
      <c r="KD14" s="369">
        <v>1.5</v>
      </c>
      <c r="KE14" s="369">
        <v>0.11</v>
      </c>
      <c r="KF14" s="369">
        <f>KE14*(KC14+IS14)</f>
        <v>14.922292362139917</v>
      </c>
      <c r="KG14" s="369">
        <v>1.2500000000000001E-2</v>
      </c>
      <c r="KH14" s="369">
        <f>KG14*(KC14+IS14)</f>
        <v>1.6957150411522635</v>
      </c>
      <c r="KI14" s="369">
        <v>0.02</v>
      </c>
      <c r="KJ14" s="369">
        <f>KI14*KC14</f>
        <v>0.54028806584362143</v>
      </c>
      <c r="KK14" s="369"/>
      <c r="KL14" s="369"/>
      <c r="KM14" s="369"/>
      <c r="KN14" s="369">
        <f>IS14+JQ14+JS14+KC14+KF14+KH14+KJ14</f>
        <v>161.21924876131686</v>
      </c>
      <c r="KO14" s="369" t="s">
        <v>1132</v>
      </c>
      <c r="KP14" s="369">
        <v>202.5</v>
      </c>
      <c r="KQ14" s="369">
        <v>20</v>
      </c>
      <c r="KR14" s="369"/>
      <c r="KS14" s="369">
        <v>1.39375E-2</v>
      </c>
      <c r="KT14" s="369">
        <v>1.2500000000000001E-2</v>
      </c>
      <c r="KU14" s="392">
        <v>1</v>
      </c>
      <c r="KV14" s="369">
        <f>(KS14-KT14)*KU14</f>
        <v>1.4374999999999995E-3</v>
      </c>
      <c r="KW14" s="369">
        <f>KS14*KP14-KV14*KQ14</f>
        <v>2.7935937499999999</v>
      </c>
      <c r="KX14" s="369"/>
      <c r="KY14" s="369"/>
      <c r="KZ14" s="369"/>
      <c r="LA14" s="369"/>
      <c r="LB14" s="369"/>
      <c r="LC14" s="369"/>
      <c r="LD14" s="369"/>
      <c r="LE14" s="369"/>
      <c r="LF14" s="369">
        <v>160</v>
      </c>
      <c r="LG14" s="369">
        <v>1600</v>
      </c>
      <c r="LH14" s="369">
        <v>7.5</v>
      </c>
      <c r="LI14" s="392">
        <v>0.9</v>
      </c>
      <c r="LJ14" s="369">
        <v>4</v>
      </c>
      <c r="LK14" s="369">
        <v>45</v>
      </c>
      <c r="LL14" s="369">
        <f>3600/LK14*LJ14*LI14*LH14</f>
        <v>2160</v>
      </c>
      <c r="LM14" s="369"/>
      <c r="LN14" s="369">
        <f>LG14/LL14</f>
        <v>0.7407407407407407</v>
      </c>
      <c r="LO14" s="369"/>
      <c r="LP14" s="369">
        <v>0.11</v>
      </c>
      <c r="LQ14" s="369">
        <f>LP14*(LN14+KW14)</f>
        <v>0.38877679398148152</v>
      </c>
      <c r="LR14" s="369">
        <v>1.2500000000000001E-2</v>
      </c>
      <c r="LS14" s="369">
        <f>LR14*(LN14+KW14)</f>
        <v>4.4179181134259261E-2</v>
      </c>
      <c r="LT14" s="369">
        <v>0.02</v>
      </c>
      <c r="LU14" s="369">
        <f>LT14*LN14</f>
        <v>1.4814814814814814E-2</v>
      </c>
      <c r="LV14" s="369"/>
      <c r="LW14" s="369"/>
      <c r="LX14" s="369"/>
      <c r="LY14" s="369">
        <f>KW14+LB14+LD14+LN14+LQ14+LS14+LU14</f>
        <v>3.9821052806712962</v>
      </c>
      <c r="LZ14" s="369" t="s">
        <v>4914</v>
      </c>
      <c r="MA14" s="369">
        <v>228.5</v>
      </c>
      <c r="MB14" s="369">
        <v>20</v>
      </c>
      <c r="MC14" s="369"/>
      <c r="MD14" s="369">
        <v>5.935E-2</v>
      </c>
      <c r="ME14" s="369">
        <v>5.4600000000000003E-2</v>
      </c>
      <c r="MF14" s="369">
        <v>1</v>
      </c>
      <c r="MG14" s="369">
        <f>MF14*(MD14-ME14)</f>
        <v>4.7499999999999973E-3</v>
      </c>
      <c r="MH14" s="369">
        <f>MD14*MA14-MG14*MB14</f>
        <v>13.466474999999999</v>
      </c>
      <c r="MI14" s="369"/>
      <c r="MJ14" s="369"/>
      <c r="MK14" s="369"/>
      <c r="ML14" s="369"/>
      <c r="MM14" s="369"/>
      <c r="MN14" s="369"/>
      <c r="MO14" s="369"/>
      <c r="MP14" s="369"/>
      <c r="MQ14" s="369"/>
      <c r="MR14" s="369"/>
      <c r="MS14" s="369"/>
      <c r="MT14" s="369"/>
      <c r="MU14" s="369"/>
      <c r="MV14" s="369"/>
      <c r="MW14" s="369"/>
      <c r="MX14" s="369"/>
      <c r="MY14" s="369"/>
      <c r="MZ14" s="369"/>
      <c r="NA14" s="369"/>
      <c r="NB14" s="369"/>
      <c r="NC14" s="369"/>
      <c r="ND14" s="369"/>
      <c r="NE14" s="369"/>
      <c r="NF14" s="369">
        <f>MP14+MU14+MZ14+NE14</f>
        <v>0</v>
      </c>
      <c r="NG14" s="369"/>
      <c r="NH14" s="369">
        <f>NG14*NF14</f>
        <v>0</v>
      </c>
      <c r="NI14" s="369">
        <f>NH14+NF14</f>
        <v>0</v>
      </c>
      <c r="NJ14" s="369">
        <v>160</v>
      </c>
      <c r="NK14" s="369">
        <v>1600</v>
      </c>
      <c r="NL14" s="369">
        <v>7.5</v>
      </c>
      <c r="NM14" s="369">
        <v>0.9</v>
      </c>
      <c r="NN14" s="369">
        <v>2</v>
      </c>
      <c r="NO14" s="369">
        <v>62</v>
      </c>
      <c r="NP14" s="369">
        <f>3600/NO14*NN14*NM14*NL14</f>
        <v>783.87096774193549</v>
      </c>
      <c r="NQ14" s="369">
        <f>NK14/NP14</f>
        <v>2.0411522633744856</v>
      </c>
      <c r="NR14" s="369">
        <v>0.11</v>
      </c>
      <c r="NS14" s="369">
        <f>NR14*(NQ14+MH14)</f>
        <v>1.7058389989711933</v>
      </c>
      <c r="NT14" s="369">
        <v>1.2500000000000001E-2</v>
      </c>
      <c r="NU14" s="369">
        <f>NT14*(NQ14+MH14)</f>
        <v>0.19384534079218108</v>
      </c>
      <c r="NV14" s="369">
        <v>0.02</v>
      </c>
      <c r="NW14" s="369">
        <f>NV14*NQ14</f>
        <v>4.0823045267489713E-2</v>
      </c>
      <c r="NX14" s="369">
        <f>MH14+NF14+NH14+NQ14+NS14+NU14+NW14</f>
        <v>17.448134648405347</v>
      </c>
    </row>
    <row r="15" spans="1:388" ht="25.5">
      <c r="A15">
        <v>421</v>
      </c>
      <c r="B15" t="s">
        <v>468</v>
      </c>
      <c r="C15" s="27" t="s">
        <v>1946</v>
      </c>
      <c r="D15" s="28" t="s">
        <v>1275</v>
      </c>
      <c r="E15" s="28" t="s">
        <v>1276</v>
      </c>
      <c r="F15" s="28" t="s">
        <v>2182</v>
      </c>
      <c r="G15" s="27" t="s">
        <v>90</v>
      </c>
      <c r="I15" s="27" t="s">
        <v>94</v>
      </c>
      <c r="J15" s="28">
        <v>21590</v>
      </c>
      <c r="K15" s="27" t="s">
        <v>397</v>
      </c>
      <c r="L15" s="27"/>
      <c r="M15" s="27"/>
      <c r="N15" s="27" t="s">
        <v>4916</v>
      </c>
      <c r="O15" s="27" t="s">
        <v>1877</v>
      </c>
      <c r="P15" s="370">
        <v>44971</v>
      </c>
      <c r="Q15" s="28" t="s">
        <v>1035</v>
      </c>
      <c r="R15" s="28" t="s">
        <v>1778</v>
      </c>
      <c r="S15" s="331" t="s">
        <v>567</v>
      </c>
      <c r="T15" s="371" t="s">
        <v>4555</v>
      </c>
      <c r="U15" s="331">
        <v>44971</v>
      </c>
      <c r="V15" s="390"/>
      <c r="W15" s="455" t="s">
        <v>4917</v>
      </c>
      <c r="X15" s="370"/>
      <c r="Y15" s="370"/>
      <c r="Z15" s="370"/>
      <c r="AA15" s="369" t="s">
        <v>1945</v>
      </c>
      <c r="AB15" s="369">
        <v>228.5</v>
      </c>
      <c r="AC15" s="369">
        <v>20</v>
      </c>
      <c r="AD15" s="369" t="s">
        <v>297</v>
      </c>
      <c r="AE15" s="369">
        <f t="shared" si="64"/>
        <v>3.4517500000000001</v>
      </c>
      <c r="AF15" s="369"/>
      <c r="AG15" s="369">
        <f t="shared" si="65"/>
        <v>1.8518518518518519</v>
      </c>
      <c r="AH15" s="369">
        <f t="shared" si="66"/>
        <v>0</v>
      </c>
      <c r="AI15" s="369">
        <f t="shared" si="67"/>
        <v>0</v>
      </c>
      <c r="AJ15" s="391">
        <f t="shared" si="68"/>
        <v>3.7037037037037035E-2</v>
      </c>
      <c r="AK15" s="391">
        <f t="shared" si="69"/>
        <v>6.6295023148148155E-2</v>
      </c>
      <c r="AL15" s="391">
        <f t="shared" si="70"/>
        <v>0.58339620370370371</v>
      </c>
      <c r="AM15" s="391">
        <f t="shared" si="71"/>
        <v>9.9912500000000015E-2</v>
      </c>
      <c r="AN15" s="391">
        <f t="shared" si="72"/>
        <v>0.05</v>
      </c>
      <c r="AO15" s="369">
        <f t="shared" si="73"/>
        <v>0</v>
      </c>
      <c r="AP15" s="369"/>
      <c r="AQ15" s="391">
        <f t="shared" si="74"/>
        <v>6.1402426157407417</v>
      </c>
      <c r="AR15" s="369">
        <f t="shared" si="75"/>
        <v>0</v>
      </c>
      <c r="AS15" s="369">
        <f t="shared" si="76"/>
        <v>0</v>
      </c>
      <c r="AT15" s="369">
        <f>6.69-6.15</f>
        <v>0.54</v>
      </c>
      <c r="AU15" s="369">
        <f>6.06-6.05</f>
        <v>9.9999999999997868E-3</v>
      </c>
      <c r="AV15" s="391">
        <f t="shared" si="77"/>
        <v>6.6902426157407415</v>
      </c>
      <c r="AW15" s="369">
        <v>1.55E-2</v>
      </c>
      <c r="AX15" s="369">
        <v>1.0999999999999999E-2</v>
      </c>
      <c r="AY15" s="369">
        <v>1</v>
      </c>
      <c r="AZ15" s="369">
        <f t="shared" si="78"/>
        <v>4.5000000000000005E-3</v>
      </c>
      <c r="BA15" s="369">
        <f t="shared" si="79"/>
        <v>3.4517500000000001</v>
      </c>
      <c r="BB15" s="369"/>
      <c r="BC15" s="369"/>
      <c r="BD15" s="369"/>
      <c r="BE15" s="369"/>
      <c r="BF15" s="369"/>
      <c r="BG15" s="369"/>
      <c r="BH15" s="369"/>
      <c r="BI15" s="369"/>
      <c r="BJ15" s="369"/>
      <c r="BK15" s="369"/>
      <c r="BL15" s="369"/>
      <c r="BM15" s="369"/>
      <c r="BN15" s="369"/>
      <c r="BO15" s="369"/>
      <c r="BP15" s="369"/>
      <c r="BQ15" s="369"/>
      <c r="BR15" s="369"/>
      <c r="BS15" s="369"/>
      <c r="BT15" s="369"/>
      <c r="BU15" s="369"/>
      <c r="BV15" s="369"/>
      <c r="BW15" s="369"/>
      <c r="BX15" s="369"/>
      <c r="BY15" s="369"/>
      <c r="BZ15" s="369"/>
      <c r="CA15" s="369"/>
      <c r="CB15" s="369"/>
      <c r="CC15" s="369"/>
      <c r="CD15" s="369"/>
      <c r="CE15" s="369">
        <v>0</v>
      </c>
      <c r="CF15" s="369">
        <v>0</v>
      </c>
      <c r="CG15" s="369">
        <v>0</v>
      </c>
      <c r="CH15" s="369">
        <f t="shared" ref="CH15" si="94">CF15*CG15</f>
        <v>0</v>
      </c>
      <c r="CI15" s="369"/>
      <c r="CJ15" s="369"/>
      <c r="CK15" s="369">
        <v>0</v>
      </c>
      <c r="CL15" s="369">
        <v>0</v>
      </c>
      <c r="CM15" s="369">
        <f t="shared" ref="CM15" si="95">CK15*CL15</f>
        <v>0</v>
      </c>
      <c r="CN15" s="369"/>
      <c r="CO15" s="369"/>
      <c r="CP15" s="369">
        <v>0</v>
      </c>
      <c r="CQ15" s="369">
        <v>0</v>
      </c>
      <c r="CR15" s="369">
        <f t="shared" ref="CR15" si="96">CP15*CQ15</f>
        <v>0</v>
      </c>
      <c r="CS15" s="369"/>
      <c r="CT15" s="369"/>
      <c r="CU15" s="369">
        <v>0</v>
      </c>
      <c r="CV15" s="369">
        <v>0</v>
      </c>
      <c r="CW15" s="369">
        <f t="shared" ref="CW15" si="97">CU15*CV15</f>
        <v>0</v>
      </c>
      <c r="CX15" s="369"/>
      <c r="CY15" s="369"/>
      <c r="CZ15" s="369"/>
      <c r="DA15" s="369"/>
      <c r="DB15" s="369"/>
      <c r="DC15" s="369"/>
      <c r="DD15" s="369"/>
      <c r="DE15" s="369"/>
      <c r="DF15" s="369"/>
      <c r="DG15" s="369"/>
      <c r="DH15" s="369"/>
      <c r="DI15" s="369"/>
      <c r="DJ15" s="369"/>
      <c r="DK15" s="369"/>
      <c r="DL15" s="369"/>
      <c r="DM15" s="369">
        <f t="shared" ref="DM15" si="98">CH15+CM15+CR15+CW15+DB15+DG15+DL15</f>
        <v>0</v>
      </c>
      <c r="DN15" s="369">
        <v>1.2500000000000001E-2</v>
      </c>
      <c r="DO15" s="369">
        <f t="shared" ref="DO15" si="99">DM15*DN15</f>
        <v>0</v>
      </c>
      <c r="DP15" s="369">
        <f t="shared" si="81"/>
        <v>0</v>
      </c>
      <c r="DQ15" s="369"/>
      <c r="DR15" s="369"/>
      <c r="DS15" s="369"/>
      <c r="DT15" s="369"/>
      <c r="DU15" s="369"/>
      <c r="DV15" s="369"/>
      <c r="DW15" s="369"/>
      <c r="DX15" s="369"/>
      <c r="DY15" s="369"/>
      <c r="DZ15" s="369"/>
      <c r="EA15" s="369"/>
      <c r="EB15" s="369"/>
      <c r="EC15" s="369"/>
      <c r="ED15" s="369"/>
      <c r="EE15" s="369"/>
      <c r="EF15" s="369">
        <v>150</v>
      </c>
      <c r="EG15" s="369">
        <v>1500</v>
      </c>
      <c r="EH15" s="369">
        <v>7.5</v>
      </c>
      <c r="EI15" s="369">
        <v>0.9</v>
      </c>
      <c r="EJ15" s="369">
        <v>2</v>
      </c>
      <c r="EK15" s="369">
        <v>60</v>
      </c>
      <c r="EL15" s="369">
        <f t="shared" ref="EL15" si="100">3600/EK15*EH15*EJ15*EI15</f>
        <v>810</v>
      </c>
      <c r="EM15" s="369"/>
      <c r="EN15" s="369"/>
      <c r="EO15" s="369"/>
      <c r="EP15" s="369"/>
      <c r="EQ15" s="369"/>
      <c r="ER15" s="369"/>
      <c r="ES15" s="369"/>
      <c r="ET15" s="369"/>
      <c r="EU15" s="369">
        <f>EG15/EL15+EM15+EX15+EP15+EQ15+ER15+EO15</f>
        <v>1.8518518518518519</v>
      </c>
      <c r="EV15" s="369"/>
      <c r="EW15" s="369"/>
      <c r="EX15" s="369"/>
      <c r="EY15" s="369"/>
      <c r="EZ15" s="369"/>
      <c r="FA15" s="369"/>
      <c r="FB15" s="369"/>
      <c r="FC15" s="369"/>
      <c r="FD15" s="369"/>
      <c r="FE15" s="369"/>
      <c r="FF15" s="369"/>
      <c r="FG15" s="369"/>
      <c r="FH15" s="369"/>
      <c r="FI15" s="369"/>
      <c r="FJ15" s="369"/>
      <c r="FK15" s="369"/>
      <c r="FL15" s="369"/>
      <c r="FM15" s="369"/>
      <c r="FN15" s="369"/>
      <c r="FO15" s="369"/>
      <c r="FP15" s="369"/>
      <c r="FQ15" s="369"/>
      <c r="FR15" s="369"/>
      <c r="FS15" s="369"/>
      <c r="FT15" s="369"/>
      <c r="FU15" s="369"/>
      <c r="FV15" s="369"/>
      <c r="FW15" s="369"/>
      <c r="FX15" s="369"/>
      <c r="FY15" s="369"/>
      <c r="FZ15" s="369"/>
      <c r="GA15" s="369"/>
      <c r="GB15" s="369"/>
      <c r="GC15" s="369"/>
      <c r="GD15" s="369"/>
      <c r="GE15" s="369"/>
      <c r="GF15" s="369"/>
      <c r="GG15" s="369"/>
      <c r="GH15" s="369"/>
      <c r="GI15" s="369"/>
      <c r="GJ15" s="369"/>
      <c r="GK15" s="369"/>
      <c r="GL15" s="369"/>
      <c r="GM15" s="369"/>
      <c r="GN15" s="369"/>
      <c r="GO15" s="369"/>
      <c r="GP15" s="369"/>
      <c r="GQ15" s="369"/>
      <c r="GR15" s="369">
        <v>0.11</v>
      </c>
      <c r="GS15" s="369">
        <f>GR15*(BA15+EU15)</f>
        <v>0.58339620370370371</v>
      </c>
      <c r="GT15" s="369">
        <v>1.2500000000000001E-2</v>
      </c>
      <c r="GU15" s="369">
        <f>GT15*(EU15+BA15)</f>
        <v>6.6295023148148155E-2</v>
      </c>
      <c r="GV15" s="369">
        <v>0.02</v>
      </c>
      <c r="GW15" s="369">
        <f>GV15*(EU15-EP15-EQ15)</f>
        <v>3.7037037037037035E-2</v>
      </c>
      <c r="GX15" s="369">
        <f t="shared" si="84"/>
        <v>0.68672826388888897</v>
      </c>
      <c r="GY15" s="369" t="s">
        <v>274</v>
      </c>
      <c r="GZ15" s="369" t="s">
        <v>274</v>
      </c>
      <c r="HA15" s="369">
        <v>605</v>
      </c>
      <c r="HB15" s="369">
        <v>375</v>
      </c>
      <c r="HC15" s="369">
        <v>345</v>
      </c>
      <c r="HD15" s="369">
        <v>800</v>
      </c>
      <c r="HE15" s="369"/>
      <c r="HF15" s="369">
        <f t="shared" si="85"/>
        <v>0</v>
      </c>
      <c r="HG15" s="369"/>
      <c r="HH15" s="369">
        <f t="shared" si="86"/>
        <v>0</v>
      </c>
      <c r="HI15" s="369">
        <v>79.930000000000007</v>
      </c>
      <c r="HJ15" s="369">
        <f t="shared" si="87"/>
        <v>0</v>
      </c>
      <c r="HK15" s="369"/>
      <c r="HL15" s="369"/>
      <c r="HM15" s="369"/>
      <c r="HN15" s="369">
        <f t="shared" si="88"/>
        <v>0</v>
      </c>
      <c r="HO15" s="369">
        <f>(IF(GY15="carton box",HI15/HD15,HJ15/HN15))</f>
        <v>9.9912500000000015E-2</v>
      </c>
      <c r="HP15" s="369">
        <v>160</v>
      </c>
      <c r="HQ15" s="369">
        <v>0</v>
      </c>
      <c r="HR15" s="369">
        <v>0</v>
      </c>
      <c r="HS15" s="369">
        <v>0</v>
      </c>
      <c r="HT15" s="369">
        <f t="shared" si="90"/>
        <v>0</v>
      </c>
      <c r="HU15" s="447"/>
      <c r="HV15" s="369">
        <f t="shared" ref="HV15" si="101">HO15+HT15</f>
        <v>9.9912500000000015E-2</v>
      </c>
      <c r="HW15" s="369"/>
      <c r="HX15" s="369">
        <v>4200</v>
      </c>
      <c r="HY15" s="369">
        <v>1900</v>
      </c>
      <c r="HZ15" s="369">
        <v>1975</v>
      </c>
      <c r="IA15" s="369">
        <f t="shared" si="91"/>
        <v>6</v>
      </c>
      <c r="IB15" s="369">
        <f t="shared" si="91"/>
        <v>5</v>
      </c>
      <c r="IC15" s="369">
        <f t="shared" si="91"/>
        <v>5</v>
      </c>
      <c r="ID15" s="369">
        <v>0.95</v>
      </c>
      <c r="IE15" s="369">
        <f t="shared" si="92"/>
        <v>142.5</v>
      </c>
      <c r="IF15" s="369">
        <v>5000</v>
      </c>
      <c r="IG15" s="369">
        <f t="shared" si="93"/>
        <v>0.05</v>
      </c>
    </row>
    <row r="16" spans="1:388">
      <c r="A16">
        <v>16</v>
      </c>
      <c r="B16" t="s">
        <v>468</v>
      </c>
      <c r="D16" s="28" t="s">
        <v>83</v>
      </c>
      <c r="E16" s="5" t="s">
        <v>84</v>
      </c>
      <c r="F16" s="5"/>
      <c r="G16" s="5" t="s">
        <v>122</v>
      </c>
      <c r="H16" s="5"/>
      <c r="I16" s="5" t="s">
        <v>121</v>
      </c>
      <c r="J16" s="5">
        <v>21697</v>
      </c>
      <c r="K16" s="5" t="s">
        <v>227</v>
      </c>
      <c r="L16" s="5"/>
      <c r="M16" s="5"/>
      <c r="N16" s="5"/>
      <c r="O16" s="5"/>
      <c r="P16" s="5"/>
      <c r="V16" s="29" t="s">
        <v>79</v>
      </c>
      <c r="W16" s="5" t="s">
        <v>439</v>
      </c>
      <c r="X16" s="5"/>
      <c r="Y16" s="5"/>
      <c r="Z16" s="5"/>
      <c r="AA16" s="21"/>
    </row>
    <row r="17" spans="1:388">
      <c r="A17">
        <v>17</v>
      </c>
      <c r="B17" t="s">
        <v>468</v>
      </c>
      <c r="C17" s="27" t="s">
        <v>523</v>
      </c>
      <c r="D17" s="28" t="s">
        <v>83</v>
      </c>
      <c r="E17" s="5" t="s">
        <v>84</v>
      </c>
      <c r="F17" s="5" t="s">
        <v>2182</v>
      </c>
      <c r="G17" s="5" t="s">
        <v>122</v>
      </c>
      <c r="H17" s="27"/>
      <c r="I17" s="27" t="s">
        <v>94</v>
      </c>
      <c r="J17" s="28">
        <v>21591</v>
      </c>
      <c r="K17" s="5" t="s">
        <v>97</v>
      </c>
      <c r="L17" s="28"/>
      <c r="M17" s="28"/>
      <c r="N17" s="28"/>
      <c r="O17" s="28"/>
      <c r="P17" s="28"/>
      <c r="Q17" s="5" t="s">
        <v>1777</v>
      </c>
      <c r="R17" s="5" t="s">
        <v>1831</v>
      </c>
      <c r="S17" s="5"/>
      <c r="T17" s="5"/>
      <c r="U17" s="5"/>
      <c r="V17" s="29" t="s">
        <v>79</v>
      </c>
      <c r="W17" s="5"/>
      <c r="X17" s="5"/>
      <c r="Y17" s="5"/>
      <c r="Z17" s="5"/>
      <c r="AA17" s="58" t="s">
        <v>85</v>
      </c>
      <c r="AB17" s="63">
        <v>127.69</v>
      </c>
      <c r="AC17" s="59">
        <f>AB17-5</f>
        <v>122.69</v>
      </c>
      <c r="AD17" s="59" t="s">
        <v>24</v>
      </c>
      <c r="AE17" s="42">
        <f>BA17</f>
        <v>12.51362</v>
      </c>
      <c r="AF17" s="42"/>
      <c r="AG17" s="42">
        <f>EU17</f>
        <v>2.3391812865497075</v>
      </c>
      <c r="AH17" s="42">
        <f>DM17</f>
        <v>5.6999999999999993</v>
      </c>
      <c r="AI17" s="42">
        <f>DO17</f>
        <v>7.1250000000000008E-2</v>
      </c>
      <c r="AJ17" s="42">
        <f>GW17</f>
        <v>4.6783625730994149E-2</v>
      </c>
      <c r="AK17" s="42">
        <f>GU17</f>
        <v>0.18566001608187133</v>
      </c>
      <c r="AL17" s="42">
        <f>GS17</f>
        <v>1.6338081415204677</v>
      </c>
      <c r="AM17" s="42">
        <f>HV17</f>
        <v>7.7564102564102566E-2</v>
      </c>
      <c r="AN17" s="42">
        <f>IG17</f>
        <v>0.15432098765432098</v>
      </c>
      <c r="AO17" s="42">
        <f>EY17</f>
        <v>0</v>
      </c>
      <c r="AP17" s="42"/>
      <c r="AQ17" s="42">
        <f>SUM(AE17:AO17)</f>
        <v>22.722188160101464</v>
      </c>
      <c r="AR17" s="42"/>
      <c r="AS17" s="42"/>
      <c r="AT17" s="60">
        <v>0</v>
      </c>
      <c r="AU17" s="60">
        <v>0</v>
      </c>
      <c r="AV17" s="42">
        <f>AQ17+AT17+AU17</f>
        <v>22.722188160101464</v>
      </c>
      <c r="AW17" s="59">
        <v>9.8000000000000004E-2</v>
      </c>
      <c r="AX17" s="59">
        <v>9.8000000000000004E-2</v>
      </c>
      <c r="AY17" s="61">
        <v>0.9</v>
      </c>
      <c r="AZ17" s="59">
        <f>(AW17-AX17)*AY17</f>
        <v>0</v>
      </c>
      <c r="BA17" s="62">
        <f>AW17*AB17</f>
        <v>12.51362</v>
      </c>
      <c r="BB17" s="62"/>
      <c r="BC17" s="62"/>
      <c r="BD17" s="62"/>
      <c r="BE17" s="62"/>
      <c r="BF17" s="62"/>
      <c r="BG17" s="62"/>
      <c r="BH17" s="62"/>
      <c r="BI17" s="62"/>
      <c r="BJ17" s="62"/>
      <c r="BK17" s="62"/>
      <c r="BL17" s="62"/>
      <c r="BM17" s="62"/>
      <c r="BN17" s="62"/>
      <c r="BO17" s="62"/>
      <c r="BP17" s="62"/>
      <c r="BQ17" s="62"/>
      <c r="BR17" s="62"/>
      <c r="BS17" s="62"/>
      <c r="BT17" s="62"/>
      <c r="BU17" s="62"/>
      <c r="BV17" s="62"/>
      <c r="BW17" s="62"/>
      <c r="BX17" s="62"/>
      <c r="BY17" s="62"/>
      <c r="BZ17" s="62"/>
      <c r="CA17" s="62"/>
      <c r="CB17" s="62"/>
      <c r="CC17" s="62"/>
      <c r="CD17" s="59" t="s">
        <v>86</v>
      </c>
      <c r="CE17" s="59">
        <v>0</v>
      </c>
      <c r="CF17" s="59">
        <v>3</v>
      </c>
      <c r="CG17" s="59">
        <v>1.9</v>
      </c>
      <c r="CH17" s="62">
        <f>CG17*CF17</f>
        <v>5.6999999999999993</v>
      </c>
      <c r="CI17" s="59"/>
      <c r="CJ17" s="59"/>
      <c r="CK17" s="63"/>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62">
        <f>CH17+CM17+CR17+CW17+DB17+DG17+DL17</f>
        <v>5.6999999999999993</v>
      </c>
      <c r="DN17" s="64">
        <v>1.2500000000000001E-2</v>
      </c>
      <c r="DO17" s="62">
        <f>DN17*CG17*CF17</f>
        <v>7.1250000000000008E-2</v>
      </c>
      <c r="DP17" s="62">
        <f>DM17+DO17</f>
        <v>5.7712499999999993</v>
      </c>
      <c r="DQ17" s="62"/>
      <c r="DR17" s="62"/>
      <c r="DS17" s="62"/>
      <c r="DT17" s="62"/>
      <c r="DU17" s="62"/>
      <c r="DV17" s="62"/>
      <c r="DW17" s="62"/>
      <c r="DX17" s="62"/>
      <c r="DY17" s="62"/>
      <c r="DZ17" s="62"/>
      <c r="EA17" s="62"/>
      <c r="EB17" s="62"/>
      <c r="EC17" s="62"/>
      <c r="ED17" s="62"/>
      <c r="EE17" s="62"/>
      <c r="EF17" s="59">
        <v>160</v>
      </c>
      <c r="EG17" s="59">
        <v>1600</v>
      </c>
      <c r="EH17" s="59">
        <v>8</v>
      </c>
      <c r="EI17" s="61">
        <v>0.95</v>
      </c>
      <c r="EJ17" s="59">
        <v>2</v>
      </c>
      <c r="EK17" s="59">
        <v>80</v>
      </c>
      <c r="EL17" s="65">
        <f>ROUND(3600/EK17*EH17*EJ17*EI17,0)</f>
        <v>684</v>
      </c>
      <c r="EM17" s="65"/>
      <c r="EN17" s="65"/>
      <c r="EO17" s="65"/>
      <c r="EP17" s="65"/>
      <c r="EQ17" s="65"/>
      <c r="ER17" s="65"/>
      <c r="ES17" s="65"/>
      <c r="ET17" s="65"/>
      <c r="EU17" s="62">
        <f>EG17/EL17</f>
        <v>2.3391812865497075</v>
      </c>
      <c r="EV17" s="62"/>
      <c r="EW17" s="62"/>
      <c r="EX17" s="62"/>
      <c r="EY17" s="62"/>
      <c r="EZ17" s="62"/>
      <c r="FA17" s="62"/>
      <c r="FB17" s="62"/>
      <c r="FC17" s="62"/>
      <c r="FD17" s="62"/>
      <c r="FE17" s="62"/>
      <c r="FF17" s="62"/>
      <c r="FG17" s="62"/>
      <c r="FH17" s="62"/>
      <c r="FI17" s="62"/>
      <c r="FJ17" s="62"/>
      <c r="FK17" s="62"/>
      <c r="FL17" s="62"/>
      <c r="FM17" s="62"/>
      <c r="FN17" s="62"/>
      <c r="FO17" s="62"/>
      <c r="FP17" s="62"/>
      <c r="FQ17" s="62"/>
      <c r="FR17" s="62"/>
      <c r="FS17" s="62"/>
      <c r="FT17" s="62"/>
      <c r="FU17" s="62"/>
      <c r="FV17" s="62"/>
      <c r="FW17" s="62"/>
      <c r="FX17" s="62"/>
      <c r="FY17" s="62"/>
      <c r="FZ17" s="62"/>
      <c r="GA17" s="62"/>
      <c r="GB17" s="62"/>
      <c r="GC17" s="62"/>
      <c r="GD17" s="62"/>
      <c r="GE17" s="62"/>
      <c r="GF17" s="62"/>
      <c r="GG17" s="62"/>
      <c r="GH17" s="62"/>
      <c r="GI17" s="62"/>
      <c r="GJ17" s="62"/>
      <c r="GK17" s="62"/>
      <c r="GL17" s="62"/>
      <c r="GM17" s="62"/>
      <c r="GN17" s="62"/>
      <c r="GO17" s="62"/>
      <c r="GP17" s="62"/>
      <c r="GQ17" s="62"/>
      <c r="GR17" s="61">
        <v>0.11</v>
      </c>
      <c r="GS17" s="62">
        <f>GR17*(BA17+EU17)</f>
        <v>1.6338081415204677</v>
      </c>
      <c r="GT17" s="64">
        <v>1.2500000000000001E-2</v>
      </c>
      <c r="GU17" s="62">
        <f>GT17*(BA17+EU17)</f>
        <v>0.18566001608187133</v>
      </c>
      <c r="GV17" s="61">
        <v>0.02</v>
      </c>
      <c r="GW17" s="62">
        <f>GV17*EU17</f>
        <v>4.6783625730994149E-2</v>
      </c>
      <c r="GX17" s="62">
        <f>GS17+GU17+GW17</f>
        <v>1.8662517833333332</v>
      </c>
      <c r="GY17" s="59" t="s">
        <v>43</v>
      </c>
      <c r="GZ17" s="59" t="s">
        <v>87</v>
      </c>
      <c r="HA17" s="62">
        <v>650</v>
      </c>
      <c r="HB17" s="62">
        <v>450</v>
      </c>
      <c r="HC17" s="59">
        <v>320</v>
      </c>
      <c r="HD17" s="59">
        <v>60</v>
      </c>
      <c r="HE17" s="59">
        <v>650</v>
      </c>
      <c r="HF17" s="62">
        <f>ROUNDUP(HE17/HD17,0)</f>
        <v>11</v>
      </c>
      <c r="HG17" s="59">
        <v>5</v>
      </c>
      <c r="HH17" s="62">
        <f>HF17*HG17</f>
        <v>55</v>
      </c>
      <c r="HI17" s="59">
        <v>550</v>
      </c>
      <c r="HJ17" s="62">
        <f>HH17*HI17</f>
        <v>30250</v>
      </c>
      <c r="HK17" s="62"/>
      <c r="HL17" s="62"/>
      <c r="HM17" s="62">
        <v>2</v>
      </c>
      <c r="HN17" s="65">
        <f>HM17*12*25*HE17</f>
        <v>390000</v>
      </c>
      <c r="HO17" s="62">
        <f>IF(GY17="carton box",HI17/HD17,HJ17/HN17)</f>
        <v>7.7564102564102566E-2</v>
      </c>
      <c r="HP17" s="62">
        <v>160</v>
      </c>
      <c r="HQ17" s="59">
        <v>0</v>
      </c>
      <c r="HR17" s="62">
        <v>0</v>
      </c>
      <c r="HS17" s="62">
        <v>0</v>
      </c>
      <c r="HT17" s="62">
        <v>0</v>
      </c>
      <c r="HU17" s="62"/>
      <c r="HV17" s="62">
        <f>HO17+HT17</f>
        <v>7.7564102564102566E-2</v>
      </c>
      <c r="HW17" s="62"/>
      <c r="HX17" s="62">
        <v>2917</v>
      </c>
      <c r="HY17" s="62">
        <v>1689</v>
      </c>
      <c r="HZ17" s="62">
        <v>1842</v>
      </c>
      <c r="IA17" s="62">
        <f>ROUNDDOWN(HX17/HA17,0)</f>
        <v>4</v>
      </c>
      <c r="IB17" s="62">
        <f>ROUNDDOWN(HY17/HB17,0)</f>
        <v>3</v>
      </c>
      <c r="IC17" s="62">
        <f>ROUNDDOWN(HZ17/HC17,0)</f>
        <v>5</v>
      </c>
      <c r="ID17" s="61">
        <v>0.9</v>
      </c>
      <c r="IE17" s="62">
        <f>ROUND(PRODUCT(IA17:ID17),0)</f>
        <v>54</v>
      </c>
      <c r="IF17" s="62">
        <v>500</v>
      </c>
      <c r="IG17" s="62">
        <f>IF17/(IE17*HD17)</f>
        <v>0.15432098765432098</v>
      </c>
      <c r="IH17" s="62"/>
      <c r="II17" s="59"/>
      <c r="IJ17" s="59"/>
      <c r="IK17" s="59"/>
      <c r="IL17" s="59"/>
      <c r="IM17" s="59"/>
      <c r="IN17" s="59"/>
      <c r="IO17" s="59"/>
      <c r="IP17" s="59"/>
      <c r="IQ17" s="59"/>
    </row>
    <row r="18" spans="1:388">
      <c r="A18">
        <v>424</v>
      </c>
      <c r="C18" s="27" t="s">
        <v>567</v>
      </c>
      <c r="D18" s="28" t="s">
        <v>1278</v>
      </c>
      <c r="E18" s="28" t="s">
        <v>1279</v>
      </c>
      <c r="F18" s="28" t="s">
        <v>2444</v>
      </c>
      <c r="G18" s="27" t="s">
        <v>90</v>
      </c>
      <c r="I18" s="27" t="s">
        <v>226</v>
      </c>
      <c r="J18" s="28">
        <v>21590</v>
      </c>
      <c r="K18" s="27" t="s">
        <v>397</v>
      </c>
      <c r="L18" s="27"/>
      <c r="M18" s="27"/>
      <c r="N18" s="27" t="s">
        <v>2919</v>
      </c>
      <c r="O18" s="27" t="s">
        <v>1805</v>
      </c>
      <c r="P18" s="370">
        <v>44014</v>
      </c>
      <c r="Q18" s="27"/>
      <c r="R18" s="27"/>
      <c r="S18" s="370"/>
      <c r="T18" s="369"/>
      <c r="U18" s="370"/>
      <c r="V18" s="369"/>
      <c r="W18" s="370" t="s">
        <v>1765</v>
      </c>
    </row>
    <row r="19" spans="1:388">
      <c r="A19">
        <v>426</v>
      </c>
      <c r="C19" s="27" t="s">
        <v>567</v>
      </c>
      <c r="D19" s="28" t="s">
        <v>1280</v>
      </c>
      <c r="E19" s="28" t="s">
        <v>1281</v>
      </c>
      <c r="F19" s="28" t="s">
        <v>2444</v>
      </c>
      <c r="G19" s="27" t="s">
        <v>90</v>
      </c>
      <c r="I19" s="27" t="s">
        <v>226</v>
      </c>
      <c r="J19" s="28">
        <v>21599</v>
      </c>
      <c r="K19" s="27" t="s">
        <v>1240</v>
      </c>
      <c r="L19" s="28"/>
      <c r="M19" s="28"/>
      <c r="N19" s="28" t="s">
        <v>4568</v>
      </c>
      <c r="O19" s="28" t="s">
        <v>1766</v>
      </c>
      <c r="P19" s="442">
        <v>43704</v>
      </c>
      <c r="Q19" s="27"/>
      <c r="R19" s="27"/>
      <c r="S19" s="370"/>
      <c r="T19" s="443"/>
      <c r="U19" s="369"/>
      <c r="V19" s="369"/>
      <c r="W19" s="27" t="s">
        <v>1765</v>
      </c>
      <c r="X19" s="370"/>
      <c r="Y19" s="370"/>
      <c r="Z19" s="370"/>
      <c r="AA19" s="369"/>
      <c r="AB19" s="369"/>
      <c r="AC19" s="369"/>
      <c r="AD19" s="369"/>
      <c r="AE19" s="391"/>
      <c r="AF19" s="391"/>
      <c r="AG19" s="391"/>
      <c r="AH19" s="391"/>
      <c r="AI19" s="391"/>
      <c r="AJ19" s="391"/>
      <c r="AK19" s="391"/>
      <c r="AL19" s="391"/>
      <c r="AM19" s="391"/>
      <c r="AN19" s="391"/>
      <c r="AO19" s="391"/>
      <c r="AP19" s="391"/>
      <c r="AQ19" s="391"/>
      <c r="AR19" s="391"/>
      <c r="AS19" s="391"/>
      <c r="AT19" s="391"/>
      <c r="AU19" s="391"/>
      <c r="AV19" s="391"/>
      <c r="AW19" s="369"/>
      <c r="AX19" s="369"/>
      <c r="AY19" s="369"/>
      <c r="AZ19" s="369"/>
      <c r="BA19" s="369"/>
      <c r="BB19" s="369"/>
      <c r="BC19" s="369"/>
      <c r="BD19" s="369"/>
      <c r="BE19" s="369"/>
      <c r="BF19" s="369"/>
      <c r="BG19" s="369"/>
      <c r="BH19" s="369"/>
      <c r="BI19" s="369"/>
      <c r="BJ19" s="369"/>
      <c r="BK19" s="369"/>
      <c r="BL19" s="369"/>
      <c r="BM19" s="369"/>
      <c r="BN19" s="369"/>
      <c r="BO19" s="369"/>
      <c r="BP19" s="369"/>
      <c r="BQ19" s="369"/>
      <c r="BR19" s="369"/>
      <c r="BS19" s="369"/>
      <c r="BT19" s="369"/>
      <c r="BU19" s="369"/>
      <c r="BV19" s="369"/>
      <c r="BW19" s="369"/>
      <c r="BX19" s="369"/>
      <c r="BY19" s="369"/>
      <c r="BZ19" s="369"/>
      <c r="CA19" s="369"/>
      <c r="CB19" s="369"/>
      <c r="CC19" s="369"/>
      <c r="CD19" s="369"/>
      <c r="CE19" s="369"/>
      <c r="CF19" s="369"/>
      <c r="CG19" s="369"/>
      <c r="CH19" s="369"/>
      <c r="CI19" s="369"/>
      <c r="CJ19" s="369"/>
      <c r="CK19" s="369"/>
      <c r="CL19" s="369"/>
      <c r="CM19" s="369"/>
      <c r="CN19" s="369"/>
      <c r="CO19" s="369"/>
      <c r="CP19" s="369"/>
      <c r="CQ19" s="369"/>
      <c r="CR19" s="369"/>
      <c r="CS19" s="369"/>
      <c r="CT19" s="369"/>
      <c r="CU19" s="369"/>
      <c r="CV19" s="369"/>
      <c r="CW19" s="369"/>
      <c r="CX19" s="369"/>
      <c r="CY19" s="369"/>
      <c r="CZ19" s="369"/>
      <c r="DA19" s="369"/>
      <c r="DB19" s="369"/>
      <c r="DC19" s="369"/>
      <c r="DD19" s="369"/>
      <c r="DE19" s="369"/>
      <c r="DF19" s="369"/>
      <c r="DG19" s="369"/>
      <c r="DH19" s="369"/>
      <c r="DI19" s="369"/>
      <c r="DJ19" s="369"/>
      <c r="DK19" s="369"/>
      <c r="DL19" s="369"/>
      <c r="DM19" s="369"/>
      <c r="DN19" s="369"/>
      <c r="DO19" s="369"/>
      <c r="DP19" s="369"/>
      <c r="DQ19" s="369"/>
      <c r="DR19" s="369"/>
      <c r="DS19" s="369"/>
      <c r="DT19" s="369"/>
      <c r="DU19" s="369"/>
      <c r="DV19" s="369"/>
      <c r="DW19" s="369"/>
      <c r="DX19" s="369"/>
      <c r="DY19" s="369"/>
      <c r="DZ19" s="369"/>
      <c r="EA19" s="369"/>
      <c r="EB19" s="369"/>
      <c r="EC19" s="369"/>
      <c r="ED19" s="369"/>
      <c r="EE19" s="369"/>
      <c r="EF19" s="369"/>
      <c r="EG19" s="369"/>
      <c r="EH19" s="369"/>
      <c r="EI19" s="369"/>
      <c r="EJ19" s="369"/>
      <c r="EK19" s="369"/>
      <c r="EL19" s="369"/>
      <c r="EM19" s="369"/>
      <c r="EN19" s="369"/>
      <c r="EO19" s="369"/>
      <c r="EP19" s="369"/>
      <c r="EQ19" s="369"/>
      <c r="ER19" s="369"/>
      <c r="ES19" s="369"/>
      <c r="ET19" s="369"/>
      <c r="EU19" s="369"/>
      <c r="EV19" s="369"/>
      <c r="EW19" s="369"/>
      <c r="EX19" s="369"/>
      <c r="EY19" s="369"/>
      <c r="EZ19" s="369"/>
      <c r="FA19" s="369"/>
      <c r="FB19" s="369"/>
      <c r="FC19" s="369"/>
      <c r="FD19" s="369"/>
      <c r="FE19" s="369"/>
      <c r="FF19" s="369"/>
      <c r="FG19" s="369"/>
      <c r="FH19" s="369"/>
      <c r="FI19" s="369"/>
      <c r="FJ19" s="369"/>
      <c r="FK19" s="369"/>
      <c r="FL19" s="369"/>
      <c r="FM19" s="369"/>
      <c r="FN19" s="369"/>
      <c r="FO19" s="369"/>
      <c r="FP19" s="369"/>
      <c r="FQ19" s="369"/>
      <c r="FR19" s="369"/>
      <c r="FS19" s="369"/>
      <c r="FT19" s="369"/>
      <c r="FU19" s="369"/>
      <c r="FV19" s="369"/>
      <c r="FW19" s="369"/>
      <c r="FX19" s="369"/>
      <c r="FY19" s="369"/>
      <c r="FZ19" s="369"/>
      <c r="GA19" s="369"/>
      <c r="GB19" s="369"/>
      <c r="GC19" s="369"/>
      <c r="GD19" s="369"/>
      <c r="GE19" s="369"/>
      <c r="GF19" s="369"/>
      <c r="GG19" s="369"/>
      <c r="GH19" s="369"/>
      <c r="GI19" s="369"/>
      <c r="GJ19" s="369"/>
      <c r="GK19" s="369"/>
      <c r="GL19" s="369"/>
      <c r="GM19" s="369"/>
      <c r="GN19" s="369"/>
      <c r="GO19" s="369"/>
      <c r="GP19" s="369"/>
      <c r="GQ19" s="369"/>
      <c r="GR19" s="369"/>
      <c r="GS19" s="369"/>
      <c r="GT19" s="369"/>
      <c r="GU19" s="369"/>
      <c r="GV19" s="369"/>
      <c r="GW19" s="369"/>
      <c r="GX19" s="369"/>
      <c r="GY19" s="369"/>
      <c r="GZ19" s="369"/>
      <c r="HA19" s="369"/>
      <c r="HB19" s="369"/>
      <c r="HC19" s="369"/>
      <c r="HD19" s="369"/>
      <c r="HE19" s="369"/>
      <c r="HF19" s="369"/>
      <c r="HG19" s="369"/>
      <c r="HH19" s="369"/>
      <c r="HI19" s="369"/>
      <c r="HJ19" s="369"/>
      <c r="HK19" s="369"/>
      <c r="HL19" s="369"/>
      <c r="HM19" s="369"/>
      <c r="HN19" s="369"/>
      <c r="HO19" s="369"/>
      <c r="HP19" s="369"/>
      <c r="HQ19" s="369"/>
      <c r="HR19" s="369"/>
      <c r="HS19" s="369"/>
      <c r="HT19" s="369"/>
      <c r="HU19" s="447"/>
      <c r="HV19" s="369"/>
      <c r="HW19" s="369"/>
      <c r="HX19" s="369"/>
      <c r="HY19" s="369"/>
      <c r="HZ19" s="369"/>
      <c r="IA19" s="369"/>
      <c r="IB19" s="369"/>
      <c r="IC19" s="369"/>
      <c r="ID19" s="369"/>
      <c r="IE19" s="369"/>
      <c r="IF19" s="369"/>
      <c r="IG19" s="369"/>
    </row>
    <row r="20" spans="1:388">
      <c r="A20">
        <v>20</v>
      </c>
      <c r="B20" t="s">
        <v>458</v>
      </c>
      <c r="C20" t="s">
        <v>569</v>
      </c>
      <c r="D20" s="28" t="s">
        <v>106</v>
      </c>
      <c r="E20" s="27" t="s">
        <v>107</v>
      </c>
      <c r="F20" s="27" t="s">
        <v>458</v>
      </c>
      <c r="G20" s="27" t="s">
        <v>108</v>
      </c>
      <c r="H20" s="27"/>
      <c r="I20" s="27" t="s">
        <v>94</v>
      </c>
      <c r="J20" s="28">
        <v>21591</v>
      </c>
      <c r="K20" s="27" t="s">
        <v>97</v>
      </c>
      <c r="L20" s="28"/>
      <c r="M20" s="28"/>
      <c r="N20" s="28"/>
      <c r="O20" s="28"/>
      <c r="P20" s="28"/>
      <c r="Q20" s="28"/>
      <c r="R20" s="28"/>
      <c r="S20" s="27"/>
      <c r="T20" s="27"/>
      <c r="U20" s="27"/>
      <c r="V20" s="29" t="s">
        <v>79</v>
      </c>
      <c r="W20" s="5"/>
      <c r="X20" s="5"/>
      <c r="Y20" s="5"/>
      <c r="Z20" s="5"/>
      <c r="AA20" s="21"/>
    </row>
    <row r="21" spans="1:388">
      <c r="A21">
        <v>439</v>
      </c>
      <c r="C21" s="27" t="s">
        <v>567</v>
      </c>
      <c r="D21" s="28" t="s">
        <v>1305</v>
      </c>
      <c r="E21" s="28" t="s">
        <v>1306</v>
      </c>
      <c r="F21" s="28" t="s">
        <v>2444</v>
      </c>
      <c r="G21" s="27" t="s">
        <v>90</v>
      </c>
      <c r="I21" s="27" t="s">
        <v>121</v>
      </c>
      <c r="J21" s="28">
        <v>21697</v>
      </c>
      <c r="K21" s="27" t="s">
        <v>227</v>
      </c>
      <c r="L21" s="27"/>
      <c r="M21" s="27"/>
      <c r="N21" s="27"/>
      <c r="O21" s="27" t="s">
        <v>1877</v>
      </c>
      <c r="P21" s="370">
        <v>44464</v>
      </c>
      <c r="Q21" s="27"/>
      <c r="R21" s="27"/>
      <c r="S21" s="370"/>
      <c r="T21" s="369"/>
      <c r="U21" s="370"/>
      <c r="V21" s="369"/>
      <c r="W21" s="370" t="s">
        <v>1765</v>
      </c>
    </row>
    <row r="22" spans="1:388" ht="38.25">
      <c r="A22">
        <v>440</v>
      </c>
      <c r="B22" t="s">
        <v>468</v>
      </c>
      <c r="C22" s="27" t="s">
        <v>4918</v>
      </c>
      <c r="D22" s="28" t="s">
        <v>1307</v>
      </c>
      <c r="E22" s="28" t="s">
        <v>1308</v>
      </c>
      <c r="F22" s="28" t="s">
        <v>2182</v>
      </c>
      <c r="G22" s="27" t="s">
        <v>90</v>
      </c>
      <c r="I22" s="27" t="s">
        <v>226</v>
      </c>
      <c r="J22" s="28">
        <v>21590</v>
      </c>
      <c r="K22" s="27" t="s">
        <v>397</v>
      </c>
      <c r="L22" s="27">
        <v>20089</v>
      </c>
      <c r="M22" s="27" t="s">
        <v>226</v>
      </c>
      <c r="N22" s="27"/>
      <c r="O22" s="27"/>
      <c r="P22" s="370"/>
      <c r="Q22" s="27" t="s">
        <v>1768</v>
      </c>
      <c r="R22" s="27" t="s">
        <v>1769</v>
      </c>
      <c r="S22" s="370"/>
      <c r="T22" s="369"/>
      <c r="U22" s="370"/>
      <c r="V22" s="369"/>
      <c r="W22" s="444" t="s">
        <v>4919</v>
      </c>
      <c r="X22" s="444"/>
      <c r="Y22" s="444"/>
      <c r="Z22" s="444"/>
      <c r="AA22" s="369"/>
      <c r="AB22" s="369">
        <v>0</v>
      </c>
      <c r="AC22" s="369">
        <v>0</v>
      </c>
      <c r="AD22" s="369"/>
      <c r="AE22" s="396">
        <f t="shared" ref="AE22" si="102">BA22</f>
        <v>0</v>
      </c>
      <c r="AF22" s="369">
        <f>DU22+DZ22+EE22</f>
        <v>87.721593281893007</v>
      </c>
      <c r="AG22" s="369">
        <f t="shared" ref="AG22" si="103">EU22</f>
        <v>0</v>
      </c>
      <c r="AH22" s="369">
        <f t="shared" ref="AH22" si="104">DM22</f>
        <v>5.23</v>
      </c>
      <c r="AI22" s="369">
        <f t="shared" ref="AI22" si="105">DO22</f>
        <v>6.5375000000000003E-2</v>
      </c>
      <c r="AJ22" s="369">
        <f t="shared" ref="AJ22" si="106">GW22</f>
        <v>0</v>
      </c>
      <c r="AK22" s="369">
        <f t="shared" ref="AK22" si="107">GU22</f>
        <v>0</v>
      </c>
      <c r="AL22" s="369">
        <f t="shared" ref="AL22" si="108">GS22</f>
        <v>0</v>
      </c>
      <c r="AM22" s="369">
        <f t="shared" ref="AM22" si="109">HV22</f>
        <v>0.55000000000000004</v>
      </c>
      <c r="AN22" s="369">
        <f t="shared" ref="AN22" si="110">IG22</f>
        <v>0.52</v>
      </c>
      <c r="AO22" s="369">
        <f t="shared" ref="AO22" si="111">EY22</f>
        <v>0</v>
      </c>
      <c r="AP22" s="369"/>
      <c r="AQ22" s="369">
        <f t="shared" ref="AQ22" si="112">SUM(AE22:AO22)</f>
        <v>94.086968281893007</v>
      </c>
      <c r="AR22" s="369">
        <f t="shared" ref="AR22" si="113">IJ22</f>
        <v>0</v>
      </c>
      <c r="AS22" s="369">
        <f t="shared" ref="AS22" si="114">EO22</f>
        <v>0</v>
      </c>
      <c r="AT22" s="369">
        <v>0</v>
      </c>
      <c r="AU22" s="369">
        <f>94.07-94.09</f>
        <v>-2.0000000000010232E-2</v>
      </c>
      <c r="AV22" s="391">
        <f t="shared" ref="AV22" si="115">AQ22+AT22+AU22+AR22+AS22</f>
        <v>94.066968281892997</v>
      </c>
      <c r="AW22" s="369">
        <v>0</v>
      </c>
      <c r="AX22" s="369">
        <v>0</v>
      </c>
      <c r="AY22" s="369">
        <v>0</v>
      </c>
      <c r="AZ22" s="369">
        <f t="shared" ref="AZ22" si="116">(AW22-AX22)*AY22</f>
        <v>0</v>
      </c>
      <c r="BA22" s="369">
        <f t="shared" ref="BA22" si="117">AW22*AB22-AZ22*AC22</f>
        <v>0</v>
      </c>
      <c r="BB22" s="369"/>
      <c r="BC22" s="369"/>
      <c r="BD22" s="369"/>
      <c r="BE22" s="369"/>
      <c r="BF22" s="369"/>
      <c r="BG22" s="369"/>
      <c r="BH22" s="369"/>
      <c r="BI22" s="369"/>
      <c r="BJ22" s="369"/>
      <c r="BK22" s="369"/>
      <c r="BL22" s="369"/>
      <c r="BM22" s="369"/>
      <c r="BN22" s="369"/>
      <c r="BO22" s="369"/>
      <c r="BP22" s="369"/>
      <c r="BQ22" s="369"/>
      <c r="BR22" s="369"/>
      <c r="BS22" s="369"/>
      <c r="BT22" s="369"/>
      <c r="BU22" s="369"/>
      <c r="BV22" s="369"/>
      <c r="BW22" s="369"/>
      <c r="BX22" s="369"/>
      <c r="BY22" s="369"/>
      <c r="BZ22" s="369"/>
      <c r="CA22" s="369"/>
      <c r="CB22" s="369"/>
      <c r="CC22" s="369"/>
      <c r="CD22" s="369"/>
      <c r="CE22" s="369"/>
      <c r="CF22" s="369"/>
      <c r="CG22" s="369"/>
      <c r="CH22" s="369"/>
      <c r="CI22" s="369" t="s">
        <v>4920</v>
      </c>
      <c r="CJ22" s="369" t="s">
        <v>4921</v>
      </c>
      <c r="CK22" s="369">
        <v>4</v>
      </c>
      <c r="CL22" s="369">
        <v>1</v>
      </c>
      <c r="CM22" s="369">
        <f>CK22*CL22</f>
        <v>4</v>
      </c>
      <c r="CN22" s="369" t="s">
        <v>4922</v>
      </c>
      <c r="CO22" s="369" t="s">
        <v>4923</v>
      </c>
      <c r="CP22" s="369">
        <v>1</v>
      </c>
      <c r="CQ22" s="369">
        <v>1.23</v>
      </c>
      <c r="CR22" s="369">
        <f>CP22*CQ22</f>
        <v>1.23</v>
      </c>
      <c r="CS22" s="369"/>
      <c r="CT22" s="369"/>
      <c r="CU22" s="369"/>
      <c r="CV22" s="369"/>
      <c r="CW22" s="369"/>
      <c r="CX22" s="369"/>
      <c r="CY22" s="369"/>
      <c r="CZ22" s="369"/>
      <c r="DA22" s="369"/>
      <c r="DB22" s="369"/>
      <c r="DC22" s="369"/>
      <c r="DD22" s="369"/>
      <c r="DE22" s="369"/>
      <c r="DF22" s="369"/>
      <c r="DG22" s="369"/>
      <c r="DH22" s="369"/>
      <c r="DI22" s="369"/>
      <c r="DJ22" s="369"/>
      <c r="DK22" s="369"/>
      <c r="DL22" s="369"/>
      <c r="DM22" s="369">
        <f>CH22+CM22+CR22+CW22+DB22+DG22+DL22</f>
        <v>5.23</v>
      </c>
      <c r="DN22" s="369">
        <v>1.2500000000000001E-2</v>
      </c>
      <c r="DO22" s="369">
        <f t="shared" ref="DO22" si="118">(DM22*DN22)</f>
        <v>6.5375000000000003E-2</v>
      </c>
      <c r="DP22" s="369">
        <f t="shared" ref="DP22" si="119">DM22+DO22</f>
        <v>5.2953750000000008</v>
      </c>
      <c r="DQ22" s="369" t="s">
        <v>4924</v>
      </c>
      <c r="DR22" s="369" t="s">
        <v>4925</v>
      </c>
      <c r="DS22" s="369">
        <v>1</v>
      </c>
      <c r="DT22" s="369">
        <f>KN22</f>
        <v>77.5289562962963</v>
      </c>
      <c r="DU22" s="369">
        <f>DS22*DT22</f>
        <v>77.5289562962963</v>
      </c>
      <c r="DV22" s="369" t="s">
        <v>4926</v>
      </c>
      <c r="DW22" s="369" t="s">
        <v>4763</v>
      </c>
      <c r="DX22" s="369">
        <v>1</v>
      </c>
      <c r="DY22" s="369">
        <f>LY22</f>
        <v>6.8010622427983547</v>
      </c>
      <c r="DZ22" s="369">
        <f t="shared" ref="DZ22" si="120">DX22*DY22</f>
        <v>6.8010622427983547</v>
      </c>
      <c r="EA22" s="369" t="s">
        <v>4927</v>
      </c>
      <c r="EB22" s="369" t="s">
        <v>296</v>
      </c>
      <c r="EC22" s="369">
        <v>1</v>
      </c>
      <c r="ED22" s="369">
        <f>NX22</f>
        <v>3.3915747427983538</v>
      </c>
      <c r="EE22" s="369">
        <f>EC22*ED22</f>
        <v>3.3915747427983538</v>
      </c>
      <c r="EF22" s="369"/>
      <c r="EG22" s="369"/>
      <c r="EH22" s="369"/>
      <c r="EI22" s="369"/>
      <c r="EJ22" s="369"/>
      <c r="EK22" s="369"/>
      <c r="EL22" s="369"/>
      <c r="EM22" s="369"/>
      <c r="EN22" s="369"/>
      <c r="EO22" s="369"/>
      <c r="EP22" s="369"/>
      <c r="EQ22" s="369"/>
      <c r="ER22" s="369"/>
      <c r="ES22" s="369"/>
      <c r="ET22" s="369"/>
      <c r="EU22" s="369">
        <f>EX22</f>
        <v>0</v>
      </c>
      <c r="EV22" s="369"/>
      <c r="EW22" s="369"/>
      <c r="EX22" s="369">
        <v>0</v>
      </c>
      <c r="EY22" s="369"/>
      <c r="EZ22" s="369"/>
      <c r="FA22" s="369"/>
      <c r="FB22" s="369"/>
      <c r="FC22" s="369"/>
      <c r="FD22" s="369"/>
      <c r="FE22" s="369"/>
      <c r="FF22" s="369"/>
      <c r="FG22" s="369"/>
      <c r="FH22" s="369"/>
      <c r="FI22" s="369"/>
      <c r="FJ22" s="369"/>
      <c r="FK22" s="369"/>
      <c r="FL22" s="369"/>
      <c r="FM22" s="369"/>
      <c r="FN22" s="369"/>
      <c r="FO22" s="369"/>
      <c r="FP22" s="369"/>
      <c r="FQ22" s="369"/>
      <c r="FR22" s="369"/>
      <c r="FS22" s="369"/>
      <c r="FT22" s="369"/>
      <c r="FU22" s="369"/>
      <c r="FV22" s="369"/>
      <c r="FW22" s="369"/>
      <c r="FX22" s="369"/>
      <c r="FY22" s="369"/>
      <c r="FZ22" s="369"/>
      <c r="GA22" s="369"/>
      <c r="GB22" s="369"/>
      <c r="GC22" s="369"/>
      <c r="GD22" s="369"/>
      <c r="GE22" s="369"/>
      <c r="GF22" s="369"/>
      <c r="GG22" s="369"/>
      <c r="GH22" s="369"/>
      <c r="GI22" s="369"/>
      <c r="GJ22" s="369"/>
      <c r="GK22" s="369"/>
      <c r="GL22" s="369"/>
      <c r="GM22" s="369"/>
      <c r="GN22" s="369"/>
      <c r="GO22" s="369"/>
      <c r="GP22" s="369"/>
      <c r="GQ22" s="369"/>
      <c r="GR22" s="369">
        <v>0</v>
      </c>
      <c r="GS22" s="369">
        <f>GR22*(BA22+EU22)</f>
        <v>0</v>
      </c>
      <c r="GT22" s="369">
        <v>0</v>
      </c>
      <c r="GU22" s="369">
        <f>GT22*(EU22+BA22)</f>
        <v>0</v>
      </c>
      <c r="GV22" s="369">
        <v>0</v>
      </c>
      <c r="GW22" s="369">
        <f>GV22*(EU22-EP22-EQ22)</f>
        <v>0</v>
      </c>
      <c r="GX22" s="369">
        <f t="shared" ref="GX22" si="121">GS22+GU22+GW22</f>
        <v>0</v>
      </c>
      <c r="GY22" s="369" t="s">
        <v>43</v>
      </c>
      <c r="GZ22" s="369" t="s">
        <v>87</v>
      </c>
      <c r="HA22" s="369">
        <v>810</v>
      </c>
      <c r="HB22" s="369">
        <v>568</v>
      </c>
      <c r="HC22" s="369">
        <v>425</v>
      </c>
      <c r="HD22" s="369">
        <v>17</v>
      </c>
      <c r="HE22" s="369">
        <v>500</v>
      </c>
      <c r="HF22" s="369">
        <f t="shared" ref="HF22" si="122">ROUNDUP(HE22/HD22,0)</f>
        <v>30</v>
      </c>
      <c r="HG22" s="369">
        <v>5</v>
      </c>
      <c r="HH22" s="369">
        <f t="shared" ref="HH22" si="123">HF22*HG22</f>
        <v>150</v>
      </c>
      <c r="HI22" s="369">
        <v>1100</v>
      </c>
      <c r="HJ22" s="369">
        <f t="shared" ref="HJ22" si="124">HH22*HI22</f>
        <v>165000</v>
      </c>
      <c r="HK22" s="369"/>
      <c r="HL22" s="369"/>
      <c r="HM22" s="369">
        <v>2</v>
      </c>
      <c r="HN22" s="369">
        <f t="shared" ref="HN22" si="125">HM22*12*25*HE22</f>
        <v>300000</v>
      </c>
      <c r="HO22" s="369">
        <f t="shared" ref="HO22" si="126">(IF(GY22="carton box",HI22/HD22,HJ22/HN22))</f>
        <v>0.55000000000000004</v>
      </c>
      <c r="HP22" s="369">
        <v>160</v>
      </c>
      <c r="HQ22" s="369">
        <v>0</v>
      </c>
      <c r="HR22" s="369">
        <v>0</v>
      </c>
      <c r="HS22" s="369">
        <v>0</v>
      </c>
      <c r="HT22" s="369">
        <f t="shared" ref="HT22" si="127">IF(ISERROR(HR22/HS22),0,HR22/HS22)</f>
        <v>0</v>
      </c>
      <c r="HU22" s="447"/>
      <c r="HV22" s="369">
        <f>ROUNDUP(HO22+HT22,2)</f>
        <v>0.55000000000000004</v>
      </c>
      <c r="HW22" s="369"/>
      <c r="HX22" s="369">
        <v>4200</v>
      </c>
      <c r="HY22" s="369">
        <v>1900</v>
      </c>
      <c r="HZ22" s="369">
        <v>1975</v>
      </c>
      <c r="IA22" s="369">
        <f t="shared" ref="IA22:IC22" si="128">ROUNDDOWN(HX22/HA22,0)</f>
        <v>5</v>
      </c>
      <c r="IB22" s="369">
        <f t="shared" si="128"/>
        <v>3</v>
      </c>
      <c r="IC22" s="369">
        <f t="shared" si="128"/>
        <v>4</v>
      </c>
      <c r="ID22" s="369">
        <v>0.95</v>
      </c>
      <c r="IE22" s="369">
        <f t="shared" ref="IE22" si="129">PRODUCT(IA22:ID22)</f>
        <v>57</v>
      </c>
      <c r="IF22" s="369">
        <v>500</v>
      </c>
      <c r="IG22" s="369">
        <f t="shared" ref="IG22" si="130">ROUNDUP(IF22/(IE22*HD22),2)</f>
        <v>0.52</v>
      </c>
      <c r="IH22" s="369"/>
      <c r="II22" s="369"/>
      <c r="IJ22" s="369"/>
      <c r="IK22" s="369" t="s">
        <v>440</v>
      </c>
      <c r="IL22" s="369">
        <v>111.8</v>
      </c>
      <c r="IM22" s="369">
        <v>20</v>
      </c>
      <c r="IN22" s="369"/>
      <c r="IO22" s="369">
        <v>0.52</v>
      </c>
      <c r="IP22" s="369">
        <v>0.52</v>
      </c>
      <c r="IQ22" s="392">
        <v>0</v>
      </c>
      <c r="IR22" s="369">
        <f>(IO22-IP22)*IQ22</f>
        <v>0</v>
      </c>
      <c r="IS22" s="369">
        <f>IO22*IL22-IR22*IM22</f>
        <v>58.136000000000003</v>
      </c>
      <c r="IT22" s="369"/>
      <c r="IU22" s="369"/>
      <c r="IV22" s="369"/>
      <c r="IW22" s="369"/>
      <c r="IX22" s="369"/>
      <c r="IY22" s="369"/>
      <c r="IZ22" s="369"/>
      <c r="JA22" s="369"/>
      <c r="JB22" s="369"/>
      <c r="JC22" s="369"/>
      <c r="JD22" s="369"/>
      <c r="JE22" s="369"/>
      <c r="JF22" s="369"/>
      <c r="JG22" s="369"/>
      <c r="JH22" s="369"/>
      <c r="JI22" s="369"/>
      <c r="JJ22" s="369"/>
      <c r="JK22" s="369"/>
      <c r="JL22" s="369"/>
      <c r="JM22" s="369"/>
      <c r="JN22" s="369"/>
      <c r="JO22" s="369"/>
      <c r="JP22" s="369"/>
      <c r="JQ22" s="369">
        <f>IV22+JA22+JF22+JK22+JP22</f>
        <v>0</v>
      </c>
      <c r="JR22" s="369">
        <v>1.2500000000000001E-2</v>
      </c>
      <c r="JS22" s="369">
        <f>JR22*JQ22</f>
        <v>0</v>
      </c>
      <c r="JT22" s="369">
        <f>JS22+JQ22</f>
        <v>0</v>
      </c>
      <c r="JU22" s="369">
        <v>450</v>
      </c>
      <c r="JV22" s="369">
        <v>4500</v>
      </c>
      <c r="JW22" s="369">
        <v>7.5</v>
      </c>
      <c r="JX22" s="392">
        <v>0.9</v>
      </c>
      <c r="JY22" s="369">
        <v>1</v>
      </c>
      <c r="JZ22" s="369">
        <v>58</v>
      </c>
      <c r="KA22" s="369">
        <f>3600/JZ22*JY22*JX22*JW22</f>
        <v>418.96551724137936</v>
      </c>
      <c r="KB22" s="369"/>
      <c r="KC22" s="369">
        <f>JV22/KA22+KD22</f>
        <v>10.740740740740739</v>
      </c>
      <c r="KD22" s="369">
        <v>0</v>
      </c>
      <c r="KE22" s="369">
        <v>0.11</v>
      </c>
      <c r="KF22" s="369">
        <f>KE22*(KC22+IS22)</f>
        <v>7.5764414814814822</v>
      </c>
      <c r="KG22" s="369">
        <v>1.2500000000000001E-2</v>
      </c>
      <c r="KH22" s="369">
        <f>KG22*(KC22+IS22)</f>
        <v>0.86095925925925931</v>
      </c>
      <c r="KI22" s="369">
        <v>0.02</v>
      </c>
      <c r="KJ22" s="369">
        <f>KI22*KC22</f>
        <v>0.21481481481481479</v>
      </c>
      <c r="KK22" s="369"/>
      <c r="KL22" s="369"/>
      <c r="KM22" s="369"/>
      <c r="KN22" s="369">
        <f>IS22+JQ22+JS22+KC22+KF22+KH22+KJ22</f>
        <v>77.5289562962963</v>
      </c>
      <c r="KO22" s="369" t="s">
        <v>4928</v>
      </c>
      <c r="KP22" s="369">
        <v>285</v>
      </c>
      <c r="KQ22" s="369">
        <v>20</v>
      </c>
      <c r="KR22" s="369"/>
      <c r="KS22" s="369">
        <v>1.6E-2</v>
      </c>
      <c r="KT22" s="369">
        <v>1.2999999999999999E-2</v>
      </c>
      <c r="KU22" s="392">
        <v>1</v>
      </c>
      <c r="KV22" s="369">
        <f>(KS22-KT22)*KU22</f>
        <v>3.0000000000000009E-3</v>
      </c>
      <c r="KW22" s="369">
        <f>KS22*KP22-KV22*KQ22</f>
        <v>4.5000000000000009</v>
      </c>
      <c r="KX22" s="369"/>
      <c r="KY22" s="369">
        <v>0</v>
      </c>
      <c r="KZ22" s="369">
        <v>1</v>
      </c>
      <c r="LA22" s="369">
        <v>1.2</v>
      </c>
      <c r="LB22" s="369">
        <f>KZ22*LA22</f>
        <v>1.2</v>
      </c>
      <c r="LC22" s="369">
        <v>1.2500000000000001E-2</v>
      </c>
      <c r="LD22" s="369">
        <f>LC22*LB22</f>
        <v>1.4999999999999999E-2</v>
      </c>
      <c r="LE22" s="369">
        <f>LD22+LB22</f>
        <v>1.2149999999999999</v>
      </c>
      <c r="LF22" s="369">
        <v>130</v>
      </c>
      <c r="LG22" s="369">
        <v>1300</v>
      </c>
      <c r="LH22" s="369">
        <v>7.5</v>
      </c>
      <c r="LI22" s="392">
        <v>0.9</v>
      </c>
      <c r="LJ22" s="369">
        <v>4</v>
      </c>
      <c r="LK22" s="369">
        <v>35</v>
      </c>
      <c r="LL22" s="369">
        <f>3600/LK22*LJ22*LI22*LH22</f>
        <v>2777.1428571428573</v>
      </c>
      <c r="LM22" s="369"/>
      <c r="LN22" s="369">
        <f>LG22/LL22</f>
        <v>0.46810699588477361</v>
      </c>
      <c r="LO22" s="369"/>
      <c r="LP22" s="369">
        <v>0.11</v>
      </c>
      <c r="LQ22" s="369">
        <f>LP22*(LN22+KW22)</f>
        <v>0.54649176954732515</v>
      </c>
      <c r="LR22" s="369">
        <v>1.2500000000000001E-2</v>
      </c>
      <c r="LS22" s="369">
        <f>LR22*(LN22+KW22)</f>
        <v>6.2101337448559682E-2</v>
      </c>
      <c r="LT22" s="369">
        <v>0.02</v>
      </c>
      <c r="LU22" s="369">
        <f>LT22*LN22</f>
        <v>9.3621399176954719E-3</v>
      </c>
      <c r="LV22" s="369"/>
      <c r="LW22" s="369"/>
      <c r="LX22" s="369"/>
      <c r="LY22" s="369">
        <f>KW22+LB22+LD22+LN22+LQ22+LS22+LU22</f>
        <v>6.8010622427983547</v>
      </c>
      <c r="LZ22" s="369" t="s">
        <v>4928</v>
      </c>
      <c r="MA22" s="369">
        <v>285</v>
      </c>
      <c r="MB22" s="369">
        <v>20</v>
      </c>
      <c r="MC22" s="369"/>
      <c r="MD22" s="369">
        <v>8.9999999999999993E-3</v>
      </c>
      <c r="ME22" s="369">
        <v>8.0000000000000002E-3</v>
      </c>
      <c r="MF22" s="369">
        <v>1</v>
      </c>
      <c r="MG22" s="369">
        <f>MF22*(MD22-ME22)</f>
        <v>9.9999999999999915E-4</v>
      </c>
      <c r="MH22" s="369">
        <f>MD22*MA22-MG22*MB22</f>
        <v>2.5449999999999999</v>
      </c>
      <c r="MI22" s="369"/>
      <c r="MJ22" s="369"/>
      <c r="MK22" s="369"/>
      <c r="ML22" s="369"/>
      <c r="MM22" s="369"/>
      <c r="MN22" s="369"/>
      <c r="MO22" s="369"/>
      <c r="MP22" s="369"/>
      <c r="MQ22" s="369"/>
      <c r="MR22" s="369"/>
      <c r="MS22" s="369"/>
      <c r="MT22" s="369"/>
      <c r="MU22" s="369"/>
      <c r="MV22" s="369"/>
      <c r="MW22" s="369"/>
      <c r="MX22" s="369"/>
      <c r="MY22" s="369"/>
      <c r="MZ22" s="369"/>
      <c r="NA22" s="369"/>
      <c r="NB22" s="369"/>
      <c r="NC22" s="369"/>
      <c r="ND22" s="369"/>
      <c r="NE22" s="369"/>
      <c r="NF22" s="369">
        <f>MP22+MU22+MZ22+NE22</f>
        <v>0</v>
      </c>
      <c r="NG22" s="369"/>
      <c r="NH22" s="369">
        <f>NG22*NF22</f>
        <v>0</v>
      </c>
      <c r="NI22" s="369">
        <f>NH22+NF22</f>
        <v>0</v>
      </c>
      <c r="NJ22" s="369">
        <v>130</v>
      </c>
      <c r="NK22" s="369">
        <v>1300</v>
      </c>
      <c r="NL22" s="369">
        <v>7.5</v>
      </c>
      <c r="NM22" s="369">
        <v>0.9</v>
      </c>
      <c r="NN22" s="369">
        <v>4</v>
      </c>
      <c r="NO22" s="369">
        <v>35</v>
      </c>
      <c r="NP22" s="369">
        <f>3600/NO22*NN22*NM22*NL22</f>
        <v>2777.1428571428573</v>
      </c>
      <c r="NQ22" s="369">
        <f>NK22/NP22</f>
        <v>0.46810699588477361</v>
      </c>
      <c r="NR22" s="369">
        <v>0.11</v>
      </c>
      <c r="NS22" s="369">
        <f>NR22*(NQ22+MH22)</f>
        <v>0.33144176954732507</v>
      </c>
      <c r="NT22" s="369">
        <v>1.2500000000000001E-2</v>
      </c>
      <c r="NU22" s="369">
        <f>NT22*(NQ22+MH22)</f>
        <v>3.7663837448559667E-2</v>
      </c>
      <c r="NV22" s="369">
        <v>0.02</v>
      </c>
      <c r="NW22" s="369">
        <f>NV22*NQ22</f>
        <v>9.3621399176954719E-3</v>
      </c>
      <c r="NX22" s="369">
        <f>MH22+NF22+NH22+NQ22+NS22+NU22+NW22</f>
        <v>3.3915747427983538</v>
      </c>
    </row>
    <row r="23" spans="1:388">
      <c r="A23">
        <v>445</v>
      </c>
      <c r="B23" t="s">
        <v>4929</v>
      </c>
      <c r="C23" s="334"/>
      <c r="D23" s="28" t="s">
        <v>1313</v>
      </c>
      <c r="E23" s="28" t="s">
        <v>1314</v>
      </c>
      <c r="F23" t="s">
        <v>4929</v>
      </c>
      <c r="G23" s="27" t="s">
        <v>90</v>
      </c>
      <c r="I23" s="27" t="s">
        <v>226</v>
      </c>
      <c r="J23" s="28">
        <v>21599</v>
      </c>
      <c r="K23" s="27" t="s">
        <v>1240</v>
      </c>
    </row>
    <row r="24" spans="1:388">
      <c r="A24">
        <v>447</v>
      </c>
      <c r="B24" t="s">
        <v>4929</v>
      </c>
      <c r="D24" s="28" t="s">
        <v>1315</v>
      </c>
      <c r="E24" s="28" t="s">
        <v>170</v>
      </c>
      <c r="F24" t="s">
        <v>4929</v>
      </c>
      <c r="G24" s="27" t="s">
        <v>90</v>
      </c>
      <c r="I24" s="27" t="s">
        <v>226</v>
      </c>
      <c r="J24" s="28">
        <v>21599</v>
      </c>
      <c r="K24" s="27" t="s">
        <v>1240</v>
      </c>
    </row>
    <row r="25" spans="1:388">
      <c r="A25">
        <v>449</v>
      </c>
      <c r="B25" t="s">
        <v>4929</v>
      </c>
      <c r="D25" s="28" t="s">
        <v>1316</v>
      </c>
      <c r="E25" s="28" t="s">
        <v>685</v>
      </c>
      <c r="F25" t="s">
        <v>4929</v>
      </c>
      <c r="G25" s="27" t="s">
        <v>90</v>
      </c>
      <c r="I25" s="27" t="s">
        <v>226</v>
      </c>
      <c r="J25" s="28">
        <v>21599</v>
      </c>
      <c r="K25" s="27" t="s">
        <v>1240</v>
      </c>
    </row>
    <row r="26" spans="1:388">
      <c r="A26">
        <v>451</v>
      </c>
      <c r="B26" t="s">
        <v>4929</v>
      </c>
      <c r="D26" s="28" t="s">
        <v>1317</v>
      </c>
      <c r="E26" s="28" t="s">
        <v>1318</v>
      </c>
      <c r="F26" t="s">
        <v>4929</v>
      </c>
      <c r="G26" s="27" t="s">
        <v>90</v>
      </c>
      <c r="I26" s="27" t="s">
        <v>226</v>
      </c>
      <c r="J26" s="28">
        <v>21599</v>
      </c>
      <c r="K26" s="27" t="s">
        <v>1240</v>
      </c>
    </row>
    <row r="27" spans="1:388">
      <c r="A27">
        <v>453</v>
      </c>
      <c r="B27" t="s">
        <v>4929</v>
      </c>
      <c r="D27" s="28" t="s">
        <v>1319</v>
      </c>
      <c r="E27" s="28" t="s">
        <v>180</v>
      </c>
      <c r="F27" t="s">
        <v>4929</v>
      </c>
      <c r="G27" s="27" t="s">
        <v>90</v>
      </c>
      <c r="I27" s="27" t="s">
        <v>226</v>
      </c>
      <c r="J27" s="28">
        <v>21599</v>
      </c>
      <c r="K27" s="27" t="s">
        <v>1240</v>
      </c>
    </row>
    <row r="28" spans="1:388">
      <c r="A28">
        <v>455</v>
      </c>
      <c r="B28" t="s">
        <v>4929</v>
      </c>
      <c r="D28" s="28" t="s">
        <v>1320</v>
      </c>
      <c r="E28" s="28" t="s">
        <v>164</v>
      </c>
      <c r="F28" t="s">
        <v>4929</v>
      </c>
      <c r="G28" s="27" t="s">
        <v>90</v>
      </c>
      <c r="I28" s="27" t="s">
        <v>226</v>
      </c>
      <c r="J28" s="28">
        <v>21599</v>
      </c>
      <c r="K28" s="27" t="s">
        <v>1240</v>
      </c>
    </row>
    <row r="29" spans="1:388">
      <c r="A29">
        <v>457</v>
      </c>
      <c r="B29" t="s">
        <v>4929</v>
      </c>
      <c r="D29" s="28" t="s">
        <v>1321</v>
      </c>
      <c r="E29" s="28" t="s">
        <v>1322</v>
      </c>
      <c r="F29" t="s">
        <v>4929</v>
      </c>
      <c r="G29" s="27" t="s">
        <v>90</v>
      </c>
      <c r="I29" s="27" t="s">
        <v>226</v>
      </c>
      <c r="J29" s="28">
        <v>21599</v>
      </c>
      <c r="K29" s="27" t="s">
        <v>1240</v>
      </c>
    </row>
    <row r="30" spans="1:388">
      <c r="A30">
        <v>459</v>
      </c>
      <c r="B30" t="s">
        <v>4929</v>
      </c>
      <c r="D30" s="28" t="s">
        <v>1323</v>
      </c>
      <c r="E30" s="28" t="s">
        <v>1324</v>
      </c>
      <c r="F30" t="s">
        <v>4929</v>
      </c>
      <c r="G30" s="27" t="s">
        <v>90</v>
      </c>
      <c r="I30" s="27" t="s">
        <v>226</v>
      </c>
      <c r="J30" s="28">
        <v>21599</v>
      </c>
      <c r="K30" s="27" t="s">
        <v>1240</v>
      </c>
    </row>
    <row r="31" spans="1:388">
      <c r="A31">
        <v>31</v>
      </c>
      <c r="B31" t="s">
        <v>468</v>
      </c>
      <c r="C31" t="s">
        <v>1845</v>
      </c>
      <c r="D31" s="28" t="s">
        <v>143</v>
      </c>
      <c r="E31" s="27" t="s">
        <v>144</v>
      </c>
      <c r="F31" s="5" t="s">
        <v>2182</v>
      </c>
      <c r="G31" s="27" t="s">
        <v>101</v>
      </c>
      <c r="H31" s="27"/>
      <c r="I31" s="27" t="s">
        <v>121</v>
      </c>
      <c r="J31" s="28">
        <v>29010</v>
      </c>
      <c r="K31" s="27" t="s">
        <v>229</v>
      </c>
      <c r="L31" s="28"/>
      <c r="M31" s="28"/>
      <c r="N31" s="28"/>
      <c r="O31" s="28"/>
      <c r="P31" s="28"/>
      <c r="Q31" s="28" t="s">
        <v>1035</v>
      </c>
      <c r="R31" s="28" t="s">
        <v>1194</v>
      </c>
      <c r="S31" s="27"/>
      <c r="T31" s="27"/>
      <c r="U31" s="27"/>
      <c r="V31" s="29" t="s">
        <v>79</v>
      </c>
      <c r="W31" s="5" t="s">
        <v>422</v>
      </c>
      <c r="X31" s="5"/>
      <c r="Y31" s="5"/>
      <c r="Z31" s="5"/>
      <c r="AA31" s="51" t="s">
        <v>299</v>
      </c>
      <c r="AB31" s="339">
        <v>132.43</v>
      </c>
      <c r="AC31" s="11">
        <f>AB31-5</f>
        <v>127.43</v>
      </c>
      <c r="AE31" s="7">
        <f>BA31</f>
        <v>33.593505</v>
      </c>
      <c r="AF31" s="7"/>
      <c r="AG31" s="42">
        <f>EU31</f>
        <v>8.31353919239905</v>
      </c>
      <c r="AH31" s="7">
        <f>DP31</f>
        <v>2.19</v>
      </c>
      <c r="AI31" s="7">
        <f>DO31</f>
        <v>0</v>
      </c>
      <c r="AJ31" s="7">
        <f>GW31</f>
        <v>0.166270783847981</v>
      </c>
      <c r="AK31" s="7">
        <f>GU31</f>
        <v>0.52383805240498815</v>
      </c>
      <c r="AL31" s="7">
        <f>GS31</f>
        <v>4.6097748611638956</v>
      </c>
      <c r="AM31" s="7">
        <f>HV31</f>
        <v>1.2760416666666667</v>
      </c>
      <c r="AN31" s="7">
        <f>IG31</f>
        <v>1.0416666666666667</v>
      </c>
      <c r="AO31" s="6">
        <v>0</v>
      </c>
      <c r="AP31" s="6"/>
      <c r="AQ31" s="42">
        <f>SUM(AE31:AO31)</f>
        <v>51.714636223149242</v>
      </c>
      <c r="AR31" s="42"/>
      <c r="AS31" s="42"/>
      <c r="AT31" s="6">
        <v>0</v>
      </c>
      <c r="AU31" s="43">
        <f>AQ31*2%</f>
        <v>1.0342927244629849</v>
      </c>
      <c r="AV31" s="7">
        <f>AQ31+AT31+AU31</f>
        <v>52.748928947612228</v>
      </c>
      <c r="AW31">
        <v>0.25800000000000001</v>
      </c>
      <c r="AX31">
        <v>0.253</v>
      </c>
      <c r="AY31" s="8">
        <v>0.9</v>
      </c>
      <c r="AZ31">
        <f>(AW31-AX31)*AY31</f>
        <v>4.500000000000004E-3</v>
      </c>
      <c r="BA31" s="4">
        <f>AW31*AB31-AZ31*AC31</f>
        <v>33.593505</v>
      </c>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E31">
        <v>0</v>
      </c>
      <c r="CF31">
        <v>3</v>
      </c>
      <c r="CG31">
        <v>0.73</v>
      </c>
      <c r="DN31" s="9">
        <v>0</v>
      </c>
      <c r="DO31" s="40">
        <f>DN31*CG31*CF31</f>
        <v>0</v>
      </c>
      <c r="DP31" s="4">
        <f>CG31*CF31</f>
        <v>2.19</v>
      </c>
      <c r="DQ31" s="4"/>
      <c r="DR31" s="4"/>
      <c r="DS31" s="4"/>
      <c r="DT31" s="4"/>
      <c r="DU31" s="4"/>
      <c r="DV31" s="4"/>
      <c r="DW31" s="4"/>
      <c r="DX31" s="4"/>
      <c r="DY31" s="4"/>
      <c r="DZ31" s="4"/>
      <c r="EA31" s="4"/>
      <c r="EB31" s="4"/>
      <c r="EC31" s="4"/>
      <c r="ED31" s="4"/>
      <c r="EE31" s="4"/>
      <c r="EF31">
        <v>350</v>
      </c>
      <c r="EG31">
        <v>3500</v>
      </c>
      <c r="EH31">
        <v>8</v>
      </c>
      <c r="EI31" s="8">
        <v>0.95</v>
      </c>
      <c r="EJ31">
        <v>1</v>
      </c>
      <c r="EK31">
        <v>65</v>
      </c>
      <c r="EL31" s="10">
        <f>ROUND(3600/EK31*EH31*EJ31*EI31,0)</f>
        <v>421</v>
      </c>
      <c r="EM31" s="10"/>
      <c r="EN31" s="10"/>
      <c r="EO31" s="10"/>
      <c r="EP31" s="4"/>
      <c r="EQ31" s="4"/>
      <c r="ER31" s="4"/>
      <c r="ES31" s="4"/>
      <c r="ET31" s="4"/>
      <c r="EU31" s="4">
        <f>EG31/EL31</f>
        <v>8.31353919239905</v>
      </c>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8">
        <v>0.11</v>
      </c>
      <c r="GS31" s="4">
        <f>GR31*(BA31+EU31)</f>
        <v>4.6097748611638956</v>
      </c>
      <c r="GT31" s="9">
        <v>1.2500000000000001E-2</v>
      </c>
      <c r="GU31" s="4">
        <f>GT31*(BA31+EU31)</f>
        <v>0.52383805240498815</v>
      </c>
      <c r="GV31" s="8">
        <v>0.02</v>
      </c>
      <c r="GW31" s="4">
        <f>GV31*EU31</f>
        <v>0.166270783847981</v>
      </c>
      <c r="GX31" s="4">
        <f>GS31+GU31+GW31</f>
        <v>5.299883697416865</v>
      </c>
      <c r="GY31" t="s">
        <v>418</v>
      </c>
      <c r="GZ31" t="s">
        <v>87</v>
      </c>
      <c r="HA31" s="4">
        <v>1600</v>
      </c>
      <c r="HB31" s="4">
        <v>800</v>
      </c>
      <c r="HC31">
        <v>1800</v>
      </c>
      <c r="HD31">
        <v>120</v>
      </c>
      <c r="HE31">
        <v>800</v>
      </c>
      <c r="HF31" s="4">
        <f>ROUNDUP(HE31/HD31,0)</f>
        <v>7</v>
      </c>
      <c r="HG31">
        <v>5</v>
      </c>
      <c r="HH31" s="4">
        <f>HF31*HG31</f>
        <v>35</v>
      </c>
      <c r="HI31">
        <v>17500</v>
      </c>
      <c r="HJ31" s="4">
        <f>HH31*HI31</f>
        <v>612500</v>
      </c>
      <c r="HK31" s="4"/>
      <c r="HL31" s="4"/>
      <c r="HM31" s="4">
        <v>2</v>
      </c>
      <c r="HN31" s="10">
        <f>HM31*12*25*HE31</f>
        <v>480000</v>
      </c>
      <c r="HO31" s="4">
        <f>IF(GY31="carton box",HI31/HD31,HJ31/HN31)</f>
        <v>1.2760416666666667</v>
      </c>
      <c r="HP31" s="4">
        <v>160</v>
      </c>
      <c r="HQ31">
        <v>0</v>
      </c>
      <c r="HR31" s="4">
        <v>0</v>
      </c>
      <c r="HS31" s="4">
        <v>0</v>
      </c>
      <c r="HT31" s="4">
        <v>0</v>
      </c>
      <c r="HU31" s="4"/>
      <c r="HV31" s="4">
        <f>HO31+HT31</f>
        <v>1.2760416666666667</v>
      </c>
      <c r="HW31" s="4"/>
      <c r="HX31" s="4">
        <v>4200</v>
      </c>
      <c r="HY31" s="4">
        <v>1900</v>
      </c>
      <c r="HZ31" s="4">
        <v>1975</v>
      </c>
      <c r="IA31" s="4">
        <v>2</v>
      </c>
      <c r="IB31" s="4">
        <v>2</v>
      </c>
      <c r="IC31" s="4">
        <v>1</v>
      </c>
      <c r="ID31" s="8">
        <v>0.9</v>
      </c>
      <c r="IE31" s="4">
        <f>ROUND(PRODUCT(IA31:ID31),0)</f>
        <v>4</v>
      </c>
      <c r="IF31" s="4">
        <v>500</v>
      </c>
      <c r="IG31" s="4">
        <f>IF31/(IE31*HD31)</f>
        <v>1.0416666666666667</v>
      </c>
      <c r="IH31" s="4"/>
    </row>
    <row r="32" spans="1:388">
      <c r="A32">
        <v>32</v>
      </c>
      <c r="B32" t="s">
        <v>468</v>
      </c>
      <c r="C32" t="s">
        <v>1846</v>
      </c>
      <c r="D32" s="28" t="s">
        <v>143</v>
      </c>
      <c r="E32" s="27" t="s">
        <v>144</v>
      </c>
      <c r="F32" s="5" t="s">
        <v>2182</v>
      </c>
      <c r="G32" s="27" t="s">
        <v>101</v>
      </c>
      <c r="H32" s="27"/>
      <c r="I32" s="27" t="s">
        <v>121</v>
      </c>
      <c r="J32" s="28">
        <v>21677</v>
      </c>
      <c r="K32" s="27" t="s">
        <v>228</v>
      </c>
      <c r="L32" s="28"/>
      <c r="M32" s="28"/>
      <c r="N32" s="28"/>
      <c r="O32" s="28"/>
      <c r="P32" s="28"/>
      <c r="Q32" s="28" t="s">
        <v>1033</v>
      </c>
      <c r="R32" s="28" t="s">
        <v>1193</v>
      </c>
      <c r="S32" s="27"/>
      <c r="T32" s="27"/>
      <c r="U32" s="27"/>
      <c r="V32" s="29" t="s">
        <v>79</v>
      </c>
      <c r="W32" s="5"/>
      <c r="X32" s="5"/>
      <c r="Y32" s="5"/>
      <c r="Z32" s="5"/>
      <c r="AA32" s="51" t="s">
        <v>419</v>
      </c>
      <c r="AB32" s="342">
        <v>110.17</v>
      </c>
      <c r="AC32" s="32">
        <v>20</v>
      </c>
      <c r="AD32" s="13" t="s">
        <v>310</v>
      </c>
      <c r="AE32" s="7">
        <f>BA32</f>
        <v>26.891649999999998</v>
      </c>
      <c r="AF32" s="7"/>
      <c r="AG32" s="42">
        <f>EU32</f>
        <v>8.1775700934579447</v>
      </c>
      <c r="AH32" s="7">
        <f>DP32</f>
        <v>6</v>
      </c>
      <c r="AI32" s="7">
        <f>DO32</f>
        <v>7.5000000000000011E-2</v>
      </c>
      <c r="AJ32" s="7">
        <f>GW32</f>
        <v>0.1635514018691589</v>
      </c>
      <c r="AK32" s="7">
        <f>GU32</f>
        <v>0.43836525116822433</v>
      </c>
      <c r="AL32" s="7">
        <f>GS32</f>
        <v>3.8576142102803739</v>
      </c>
      <c r="AM32" s="7">
        <f>HV32</f>
        <v>0.43571428571428572</v>
      </c>
      <c r="AN32" s="7">
        <f>IG32</f>
        <v>0.25</v>
      </c>
      <c r="AO32" s="6">
        <v>0</v>
      </c>
      <c r="AP32" s="6"/>
      <c r="AQ32" s="42">
        <f>SUM(AE32:AO32)</f>
        <v>46.289465242489982</v>
      </c>
      <c r="AR32" s="42"/>
      <c r="AS32" s="42"/>
      <c r="AT32" s="6">
        <v>0</v>
      </c>
      <c r="AU32" s="6"/>
      <c r="AV32" s="7">
        <f>AQ32+AT32</f>
        <v>46.289465242489982</v>
      </c>
      <c r="AW32">
        <v>0.245</v>
      </c>
      <c r="AX32">
        <v>0.24</v>
      </c>
      <c r="AY32" s="8">
        <v>1</v>
      </c>
      <c r="AZ32">
        <f>(AW32-AX32)*AY32</f>
        <v>5.0000000000000044E-3</v>
      </c>
      <c r="BA32" s="4">
        <f>AW32*AB32-AZ32*AC32</f>
        <v>26.891649999999998</v>
      </c>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E32">
        <v>0</v>
      </c>
      <c r="CF32">
        <v>3</v>
      </c>
      <c r="CG32">
        <v>2</v>
      </c>
      <c r="DN32" s="9">
        <v>1.2500000000000001E-2</v>
      </c>
      <c r="DO32" s="4">
        <f>DN32*CG32*CF32</f>
        <v>7.5000000000000011E-2</v>
      </c>
      <c r="DP32" s="4">
        <f>CG32*CF32</f>
        <v>6</v>
      </c>
      <c r="DQ32" s="4"/>
      <c r="DR32" s="4"/>
      <c r="DS32" s="4"/>
      <c r="DT32" s="4"/>
      <c r="DU32" s="4"/>
      <c r="DV32" s="4"/>
      <c r="DW32" s="4"/>
      <c r="DX32" s="4"/>
      <c r="DY32" s="4"/>
      <c r="DZ32" s="4"/>
      <c r="EA32" s="4"/>
      <c r="EB32" s="4"/>
      <c r="EC32" s="4"/>
      <c r="ED32" s="4"/>
      <c r="EE32" s="4"/>
      <c r="EF32">
        <v>350</v>
      </c>
      <c r="EG32">
        <v>3500</v>
      </c>
      <c r="EH32">
        <v>8</v>
      </c>
      <c r="EI32" s="8">
        <v>0.95</v>
      </c>
      <c r="EJ32">
        <v>1</v>
      </c>
      <c r="EK32">
        <v>64</v>
      </c>
      <c r="EL32" s="10">
        <f>ROUND(3600/EK32*EH32*EJ32*EI32,0)</f>
        <v>428</v>
      </c>
      <c r="EM32" s="10"/>
      <c r="EN32" s="10"/>
      <c r="EO32" s="10"/>
      <c r="EP32" s="4"/>
      <c r="EQ32" s="4"/>
      <c r="ER32" s="4"/>
      <c r="ES32" s="4"/>
      <c r="ET32" s="4"/>
      <c r="EU32" s="4">
        <f>EG32/EL32</f>
        <v>8.1775700934579447</v>
      </c>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8">
        <v>0.11</v>
      </c>
      <c r="GS32" s="4">
        <f>GR32*(BA32+EU32)</f>
        <v>3.8576142102803739</v>
      </c>
      <c r="GT32" s="9">
        <v>1.2500000000000001E-2</v>
      </c>
      <c r="GU32" s="4">
        <f>GT32*(BA32+EU32)</f>
        <v>0.43836525116822433</v>
      </c>
      <c r="GV32" s="8">
        <v>0.02</v>
      </c>
      <c r="GW32" s="4">
        <f>GV32*EU32</f>
        <v>0.1635514018691589</v>
      </c>
      <c r="GX32" s="4">
        <f>GS32+GU32+GW32</f>
        <v>4.4595308633177577</v>
      </c>
      <c r="GY32" t="s">
        <v>418</v>
      </c>
      <c r="GZ32" t="s">
        <v>87</v>
      </c>
      <c r="HA32" s="4">
        <v>805</v>
      </c>
      <c r="HB32" s="4">
        <v>675</v>
      </c>
      <c r="HC32">
        <v>405</v>
      </c>
      <c r="HD32">
        <v>40</v>
      </c>
      <c r="HE32">
        <v>700</v>
      </c>
      <c r="HF32" s="4">
        <f>ROUNDUP(HE32/HD32,0)</f>
        <v>18</v>
      </c>
      <c r="HG32">
        <v>5</v>
      </c>
      <c r="HH32" s="4">
        <f>HF32*HG32</f>
        <v>90</v>
      </c>
      <c r="HI32">
        <v>1100</v>
      </c>
      <c r="HJ32" s="4">
        <f>HH32*HI32</f>
        <v>99000</v>
      </c>
      <c r="HK32" s="4"/>
      <c r="HL32" s="4"/>
      <c r="HM32" s="4">
        <v>2</v>
      </c>
      <c r="HN32" s="10">
        <f>HM32*12*25*HE32</f>
        <v>420000</v>
      </c>
      <c r="HO32" s="4">
        <f>IF(GY32="carton box",HI32/HD32,HJ32/HN32)</f>
        <v>0.23571428571428571</v>
      </c>
      <c r="HP32" s="4">
        <v>160</v>
      </c>
      <c r="HQ32">
        <v>0</v>
      </c>
      <c r="HR32" s="4">
        <v>0</v>
      </c>
      <c r="HS32" s="4">
        <v>0</v>
      </c>
      <c r="HT32" s="4">
        <v>0.2</v>
      </c>
      <c r="HU32" s="4"/>
      <c r="HV32" s="4">
        <f>HO32+HT32</f>
        <v>0.43571428571428572</v>
      </c>
      <c r="HW32" s="4"/>
      <c r="HX32" s="4">
        <v>5016</v>
      </c>
      <c r="HY32" s="4">
        <v>1976</v>
      </c>
      <c r="HZ32" s="4">
        <v>2280</v>
      </c>
      <c r="IA32" s="4">
        <v>6</v>
      </c>
      <c r="IB32" s="4">
        <v>2</v>
      </c>
      <c r="IC32" s="4">
        <v>5</v>
      </c>
      <c r="ID32" s="8">
        <v>0.83</v>
      </c>
      <c r="IE32" s="4">
        <f>ROUND(PRODUCT(IA32:ID32),0)</f>
        <v>50</v>
      </c>
      <c r="IF32" s="4">
        <v>500</v>
      </c>
      <c r="IG32" s="4">
        <f>IF32/(IE32*HD32)</f>
        <v>0.25</v>
      </c>
      <c r="IH32" s="4"/>
    </row>
    <row r="33" spans="1:246">
      <c r="A33">
        <v>33</v>
      </c>
      <c r="B33" t="s">
        <v>468</v>
      </c>
      <c r="C33" t="s">
        <v>1847</v>
      </c>
      <c r="D33" s="28" t="s">
        <v>145</v>
      </c>
      <c r="E33" s="27" t="s">
        <v>146</v>
      </c>
      <c r="F33" s="5" t="s">
        <v>2182</v>
      </c>
      <c r="G33" s="27" t="s">
        <v>101</v>
      </c>
      <c r="H33" s="27"/>
      <c r="I33" s="27" t="s">
        <v>121</v>
      </c>
      <c r="J33" s="28">
        <v>29010</v>
      </c>
      <c r="K33" s="27" t="s">
        <v>229</v>
      </c>
      <c r="L33" s="28"/>
      <c r="M33" s="28"/>
      <c r="N33" s="28"/>
      <c r="O33" s="28"/>
      <c r="P33" s="28"/>
      <c r="Q33" s="28" t="s">
        <v>1035</v>
      </c>
      <c r="R33" s="28" t="s">
        <v>1194</v>
      </c>
      <c r="S33" s="27"/>
      <c r="T33" s="27"/>
      <c r="U33" s="27"/>
      <c r="V33" s="29" t="s">
        <v>79</v>
      </c>
      <c r="W33" s="5" t="s">
        <v>422</v>
      </c>
      <c r="X33" s="5"/>
      <c r="Y33" s="5"/>
      <c r="Z33" s="5"/>
      <c r="AA33" s="51" t="s">
        <v>420</v>
      </c>
      <c r="AB33" s="342">
        <v>132.43</v>
      </c>
      <c r="AC33" s="32">
        <f>AB33-5</f>
        <v>127.43</v>
      </c>
      <c r="AE33" s="7">
        <f>BA33</f>
        <v>9.2701000000000011</v>
      </c>
      <c r="AF33" s="7"/>
      <c r="AG33" s="7">
        <f>EU33</f>
        <v>3.6217303822937628</v>
      </c>
      <c r="AH33" s="7">
        <f>DP33</f>
        <v>0.26</v>
      </c>
      <c r="AI33" s="7">
        <f>DO33</f>
        <v>3.2500000000000003E-3</v>
      </c>
      <c r="AJ33" s="7">
        <f>GW33</f>
        <v>7.2434607645875254E-2</v>
      </c>
      <c r="AK33" s="7">
        <f>GU33</f>
        <v>0.16114787977867207</v>
      </c>
      <c r="AL33" s="7">
        <f>GS33</f>
        <v>1.4181013420523141</v>
      </c>
      <c r="AM33" s="42">
        <f>HV33</f>
        <v>0.26341666666666663</v>
      </c>
      <c r="AN33" s="7">
        <f>IG33</f>
        <v>8.6805555555555552E-2</v>
      </c>
      <c r="AO33" s="6">
        <v>0</v>
      </c>
      <c r="AP33" s="6"/>
      <c r="AQ33" s="42">
        <f>SUM(AE33:AO33)</f>
        <v>15.156986433992845</v>
      </c>
      <c r="AR33" s="42"/>
      <c r="AS33" s="42"/>
      <c r="AT33" s="6">
        <v>0</v>
      </c>
      <c r="AU33" s="43">
        <f>AQ33*2%</f>
        <v>0.30313972867985689</v>
      </c>
      <c r="AV33" s="7">
        <f>AQ33+AT33+AU33</f>
        <v>15.460126162672703</v>
      </c>
      <c r="AW33">
        <v>7.0000000000000007E-2</v>
      </c>
      <c r="AX33">
        <v>7.0000000000000007E-2</v>
      </c>
      <c r="AY33" s="8">
        <v>1</v>
      </c>
      <c r="AZ33">
        <f>AW33-AX33</f>
        <v>0</v>
      </c>
      <c r="BA33" s="4">
        <f>AW33*AB33-AZ33*AC33</f>
        <v>9.2701000000000011</v>
      </c>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E33">
        <v>0</v>
      </c>
      <c r="CF33">
        <v>1</v>
      </c>
      <c r="CG33">
        <v>0.26</v>
      </c>
      <c r="DN33" s="9">
        <v>1.2500000000000001E-2</v>
      </c>
      <c r="DO33" s="4">
        <f>DN33*CG33*CF33</f>
        <v>3.2500000000000003E-3</v>
      </c>
      <c r="DP33" s="4">
        <f>CG33*CF33</f>
        <v>0.26</v>
      </c>
      <c r="DQ33" s="4"/>
      <c r="DR33" s="4"/>
      <c r="DS33" s="4"/>
      <c r="DT33" s="4"/>
      <c r="DU33" s="4"/>
      <c r="DV33" s="4"/>
      <c r="DW33" s="4"/>
      <c r="DX33" s="4"/>
      <c r="DY33" s="4"/>
      <c r="DZ33" s="4"/>
      <c r="EA33" s="4"/>
      <c r="EB33" s="4"/>
      <c r="EC33" s="4"/>
      <c r="ED33" s="4"/>
      <c r="EE33" s="4"/>
      <c r="EF33">
        <v>180</v>
      </c>
      <c r="EG33">
        <v>1800</v>
      </c>
      <c r="EH33">
        <v>8</v>
      </c>
      <c r="EI33" s="8">
        <v>0.95</v>
      </c>
      <c r="EJ33">
        <v>1</v>
      </c>
      <c r="EK33">
        <v>55</v>
      </c>
      <c r="EL33" s="10">
        <f>ROUND(3600/EK33*EH33*EJ33*EI33,0)</f>
        <v>497</v>
      </c>
      <c r="EM33" s="10"/>
      <c r="EN33" s="10"/>
      <c r="EO33" s="10"/>
      <c r="EP33" s="4"/>
      <c r="EQ33" s="4"/>
      <c r="ER33" s="4"/>
      <c r="ES33" s="4"/>
      <c r="ET33" s="4"/>
      <c r="EU33" s="4">
        <f>EG33/EL33</f>
        <v>3.6217303822937628</v>
      </c>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8">
        <v>0.11</v>
      </c>
      <c r="GS33" s="4">
        <f>GR33*(BA33+EU33)</f>
        <v>1.4181013420523141</v>
      </c>
      <c r="GT33" s="9">
        <v>1.2500000000000001E-2</v>
      </c>
      <c r="GU33" s="4">
        <f>GT33*(BA33+EU33)</f>
        <v>0.16114787977867207</v>
      </c>
      <c r="GV33" s="8">
        <v>0.02</v>
      </c>
      <c r="GW33" s="4">
        <f>GV33*EU33</f>
        <v>7.2434607645875254E-2</v>
      </c>
      <c r="GX33" s="4">
        <f>GS33+GU33+GW33</f>
        <v>1.6516838294768614</v>
      </c>
      <c r="GY33" t="s">
        <v>418</v>
      </c>
      <c r="GZ33" t="s">
        <v>87</v>
      </c>
      <c r="HA33" s="4">
        <v>650</v>
      </c>
      <c r="HB33" s="4">
        <v>450</v>
      </c>
      <c r="HC33">
        <v>315</v>
      </c>
      <c r="HD33">
        <v>40</v>
      </c>
      <c r="HE33">
        <v>800</v>
      </c>
      <c r="HF33" s="4">
        <f>ROUNDUP(HE33/HD33,0)</f>
        <v>20</v>
      </c>
      <c r="HG33">
        <v>5</v>
      </c>
      <c r="HH33" s="4">
        <f>HF33*HG33</f>
        <v>100</v>
      </c>
      <c r="HI33">
        <v>650</v>
      </c>
      <c r="HJ33" s="4">
        <f>HH33*HI33</f>
        <v>65000</v>
      </c>
      <c r="HK33" s="4"/>
      <c r="HL33" s="4"/>
      <c r="HM33" s="4">
        <v>2</v>
      </c>
      <c r="HN33" s="10">
        <f>HM33*12*25*HE33</f>
        <v>480000</v>
      </c>
      <c r="HO33" s="4">
        <f>IF(GY33="carton box",HI33/HD33,HJ33/HN33)</f>
        <v>0.13541666666666666</v>
      </c>
      <c r="HP33" s="4">
        <v>160</v>
      </c>
      <c r="HQ33">
        <v>0</v>
      </c>
      <c r="HR33" s="4">
        <f>2.56*2</f>
        <v>5.12</v>
      </c>
      <c r="HS33" s="4">
        <v>40</v>
      </c>
      <c r="HT33" s="4">
        <f>HR33/HS33</f>
        <v>0.128</v>
      </c>
      <c r="HU33" s="4"/>
      <c r="HV33" s="4">
        <f>HO33+HT33</f>
        <v>0.26341666666666663</v>
      </c>
      <c r="HW33" s="4"/>
      <c r="HX33" s="4">
        <v>4200</v>
      </c>
      <c r="HY33" s="4">
        <v>1900</v>
      </c>
      <c r="HZ33" s="4">
        <v>1975</v>
      </c>
      <c r="IA33" s="4">
        <v>6</v>
      </c>
      <c r="IB33" s="4">
        <v>4</v>
      </c>
      <c r="IC33" s="4">
        <v>6</v>
      </c>
      <c r="ID33" s="8">
        <v>1</v>
      </c>
      <c r="IE33" s="4">
        <f>ROUND(PRODUCT(IA33:ID33),0)</f>
        <v>144</v>
      </c>
      <c r="IF33" s="4">
        <v>500</v>
      </c>
      <c r="IG33" s="4">
        <f>IF33/(IE33*HD33)</f>
        <v>8.6805555555555552E-2</v>
      </c>
      <c r="IH33" s="4"/>
    </row>
    <row r="34" spans="1:246">
      <c r="A34">
        <v>34</v>
      </c>
      <c r="B34" t="s">
        <v>468</v>
      </c>
      <c r="C34" t="s">
        <v>1847</v>
      </c>
      <c r="D34" s="28" t="s">
        <v>145</v>
      </c>
      <c r="E34" s="27" t="s">
        <v>146</v>
      </c>
      <c r="F34" s="5" t="s">
        <v>2182</v>
      </c>
      <c r="G34" s="27" t="s">
        <v>101</v>
      </c>
      <c r="H34" s="27"/>
      <c r="I34" s="27" t="s">
        <v>121</v>
      </c>
      <c r="J34" s="28">
        <v>21677</v>
      </c>
      <c r="K34" s="27" t="s">
        <v>228</v>
      </c>
      <c r="L34" s="28"/>
      <c r="M34" s="28"/>
      <c r="N34" s="28"/>
      <c r="O34" s="28"/>
      <c r="P34" s="28"/>
      <c r="Q34" s="13" t="s">
        <v>1782</v>
      </c>
      <c r="R34" s="13" t="s">
        <v>1836</v>
      </c>
      <c r="T34" s="5"/>
      <c r="U34" s="5"/>
      <c r="V34" s="29" t="s">
        <v>79</v>
      </c>
      <c r="W34"/>
      <c r="X34"/>
      <c r="Y34"/>
      <c r="Z34"/>
      <c r="AA34" s="51" t="s">
        <v>421</v>
      </c>
      <c r="AB34" s="339">
        <v>110.44</v>
      </c>
      <c r="AC34" s="11">
        <v>20</v>
      </c>
      <c r="AD34" t="s">
        <v>2172</v>
      </c>
      <c r="AE34" s="7">
        <f>BA34</f>
        <v>7.7308000000000003</v>
      </c>
      <c r="AF34" s="7"/>
      <c r="AG34" s="7">
        <f>EU34</f>
        <v>3.6217303822937628</v>
      </c>
      <c r="AH34" s="7">
        <f>DP34</f>
        <v>0.2</v>
      </c>
      <c r="AI34" s="7">
        <f>DO34</f>
        <v>2.5000000000000005E-3</v>
      </c>
      <c r="AJ34" s="7">
        <f>GW34</f>
        <v>7.2434607645875254E-2</v>
      </c>
      <c r="AK34" s="7">
        <f>GU34</f>
        <v>0.14190662977867205</v>
      </c>
      <c r="AL34" s="7">
        <f>GS34</f>
        <v>1.248778342052314</v>
      </c>
      <c r="AM34" s="42">
        <f>HV34</f>
        <v>0.30952380952380953</v>
      </c>
      <c r="AN34" s="7">
        <f>IG34</f>
        <v>0.125</v>
      </c>
      <c r="AO34" s="6">
        <v>0</v>
      </c>
      <c r="AP34" s="6"/>
      <c r="AQ34" s="42">
        <f>SUM(AE34:AP34)</f>
        <v>13.452673771294432</v>
      </c>
      <c r="AR34" s="42"/>
      <c r="AS34" s="42"/>
      <c r="AT34" s="6">
        <v>0</v>
      </c>
      <c r="AU34" s="6"/>
      <c r="AV34" s="7">
        <f>AQ34+AT34</f>
        <v>13.452673771294432</v>
      </c>
      <c r="AW34">
        <v>7.0000000000000007E-2</v>
      </c>
      <c r="AX34">
        <v>7.0000000000000007E-2</v>
      </c>
      <c r="AY34" s="8">
        <v>1</v>
      </c>
      <c r="AZ34">
        <f>(AW34-AX34)*AY34</f>
        <v>0</v>
      </c>
      <c r="BA34" s="4">
        <f>AW34*AB34-AZ34*AC34</f>
        <v>7.7308000000000003</v>
      </c>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E34">
        <v>0</v>
      </c>
      <c r="CF34">
        <v>1</v>
      </c>
      <c r="CG34">
        <v>0.2</v>
      </c>
      <c r="DN34" s="9">
        <v>1.2500000000000001E-2</v>
      </c>
      <c r="DO34" s="4">
        <f>DN34*CG34</f>
        <v>2.5000000000000005E-3</v>
      </c>
      <c r="DP34" s="4">
        <f>CG34*CF34</f>
        <v>0.2</v>
      </c>
      <c r="DQ34" s="4"/>
      <c r="DR34" s="4"/>
      <c r="DS34" s="4"/>
      <c r="DT34" s="4"/>
      <c r="DU34" s="4"/>
      <c r="DV34" s="4"/>
      <c r="DW34" s="4"/>
      <c r="DX34" s="4"/>
      <c r="DY34" s="4"/>
      <c r="DZ34" s="4"/>
      <c r="EA34" s="4"/>
      <c r="EB34" s="4"/>
      <c r="EC34" s="4"/>
      <c r="ED34" s="4"/>
      <c r="EE34" s="4"/>
      <c r="EF34">
        <v>180</v>
      </c>
      <c r="EG34">
        <v>1800</v>
      </c>
      <c r="EH34">
        <v>8</v>
      </c>
      <c r="EI34" s="8">
        <v>0.95</v>
      </c>
      <c r="EJ34">
        <v>1</v>
      </c>
      <c r="EK34">
        <v>55</v>
      </c>
      <c r="EL34" s="10">
        <f>ROUND(3600/EK34*EH34*EJ34*EI34,0)</f>
        <v>497</v>
      </c>
      <c r="EM34" s="10"/>
      <c r="EN34" s="10"/>
      <c r="EO34" s="10"/>
      <c r="EP34" s="4"/>
      <c r="EQ34" s="4"/>
      <c r="ER34" s="4"/>
      <c r="ES34" s="4"/>
      <c r="ET34" s="4"/>
      <c r="EU34" s="4">
        <f>EG34/EL34</f>
        <v>3.6217303822937628</v>
      </c>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8">
        <v>0.11</v>
      </c>
      <c r="GS34" s="4">
        <f>GR34*(BA34+EU34)</f>
        <v>1.248778342052314</v>
      </c>
      <c r="GT34" s="9">
        <v>1.2500000000000001E-2</v>
      </c>
      <c r="GU34" s="4">
        <f>GT34*(BA34+EU34)</f>
        <v>0.14190662977867205</v>
      </c>
      <c r="GV34" s="8">
        <v>0.02</v>
      </c>
      <c r="GW34" s="4">
        <f>GV34*EU34</f>
        <v>7.2434607645875254E-2</v>
      </c>
      <c r="GX34" s="4">
        <f>GS34+GU34+GW34</f>
        <v>1.4631195794768612</v>
      </c>
      <c r="GY34" t="s">
        <v>130</v>
      </c>
      <c r="GZ34" t="s">
        <v>130</v>
      </c>
      <c r="HA34" s="4">
        <v>650</v>
      </c>
      <c r="HB34" s="4">
        <v>450</v>
      </c>
      <c r="HC34">
        <v>300</v>
      </c>
      <c r="HD34">
        <v>80</v>
      </c>
      <c r="HE34">
        <v>700</v>
      </c>
      <c r="HF34" s="4">
        <v>40</v>
      </c>
      <c r="HG34">
        <v>5</v>
      </c>
      <c r="HH34" s="4">
        <f>HF34*HG34</f>
        <v>200</v>
      </c>
      <c r="HI34">
        <v>650</v>
      </c>
      <c r="HJ34" s="4">
        <f>HH34*HI34</f>
        <v>130000</v>
      </c>
      <c r="HK34" s="4"/>
      <c r="HL34" s="4"/>
      <c r="HM34" s="4">
        <v>2</v>
      </c>
      <c r="HN34" s="10">
        <f>HM34*12*25*HE34</f>
        <v>420000</v>
      </c>
      <c r="HO34" s="4">
        <f>IF(GY34="carton box",HI34/HD34,HJ34/HN34)</f>
        <v>0.30952380952380953</v>
      </c>
      <c r="HP34" s="4">
        <v>160</v>
      </c>
      <c r="HQ34">
        <v>0</v>
      </c>
      <c r="HR34" s="4">
        <v>0</v>
      </c>
      <c r="HS34" s="4">
        <v>0</v>
      </c>
      <c r="HT34" s="4">
        <v>0</v>
      </c>
      <c r="HU34" s="4"/>
      <c r="HV34" s="4">
        <f>HO34+HT34</f>
        <v>0.30952380952380953</v>
      </c>
      <c r="HW34" s="4"/>
      <c r="HX34" s="4">
        <v>5016</v>
      </c>
      <c r="HY34" s="4">
        <v>1976</v>
      </c>
      <c r="HZ34" s="4">
        <v>2280</v>
      </c>
      <c r="IA34" s="4">
        <f>ROUNDDOWN(HX34/HA34,0)</f>
        <v>7</v>
      </c>
      <c r="IB34" s="4">
        <f>ROUNDDOWN(HY34/HB34,0)</f>
        <v>4</v>
      </c>
      <c r="IC34" s="4">
        <f>ROUNDDOWN(HZ34/HC34,0)</f>
        <v>7</v>
      </c>
      <c r="ID34" s="8">
        <v>1</v>
      </c>
      <c r="IE34" s="40">
        <f>ROUND(PRODUCT(IA34:ID34),0)-146</f>
        <v>50</v>
      </c>
      <c r="IF34" s="4">
        <v>500</v>
      </c>
      <c r="IG34" s="4">
        <f>IF34/(IE34*HD34)</f>
        <v>0.125</v>
      </c>
      <c r="IH34" s="4"/>
    </row>
    <row r="35" spans="1:246">
      <c r="A35">
        <v>461</v>
      </c>
      <c r="B35" t="s">
        <v>4929</v>
      </c>
      <c r="D35" s="28" t="s">
        <v>1325</v>
      </c>
      <c r="E35" s="28" t="s">
        <v>703</v>
      </c>
      <c r="F35" t="s">
        <v>4929</v>
      </c>
      <c r="G35" s="27" t="s">
        <v>90</v>
      </c>
      <c r="I35" s="27" t="s">
        <v>226</v>
      </c>
      <c r="J35" s="28">
        <v>21599</v>
      </c>
      <c r="K35" s="27" t="s">
        <v>1240</v>
      </c>
    </row>
    <row r="36" spans="1:246">
      <c r="A36">
        <v>36</v>
      </c>
      <c r="B36" t="s">
        <v>468</v>
      </c>
      <c r="C36" s="5" t="s">
        <v>446</v>
      </c>
      <c r="D36" s="28" t="s">
        <v>147</v>
      </c>
      <c r="E36" s="27" t="s">
        <v>148</v>
      </c>
      <c r="F36" s="5" t="s">
        <v>2182</v>
      </c>
      <c r="G36" s="27" t="s">
        <v>101</v>
      </c>
      <c r="H36" s="27"/>
      <c r="I36" s="27" t="s">
        <v>121</v>
      </c>
      <c r="J36" s="28">
        <v>21677</v>
      </c>
      <c r="K36" s="27" t="s">
        <v>228</v>
      </c>
      <c r="L36" s="28"/>
      <c r="M36" s="28"/>
      <c r="N36" s="28"/>
      <c r="O36" s="28"/>
      <c r="P36" s="28"/>
      <c r="Q36" s="28" t="s">
        <v>1033</v>
      </c>
      <c r="R36" s="28" t="s">
        <v>1193</v>
      </c>
      <c r="S36" s="27"/>
      <c r="T36" s="27"/>
      <c r="U36" s="27"/>
      <c r="V36" s="29" t="s">
        <v>79</v>
      </c>
      <c r="W36" s="5"/>
      <c r="X36" s="5"/>
      <c r="Y36" s="5"/>
      <c r="Z36" s="5"/>
      <c r="AA36" s="51" t="s">
        <v>423</v>
      </c>
      <c r="AB36" s="342">
        <v>100.34</v>
      </c>
      <c r="AC36" s="32">
        <v>20</v>
      </c>
      <c r="AD36" s="48" t="s">
        <v>310</v>
      </c>
      <c r="AE36" s="7">
        <f>BA36</f>
        <v>17.138479999999998</v>
      </c>
      <c r="AF36" s="7"/>
      <c r="AG36" s="7">
        <f>EU36</f>
        <v>4.3392504930966469</v>
      </c>
      <c r="AH36" s="7">
        <f>DP36</f>
        <v>2.31</v>
      </c>
      <c r="AI36" s="7">
        <f>DO36</f>
        <v>2.8875000000000001E-2</v>
      </c>
      <c r="AJ36" s="7">
        <f>GW36</f>
        <v>8.6785009861932938E-2</v>
      </c>
      <c r="AK36" s="7">
        <f>GU36</f>
        <v>0.26847163116370804</v>
      </c>
      <c r="AL36" s="7">
        <f>GS36</f>
        <v>2.3625503542406308</v>
      </c>
      <c r="AM36" s="42">
        <f>HV36</f>
        <v>0.57619047619047614</v>
      </c>
      <c r="AN36" s="7">
        <f>IG36</f>
        <v>0.625</v>
      </c>
      <c r="AO36" s="6">
        <v>0</v>
      </c>
      <c r="AP36" s="6"/>
      <c r="AQ36" s="42">
        <f>SUM(AE36:AO36)</f>
        <v>27.735602964553394</v>
      </c>
      <c r="AR36" s="42"/>
      <c r="AS36" s="42"/>
      <c r="AT36" s="6">
        <v>0</v>
      </c>
      <c r="AU36" s="6"/>
      <c r="AV36" s="7">
        <f>AQ36+AT36</f>
        <v>27.735602964553394</v>
      </c>
      <c r="AW36">
        <v>0.17199999999999999</v>
      </c>
      <c r="AX36">
        <v>0.16600000000000001</v>
      </c>
      <c r="AY36" s="8">
        <v>1</v>
      </c>
      <c r="AZ36">
        <f>AW36-AX36</f>
        <v>5.9999999999999776E-3</v>
      </c>
      <c r="BA36" s="4">
        <f>AW36*AB36-AZ36*AC36</f>
        <v>17.138479999999998</v>
      </c>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E36">
        <v>0</v>
      </c>
      <c r="CF36">
        <v>1</v>
      </c>
      <c r="CG36">
        <f>2.11+0.2</f>
        <v>2.31</v>
      </c>
      <c r="DN36" s="9">
        <v>1.2500000000000001E-2</v>
      </c>
      <c r="DO36" s="4">
        <f>DN36*CG36*CF36</f>
        <v>2.8875000000000001E-2</v>
      </c>
      <c r="DP36" s="4">
        <f>CG36*CF36</f>
        <v>2.31</v>
      </c>
      <c r="DQ36" s="4"/>
      <c r="DR36" s="4"/>
      <c r="DS36" s="4"/>
      <c r="DT36" s="4"/>
      <c r="DU36" s="4"/>
      <c r="DV36" s="4"/>
      <c r="DW36" s="4"/>
      <c r="DX36" s="4"/>
      <c r="DY36" s="4"/>
      <c r="DZ36" s="4"/>
      <c r="EA36" s="4"/>
      <c r="EB36" s="4"/>
      <c r="EC36" s="4"/>
      <c r="ED36" s="4"/>
      <c r="EE36" s="4"/>
      <c r="EF36">
        <v>220</v>
      </c>
      <c r="EG36">
        <v>2200</v>
      </c>
      <c r="EH36">
        <v>8</v>
      </c>
      <c r="EI36" s="8">
        <v>0.95</v>
      </c>
      <c r="EJ36">
        <v>1</v>
      </c>
      <c r="EK36">
        <v>54</v>
      </c>
      <c r="EL36" s="10">
        <f>ROUND(3600/EK36*EH36*EJ36*EI36,0)</f>
        <v>507</v>
      </c>
      <c r="EM36" s="10"/>
      <c r="EN36" s="10"/>
      <c r="EO36" s="10"/>
      <c r="EP36" s="4"/>
      <c r="EQ36" s="4"/>
      <c r="ER36" s="4"/>
      <c r="ES36" s="4"/>
      <c r="ET36" s="4"/>
      <c r="EU36" s="4">
        <f>EG36/EL36</f>
        <v>4.3392504930966469</v>
      </c>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8">
        <v>0.11</v>
      </c>
      <c r="GS36" s="4">
        <f>GR36*(BA36+EU36)</f>
        <v>2.3625503542406308</v>
      </c>
      <c r="GT36" s="9">
        <v>1.2500000000000001E-2</v>
      </c>
      <c r="GU36" s="4">
        <f>GT36*(BA36+EU36)</f>
        <v>0.26847163116370804</v>
      </c>
      <c r="GV36" s="8">
        <v>0.02</v>
      </c>
      <c r="GW36" s="4">
        <f>GV36*EU36</f>
        <v>8.6785009861932938E-2</v>
      </c>
      <c r="GX36" s="4">
        <f>GS36+GU36+GW36</f>
        <v>2.7178069952662716</v>
      </c>
      <c r="GY36" t="s">
        <v>418</v>
      </c>
      <c r="GZ36" t="s">
        <v>87</v>
      </c>
      <c r="HA36" s="4">
        <v>805</v>
      </c>
      <c r="HB36" s="4">
        <v>675</v>
      </c>
      <c r="HC36">
        <v>405</v>
      </c>
      <c r="HD36">
        <v>16</v>
      </c>
      <c r="HE36">
        <v>700</v>
      </c>
      <c r="HF36" s="4">
        <f>ROUNDUP(HE36/HD36,0)</f>
        <v>44</v>
      </c>
      <c r="HG36">
        <v>5</v>
      </c>
      <c r="HH36" s="4">
        <f>HF36*HG36</f>
        <v>220</v>
      </c>
      <c r="HI36">
        <v>1100</v>
      </c>
      <c r="HJ36" s="4">
        <f>HH36*HI36</f>
        <v>242000</v>
      </c>
      <c r="HK36" s="4"/>
      <c r="HL36" s="4"/>
      <c r="HM36" s="4">
        <v>2</v>
      </c>
      <c r="HN36" s="10">
        <f>HM36*12*25*HE36</f>
        <v>420000</v>
      </c>
      <c r="HO36" s="4">
        <f>IF(GY36="carton box",HI36/HD36,HJ36/HN36)</f>
        <v>0.57619047619047614</v>
      </c>
      <c r="HP36" s="4">
        <v>160</v>
      </c>
      <c r="HQ36">
        <v>0</v>
      </c>
      <c r="HR36" s="4">
        <v>0</v>
      </c>
      <c r="HS36" s="4">
        <v>0</v>
      </c>
      <c r="HT36" s="4">
        <v>0</v>
      </c>
      <c r="HU36" s="4"/>
      <c r="HV36" s="4">
        <f>HO36+HT36</f>
        <v>0.57619047619047614</v>
      </c>
      <c r="HW36" s="4"/>
      <c r="HX36" s="4">
        <v>5016</v>
      </c>
      <c r="HY36" s="4">
        <v>1976</v>
      </c>
      <c r="HZ36" s="4">
        <v>2280</v>
      </c>
      <c r="IA36" s="4">
        <v>6</v>
      </c>
      <c r="IB36" s="4">
        <v>2</v>
      </c>
      <c r="IC36" s="4">
        <v>5</v>
      </c>
      <c r="ID36" s="8">
        <v>1</v>
      </c>
      <c r="IE36" s="44">
        <f>ROUND(PRODUCT(IA36:ID36),0)-10</f>
        <v>50</v>
      </c>
      <c r="IF36" s="4">
        <v>500</v>
      </c>
      <c r="IG36" s="4">
        <f>IF36/(IE36*HD36)</f>
        <v>0.625</v>
      </c>
      <c r="IH36" s="4"/>
    </row>
    <row r="37" spans="1:246">
      <c r="A37">
        <v>37</v>
      </c>
      <c r="B37" t="s">
        <v>468</v>
      </c>
      <c r="C37" t="s">
        <v>1850</v>
      </c>
      <c r="D37" s="28" t="s">
        <v>149</v>
      </c>
      <c r="E37" s="27" t="s">
        <v>150</v>
      </c>
      <c r="F37" s="5" t="s">
        <v>2182</v>
      </c>
      <c r="G37" s="27" t="s">
        <v>101</v>
      </c>
      <c r="H37" s="27"/>
      <c r="I37" s="27" t="s">
        <v>121</v>
      </c>
      <c r="J37" s="28">
        <v>29010</v>
      </c>
      <c r="K37" s="27" t="s">
        <v>229</v>
      </c>
      <c r="L37" s="28"/>
      <c r="M37" s="28"/>
      <c r="N37" s="28"/>
      <c r="O37" s="28"/>
      <c r="P37" s="28"/>
      <c r="Q37" s="28" t="s">
        <v>1035</v>
      </c>
      <c r="R37" s="28" t="s">
        <v>1194</v>
      </c>
      <c r="S37" s="27"/>
      <c r="T37" s="27"/>
      <c r="U37" s="27"/>
      <c r="V37" s="29" t="s">
        <v>79</v>
      </c>
      <c r="W37" s="5" t="s">
        <v>422</v>
      </c>
      <c r="X37" s="5"/>
      <c r="Y37" s="5"/>
      <c r="Z37" s="5"/>
      <c r="AA37" s="51" t="s">
        <v>424</v>
      </c>
      <c r="AB37" s="342">
        <v>817</v>
      </c>
      <c r="AC37" s="32">
        <v>20</v>
      </c>
      <c r="AD37" s="13" t="s">
        <v>315</v>
      </c>
      <c r="AE37" s="7">
        <f>BA37</f>
        <v>14.73587</v>
      </c>
      <c r="AF37" s="7"/>
      <c r="AG37" s="7">
        <f>EU37</f>
        <v>0.82266910420475325</v>
      </c>
      <c r="AH37" s="7">
        <f>DP37</f>
        <v>0</v>
      </c>
      <c r="AI37" s="7">
        <f>DO37</f>
        <v>0</v>
      </c>
      <c r="AJ37" s="7">
        <f>GW37</f>
        <v>1.6453382084095067E-2</v>
      </c>
      <c r="AK37" s="7">
        <f>GU37</f>
        <v>0.19448173880255942</v>
      </c>
      <c r="AL37" s="7">
        <f>GS37</f>
        <v>1.7114393014625229</v>
      </c>
      <c r="AM37" s="42">
        <f>HV37</f>
        <v>0.37031249999999999</v>
      </c>
      <c r="AN37" s="7">
        <f>IG37</f>
        <v>9.6450617283950612E-3</v>
      </c>
      <c r="AO37" s="6">
        <v>0</v>
      </c>
      <c r="AP37" s="6"/>
      <c r="AQ37" s="42">
        <f>SUM(AE37:AO37)</f>
        <v>17.860871088282327</v>
      </c>
      <c r="AR37" s="42"/>
      <c r="AS37" s="42"/>
      <c r="AT37" s="6">
        <v>0</v>
      </c>
      <c r="AU37" s="45">
        <f>AQ37*2%</f>
        <v>0.35721742176564653</v>
      </c>
      <c r="AV37" s="7">
        <f>AQ37+AT37+AU37</f>
        <v>18.218088510047973</v>
      </c>
      <c r="AW37" s="14">
        <f>AX37+0.003</f>
        <v>1.8110000000000001E-2</v>
      </c>
      <c r="AX37" s="46">
        <f>15.11/1000</f>
        <v>1.511E-2</v>
      </c>
      <c r="AY37" s="8">
        <v>1</v>
      </c>
      <c r="AZ37" s="14">
        <f>AW37-AX37</f>
        <v>3.0000000000000009E-3</v>
      </c>
      <c r="BA37" s="4">
        <f>AW37*AB37-AZ37*AC37</f>
        <v>14.73587</v>
      </c>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E37">
        <v>0</v>
      </c>
      <c r="CF37">
        <v>0</v>
      </c>
      <c r="CG37">
        <v>0</v>
      </c>
      <c r="DN37" s="9">
        <v>1.2500000000000001E-2</v>
      </c>
      <c r="DO37" s="4">
        <f>DN37*CG37*CF37</f>
        <v>0</v>
      </c>
      <c r="DP37" s="4">
        <f>CG37*CF37</f>
        <v>0</v>
      </c>
      <c r="DQ37" s="4"/>
      <c r="DR37" s="4"/>
      <c r="DS37" s="4"/>
      <c r="DT37" s="4"/>
      <c r="DU37" s="4"/>
      <c r="DV37" s="4"/>
      <c r="DW37" s="4"/>
      <c r="DX37" s="4"/>
      <c r="DY37" s="4"/>
      <c r="DZ37" s="4"/>
      <c r="EA37" s="4"/>
      <c r="EB37" s="4"/>
      <c r="EC37" s="4"/>
      <c r="ED37" s="4"/>
      <c r="EE37" s="4"/>
      <c r="EF37">
        <v>90</v>
      </c>
      <c r="EG37">
        <v>900</v>
      </c>
      <c r="EH37">
        <v>8</v>
      </c>
      <c r="EI37" s="8">
        <v>0.95</v>
      </c>
      <c r="EJ37">
        <v>2</v>
      </c>
      <c r="EK37">
        <v>50</v>
      </c>
      <c r="EL37" s="10">
        <f>ROUND(3600/EK37*EH37*EJ37*EI37,0)</f>
        <v>1094</v>
      </c>
      <c r="EM37" s="10"/>
      <c r="EN37" s="10"/>
      <c r="EO37" s="10"/>
      <c r="EP37" s="4"/>
      <c r="EQ37" s="4"/>
      <c r="ER37" s="4"/>
      <c r="ES37" s="4"/>
      <c r="ET37" s="4"/>
      <c r="EU37" s="4">
        <f>EG37/EL37</f>
        <v>0.82266910420475325</v>
      </c>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8">
        <v>0.11</v>
      </c>
      <c r="GS37" s="4">
        <f>GR37*(BA37+EU37)</f>
        <v>1.7114393014625229</v>
      </c>
      <c r="GT37" s="9">
        <v>1.2500000000000001E-2</v>
      </c>
      <c r="GU37" s="4">
        <f>GT37*(BA37+EU37)</f>
        <v>0.19448173880255942</v>
      </c>
      <c r="GV37" s="8">
        <v>0.02</v>
      </c>
      <c r="GW37" s="4">
        <f>GV37*EU37</f>
        <v>1.6453382084095067E-2</v>
      </c>
      <c r="GX37" s="4">
        <f>GS37+GU37+GW37</f>
        <v>1.9223744223491774</v>
      </c>
      <c r="GY37" t="s">
        <v>43</v>
      </c>
      <c r="GZ37" t="s">
        <v>87</v>
      </c>
      <c r="HA37" s="4">
        <v>650</v>
      </c>
      <c r="HB37" s="4">
        <v>450</v>
      </c>
      <c r="HC37">
        <v>315</v>
      </c>
      <c r="HD37">
        <v>360</v>
      </c>
      <c r="HE37">
        <v>800</v>
      </c>
      <c r="HF37" s="4">
        <f>ROUNDUP(HE37/HD37,0)</f>
        <v>3</v>
      </c>
      <c r="HG37">
        <v>5</v>
      </c>
      <c r="HH37" s="4">
        <f>HF37*HG37</f>
        <v>15</v>
      </c>
      <c r="HI37">
        <v>650</v>
      </c>
      <c r="HJ37" s="4">
        <f>HH37*HI37</f>
        <v>9750</v>
      </c>
      <c r="HK37" s="4"/>
      <c r="HL37" s="4"/>
      <c r="HM37" s="4">
        <v>2</v>
      </c>
      <c r="HN37" s="10">
        <f>HM37*12*25*HE37</f>
        <v>480000</v>
      </c>
      <c r="HO37" s="4">
        <f>IF(GY37="carton box",HI37/HD37,HJ37/HN37)</f>
        <v>2.0312500000000001E-2</v>
      </c>
      <c r="HP37" s="4">
        <v>160</v>
      </c>
      <c r="HQ37">
        <v>0</v>
      </c>
      <c r="HR37" s="4">
        <v>5.6</v>
      </c>
      <c r="HS37" s="4">
        <v>16</v>
      </c>
      <c r="HT37" s="4">
        <f>HR37/HS37</f>
        <v>0.35</v>
      </c>
      <c r="HU37" s="4"/>
      <c r="HV37" s="4">
        <f>HO37+HT37</f>
        <v>0.37031249999999999</v>
      </c>
      <c r="HW37" s="4"/>
      <c r="HX37" s="4">
        <v>4200</v>
      </c>
      <c r="HY37" s="4">
        <v>1900</v>
      </c>
      <c r="HZ37" s="4">
        <v>1975</v>
      </c>
      <c r="IA37" s="4">
        <v>6</v>
      </c>
      <c r="IB37" s="4">
        <v>4</v>
      </c>
      <c r="IC37" s="4">
        <v>6</v>
      </c>
      <c r="ID37" s="8">
        <v>1</v>
      </c>
      <c r="IE37" s="4">
        <f>ROUND(PRODUCT(IA37:ID37),0)</f>
        <v>144</v>
      </c>
      <c r="IF37" s="4">
        <v>500</v>
      </c>
      <c r="IG37" s="4">
        <f>IF37/(IE37*HD37)</f>
        <v>9.6450617283950612E-3</v>
      </c>
      <c r="IH37" s="4"/>
    </row>
    <row r="38" spans="1:246">
      <c r="A38">
        <v>38</v>
      </c>
      <c r="B38" t="s">
        <v>468</v>
      </c>
      <c r="C38" t="s">
        <v>1855</v>
      </c>
      <c r="D38" s="28" t="s">
        <v>151</v>
      </c>
      <c r="E38" s="27" t="s">
        <v>152</v>
      </c>
      <c r="F38" s="5" t="s">
        <v>2182</v>
      </c>
      <c r="G38" s="27" t="s">
        <v>101</v>
      </c>
      <c r="H38" s="27"/>
      <c r="I38" s="27" t="s">
        <v>121</v>
      </c>
      <c r="J38" s="28">
        <v>29010</v>
      </c>
      <c r="K38" s="27" t="s">
        <v>229</v>
      </c>
      <c r="L38" s="28"/>
      <c r="M38" s="28"/>
      <c r="N38" s="28"/>
      <c r="O38" s="28"/>
      <c r="P38" s="28"/>
      <c r="Q38" s="28" t="s">
        <v>1035</v>
      </c>
      <c r="R38" s="28" t="s">
        <v>1194</v>
      </c>
      <c r="S38" s="27"/>
      <c r="T38" s="27"/>
      <c r="U38" s="27"/>
      <c r="V38" s="29" t="s">
        <v>79</v>
      </c>
      <c r="W38" s="5" t="s">
        <v>422</v>
      </c>
      <c r="X38" s="5"/>
      <c r="Y38" s="5"/>
      <c r="Z38" s="5"/>
      <c r="AA38" s="51" t="s">
        <v>424</v>
      </c>
      <c r="AB38" s="342">
        <v>817</v>
      </c>
      <c r="AC38" s="32">
        <v>20</v>
      </c>
      <c r="AD38" s="13" t="s">
        <v>315</v>
      </c>
      <c r="AE38" s="7">
        <f>BA38</f>
        <v>12.194999999999999</v>
      </c>
      <c r="AF38" s="7"/>
      <c r="AG38" s="7">
        <f>EU38</f>
        <v>0.82266910420475325</v>
      </c>
      <c r="AH38" s="7">
        <f>DP38</f>
        <v>0</v>
      </c>
      <c r="AI38" s="7">
        <f>DO38</f>
        <v>0</v>
      </c>
      <c r="AJ38" s="7">
        <f>GW38</f>
        <v>1.6453382084095067E-2</v>
      </c>
      <c r="AK38" s="7">
        <f>GU38</f>
        <v>0.1627208638025594</v>
      </c>
      <c r="AL38" s="7">
        <f>GS38</f>
        <v>1.4319436014625226</v>
      </c>
      <c r="AM38" s="42">
        <f>HV38</f>
        <v>0.15354166666666666</v>
      </c>
      <c r="AN38" s="7">
        <f>IG38</f>
        <v>1.6493055555555556E-2</v>
      </c>
      <c r="AO38" s="6">
        <v>0</v>
      </c>
      <c r="AP38" s="6"/>
      <c r="AQ38" s="42">
        <f>SUM(AE38:AO38)</f>
        <v>14.79882167377615</v>
      </c>
      <c r="AR38" s="42"/>
      <c r="AS38" s="42"/>
      <c r="AT38" s="6">
        <v>0</v>
      </c>
      <c r="AU38" s="45">
        <f>AQ38*2%</f>
        <v>0.29597643347552299</v>
      </c>
      <c r="AV38" s="7">
        <f>AQ38+AT38+AU38</f>
        <v>15.094798107251673</v>
      </c>
      <c r="AW38">
        <v>1.4999999999999999E-2</v>
      </c>
      <c r="AX38">
        <v>1.2E-2</v>
      </c>
      <c r="AY38" s="8">
        <v>1</v>
      </c>
      <c r="AZ38">
        <f>(AW38-AX38)*AY38</f>
        <v>2.9999999999999992E-3</v>
      </c>
      <c r="BA38" s="4">
        <f>AW38*AB38-AZ38*AC38</f>
        <v>12.194999999999999</v>
      </c>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E38">
        <v>0</v>
      </c>
      <c r="CF38">
        <v>0</v>
      </c>
      <c r="CG38">
        <v>0</v>
      </c>
      <c r="DN38" s="9">
        <v>1.2500000000000001E-2</v>
      </c>
      <c r="DO38" s="4">
        <f>DN38*CG38*CF38</f>
        <v>0</v>
      </c>
      <c r="DP38" s="4">
        <f>CG38*CF38</f>
        <v>0</v>
      </c>
      <c r="DQ38" s="4"/>
      <c r="DR38" s="4"/>
      <c r="DS38" s="4"/>
      <c r="DT38" s="4"/>
      <c r="DU38" s="4"/>
      <c r="DV38" s="4"/>
      <c r="DW38" s="4"/>
      <c r="DX38" s="4"/>
      <c r="DY38" s="4"/>
      <c r="DZ38" s="4"/>
      <c r="EA38" s="4"/>
      <c r="EB38" s="4"/>
      <c r="EC38" s="4"/>
      <c r="ED38" s="4"/>
      <c r="EE38" s="4"/>
      <c r="EF38">
        <v>90</v>
      </c>
      <c r="EG38">
        <v>900</v>
      </c>
      <c r="EH38">
        <v>8</v>
      </c>
      <c r="EI38" s="8">
        <v>0.95</v>
      </c>
      <c r="EJ38">
        <v>2</v>
      </c>
      <c r="EK38">
        <v>50</v>
      </c>
      <c r="EL38" s="10">
        <f>ROUND(3600/EK38*EH38*EJ38*EI38,0)</f>
        <v>1094</v>
      </c>
      <c r="EM38" s="10"/>
      <c r="EN38" s="10"/>
      <c r="EO38" s="10"/>
      <c r="EP38" s="4"/>
      <c r="EQ38" s="4"/>
      <c r="ER38" s="4"/>
      <c r="ES38" s="4"/>
      <c r="ET38" s="4"/>
      <c r="EU38" s="4">
        <f>EG38/EL38</f>
        <v>0.82266910420475325</v>
      </c>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8">
        <v>0.11</v>
      </c>
      <c r="GS38" s="4">
        <f>GR38*(BA38+EU38)</f>
        <v>1.4319436014625226</v>
      </c>
      <c r="GT38" s="9">
        <v>1.2500000000000001E-2</v>
      </c>
      <c r="GU38" s="4">
        <f>GT38*(BA38+EU38)</f>
        <v>0.1627208638025594</v>
      </c>
      <c r="GV38" s="8">
        <v>0.02</v>
      </c>
      <c r="GW38" s="4">
        <f>GV38*EU38</f>
        <v>1.6453382084095067E-2</v>
      </c>
      <c r="GX38" s="4">
        <f>GS38+GU38+GW38</f>
        <v>1.6111178473491772</v>
      </c>
      <c r="GY38" t="s">
        <v>43</v>
      </c>
      <c r="GZ38" t="s">
        <v>87</v>
      </c>
      <c r="HA38" s="4">
        <v>650</v>
      </c>
      <c r="HB38" s="4">
        <v>450</v>
      </c>
      <c r="HC38">
        <v>800</v>
      </c>
      <c r="HD38">
        <v>400</v>
      </c>
      <c r="HE38">
        <v>800</v>
      </c>
      <c r="HF38" s="4">
        <f>ROUNDUP(HE38/HD38,0)</f>
        <v>2</v>
      </c>
      <c r="HG38">
        <v>5</v>
      </c>
      <c r="HH38" s="4">
        <f>HF38*HG38</f>
        <v>10</v>
      </c>
      <c r="HI38">
        <v>650</v>
      </c>
      <c r="HJ38" s="4">
        <f>HH38*HI38</f>
        <v>6500</v>
      </c>
      <c r="HK38" s="4"/>
      <c r="HL38" s="4"/>
      <c r="HM38" s="4">
        <v>2</v>
      </c>
      <c r="HN38" s="10">
        <f>HM38*12*25*HE38</f>
        <v>480000</v>
      </c>
      <c r="HO38" s="4">
        <f>IF(GY38="carton box",HI38/HD38,HJ38/HN38)</f>
        <v>1.3541666666666667E-2</v>
      </c>
      <c r="HP38" s="4">
        <v>160</v>
      </c>
      <c r="HQ38">
        <v>0</v>
      </c>
      <c r="HR38" s="4">
        <v>5.6</v>
      </c>
      <c r="HS38" s="4">
        <v>40</v>
      </c>
      <c r="HT38" s="4">
        <f>HR38/HS38</f>
        <v>0.13999999999999999</v>
      </c>
      <c r="HU38" s="4"/>
      <c r="HV38" s="4">
        <f>HO38+HT38</f>
        <v>0.15354166666666666</v>
      </c>
      <c r="HW38" s="4"/>
      <c r="HX38" s="4">
        <v>4200</v>
      </c>
      <c r="HY38" s="4">
        <v>1900</v>
      </c>
      <c r="HZ38" s="4">
        <v>1975</v>
      </c>
      <c r="IA38" s="4">
        <v>6</v>
      </c>
      <c r="IB38" s="4">
        <v>4</v>
      </c>
      <c r="IC38" s="4">
        <v>6</v>
      </c>
      <c r="ID38" s="8">
        <v>1</v>
      </c>
      <c r="IE38" s="4">
        <f>PRODUCT(IA38:ID38)</f>
        <v>144</v>
      </c>
      <c r="IF38" s="4">
        <v>950</v>
      </c>
      <c r="IG38" s="4">
        <f>IF38/(IE38*HD38)</f>
        <v>1.6493055555555556E-2</v>
      </c>
      <c r="IH38" s="4"/>
    </row>
    <row r="39" spans="1:246">
      <c r="A39">
        <v>39</v>
      </c>
      <c r="D39" s="28" t="s">
        <v>153</v>
      </c>
      <c r="E39" s="27" t="s">
        <v>154</v>
      </c>
      <c r="F39" s="27"/>
      <c r="G39" s="27" t="s">
        <v>101</v>
      </c>
      <c r="H39" s="27"/>
      <c r="I39" s="27" t="s">
        <v>121</v>
      </c>
      <c r="J39" s="28">
        <v>21554</v>
      </c>
      <c r="K39" s="27" t="s">
        <v>228</v>
      </c>
      <c r="L39" s="28"/>
      <c r="M39" s="28"/>
      <c r="N39" s="28"/>
      <c r="O39" s="28"/>
      <c r="P39" s="28"/>
      <c r="Q39" s="28"/>
      <c r="R39" s="28"/>
      <c r="S39" s="27"/>
      <c r="T39" s="27"/>
      <c r="U39" s="27"/>
      <c r="V39" s="29" t="s">
        <v>79</v>
      </c>
      <c r="W39" s="5"/>
      <c r="X39" s="5"/>
      <c r="Y39" s="5"/>
      <c r="Z39" s="5"/>
      <c r="AA39" s="5"/>
      <c r="AB39" s="342"/>
      <c r="AC39" s="32"/>
    </row>
    <row r="40" spans="1:246">
      <c r="A40">
        <v>40</v>
      </c>
      <c r="B40" t="s">
        <v>468</v>
      </c>
      <c r="C40" s="5" t="s">
        <v>444</v>
      </c>
      <c r="D40" s="28" t="s">
        <v>155</v>
      </c>
      <c r="E40" s="27" t="s">
        <v>156</v>
      </c>
      <c r="F40" s="5" t="s">
        <v>2182</v>
      </c>
      <c r="G40" s="27" t="s">
        <v>101</v>
      </c>
      <c r="H40" s="27"/>
      <c r="I40" s="27" t="s">
        <v>121</v>
      </c>
      <c r="J40" s="28">
        <v>29010</v>
      </c>
      <c r="K40" s="27" t="s">
        <v>229</v>
      </c>
      <c r="L40" s="28"/>
      <c r="M40" s="28"/>
      <c r="N40" s="28"/>
      <c r="O40" s="28"/>
      <c r="P40" s="28"/>
      <c r="Q40" s="28" t="s">
        <v>1035</v>
      </c>
      <c r="R40" s="28" t="s">
        <v>1194</v>
      </c>
      <c r="S40" s="27"/>
      <c r="T40" s="27"/>
      <c r="U40" s="27"/>
      <c r="V40" s="29" t="s">
        <v>79</v>
      </c>
      <c r="W40" s="5" t="s">
        <v>422</v>
      </c>
      <c r="X40" s="5"/>
      <c r="Y40" s="5"/>
      <c r="Z40" s="5"/>
      <c r="AA40" s="88" t="s">
        <v>425</v>
      </c>
      <c r="AB40" s="343">
        <v>128.63</v>
      </c>
      <c r="AC40" s="47">
        <v>20</v>
      </c>
      <c r="AD40" s="13" t="s">
        <v>315</v>
      </c>
      <c r="AE40" s="7">
        <f>BA40</f>
        <v>26.82367</v>
      </c>
      <c r="AF40" s="7"/>
      <c r="AG40" s="7">
        <f>EU40</f>
        <v>6.987577639751553</v>
      </c>
      <c r="AH40" s="7">
        <f>DP40</f>
        <v>10.08</v>
      </c>
      <c r="AI40" s="7">
        <f>DO40</f>
        <v>0.126</v>
      </c>
      <c r="AJ40" s="7">
        <f>GW40</f>
        <v>0.13975155279503107</v>
      </c>
      <c r="AK40" s="7">
        <f>GU40</f>
        <v>0.42264059549689448</v>
      </c>
      <c r="AL40" s="7">
        <f>GS40</f>
        <v>3.7192372403726712</v>
      </c>
      <c r="AM40" s="42">
        <f>HV40</f>
        <v>0.46214285714285713</v>
      </c>
      <c r="AN40" s="7">
        <f>IG40</f>
        <v>0.14467592592592593</v>
      </c>
      <c r="AO40" s="6">
        <v>0</v>
      </c>
      <c r="AP40" s="6"/>
      <c r="AQ40" s="42">
        <f>SUM(AE40:AO40)</f>
        <v>48.905695811484932</v>
      </c>
      <c r="AR40" s="42"/>
      <c r="AS40" s="42"/>
      <c r="AT40" s="6">
        <v>0</v>
      </c>
      <c r="AU40" s="45">
        <f>AQ40*2%</f>
        <v>0.97811391622969868</v>
      </c>
      <c r="AV40" s="7">
        <f>AQ40+AT40+AU40</f>
        <v>49.883809727714628</v>
      </c>
      <c r="AW40" s="14">
        <v>0.20899999999999999</v>
      </c>
      <c r="AX40">
        <v>0.20599999999999999</v>
      </c>
      <c r="AY40" s="8">
        <v>1</v>
      </c>
      <c r="AZ40">
        <f>(AW40-AX40)*AY40</f>
        <v>3.0000000000000027E-3</v>
      </c>
      <c r="BA40" s="4">
        <f>AW40*AB40-AZ40*AC40</f>
        <v>26.82367</v>
      </c>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E40">
        <v>0</v>
      </c>
      <c r="CF40">
        <v>4</v>
      </c>
      <c r="CG40">
        <v>2.52</v>
      </c>
      <c r="DN40" s="9">
        <v>1.2500000000000001E-2</v>
      </c>
      <c r="DO40" s="4">
        <f>DN40*CG40*CF40</f>
        <v>0.126</v>
      </c>
      <c r="DP40" s="4">
        <f>CG40*CF40</f>
        <v>10.08</v>
      </c>
      <c r="DQ40" s="4"/>
      <c r="DR40" s="4"/>
      <c r="DS40" s="4"/>
      <c r="DT40" s="4"/>
      <c r="DU40" s="4"/>
      <c r="DV40" s="4"/>
      <c r="DW40" s="4"/>
      <c r="DX40" s="4"/>
      <c r="DY40" s="4"/>
      <c r="DZ40" s="4"/>
      <c r="EA40" s="4"/>
      <c r="EB40" s="4"/>
      <c r="EC40" s="4"/>
      <c r="ED40" s="4"/>
      <c r="EE40" s="4"/>
      <c r="EF40">
        <v>450</v>
      </c>
      <c r="EG40">
        <v>4500</v>
      </c>
      <c r="EH40">
        <v>8</v>
      </c>
      <c r="EI40" s="8">
        <v>0.95</v>
      </c>
      <c r="EJ40">
        <v>2</v>
      </c>
      <c r="EK40">
        <v>85</v>
      </c>
      <c r="EL40" s="10">
        <f>ROUND(3600/EK40*EH40*EJ40*EI40,0)</f>
        <v>644</v>
      </c>
      <c r="EM40" s="10"/>
      <c r="EN40" s="10"/>
      <c r="EO40" s="10"/>
      <c r="EP40" s="4"/>
      <c r="EQ40" s="4"/>
      <c r="ER40" s="4"/>
      <c r="ES40" s="4"/>
      <c r="ET40" s="4"/>
      <c r="EU40" s="4">
        <f>EG40/EL40</f>
        <v>6.987577639751553</v>
      </c>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8">
        <v>0.11</v>
      </c>
      <c r="GS40" s="4">
        <f>GR40*(BA40+EU40)</f>
        <v>3.7192372403726712</v>
      </c>
      <c r="GT40" s="9">
        <v>1.2500000000000001E-2</v>
      </c>
      <c r="GU40" s="4">
        <f>GT40*(BA40+EU40)</f>
        <v>0.42264059549689448</v>
      </c>
      <c r="GV40" s="8">
        <v>0.02</v>
      </c>
      <c r="GW40" s="4">
        <f>GV40*EU40</f>
        <v>0.13975155279503107</v>
      </c>
      <c r="GX40" s="4">
        <f>GS40+GU40+GW40</f>
        <v>4.2816293886645971</v>
      </c>
      <c r="GY40" t="s">
        <v>418</v>
      </c>
      <c r="GZ40" t="s">
        <v>87</v>
      </c>
      <c r="HA40" s="4">
        <v>650</v>
      </c>
      <c r="HB40" s="4">
        <v>450</v>
      </c>
      <c r="HC40">
        <v>315</v>
      </c>
      <c r="HD40">
        <v>24</v>
      </c>
      <c r="HE40">
        <v>700</v>
      </c>
      <c r="HF40" s="4">
        <f>ROUNDUP(HE40/HD40,0)</f>
        <v>30</v>
      </c>
      <c r="HG40">
        <v>5</v>
      </c>
      <c r="HH40" s="4">
        <f>HF40*HG40</f>
        <v>150</v>
      </c>
      <c r="HI40">
        <v>650</v>
      </c>
      <c r="HJ40" s="4">
        <f>HH40*HI40</f>
        <v>97500</v>
      </c>
      <c r="HK40" s="4"/>
      <c r="HL40" s="4"/>
      <c r="HM40" s="4">
        <v>2</v>
      </c>
      <c r="HN40" s="10">
        <f>HM40*12*25*HE40</f>
        <v>420000</v>
      </c>
      <c r="HO40" s="4">
        <f>IF(GY40="carton box",HI40/HD40,HJ40/HN40)</f>
        <v>0.23214285714285715</v>
      </c>
      <c r="HP40" s="4">
        <v>160</v>
      </c>
      <c r="HQ40">
        <v>0</v>
      </c>
      <c r="HR40" s="4">
        <f>2.76*2</f>
        <v>5.52</v>
      </c>
      <c r="HS40" s="4">
        <v>24</v>
      </c>
      <c r="HT40" s="4">
        <f>HR40/HS40</f>
        <v>0.22999999999999998</v>
      </c>
      <c r="HU40" s="4"/>
      <c r="HV40" s="4">
        <f>HO40+HT40</f>
        <v>0.46214285714285713</v>
      </c>
      <c r="HW40" s="4"/>
      <c r="HX40" s="4">
        <v>4200</v>
      </c>
      <c r="HY40" s="4">
        <v>1900</v>
      </c>
      <c r="HZ40" s="4">
        <v>1975</v>
      </c>
      <c r="IA40" s="4">
        <v>6</v>
      </c>
      <c r="IB40" s="4">
        <v>4</v>
      </c>
      <c r="IC40" s="4">
        <v>6</v>
      </c>
      <c r="ID40" s="8">
        <v>1</v>
      </c>
      <c r="IE40" s="4">
        <f>PRODUCT(IA40:ID40)</f>
        <v>144</v>
      </c>
      <c r="IF40" s="4">
        <v>500</v>
      </c>
      <c r="IG40" s="4">
        <f>IF40/(IE40*HD40)</f>
        <v>0.14467592592592593</v>
      </c>
      <c r="IH40" s="4"/>
    </row>
    <row r="41" spans="1:246">
      <c r="A41">
        <v>41</v>
      </c>
      <c r="B41" t="s">
        <v>468</v>
      </c>
      <c r="C41" t="s">
        <v>524</v>
      </c>
      <c r="D41" s="28" t="s">
        <v>155</v>
      </c>
      <c r="E41" s="27" t="s">
        <v>156</v>
      </c>
      <c r="F41" s="5" t="s">
        <v>2182</v>
      </c>
      <c r="G41" s="27" t="s">
        <v>122</v>
      </c>
      <c r="H41" s="27"/>
      <c r="I41" s="27" t="s">
        <v>121</v>
      </c>
      <c r="J41" s="28">
        <v>21677</v>
      </c>
      <c r="K41" s="27" t="s">
        <v>228</v>
      </c>
      <c r="L41" s="28"/>
      <c r="M41" s="28"/>
      <c r="N41" s="28"/>
      <c r="O41" s="28"/>
      <c r="P41" s="28"/>
      <c r="Q41" s="28" t="s">
        <v>1033</v>
      </c>
      <c r="R41" s="28" t="s">
        <v>1193</v>
      </c>
      <c r="S41" s="27"/>
      <c r="T41" s="27"/>
      <c r="U41" s="27"/>
      <c r="V41" s="29" t="s">
        <v>79</v>
      </c>
      <c r="W41" s="5"/>
      <c r="X41" s="5"/>
      <c r="Y41" s="5"/>
      <c r="Z41" s="5"/>
      <c r="AA41" s="56" t="s">
        <v>500</v>
      </c>
      <c r="AB41" s="340">
        <v>110.65</v>
      </c>
      <c r="AC41" s="4">
        <v>20</v>
      </c>
      <c r="AD41" t="s">
        <v>310</v>
      </c>
      <c r="AE41" s="7">
        <f>BA41</f>
        <v>24.368324999999999</v>
      </c>
      <c r="AF41" s="7"/>
      <c r="AG41" s="7">
        <f>EU41</f>
        <v>7.2981366459627326</v>
      </c>
      <c r="AH41" s="7">
        <f>DM41</f>
        <v>9.3199999999999985</v>
      </c>
      <c r="AI41" s="7">
        <f>DO41</f>
        <v>0.11649999999999999</v>
      </c>
      <c r="AJ41" s="7">
        <f>GW41</f>
        <v>0.14596273291925466</v>
      </c>
      <c r="AK41" s="7">
        <f>GU41</f>
        <v>0.39583077057453414</v>
      </c>
      <c r="AL41" s="7">
        <f>GS41</f>
        <v>3.4833107810559003</v>
      </c>
      <c r="AM41" s="7">
        <f>HV41</f>
        <v>0.20952380952380953</v>
      </c>
      <c r="AN41" s="7">
        <f>IG41</f>
        <v>0.2</v>
      </c>
      <c r="AO41" s="7">
        <f>EY41</f>
        <v>0</v>
      </c>
      <c r="AP41" s="7"/>
      <c r="AQ41" s="7">
        <f>SUM(AE41:AO41)</f>
        <v>45.537589740036225</v>
      </c>
      <c r="AR41" s="7"/>
      <c r="AS41" s="7"/>
      <c r="AT41" s="7">
        <f>IJ41</f>
        <v>0</v>
      </c>
      <c r="AU41" s="7">
        <v>0</v>
      </c>
      <c r="AV41" s="7">
        <f>AQ41+AT41+AU41</f>
        <v>45.537589740036225</v>
      </c>
      <c r="AW41" s="24">
        <v>0.2205</v>
      </c>
      <c r="AX41" s="2">
        <v>0.219</v>
      </c>
      <c r="AY41" s="8">
        <v>1</v>
      </c>
      <c r="AZ41">
        <f>(AW41-AX41)*AY41</f>
        <v>1.5000000000000013E-3</v>
      </c>
      <c r="BA41" s="4">
        <f>AW41*AB41-AZ41*AC41</f>
        <v>24.368324999999999</v>
      </c>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E41">
        <v>0</v>
      </c>
      <c r="CF41">
        <v>1</v>
      </c>
      <c r="CG41">
        <v>0.2</v>
      </c>
      <c r="CH41" s="4">
        <f>CG41*CF41</f>
        <v>0.2</v>
      </c>
      <c r="CI41" t="s">
        <v>501</v>
      </c>
      <c r="CJ41" t="s">
        <v>502</v>
      </c>
      <c r="CK41" s="66">
        <v>4</v>
      </c>
      <c r="CL41">
        <v>2.2799999999999998</v>
      </c>
      <c r="CM41">
        <f>CK41*CL41</f>
        <v>9.1199999999999992</v>
      </c>
      <c r="DM41" s="4">
        <f>CH41+CM41+CR41+CW41+DB41+DG41+DL41</f>
        <v>9.3199999999999985</v>
      </c>
      <c r="DN41" s="9">
        <v>1.2500000000000001E-2</v>
      </c>
      <c r="DO41" s="4">
        <f>DN41*DM41</f>
        <v>0.11649999999999999</v>
      </c>
      <c r="DP41" s="4">
        <f>DM41+DO41</f>
        <v>9.4364999999999988</v>
      </c>
      <c r="DQ41" s="4"/>
      <c r="DR41" s="4"/>
      <c r="DS41" s="4"/>
      <c r="DT41" s="4"/>
      <c r="DU41" s="4"/>
      <c r="DV41" s="4"/>
      <c r="DW41" s="4"/>
      <c r="DX41" s="4"/>
      <c r="DY41" s="4"/>
      <c r="DZ41" s="4"/>
      <c r="EA41" s="4"/>
      <c r="EB41" s="4"/>
      <c r="EC41" s="4"/>
      <c r="ED41" s="4"/>
      <c r="EE41" s="4"/>
      <c r="EF41">
        <v>470</v>
      </c>
      <c r="EG41" s="4">
        <v>4700</v>
      </c>
      <c r="EH41" s="4">
        <v>8</v>
      </c>
      <c r="EI41" s="8">
        <v>0.95</v>
      </c>
      <c r="EJ41" s="4">
        <v>2</v>
      </c>
      <c r="EK41" s="4">
        <v>85</v>
      </c>
      <c r="EL41" s="10">
        <f>ROUND(3600/EK41*EH41*EJ41*EI41,0)</f>
        <v>644</v>
      </c>
      <c r="EM41" s="10"/>
      <c r="EN41" s="10"/>
      <c r="EO41" s="10"/>
      <c r="EP41" s="10"/>
      <c r="EQ41" s="10"/>
      <c r="ER41" s="10"/>
      <c r="ES41" s="10"/>
      <c r="ET41" s="10"/>
      <c r="EU41" s="4">
        <f>EG41/EL41</f>
        <v>7.2981366459627326</v>
      </c>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8">
        <v>0.11</v>
      </c>
      <c r="GS41" s="4">
        <f>GR41*(BA41+EU41)</f>
        <v>3.4833107810559003</v>
      </c>
      <c r="GT41" s="9">
        <v>1.2500000000000001E-2</v>
      </c>
      <c r="GU41" s="4">
        <f>GT41*(BA41+EU41)</f>
        <v>0.39583077057453414</v>
      </c>
      <c r="GV41" s="8">
        <v>0.02</v>
      </c>
      <c r="GW41" s="4">
        <f>GV41*EU41</f>
        <v>0.14596273291925466</v>
      </c>
      <c r="GX41" s="4">
        <f>GS41+GU41+GW41</f>
        <v>4.0251042845496894</v>
      </c>
      <c r="GY41" t="s">
        <v>43</v>
      </c>
      <c r="GZ41" t="s">
        <v>87</v>
      </c>
      <c r="HA41" s="4">
        <v>805</v>
      </c>
      <c r="HB41" s="4">
        <v>675</v>
      </c>
      <c r="HC41" s="4">
        <v>405</v>
      </c>
      <c r="HD41" s="4">
        <v>50</v>
      </c>
      <c r="HE41" s="4">
        <v>700</v>
      </c>
      <c r="HF41" s="4">
        <v>16</v>
      </c>
      <c r="HG41" s="4">
        <v>5</v>
      </c>
      <c r="HH41" s="4">
        <v>80</v>
      </c>
      <c r="HI41" s="4">
        <v>1100</v>
      </c>
      <c r="HJ41" s="4">
        <f>HH41*HI41</f>
        <v>88000</v>
      </c>
      <c r="HK41" s="4"/>
      <c r="HL41" s="4"/>
      <c r="HM41" s="4">
        <v>2</v>
      </c>
      <c r="HN41" s="10">
        <f>HM41*12*25*HE41</f>
        <v>420000</v>
      </c>
      <c r="HO41" s="4">
        <f>IF(GY41="carton box",HI41/HD41,HJ41/HN41)</f>
        <v>0.20952380952380953</v>
      </c>
      <c r="HP41" s="4">
        <v>160</v>
      </c>
      <c r="HQ41">
        <v>0</v>
      </c>
      <c r="HR41" s="4">
        <v>0</v>
      </c>
      <c r="HS41" s="4">
        <v>0</v>
      </c>
      <c r="HT41" s="4">
        <v>0</v>
      </c>
      <c r="HU41" s="4"/>
      <c r="HV41" s="4">
        <f>HO41+HT41</f>
        <v>0.20952380952380953</v>
      </c>
      <c r="HW41" s="4"/>
      <c r="HX41" s="4">
        <v>5016</v>
      </c>
      <c r="HY41" s="4">
        <v>1976</v>
      </c>
      <c r="HZ41" s="4">
        <v>2280</v>
      </c>
      <c r="IA41" s="4">
        <v>6</v>
      </c>
      <c r="IB41" s="4">
        <v>2</v>
      </c>
      <c r="IC41" s="4">
        <v>5</v>
      </c>
      <c r="ID41" s="8">
        <v>1</v>
      </c>
      <c r="IE41" s="4">
        <f>ROUND(PRODUCT(IA41:ID41),0)-10</f>
        <v>50</v>
      </c>
      <c r="IF41" s="4">
        <v>500</v>
      </c>
      <c r="IG41" s="4">
        <f>IF41/(IE41*HD41)</f>
        <v>0.2</v>
      </c>
      <c r="IH41" s="4"/>
    </row>
    <row r="42" spans="1:246">
      <c r="A42">
        <v>42</v>
      </c>
      <c r="B42" t="s">
        <v>468</v>
      </c>
      <c r="C42" t="s">
        <v>525</v>
      </c>
      <c r="D42" s="28" t="s">
        <v>157</v>
      </c>
      <c r="E42" s="27" t="s">
        <v>158</v>
      </c>
      <c r="F42" s="5" t="s">
        <v>2182</v>
      </c>
      <c r="G42" s="27" t="s">
        <v>122</v>
      </c>
      <c r="H42" s="27"/>
      <c r="I42" s="27" t="s">
        <v>121</v>
      </c>
      <c r="J42" s="28">
        <v>29010</v>
      </c>
      <c r="K42" s="27" t="s">
        <v>229</v>
      </c>
      <c r="L42" s="28"/>
      <c r="M42" s="28"/>
      <c r="N42" s="28"/>
      <c r="O42" s="28"/>
      <c r="P42" s="28"/>
      <c r="Q42" s="28" t="s">
        <v>1035</v>
      </c>
      <c r="R42" s="28" t="s">
        <v>1194</v>
      </c>
      <c r="S42" s="27"/>
      <c r="T42" s="27"/>
      <c r="U42" s="27"/>
      <c r="V42" s="29" t="s">
        <v>79</v>
      </c>
      <c r="W42" s="5"/>
      <c r="X42" s="5"/>
      <c r="Y42" s="5"/>
      <c r="Z42" s="5"/>
      <c r="AA42" s="58" t="s">
        <v>503</v>
      </c>
      <c r="AB42" s="344">
        <v>199.6</v>
      </c>
      <c r="AC42" s="59">
        <v>20</v>
      </c>
      <c r="AD42" s="59" t="s">
        <v>315</v>
      </c>
      <c r="AE42" s="42">
        <f>BA42</f>
        <v>8.0576000000000008</v>
      </c>
      <c r="AF42" s="42"/>
      <c r="AG42" s="42">
        <f>EU42</f>
        <v>1.3979496738117427</v>
      </c>
      <c r="AH42" s="42">
        <f>DM42</f>
        <v>2.52</v>
      </c>
      <c r="AI42" s="42">
        <f>DO42</f>
        <v>3.15E-2</v>
      </c>
      <c r="AJ42" s="42">
        <f>GW42</f>
        <v>2.7958993476234855E-2</v>
      </c>
      <c r="AK42" s="42">
        <f>GU42</f>
        <v>0.1181943709226468</v>
      </c>
      <c r="AL42" s="42">
        <f>GS42</f>
        <v>1.0401104641192918</v>
      </c>
      <c r="AM42" s="42">
        <f>HV42</f>
        <v>8.0625000000000002E-2</v>
      </c>
      <c r="AN42" s="42">
        <f>IG42</f>
        <v>2.3148148148148147E-2</v>
      </c>
      <c r="AO42" s="42">
        <f>EY42</f>
        <v>0</v>
      </c>
      <c r="AP42" s="42"/>
      <c r="AQ42" s="42">
        <f>SUM(AE42:AO42)</f>
        <v>13.297086650478063</v>
      </c>
      <c r="AR42" s="42"/>
      <c r="AS42" s="42"/>
      <c r="AT42" s="60">
        <v>0</v>
      </c>
      <c r="AU42" s="42">
        <f>AQ42*0.02</f>
        <v>0.26594173300956125</v>
      </c>
      <c r="AV42" s="42">
        <f>AQ42+AT42+AU42</f>
        <v>13.563028383487623</v>
      </c>
      <c r="AW42" s="17">
        <v>4.1000000000000002E-2</v>
      </c>
      <c r="AX42" s="68">
        <v>3.4000000000000002E-2</v>
      </c>
      <c r="AY42" s="61">
        <v>0.9</v>
      </c>
      <c r="AZ42" s="59">
        <f>(AW42-AX42)*AY42</f>
        <v>6.2999999999999992E-3</v>
      </c>
      <c r="BA42" s="4">
        <f>AW42*AB42-AZ42*AC42</f>
        <v>8.0576000000000008</v>
      </c>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59"/>
      <c r="CE42" s="59">
        <v>0</v>
      </c>
      <c r="CF42" s="59">
        <v>1</v>
      </c>
      <c r="CG42" s="59">
        <v>2.52</v>
      </c>
      <c r="CH42" s="62">
        <f>CG42*CF42</f>
        <v>2.52</v>
      </c>
      <c r="CI42" s="59"/>
      <c r="CJ42" s="59"/>
      <c r="CK42" s="63"/>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62">
        <f>CH42+CM42+CR42+CW42+DB42+DG42+DL42</f>
        <v>2.52</v>
      </c>
      <c r="DN42" s="64">
        <v>1.2500000000000001E-2</v>
      </c>
      <c r="DO42" s="62">
        <f>DN42*CG42*CF42</f>
        <v>3.15E-2</v>
      </c>
      <c r="DP42" s="62">
        <f>DM42+DO42</f>
        <v>2.5514999999999999</v>
      </c>
      <c r="DQ42" s="62"/>
      <c r="DR42" s="62"/>
      <c r="DS42" s="62"/>
      <c r="DT42" s="62"/>
      <c r="DU42" s="62"/>
      <c r="DV42" s="62"/>
      <c r="DW42" s="62"/>
      <c r="DX42" s="62"/>
      <c r="DY42" s="62"/>
      <c r="DZ42" s="62"/>
      <c r="EA42" s="62"/>
      <c r="EB42" s="62"/>
      <c r="EC42" s="62"/>
      <c r="ED42" s="62"/>
      <c r="EE42" s="62"/>
      <c r="EF42" s="59">
        <v>150</v>
      </c>
      <c r="EG42" s="59">
        <v>1500</v>
      </c>
      <c r="EH42" s="59">
        <v>8</v>
      </c>
      <c r="EI42" s="61">
        <v>0.95</v>
      </c>
      <c r="EJ42" s="59">
        <v>2</v>
      </c>
      <c r="EK42" s="59">
        <v>51</v>
      </c>
      <c r="EL42" s="65">
        <f>ROUND(3600/EK42*EH42*EJ42*EI42,0)</f>
        <v>1073</v>
      </c>
      <c r="EM42" s="65"/>
      <c r="EN42" s="65"/>
      <c r="EO42" s="65"/>
      <c r="EP42" s="65"/>
      <c r="EQ42" s="65"/>
      <c r="ER42" s="65"/>
      <c r="ES42" s="65"/>
      <c r="ET42" s="65"/>
      <c r="EU42" s="62">
        <f>EG42/EL42</f>
        <v>1.3979496738117427</v>
      </c>
      <c r="EV42" s="62"/>
      <c r="EW42" s="62"/>
      <c r="EX42" s="62"/>
      <c r="EY42" s="62"/>
      <c r="EZ42" s="62"/>
      <c r="FA42" s="62"/>
      <c r="FB42" s="62"/>
      <c r="FC42" s="62"/>
      <c r="FD42" s="62"/>
      <c r="FE42" s="62"/>
      <c r="FF42" s="62"/>
      <c r="FG42" s="62"/>
      <c r="FH42" s="62"/>
      <c r="FI42" s="62"/>
      <c r="FJ42" s="62"/>
      <c r="FK42" s="62"/>
      <c r="FL42" s="62"/>
      <c r="FM42" s="62"/>
      <c r="FN42" s="62"/>
      <c r="FO42" s="62"/>
      <c r="FP42" s="62"/>
      <c r="FQ42" s="62"/>
      <c r="FR42" s="62"/>
      <c r="FS42" s="62"/>
      <c r="FT42" s="62"/>
      <c r="FU42" s="62"/>
      <c r="FV42" s="62"/>
      <c r="FW42" s="62"/>
      <c r="FX42" s="62"/>
      <c r="FY42" s="62"/>
      <c r="FZ42" s="62"/>
      <c r="GA42" s="62"/>
      <c r="GB42" s="62"/>
      <c r="GC42" s="62"/>
      <c r="GD42" s="62"/>
      <c r="GE42" s="62"/>
      <c r="GF42" s="62"/>
      <c r="GG42" s="62"/>
      <c r="GH42" s="62"/>
      <c r="GI42" s="62"/>
      <c r="GJ42" s="62"/>
      <c r="GK42" s="62"/>
      <c r="GL42" s="62"/>
      <c r="GM42" s="62"/>
      <c r="GN42" s="62"/>
      <c r="GO42" s="62"/>
      <c r="GP42" s="62"/>
      <c r="GQ42" s="62"/>
      <c r="GR42" s="61">
        <v>0.11</v>
      </c>
      <c r="GS42" s="62">
        <f>GR42*(BA42+EU42)</f>
        <v>1.0401104641192918</v>
      </c>
      <c r="GT42" s="64">
        <v>1.2500000000000001E-2</v>
      </c>
      <c r="GU42" s="62">
        <f>GT42*(BA42+EU42)</f>
        <v>0.1181943709226468</v>
      </c>
      <c r="GV42" s="61">
        <v>0.02</v>
      </c>
      <c r="GW42" s="62">
        <f>GV42*EU42</f>
        <v>2.7958993476234855E-2</v>
      </c>
      <c r="GX42" s="62">
        <f>GS42+GU42+GW42</f>
        <v>1.1862638285181732</v>
      </c>
      <c r="GY42" s="59" t="s">
        <v>43</v>
      </c>
      <c r="GZ42" s="59" t="s">
        <v>87</v>
      </c>
      <c r="HA42" s="62">
        <v>650</v>
      </c>
      <c r="HB42" s="62">
        <v>450</v>
      </c>
      <c r="HC42" s="59">
        <v>315</v>
      </c>
      <c r="HD42" s="59">
        <v>150</v>
      </c>
      <c r="HE42" s="59">
        <v>800</v>
      </c>
      <c r="HF42" s="62">
        <f>ROUNDUP(HE42/HD42,0)</f>
        <v>6</v>
      </c>
      <c r="HG42" s="59">
        <v>5</v>
      </c>
      <c r="HH42" s="62">
        <v>30</v>
      </c>
      <c r="HI42" s="59">
        <v>650</v>
      </c>
      <c r="HJ42" s="62">
        <f>HH42*HI42</f>
        <v>19500</v>
      </c>
      <c r="HK42" s="62"/>
      <c r="HL42" s="62"/>
      <c r="HM42" s="62">
        <v>2</v>
      </c>
      <c r="HN42" s="65">
        <f>HM42*12*25*HE42</f>
        <v>480000</v>
      </c>
      <c r="HO42" s="62">
        <f>IF(GY42="carton box",HI42/HD42,HJ42/HN42)</f>
        <v>4.0625000000000001E-2</v>
      </c>
      <c r="HP42" s="62">
        <v>160</v>
      </c>
      <c r="HQ42" s="59">
        <v>0</v>
      </c>
      <c r="HR42" s="62">
        <v>0</v>
      </c>
      <c r="HS42" s="62">
        <v>6</v>
      </c>
      <c r="HT42" s="62">
        <v>0.04</v>
      </c>
      <c r="HU42" s="62"/>
      <c r="HV42" s="62">
        <f>HO42+HT42</f>
        <v>8.0625000000000002E-2</v>
      </c>
      <c r="HW42" s="62"/>
      <c r="HX42" s="62">
        <v>4200</v>
      </c>
      <c r="HY42" s="62">
        <v>1900</v>
      </c>
      <c r="HZ42" s="62">
        <v>1975</v>
      </c>
      <c r="IA42" s="62">
        <v>6</v>
      </c>
      <c r="IB42" s="62">
        <v>4</v>
      </c>
      <c r="IC42" s="62">
        <v>6</v>
      </c>
      <c r="ID42" s="61">
        <v>1</v>
      </c>
      <c r="IE42" s="62">
        <v>144</v>
      </c>
      <c r="IF42" s="62">
        <v>500</v>
      </c>
      <c r="IG42" s="62">
        <f>IF42/(IE42*HD42)</f>
        <v>2.3148148148148147E-2</v>
      </c>
      <c r="IH42" s="62"/>
      <c r="II42" s="59"/>
      <c r="IJ42" s="59"/>
      <c r="IK42" s="59"/>
    </row>
    <row r="43" spans="1:246">
      <c r="A43">
        <v>43</v>
      </c>
      <c r="D43" s="28" t="s">
        <v>159</v>
      </c>
      <c r="E43" s="27" t="s">
        <v>160</v>
      </c>
      <c r="F43" s="27"/>
      <c r="G43" s="27" t="s">
        <v>122</v>
      </c>
      <c r="H43" s="27"/>
      <c r="I43" s="27" t="s">
        <v>121</v>
      </c>
      <c r="J43" s="28">
        <v>21677</v>
      </c>
      <c r="K43" s="27" t="s">
        <v>228</v>
      </c>
      <c r="L43" s="28"/>
      <c r="M43" s="28"/>
      <c r="N43" s="28"/>
      <c r="O43" s="28"/>
      <c r="P43" s="28"/>
      <c r="Q43" s="28"/>
      <c r="R43" s="28"/>
      <c r="S43" s="27"/>
      <c r="T43" s="27"/>
      <c r="U43" s="27"/>
      <c r="V43" s="29" t="s">
        <v>79</v>
      </c>
      <c r="W43" s="5"/>
      <c r="X43" s="5"/>
      <c r="Y43" s="5"/>
      <c r="Z43" s="5"/>
      <c r="AA43" s="5"/>
    </row>
    <row r="44" spans="1:246">
      <c r="A44">
        <v>44</v>
      </c>
      <c r="B44" t="s">
        <v>458</v>
      </c>
      <c r="D44" s="28" t="s">
        <v>117</v>
      </c>
      <c r="E44" s="27" t="s">
        <v>118</v>
      </c>
      <c r="F44" s="27"/>
      <c r="G44" s="27" t="s">
        <v>122</v>
      </c>
      <c r="H44" s="27"/>
      <c r="I44" s="27" t="s">
        <v>121</v>
      </c>
      <c r="J44" s="28">
        <v>21480</v>
      </c>
      <c r="K44" s="27" t="s">
        <v>97</v>
      </c>
      <c r="L44" s="28"/>
      <c r="M44" s="28"/>
      <c r="N44" s="28"/>
      <c r="O44" s="28"/>
      <c r="P44" s="28"/>
      <c r="Q44" s="28"/>
      <c r="R44" s="28"/>
      <c r="S44" s="27"/>
      <c r="T44" s="27"/>
      <c r="U44" s="27"/>
      <c r="V44" s="29" t="s">
        <v>79</v>
      </c>
      <c r="W44" s="5"/>
      <c r="X44" s="5"/>
      <c r="Y44" s="5"/>
      <c r="Z44" s="5"/>
      <c r="AA44" s="5"/>
    </row>
    <row r="45" spans="1:246">
      <c r="A45">
        <v>45</v>
      </c>
      <c r="B45" t="s">
        <v>468</v>
      </c>
      <c r="C45" t="s">
        <v>526</v>
      </c>
      <c r="D45" s="28" t="s">
        <v>161</v>
      </c>
      <c r="E45" s="27" t="s">
        <v>162</v>
      </c>
      <c r="F45" s="5" t="s">
        <v>2182</v>
      </c>
      <c r="G45" s="27" t="s">
        <v>122</v>
      </c>
      <c r="H45" s="27"/>
      <c r="I45" s="27" t="s">
        <v>121</v>
      </c>
      <c r="J45" s="28">
        <v>29010</v>
      </c>
      <c r="K45" s="27" t="s">
        <v>229</v>
      </c>
      <c r="L45" s="28"/>
      <c r="M45" s="28"/>
      <c r="N45" s="28"/>
      <c r="O45" s="28"/>
      <c r="P45" s="28"/>
      <c r="Q45" s="28" t="s">
        <v>1035</v>
      </c>
      <c r="R45" s="28" t="s">
        <v>1194</v>
      </c>
      <c r="S45" s="27"/>
      <c r="T45" s="27"/>
      <c r="U45" s="27"/>
      <c r="V45" s="29" t="s">
        <v>79</v>
      </c>
      <c r="W45" s="5" t="s">
        <v>301</v>
      </c>
      <c r="X45" s="5"/>
      <c r="Y45" s="5"/>
      <c r="Z45" s="5"/>
      <c r="AA45" s="56" t="s">
        <v>313</v>
      </c>
      <c r="AB45" s="340">
        <v>127.56</v>
      </c>
      <c r="AC45" s="4">
        <f>AB45-5</f>
        <v>122.56</v>
      </c>
      <c r="AD45" t="s">
        <v>315</v>
      </c>
      <c r="AE45" s="7">
        <f t="shared" ref="AE45:AE52" si="131">BA45</f>
        <v>10.332360000000001</v>
      </c>
      <c r="AF45" s="7"/>
      <c r="AG45" s="7">
        <f t="shared" ref="AG45:AG52" si="132">EU45</f>
        <v>3.0181086519114686</v>
      </c>
      <c r="AH45" s="7">
        <f>DM45</f>
        <v>0.26</v>
      </c>
      <c r="AI45" s="7">
        <f t="shared" ref="AI45:AI52" si="133">DO45</f>
        <v>0</v>
      </c>
      <c r="AJ45" s="7">
        <f t="shared" ref="AJ45:AJ52" si="134">GW45</f>
        <v>6.0362173038229376E-2</v>
      </c>
      <c r="AK45" s="7">
        <f t="shared" ref="AK45:AK52" si="135">GU45</f>
        <v>0.16688085814889339</v>
      </c>
      <c r="AL45" s="7">
        <f t="shared" ref="AL45:AL52" si="136">GS45</f>
        <v>1.4685515517102616</v>
      </c>
      <c r="AM45" s="7">
        <f t="shared" ref="AM45:AM52" si="137">HV45</f>
        <v>0.38572916666666668</v>
      </c>
      <c r="AN45" s="7">
        <f t="shared" ref="AN45:AN52" si="138">IG45</f>
        <v>9.6450617283950615E-2</v>
      </c>
      <c r="AO45" s="7">
        <f>EY45</f>
        <v>0</v>
      </c>
      <c r="AP45" s="7"/>
      <c r="AQ45" s="7">
        <f t="shared" ref="AQ45:AQ52" si="139">SUM(AE45:AO45)</f>
        <v>15.788443018759471</v>
      </c>
      <c r="AR45" s="7"/>
      <c r="AS45" s="7"/>
      <c r="AT45" s="7">
        <f>IJ45</f>
        <v>0</v>
      </c>
      <c r="AU45" s="7">
        <f>AQ45*2%</f>
        <v>0.31576886037518942</v>
      </c>
      <c r="AV45" s="7">
        <f t="shared" ref="AV45:AV52" si="140">AQ45+AT45+AU45</f>
        <v>16.10421187913466</v>
      </c>
      <c r="AW45" s="24">
        <v>8.1000000000000003E-2</v>
      </c>
      <c r="AX45" s="2">
        <v>7.9000000000000001E-2</v>
      </c>
      <c r="AY45" s="8">
        <v>0</v>
      </c>
      <c r="AZ45">
        <f>(AW45-AX45)*AY45</f>
        <v>0</v>
      </c>
      <c r="BA45" s="4">
        <f t="shared" ref="BA45:BA52" si="141">AW45*AB45-AZ45*AC45</f>
        <v>10.332360000000001</v>
      </c>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E45">
        <v>0</v>
      </c>
      <c r="CF45">
        <v>1</v>
      </c>
      <c r="CG45">
        <v>0.26</v>
      </c>
      <c r="CH45" s="4">
        <f>CG45*CF45</f>
        <v>0.26</v>
      </c>
      <c r="CK45" s="66"/>
      <c r="DM45" s="4">
        <f>CH45+CM45+CR45+CW45+DB45+DG45+DL45</f>
        <v>0.26</v>
      </c>
      <c r="DN45" s="9">
        <v>1.2500000000000001E-2</v>
      </c>
      <c r="DO45" s="4">
        <v>0</v>
      </c>
      <c r="DP45" s="4">
        <f>DM45+DO45</f>
        <v>0.26</v>
      </c>
      <c r="DQ45" s="4"/>
      <c r="DR45" s="4"/>
      <c r="DS45" s="4"/>
      <c r="DT45" s="4"/>
      <c r="DU45" s="4"/>
      <c r="DV45" s="4"/>
      <c r="DW45" s="4"/>
      <c r="DX45" s="4"/>
      <c r="DY45" s="4"/>
      <c r="DZ45" s="4"/>
      <c r="EA45" s="4"/>
      <c r="EB45" s="4"/>
      <c r="EC45" s="4"/>
      <c r="ED45" s="4"/>
      <c r="EE45" s="4"/>
      <c r="EF45">
        <v>150</v>
      </c>
      <c r="EG45" s="4">
        <v>1500</v>
      </c>
      <c r="EH45" s="4">
        <v>8</v>
      </c>
      <c r="EI45" s="8">
        <v>0.95</v>
      </c>
      <c r="EJ45" s="4">
        <v>1</v>
      </c>
      <c r="EK45" s="4">
        <v>55</v>
      </c>
      <c r="EL45" s="10">
        <f t="shared" ref="EL45:EL52" si="142">ROUND(3600/EK45*EH45*EJ45*EI45,0)</f>
        <v>497</v>
      </c>
      <c r="EM45" s="10"/>
      <c r="EN45" s="10"/>
      <c r="EO45" s="10"/>
      <c r="EP45" s="10"/>
      <c r="EQ45" s="10"/>
      <c r="ER45" s="10"/>
      <c r="ES45" s="10"/>
      <c r="ET45" s="10"/>
      <c r="EU45" s="4">
        <f t="shared" ref="EU45:EU52" si="143">EG45/EL45</f>
        <v>3.0181086519114686</v>
      </c>
      <c r="EV45" s="4"/>
      <c r="EW45" s="4"/>
      <c r="EX45" s="4">
        <v>0</v>
      </c>
      <c r="EY45" s="4">
        <v>0</v>
      </c>
      <c r="EZ45" s="4"/>
      <c r="FA45" s="4">
        <v>0</v>
      </c>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8">
        <v>0.11</v>
      </c>
      <c r="GS45" s="4">
        <f t="shared" ref="GS45:GS52" si="144">GR45*(BA45+EU45)</f>
        <v>1.4685515517102616</v>
      </c>
      <c r="GT45" s="9">
        <v>1.2500000000000001E-2</v>
      </c>
      <c r="GU45" s="4">
        <f t="shared" ref="GU45:GU52" si="145">GT45*(BA45+EU45)</f>
        <v>0.16688085814889339</v>
      </c>
      <c r="GV45" s="8">
        <v>0.02</v>
      </c>
      <c r="GW45" s="4">
        <f t="shared" ref="GW45:GW52" si="146">GV45*EU45</f>
        <v>6.0362173038229376E-2</v>
      </c>
      <c r="GX45" s="4">
        <f t="shared" ref="GX45:GX52" si="147">GS45+GU45+GW45</f>
        <v>1.6957945828973844</v>
      </c>
      <c r="GY45" t="s">
        <v>43</v>
      </c>
      <c r="GZ45" t="s">
        <v>61</v>
      </c>
      <c r="HA45" s="4">
        <v>650</v>
      </c>
      <c r="HB45" s="4">
        <v>450</v>
      </c>
      <c r="HC45">
        <v>315</v>
      </c>
      <c r="HD45">
        <v>36</v>
      </c>
      <c r="HE45">
        <v>800</v>
      </c>
      <c r="HF45" s="4">
        <f>ROUNDUP((HE45/HD45),0)</f>
        <v>23</v>
      </c>
      <c r="HG45">
        <v>5</v>
      </c>
      <c r="HH45" s="4">
        <f>HF45*HG45</f>
        <v>115</v>
      </c>
      <c r="HI45">
        <v>650</v>
      </c>
      <c r="HJ45" s="4">
        <f t="shared" ref="HJ45:HJ52" si="148">HH45*HI45</f>
        <v>74750</v>
      </c>
      <c r="HK45" s="4"/>
      <c r="HL45" s="4"/>
      <c r="HM45" s="4">
        <v>2</v>
      </c>
      <c r="HN45" s="10">
        <f t="shared" ref="HN45:HN52" si="149">HM45*12*25*HE45</f>
        <v>480000</v>
      </c>
      <c r="HO45" s="4">
        <f t="shared" ref="HO45:HO52" si="150">IF(GY45="carton box",HI45/HD45,HJ45/HN45)</f>
        <v>0.15572916666666667</v>
      </c>
      <c r="HP45" s="4">
        <v>160</v>
      </c>
      <c r="HQ45">
        <v>0</v>
      </c>
      <c r="HR45" s="4">
        <f>3*2.76</f>
        <v>8.2799999999999994</v>
      </c>
      <c r="HS45" s="4">
        <v>36</v>
      </c>
      <c r="HT45" s="4">
        <f>IF(ISERROR(HR45/HS45),0,HR45/HS45)</f>
        <v>0.22999999999999998</v>
      </c>
      <c r="HU45" s="4"/>
      <c r="HV45" s="4">
        <f t="shared" ref="HV45:HV52" si="151">HO45+HT45</f>
        <v>0.38572916666666668</v>
      </c>
      <c r="HW45" s="4"/>
      <c r="HX45" s="4">
        <v>4200</v>
      </c>
      <c r="HY45" s="4">
        <v>1900</v>
      </c>
      <c r="HZ45" s="4">
        <v>1975</v>
      </c>
      <c r="IA45" s="4">
        <v>6</v>
      </c>
      <c r="IB45" s="4">
        <v>4</v>
      </c>
      <c r="IC45" s="4">
        <v>6</v>
      </c>
      <c r="ID45" s="8">
        <v>1</v>
      </c>
      <c r="IE45" s="4">
        <v>144</v>
      </c>
      <c r="IF45" s="4">
        <v>500</v>
      </c>
      <c r="IG45" s="4">
        <f t="shared" ref="IG45:IG52" si="152">IF45/(IE45*HD45)</f>
        <v>9.6450617283950615E-2</v>
      </c>
      <c r="IH45" s="4"/>
    </row>
    <row r="46" spans="1:246">
      <c r="A46">
        <v>46</v>
      </c>
      <c r="B46" t="s">
        <v>468</v>
      </c>
      <c r="C46" t="s">
        <v>527</v>
      </c>
      <c r="D46" s="28" t="s">
        <v>161</v>
      </c>
      <c r="E46" s="27" t="s">
        <v>162</v>
      </c>
      <c r="F46" s="5" t="s">
        <v>2182</v>
      </c>
      <c r="G46" s="27" t="s">
        <v>122</v>
      </c>
      <c r="H46" s="27"/>
      <c r="I46" s="27" t="s">
        <v>121</v>
      </c>
      <c r="J46" s="28">
        <v>21677</v>
      </c>
      <c r="K46" s="27" t="s">
        <v>228</v>
      </c>
      <c r="L46" s="28"/>
      <c r="M46" s="28"/>
      <c r="N46" s="28"/>
      <c r="O46" s="28"/>
      <c r="P46" s="28"/>
      <c r="Q46" s="28" t="s">
        <v>1857</v>
      </c>
      <c r="R46" s="28" t="s">
        <v>1193</v>
      </c>
      <c r="S46" s="27"/>
      <c r="T46" s="27"/>
      <c r="U46" s="27"/>
      <c r="V46" s="29" t="s">
        <v>79</v>
      </c>
      <c r="W46" s="5"/>
      <c r="X46" s="5"/>
      <c r="Y46" s="5"/>
      <c r="Z46" s="5"/>
      <c r="AA46" s="56" t="s">
        <v>504</v>
      </c>
      <c r="AB46" s="340">
        <v>134.28</v>
      </c>
      <c r="AC46">
        <v>20</v>
      </c>
      <c r="AD46" t="s">
        <v>315</v>
      </c>
      <c r="AE46" s="7">
        <f t="shared" si="131"/>
        <v>10.970960000000002</v>
      </c>
      <c r="AF46" s="7"/>
      <c r="AG46" s="7">
        <f t="shared" si="132"/>
        <v>3.0181086519114686</v>
      </c>
      <c r="AH46" s="7">
        <f>DP46</f>
        <v>0.20250000000000001</v>
      </c>
      <c r="AI46" s="7">
        <f t="shared" si="133"/>
        <v>2.5000000000000005E-3</v>
      </c>
      <c r="AJ46" s="7">
        <f t="shared" si="134"/>
        <v>6.0362173038229376E-2</v>
      </c>
      <c r="AK46" s="7">
        <f t="shared" si="135"/>
        <v>0.17486335814889339</v>
      </c>
      <c r="AL46" s="7">
        <f t="shared" si="136"/>
        <v>1.5387975517102617</v>
      </c>
      <c r="AM46" s="7">
        <f t="shared" si="137"/>
        <v>0.15476190476190477</v>
      </c>
      <c r="AN46" s="7">
        <f t="shared" si="138"/>
        <v>0.27777777777777779</v>
      </c>
      <c r="AO46" s="7">
        <f>EY46</f>
        <v>0</v>
      </c>
      <c r="AP46" s="7"/>
      <c r="AQ46" s="7">
        <f t="shared" si="139"/>
        <v>16.400631417348539</v>
      </c>
      <c r="AR46" s="7"/>
      <c r="AS46" s="7"/>
      <c r="AT46" s="6">
        <v>0</v>
      </c>
      <c r="AU46" s="7">
        <v>0</v>
      </c>
      <c r="AV46" s="7">
        <f t="shared" si="140"/>
        <v>16.400631417348539</v>
      </c>
      <c r="AW46" s="17">
        <v>8.2000000000000003E-2</v>
      </c>
      <c r="AX46" s="2">
        <v>0.08</v>
      </c>
      <c r="AY46" s="8">
        <v>1</v>
      </c>
      <c r="AZ46">
        <f>(AW46-AX46)*AY46</f>
        <v>2.0000000000000018E-3</v>
      </c>
      <c r="BA46" s="4">
        <f t="shared" si="141"/>
        <v>10.970960000000002</v>
      </c>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E46">
        <v>0</v>
      </c>
      <c r="CF46">
        <v>1</v>
      </c>
      <c r="CG46">
        <v>0.2</v>
      </c>
      <c r="CH46" s="4">
        <f>CG46*CF46</f>
        <v>0.2</v>
      </c>
      <c r="CK46" s="66"/>
      <c r="DM46" s="4">
        <f>CH46+CM46+CR46+CW46+DB46+DG46+DL46</f>
        <v>0.2</v>
      </c>
      <c r="DN46" s="9">
        <v>1.2500000000000001E-2</v>
      </c>
      <c r="DO46" s="4">
        <f>DN46*CG46*CF46</f>
        <v>2.5000000000000005E-3</v>
      </c>
      <c r="DP46" s="4">
        <f>DM46+DO46</f>
        <v>0.20250000000000001</v>
      </c>
      <c r="DQ46" s="4"/>
      <c r="DR46" s="4"/>
      <c r="DS46" s="4"/>
      <c r="DT46" s="4"/>
      <c r="DU46" s="4"/>
      <c r="DV46" s="4"/>
      <c r="DW46" s="4"/>
      <c r="DX46" s="4"/>
      <c r="DY46" s="4"/>
      <c r="DZ46" s="4"/>
      <c r="EA46" s="4"/>
      <c r="EB46" s="4"/>
      <c r="EC46" s="4"/>
      <c r="ED46" s="4"/>
      <c r="EE46" s="4"/>
      <c r="EF46">
        <v>150</v>
      </c>
      <c r="EG46">
        <v>1500</v>
      </c>
      <c r="EH46">
        <v>8</v>
      </c>
      <c r="EI46" s="8">
        <v>0.95</v>
      </c>
      <c r="EJ46">
        <v>1</v>
      </c>
      <c r="EK46">
        <v>55</v>
      </c>
      <c r="EL46" s="10">
        <f t="shared" si="142"/>
        <v>497</v>
      </c>
      <c r="EM46" s="10"/>
      <c r="EN46" s="10"/>
      <c r="EO46" s="10"/>
      <c r="EP46" s="10"/>
      <c r="EQ46" s="10"/>
      <c r="ER46" s="10"/>
      <c r="ES46" s="10"/>
      <c r="ET46" s="10"/>
      <c r="EU46" s="4">
        <f t="shared" si="143"/>
        <v>3.0181086519114686</v>
      </c>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8">
        <v>0.11</v>
      </c>
      <c r="GS46" s="4">
        <f t="shared" si="144"/>
        <v>1.5387975517102617</v>
      </c>
      <c r="GT46" s="9">
        <v>1.2500000000000001E-2</v>
      </c>
      <c r="GU46" s="4">
        <f t="shared" si="145"/>
        <v>0.17486335814889339</v>
      </c>
      <c r="GV46" s="8">
        <v>0.02</v>
      </c>
      <c r="GW46" s="4">
        <f t="shared" si="146"/>
        <v>6.0362173038229376E-2</v>
      </c>
      <c r="GX46" s="4">
        <f t="shared" si="147"/>
        <v>1.7740230828973844</v>
      </c>
      <c r="GY46" t="s">
        <v>43</v>
      </c>
      <c r="GZ46" t="s">
        <v>87</v>
      </c>
      <c r="HA46" s="4">
        <v>650</v>
      </c>
      <c r="HB46" s="4">
        <v>450</v>
      </c>
      <c r="HC46">
        <v>300</v>
      </c>
      <c r="HD46">
        <v>36</v>
      </c>
      <c r="HE46">
        <v>700</v>
      </c>
      <c r="HF46" s="4">
        <f>ROUNDUP(HE46/HD46,0)</f>
        <v>20</v>
      </c>
      <c r="HG46">
        <v>5</v>
      </c>
      <c r="HH46" s="4">
        <v>100</v>
      </c>
      <c r="HI46">
        <v>650</v>
      </c>
      <c r="HJ46" s="4">
        <f t="shared" si="148"/>
        <v>65000</v>
      </c>
      <c r="HK46" s="4"/>
      <c r="HL46" s="4"/>
      <c r="HM46" s="4">
        <v>2</v>
      </c>
      <c r="HN46" s="10">
        <f t="shared" si="149"/>
        <v>420000</v>
      </c>
      <c r="HO46" s="4">
        <f t="shared" si="150"/>
        <v>0.15476190476190477</v>
      </c>
      <c r="HP46" s="4">
        <v>160</v>
      </c>
      <c r="HQ46">
        <v>0</v>
      </c>
      <c r="HR46" s="4">
        <v>0</v>
      </c>
      <c r="HS46" s="4">
        <v>0</v>
      </c>
      <c r="HT46" s="4">
        <v>0</v>
      </c>
      <c r="HU46" s="4"/>
      <c r="HV46" s="4">
        <f t="shared" si="151"/>
        <v>0.15476190476190477</v>
      </c>
      <c r="HW46" s="4"/>
      <c r="HX46" s="4">
        <v>5016</v>
      </c>
      <c r="HY46" s="4">
        <v>1976</v>
      </c>
      <c r="HZ46" s="4">
        <v>2280</v>
      </c>
      <c r="IA46" s="4">
        <v>7</v>
      </c>
      <c r="IB46" s="4">
        <v>4</v>
      </c>
      <c r="IC46" s="4">
        <v>7</v>
      </c>
      <c r="ID46" s="8">
        <v>1</v>
      </c>
      <c r="IE46" s="4">
        <v>50</v>
      </c>
      <c r="IF46" s="4">
        <v>500</v>
      </c>
      <c r="IG46" s="4">
        <f t="shared" si="152"/>
        <v>0.27777777777777779</v>
      </c>
      <c r="IH46" s="4"/>
    </row>
    <row r="47" spans="1:246">
      <c r="A47">
        <v>47</v>
      </c>
      <c r="B47" t="s">
        <v>468</v>
      </c>
      <c r="C47" s="165" t="s">
        <v>959</v>
      </c>
      <c r="D47" s="28" t="s">
        <v>163</v>
      </c>
      <c r="E47" s="27" t="s">
        <v>164</v>
      </c>
      <c r="F47" s="5" t="s">
        <v>2182</v>
      </c>
      <c r="G47" s="27" t="s">
        <v>101</v>
      </c>
      <c r="H47" s="27"/>
      <c r="I47" s="27" t="s">
        <v>121</v>
      </c>
      <c r="J47" s="28">
        <v>21480</v>
      </c>
      <c r="K47" s="27" t="s">
        <v>97</v>
      </c>
      <c r="L47" s="28"/>
      <c r="M47" s="28"/>
      <c r="N47" s="28"/>
      <c r="O47" s="28"/>
      <c r="P47" s="28"/>
      <c r="Q47" s="28" t="s">
        <v>1035</v>
      </c>
      <c r="R47" s="28" t="s">
        <v>1034</v>
      </c>
      <c r="S47" s="27"/>
      <c r="T47" s="27"/>
      <c r="U47" s="27"/>
      <c r="V47" s="29" t="s">
        <v>79</v>
      </c>
      <c r="W47" s="5" t="s">
        <v>953</v>
      </c>
      <c r="X47" s="5"/>
      <c r="Y47" s="5"/>
      <c r="Z47" s="5"/>
      <c r="AA47" s="51" t="s">
        <v>416</v>
      </c>
      <c r="AB47" s="339">
        <v>196.21</v>
      </c>
      <c r="AC47">
        <v>20</v>
      </c>
      <c r="AD47" s="13" t="s">
        <v>315</v>
      </c>
      <c r="AE47" s="7">
        <f t="shared" si="131"/>
        <v>52.580490000000005</v>
      </c>
      <c r="AF47" s="7"/>
      <c r="AG47" s="7">
        <f t="shared" si="132"/>
        <v>8.7956698240866036</v>
      </c>
      <c r="AH47" s="7">
        <f>DP47</f>
        <v>0</v>
      </c>
      <c r="AI47" s="7">
        <f t="shared" si="133"/>
        <v>0</v>
      </c>
      <c r="AJ47" s="7">
        <f t="shared" si="134"/>
        <v>0.17591339648173207</v>
      </c>
      <c r="AK47" s="7">
        <f t="shared" si="135"/>
        <v>0.76720199780108267</v>
      </c>
      <c r="AL47" s="7">
        <f t="shared" si="136"/>
        <v>6.7513775806495264</v>
      </c>
      <c r="AM47" s="7">
        <f t="shared" si="137"/>
        <v>2.2864583333333335</v>
      </c>
      <c r="AN47" s="7">
        <f t="shared" si="138"/>
        <v>0.82236842105263153</v>
      </c>
      <c r="AO47" s="6">
        <v>0</v>
      </c>
      <c r="AP47" s="6"/>
      <c r="AQ47" s="7">
        <f t="shared" si="139"/>
        <v>72.179479553404903</v>
      </c>
      <c r="AR47" s="7"/>
      <c r="AS47" s="7"/>
      <c r="AT47" s="6">
        <v>0</v>
      </c>
      <c r="AU47" s="6">
        <f>72.61-72.18</f>
        <v>0.42999999999999261</v>
      </c>
      <c r="AV47" s="7">
        <f t="shared" si="140"/>
        <v>72.609479553404896</v>
      </c>
      <c r="AW47">
        <v>0.26900000000000002</v>
      </c>
      <c r="AX47">
        <v>0.25900000000000001</v>
      </c>
      <c r="AY47" s="8">
        <v>1</v>
      </c>
      <c r="AZ47">
        <f>(AW47-AX47)*AY47</f>
        <v>1.0000000000000009E-2</v>
      </c>
      <c r="BA47" s="4">
        <f t="shared" si="141"/>
        <v>52.580490000000005</v>
      </c>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E47">
        <v>0</v>
      </c>
      <c r="CF47">
        <v>0</v>
      </c>
      <c r="CG47">
        <v>0</v>
      </c>
      <c r="CH47">
        <f>CF47*CG47</f>
        <v>0</v>
      </c>
      <c r="DN47" s="9">
        <v>1.2500000000000001E-2</v>
      </c>
      <c r="DO47" s="4">
        <f>DN47*CG47</f>
        <v>0</v>
      </c>
      <c r="DP47" s="4"/>
      <c r="DQ47" s="4"/>
      <c r="DR47" s="4"/>
      <c r="DS47" s="4"/>
      <c r="DT47" s="4"/>
      <c r="DU47" s="4"/>
      <c r="DV47" s="4"/>
      <c r="DW47" s="4"/>
      <c r="DX47" s="4"/>
      <c r="DY47" s="4"/>
      <c r="DZ47" s="4"/>
      <c r="EA47" s="4"/>
      <c r="EB47" s="4"/>
      <c r="EC47" s="4"/>
      <c r="ED47" s="4"/>
      <c r="EE47" s="4"/>
      <c r="EF47">
        <v>650</v>
      </c>
      <c r="EG47">
        <v>6500</v>
      </c>
      <c r="EH47">
        <v>8</v>
      </c>
      <c r="EI47" s="8">
        <v>0.95</v>
      </c>
      <c r="EJ47">
        <v>2</v>
      </c>
      <c r="EK47">
        <v>74</v>
      </c>
      <c r="EL47" s="10">
        <f t="shared" si="142"/>
        <v>739</v>
      </c>
      <c r="EM47" s="10"/>
      <c r="EN47" s="10"/>
      <c r="EO47" s="10"/>
      <c r="EP47" s="4"/>
      <c r="EQ47" s="4"/>
      <c r="ER47" s="4"/>
      <c r="ES47" s="4"/>
      <c r="ET47" s="4"/>
      <c r="EU47" s="4">
        <f t="shared" si="143"/>
        <v>8.7956698240866036</v>
      </c>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8">
        <v>0.11</v>
      </c>
      <c r="GS47" s="4">
        <f t="shared" si="144"/>
        <v>6.7513775806495264</v>
      </c>
      <c r="GT47" s="9">
        <v>1.2500000000000001E-2</v>
      </c>
      <c r="GU47" s="4">
        <f t="shared" si="145"/>
        <v>0.76720199780108267</v>
      </c>
      <c r="GV47" s="8">
        <v>0.02</v>
      </c>
      <c r="GW47" s="4">
        <f t="shared" si="146"/>
        <v>0.17591339648173207</v>
      </c>
      <c r="GX47" s="4">
        <f t="shared" si="147"/>
        <v>7.6944929749323414</v>
      </c>
      <c r="GY47" t="s">
        <v>43</v>
      </c>
      <c r="GZ47" t="s">
        <v>87</v>
      </c>
      <c r="HA47" s="4">
        <v>805</v>
      </c>
      <c r="HB47" s="4">
        <v>570</v>
      </c>
      <c r="HC47">
        <v>425</v>
      </c>
      <c r="HD47">
        <v>32</v>
      </c>
      <c r="HE47">
        <v>800</v>
      </c>
      <c r="HF47" s="4">
        <f>ROUNDUP(HE47/HD47,0)</f>
        <v>25</v>
      </c>
      <c r="HG47">
        <v>5</v>
      </c>
      <c r="HH47" s="4">
        <f>HF47*HG47</f>
        <v>125</v>
      </c>
      <c r="HI47">
        <v>1100</v>
      </c>
      <c r="HJ47" s="4">
        <f t="shared" si="148"/>
        <v>137500</v>
      </c>
      <c r="HK47" s="4"/>
      <c r="HL47" s="4"/>
      <c r="HM47" s="4">
        <v>2</v>
      </c>
      <c r="HN47" s="10">
        <f t="shared" si="149"/>
        <v>480000</v>
      </c>
      <c r="HO47" s="4">
        <f t="shared" si="150"/>
        <v>0.28645833333333331</v>
      </c>
      <c r="HP47" s="4">
        <v>160</v>
      </c>
      <c r="HQ47">
        <v>0</v>
      </c>
      <c r="HR47" s="4">
        <f>HP47*HQ47</f>
        <v>0</v>
      </c>
      <c r="HS47">
        <v>1</v>
      </c>
      <c r="HT47" s="4">
        <v>2</v>
      </c>
      <c r="HU47" s="4"/>
      <c r="HV47" s="4">
        <f t="shared" si="151"/>
        <v>2.2864583333333335</v>
      </c>
      <c r="HW47" s="4"/>
      <c r="HX47">
        <v>2917</v>
      </c>
      <c r="HY47">
        <v>1689</v>
      </c>
      <c r="HZ47">
        <v>1842</v>
      </c>
      <c r="IA47" s="4">
        <v>3</v>
      </c>
      <c r="IB47" s="4">
        <v>2</v>
      </c>
      <c r="IC47" s="4">
        <v>4</v>
      </c>
      <c r="ID47" s="8">
        <v>0.8</v>
      </c>
      <c r="IE47" s="4">
        <f>ROUND(PRODUCT(IA47:ID47),0)</f>
        <v>19</v>
      </c>
      <c r="IF47" s="4">
        <v>500</v>
      </c>
      <c r="IG47" s="4">
        <f t="shared" si="152"/>
        <v>0.82236842105263153</v>
      </c>
      <c r="IH47" s="4"/>
    </row>
    <row r="48" spans="1:246">
      <c r="A48">
        <v>48</v>
      </c>
      <c r="B48" t="s">
        <v>468</v>
      </c>
      <c r="C48" t="s">
        <v>528</v>
      </c>
      <c r="D48" s="28" t="s">
        <v>163</v>
      </c>
      <c r="E48" s="27" t="s">
        <v>164</v>
      </c>
      <c r="F48" s="5" t="s">
        <v>2182</v>
      </c>
      <c r="G48" s="27" t="s">
        <v>122</v>
      </c>
      <c r="H48" s="27"/>
      <c r="I48" s="27" t="s">
        <v>121</v>
      </c>
      <c r="J48" s="28">
        <v>29010</v>
      </c>
      <c r="K48" s="27" t="s">
        <v>229</v>
      </c>
      <c r="L48" s="28"/>
      <c r="M48" s="28"/>
      <c r="N48" s="28"/>
      <c r="O48" s="28"/>
      <c r="P48" s="28"/>
      <c r="Q48" s="28" t="s">
        <v>1858</v>
      </c>
      <c r="R48" s="28" t="s">
        <v>1194</v>
      </c>
      <c r="S48" s="27"/>
      <c r="T48" s="27"/>
      <c r="U48" s="27"/>
      <c r="V48" s="29" t="s">
        <v>79</v>
      </c>
      <c r="W48" s="5" t="s">
        <v>510</v>
      </c>
      <c r="X48" s="5"/>
      <c r="Y48" s="5"/>
      <c r="Z48" s="5"/>
      <c r="AA48" s="58" t="s">
        <v>505</v>
      </c>
      <c r="AB48" s="63">
        <v>196.14</v>
      </c>
      <c r="AC48" s="59">
        <v>20</v>
      </c>
      <c r="AD48" s="59" t="s">
        <v>272</v>
      </c>
      <c r="AE48" s="42">
        <f t="shared" si="131"/>
        <v>49.931839999999994</v>
      </c>
      <c r="AF48" s="42"/>
      <c r="AG48" s="42">
        <f t="shared" si="132"/>
        <v>7.3145780051150897</v>
      </c>
      <c r="AH48" s="42">
        <f>DM48</f>
        <v>0.21</v>
      </c>
      <c r="AI48" s="42">
        <f t="shared" si="133"/>
        <v>0</v>
      </c>
      <c r="AJ48" s="42">
        <f t="shared" si="134"/>
        <v>0.14629156010230179</v>
      </c>
      <c r="AK48" s="42">
        <f t="shared" si="135"/>
        <v>0.71558022506393859</v>
      </c>
      <c r="AL48" s="42">
        <f t="shared" si="136"/>
        <v>6.2971059805626588</v>
      </c>
      <c r="AM48" s="42">
        <f t="shared" si="137"/>
        <v>0.94444444444444442</v>
      </c>
      <c r="AN48" s="42">
        <f t="shared" si="138"/>
        <v>0.69444444444444442</v>
      </c>
      <c r="AO48" s="42">
        <f>EY48</f>
        <v>0.22</v>
      </c>
      <c r="AP48" s="42"/>
      <c r="AQ48" s="42">
        <f t="shared" si="139"/>
        <v>66.474284659732859</v>
      </c>
      <c r="AR48" s="42"/>
      <c r="AS48" s="42"/>
      <c r="AT48" s="60">
        <v>0</v>
      </c>
      <c r="AU48" s="42">
        <f>AQ48*1%</f>
        <v>0.66474284659732863</v>
      </c>
      <c r="AV48" s="42">
        <f t="shared" si="140"/>
        <v>67.139027506330194</v>
      </c>
      <c r="AW48" s="59">
        <v>0.25600000000000001</v>
      </c>
      <c r="AX48" s="59">
        <v>0.24199999999999999</v>
      </c>
      <c r="AY48" s="61">
        <v>1</v>
      </c>
      <c r="AZ48" s="59">
        <f>(AW48-AX48)*AY48</f>
        <v>1.4000000000000012E-2</v>
      </c>
      <c r="BA48" s="4">
        <f t="shared" si="141"/>
        <v>49.931839999999994</v>
      </c>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59"/>
      <c r="CE48" s="59">
        <v>0</v>
      </c>
      <c r="CF48" s="59">
        <v>1</v>
      </c>
      <c r="CG48" s="59">
        <v>0.21</v>
      </c>
      <c r="CH48" s="62">
        <f>CG48*CF48</f>
        <v>0.21</v>
      </c>
      <c r="CI48" s="59"/>
      <c r="CJ48" s="59"/>
      <c r="CK48" s="63"/>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4">
        <f>CH48+CM48+CR48+CW48+DB48+DG48+DL48</f>
        <v>0.21</v>
      </c>
      <c r="DN48" s="64">
        <v>1.2500000000000001E-2</v>
      </c>
      <c r="DO48" s="62">
        <v>0</v>
      </c>
      <c r="DP48" s="62">
        <f>DM48+DO48</f>
        <v>0.21</v>
      </c>
      <c r="DQ48" s="62"/>
      <c r="DR48" s="62"/>
      <c r="DS48" s="62"/>
      <c r="DT48" s="62"/>
      <c r="DU48" s="62"/>
      <c r="DV48" s="62"/>
      <c r="DW48" s="62"/>
      <c r="DX48" s="62"/>
      <c r="DY48" s="62"/>
      <c r="DZ48" s="62"/>
      <c r="EA48" s="62"/>
      <c r="EB48" s="62"/>
      <c r="EC48" s="62"/>
      <c r="ED48" s="62"/>
      <c r="EE48" s="62"/>
      <c r="EF48" s="59">
        <v>650</v>
      </c>
      <c r="EG48" s="59">
        <v>5720</v>
      </c>
      <c r="EH48" s="59">
        <v>8</v>
      </c>
      <c r="EI48" s="61">
        <v>0.95</v>
      </c>
      <c r="EJ48" s="59">
        <v>2</v>
      </c>
      <c r="EK48" s="59">
        <v>70</v>
      </c>
      <c r="EL48" s="65">
        <f t="shared" si="142"/>
        <v>782</v>
      </c>
      <c r="EM48" s="65"/>
      <c r="EN48" s="65"/>
      <c r="EO48" s="65"/>
      <c r="EP48" s="65"/>
      <c r="EQ48" s="65"/>
      <c r="ER48" s="65"/>
      <c r="ES48" s="65"/>
      <c r="ET48" s="65"/>
      <c r="EU48" s="62">
        <f t="shared" si="143"/>
        <v>7.3145780051150897</v>
      </c>
      <c r="EV48" s="62"/>
      <c r="EW48" s="62"/>
      <c r="EX48" s="62">
        <v>0</v>
      </c>
      <c r="EY48" s="62">
        <v>0.22</v>
      </c>
      <c r="EZ48" s="62"/>
      <c r="FA48" s="62">
        <v>0</v>
      </c>
      <c r="FB48" s="62"/>
      <c r="FC48" s="62"/>
      <c r="FD48" s="62"/>
      <c r="FE48" s="62"/>
      <c r="FF48" s="62"/>
      <c r="FG48" s="62"/>
      <c r="FH48" s="62"/>
      <c r="FI48" s="62"/>
      <c r="FJ48" s="62"/>
      <c r="FK48" s="62"/>
      <c r="FL48" s="62"/>
      <c r="FM48" s="62"/>
      <c r="FN48" s="62"/>
      <c r="FO48" s="62"/>
      <c r="FP48" s="62"/>
      <c r="FQ48" s="62"/>
      <c r="FR48" s="62"/>
      <c r="FS48" s="62"/>
      <c r="FT48" s="62"/>
      <c r="FU48" s="62"/>
      <c r="FV48" s="62"/>
      <c r="FW48" s="62"/>
      <c r="FX48" s="62"/>
      <c r="FY48" s="62"/>
      <c r="FZ48" s="62"/>
      <c r="GA48" s="62"/>
      <c r="GB48" s="62"/>
      <c r="GC48" s="62"/>
      <c r="GD48" s="62"/>
      <c r="GE48" s="62"/>
      <c r="GF48" s="62"/>
      <c r="GG48" s="62"/>
      <c r="GH48" s="62"/>
      <c r="GI48" s="62"/>
      <c r="GJ48" s="62"/>
      <c r="GK48" s="62"/>
      <c r="GL48" s="62"/>
      <c r="GM48" s="62"/>
      <c r="GN48" s="62"/>
      <c r="GO48" s="62"/>
      <c r="GP48" s="62"/>
      <c r="GQ48" s="62"/>
      <c r="GR48" s="61">
        <v>0.11</v>
      </c>
      <c r="GS48" s="62">
        <f t="shared" si="144"/>
        <v>6.2971059805626588</v>
      </c>
      <c r="GT48" s="64">
        <v>1.2500000000000001E-2</v>
      </c>
      <c r="GU48" s="62">
        <f t="shared" si="145"/>
        <v>0.71558022506393859</v>
      </c>
      <c r="GV48" s="61">
        <v>0.02</v>
      </c>
      <c r="GW48" s="62">
        <f t="shared" si="146"/>
        <v>0.14629156010230179</v>
      </c>
      <c r="GX48" s="62">
        <f t="shared" si="147"/>
        <v>7.1589777657288991</v>
      </c>
      <c r="GY48" s="59" t="s">
        <v>130</v>
      </c>
      <c r="GZ48" s="59" t="s">
        <v>87</v>
      </c>
      <c r="HA48" s="62">
        <v>1600</v>
      </c>
      <c r="HB48" s="62">
        <v>800</v>
      </c>
      <c r="HC48" s="62">
        <v>1800</v>
      </c>
      <c r="HD48" s="62">
        <v>120</v>
      </c>
      <c r="HE48" s="62">
        <v>400</v>
      </c>
      <c r="HF48" s="62">
        <v>4</v>
      </c>
      <c r="HG48" s="62">
        <v>5</v>
      </c>
      <c r="HH48" s="62">
        <v>20</v>
      </c>
      <c r="HI48" s="62">
        <v>17000</v>
      </c>
      <c r="HJ48" s="62">
        <f t="shared" si="148"/>
        <v>340000</v>
      </c>
      <c r="HK48" s="62"/>
      <c r="HL48" s="62"/>
      <c r="HM48" s="62">
        <v>3</v>
      </c>
      <c r="HN48" s="65">
        <f t="shared" si="149"/>
        <v>360000</v>
      </c>
      <c r="HO48" s="62">
        <f t="shared" si="150"/>
        <v>0.94444444444444442</v>
      </c>
      <c r="HP48" s="62">
        <v>160</v>
      </c>
      <c r="HQ48" s="59">
        <v>0</v>
      </c>
      <c r="HR48" s="62">
        <v>0</v>
      </c>
      <c r="HS48" s="62">
        <v>0</v>
      </c>
      <c r="HT48" s="62">
        <v>0</v>
      </c>
      <c r="HU48" s="62"/>
      <c r="HV48" s="62">
        <f t="shared" si="151"/>
        <v>0.94444444444444442</v>
      </c>
      <c r="HW48" s="62"/>
      <c r="HX48" s="62">
        <v>4200</v>
      </c>
      <c r="HY48" s="62">
        <v>1900</v>
      </c>
      <c r="HZ48" s="62">
        <v>1975</v>
      </c>
      <c r="IA48" s="62">
        <f>ROUNDDOWN(HX48/HA48,0)</f>
        <v>2</v>
      </c>
      <c r="IB48" s="62">
        <v>2</v>
      </c>
      <c r="IC48" s="62">
        <v>1</v>
      </c>
      <c r="ID48" s="61">
        <v>1</v>
      </c>
      <c r="IE48" s="62">
        <v>6</v>
      </c>
      <c r="IF48" s="62">
        <v>500</v>
      </c>
      <c r="IG48" s="62">
        <f t="shared" si="152"/>
        <v>0.69444444444444442</v>
      </c>
      <c r="IH48" s="62"/>
      <c r="II48" s="59"/>
      <c r="IJ48" s="59"/>
      <c r="IK48" s="59"/>
      <c r="IL48" s="59"/>
    </row>
    <row r="49" spans="1:246">
      <c r="A49">
        <v>49</v>
      </c>
      <c r="B49" t="s">
        <v>468</v>
      </c>
      <c r="C49" t="s">
        <v>529</v>
      </c>
      <c r="D49" s="28" t="s">
        <v>119</v>
      </c>
      <c r="E49" s="27" t="s">
        <v>120</v>
      </c>
      <c r="F49" s="5" t="s">
        <v>2182</v>
      </c>
      <c r="G49" s="27" t="s">
        <v>122</v>
      </c>
      <c r="H49" s="27"/>
      <c r="I49" s="27" t="s">
        <v>121</v>
      </c>
      <c r="J49" s="28">
        <v>21677</v>
      </c>
      <c r="K49" s="27" t="s">
        <v>228</v>
      </c>
      <c r="L49" s="28"/>
      <c r="M49" s="28"/>
      <c r="N49" s="28"/>
      <c r="O49" s="28"/>
      <c r="P49" s="28"/>
      <c r="Q49" s="28" t="s">
        <v>1035</v>
      </c>
      <c r="R49" s="28" t="s">
        <v>1194</v>
      </c>
      <c r="S49" s="27"/>
      <c r="T49" s="27"/>
      <c r="U49" s="27"/>
      <c r="V49" s="29" t="s">
        <v>79</v>
      </c>
      <c r="W49" s="5"/>
      <c r="X49" s="5"/>
      <c r="Y49" s="5"/>
      <c r="Z49" s="5"/>
      <c r="AA49" s="58" t="s">
        <v>440</v>
      </c>
      <c r="AB49" s="344">
        <v>127.56</v>
      </c>
      <c r="AC49" s="59">
        <v>20</v>
      </c>
      <c r="AD49" s="59" t="s">
        <v>506</v>
      </c>
      <c r="AE49" s="42">
        <f t="shared" si="131"/>
        <v>85.77409999999999</v>
      </c>
      <c r="AF49" s="42"/>
      <c r="AG49" s="42">
        <f t="shared" si="132"/>
        <v>17.105263157894736</v>
      </c>
      <c r="AH49" s="42">
        <f>DM49</f>
        <v>0</v>
      </c>
      <c r="AI49" s="42">
        <f t="shared" si="133"/>
        <v>0</v>
      </c>
      <c r="AJ49" s="42">
        <f t="shared" si="134"/>
        <v>0.34210526315789475</v>
      </c>
      <c r="AK49" s="42">
        <f t="shared" si="135"/>
        <v>1.2859920394736841</v>
      </c>
      <c r="AL49" s="42">
        <f t="shared" si="136"/>
        <v>11.316729947368421</v>
      </c>
      <c r="AM49" s="42">
        <f t="shared" si="137"/>
        <v>3.2738095238095237</v>
      </c>
      <c r="AN49" s="42">
        <f t="shared" si="138"/>
        <v>1.7857142857142858</v>
      </c>
      <c r="AO49" s="42">
        <f>EY49</f>
        <v>0</v>
      </c>
      <c r="AP49" s="42"/>
      <c r="AQ49" s="42">
        <f t="shared" si="139"/>
        <v>120.88371421741853</v>
      </c>
      <c r="AR49" s="42"/>
      <c r="AS49" s="42"/>
      <c r="AT49" s="60">
        <v>0</v>
      </c>
      <c r="AU49" s="42">
        <v>0</v>
      </c>
      <c r="AV49" s="42">
        <f t="shared" si="140"/>
        <v>120.88371421741853</v>
      </c>
      <c r="AW49" s="17">
        <v>0.67249999999999999</v>
      </c>
      <c r="AX49" s="68">
        <v>0.67200000000000004</v>
      </c>
      <c r="AY49" s="61">
        <v>1</v>
      </c>
      <c r="AZ49" s="59">
        <f>AW49-AX49</f>
        <v>4.9999999999994493E-4</v>
      </c>
      <c r="BA49" s="62">
        <f t="shared" si="141"/>
        <v>85.77409999999999</v>
      </c>
      <c r="BB49" s="62"/>
      <c r="BC49" s="62"/>
      <c r="BD49" s="62"/>
      <c r="BE49" s="62"/>
      <c r="BF49" s="62"/>
      <c r="BG49" s="62"/>
      <c r="BH49" s="62"/>
      <c r="BI49" s="62"/>
      <c r="BJ49" s="62"/>
      <c r="BK49" s="62"/>
      <c r="BL49" s="62"/>
      <c r="BM49" s="62"/>
      <c r="BN49" s="62"/>
      <c r="BO49" s="62"/>
      <c r="BP49" s="62"/>
      <c r="BQ49" s="62"/>
      <c r="BR49" s="62"/>
      <c r="BS49" s="62"/>
      <c r="BT49" s="62"/>
      <c r="BU49" s="62"/>
      <c r="BV49" s="62"/>
      <c r="BW49" s="62"/>
      <c r="BX49" s="62"/>
      <c r="BY49" s="62"/>
      <c r="BZ49" s="62"/>
      <c r="CA49" s="62"/>
      <c r="CB49" s="62"/>
      <c r="CC49" s="62"/>
      <c r="CD49" s="59"/>
      <c r="CE49" s="59">
        <v>0</v>
      </c>
      <c r="CF49" s="59">
        <v>0</v>
      </c>
      <c r="CG49" s="59">
        <v>0</v>
      </c>
      <c r="CH49" s="62">
        <f>CG49*CF49</f>
        <v>0</v>
      </c>
      <c r="CI49" s="59"/>
      <c r="CJ49" s="59"/>
      <c r="CK49" s="63"/>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t="s">
        <v>507</v>
      </c>
      <c r="DJ49" s="59"/>
      <c r="DK49" s="59"/>
      <c r="DL49" s="59"/>
      <c r="DM49" s="62">
        <f>CH49+CM49+CR49+CW49+DB49+DG49+DL49</f>
        <v>0</v>
      </c>
      <c r="DN49" s="64">
        <v>1.2500000000000001E-2</v>
      </c>
      <c r="DO49" s="62">
        <v>0</v>
      </c>
      <c r="DP49" s="62">
        <f>DM49+DO49</f>
        <v>0</v>
      </c>
      <c r="DQ49" s="62"/>
      <c r="DR49" s="62"/>
      <c r="DS49" s="62"/>
      <c r="DT49" s="62"/>
      <c r="DU49" s="62"/>
      <c r="DV49" s="62"/>
      <c r="DW49" s="62"/>
      <c r="DX49" s="62"/>
      <c r="DY49" s="62"/>
      <c r="DZ49" s="62"/>
      <c r="EA49" s="62"/>
      <c r="EB49" s="62"/>
      <c r="EC49" s="62"/>
      <c r="ED49" s="62"/>
      <c r="EE49" s="62"/>
      <c r="EF49" s="59">
        <v>650</v>
      </c>
      <c r="EG49" s="62">
        <v>6500</v>
      </c>
      <c r="EH49" s="62">
        <v>8</v>
      </c>
      <c r="EI49" s="61">
        <v>0.95</v>
      </c>
      <c r="EJ49" s="62">
        <v>1</v>
      </c>
      <c r="EK49" s="62">
        <v>72</v>
      </c>
      <c r="EL49" s="65">
        <f t="shared" si="142"/>
        <v>380</v>
      </c>
      <c r="EM49" s="65"/>
      <c r="EN49" s="65"/>
      <c r="EO49" s="65"/>
      <c r="EP49" s="65"/>
      <c r="EQ49" s="65"/>
      <c r="ER49" s="65"/>
      <c r="ES49" s="65"/>
      <c r="ET49" s="65"/>
      <c r="EU49" s="62">
        <f t="shared" si="143"/>
        <v>17.105263157894736</v>
      </c>
      <c r="EV49" s="62"/>
      <c r="EW49" s="62"/>
      <c r="EX49" s="62">
        <v>0</v>
      </c>
      <c r="EY49" s="62">
        <v>0</v>
      </c>
      <c r="EZ49" s="62"/>
      <c r="FA49" s="62">
        <f>EX49</f>
        <v>0</v>
      </c>
      <c r="FB49" s="62"/>
      <c r="FC49" s="62"/>
      <c r="FD49" s="62"/>
      <c r="FE49" s="62"/>
      <c r="FF49" s="62"/>
      <c r="FG49" s="62"/>
      <c r="FH49" s="62"/>
      <c r="FI49" s="62"/>
      <c r="FJ49" s="62"/>
      <c r="FK49" s="62"/>
      <c r="FL49" s="62"/>
      <c r="FM49" s="62"/>
      <c r="FN49" s="62"/>
      <c r="FO49" s="62"/>
      <c r="FP49" s="62"/>
      <c r="FQ49" s="62"/>
      <c r="FR49" s="62"/>
      <c r="FS49" s="62"/>
      <c r="FT49" s="62"/>
      <c r="FU49" s="62"/>
      <c r="FV49" s="62"/>
      <c r="FW49" s="62"/>
      <c r="FX49" s="62"/>
      <c r="FY49" s="62"/>
      <c r="FZ49" s="62"/>
      <c r="GA49" s="62"/>
      <c r="GB49" s="62"/>
      <c r="GC49" s="62"/>
      <c r="GD49" s="62"/>
      <c r="GE49" s="62"/>
      <c r="GF49" s="62"/>
      <c r="GG49" s="62"/>
      <c r="GH49" s="62"/>
      <c r="GI49" s="62"/>
      <c r="GJ49" s="62"/>
      <c r="GK49" s="62"/>
      <c r="GL49" s="62"/>
      <c r="GM49" s="62"/>
      <c r="GN49" s="62"/>
      <c r="GO49" s="62"/>
      <c r="GP49" s="62"/>
      <c r="GQ49" s="62"/>
      <c r="GR49" s="61">
        <v>0.11</v>
      </c>
      <c r="GS49" s="62">
        <f t="shared" si="144"/>
        <v>11.316729947368421</v>
      </c>
      <c r="GT49" s="64">
        <v>1.2500000000000001E-2</v>
      </c>
      <c r="GU49" s="62">
        <f t="shared" si="145"/>
        <v>1.2859920394736841</v>
      </c>
      <c r="GV49" s="61">
        <v>0.02</v>
      </c>
      <c r="GW49" s="62">
        <f t="shared" si="146"/>
        <v>0.34210526315789475</v>
      </c>
      <c r="GX49" s="62">
        <f t="shared" si="147"/>
        <v>12.944827250000001</v>
      </c>
      <c r="GY49" s="59" t="s">
        <v>130</v>
      </c>
      <c r="GZ49" s="59" t="s">
        <v>130</v>
      </c>
      <c r="HA49" s="62">
        <v>1350</v>
      </c>
      <c r="HB49" s="62">
        <v>950</v>
      </c>
      <c r="HC49" s="59">
        <v>2400</v>
      </c>
      <c r="HD49" s="59">
        <v>56</v>
      </c>
      <c r="HE49" s="59">
        <v>800</v>
      </c>
      <c r="HF49" s="62">
        <f>(HE49/HD49)</f>
        <v>14.285714285714286</v>
      </c>
      <c r="HG49" s="59">
        <v>5</v>
      </c>
      <c r="HH49" s="62">
        <f>HF49*HG49</f>
        <v>71.428571428571431</v>
      </c>
      <c r="HI49" s="59">
        <v>19500</v>
      </c>
      <c r="HJ49" s="62">
        <f t="shared" si="148"/>
        <v>1392857.142857143</v>
      </c>
      <c r="HK49" s="62"/>
      <c r="HL49" s="62"/>
      <c r="HM49" s="62">
        <v>3</v>
      </c>
      <c r="HN49" s="65">
        <f t="shared" si="149"/>
        <v>720000</v>
      </c>
      <c r="HO49" s="62">
        <f t="shared" si="150"/>
        <v>1.9345238095238098</v>
      </c>
      <c r="HP49" s="62">
        <v>160</v>
      </c>
      <c r="HQ49" s="59">
        <v>0</v>
      </c>
      <c r="HR49" s="62">
        <v>75</v>
      </c>
      <c r="HS49" s="62">
        <v>56</v>
      </c>
      <c r="HT49" s="62">
        <f>IF(ISERROR(HR49/HS49),0,HR49/HS49)</f>
        <v>1.3392857142857142</v>
      </c>
      <c r="HU49" s="62"/>
      <c r="HV49" s="62">
        <f t="shared" si="151"/>
        <v>3.2738095238095237</v>
      </c>
      <c r="HW49" s="62"/>
      <c r="HX49" s="62">
        <v>5016</v>
      </c>
      <c r="HY49" s="62">
        <v>1976</v>
      </c>
      <c r="HZ49" s="62">
        <v>2280</v>
      </c>
      <c r="IA49" s="62">
        <v>3</v>
      </c>
      <c r="IB49" s="62">
        <v>2</v>
      </c>
      <c r="IC49" s="62">
        <v>0</v>
      </c>
      <c r="ID49" s="61">
        <v>1</v>
      </c>
      <c r="IE49" s="62">
        <v>5</v>
      </c>
      <c r="IF49" s="62">
        <v>500</v>
      </c>
      <c r="IG49" s="62">
        <f t="shared" si="152"/>
        <v>1.7857142857142858</v>
      </c>
      <c r="IH49" s="62"/>
      <c r="II49" s="59"/>
      <c r="IJ49" s="59"/>
      <c r="IK49" s="59"/>
    </row>
    <row r="50" spans="1:246">
      <c r="A50">
        <v>51</v>
      </c>
      <c r="B50" t="s">
        <v>468</v>
      </c>
      <c r="C50" t="s">
        <v>530</v>
      </c>
      <c r="D50" s="28" t="s">
        <v>127</v>
      </c>
      <c r="E50" s="27" t="s">
        <v>128</v>
      </c>
      <c r="F50" s="5" t="s">
        <v>2182</v>
      </c>
      <c r="G50" s="27" t="s">
        <v>122</v>
      </c>
      <c r="H50" s="27"/>
      <c r="I50" s="27" t="s">
        <v>121</v>
      </c>
      <c r="J50" s="28">
        <v>21677</v>
      </c>
      <c r="K50" s="27" t="s">
        <v>228</v>
      </c>
      <c r="L50" s="28"/>
      <c r="M50" s="28"/>
      <c r="N50" s="28"/>
      <c r="O50" s="28"/>
      <c r="P50" s="28"/>
      <c r="Q50" s="28" t="s">
        <v>1035</v>
      </c>
      <c r="R50" s="28" t="s">
        <v>1194</v>
      </c>
      <c r="S50" s="27"/>
      <c r="T50" s="27"/>
      <c r="U50" s="27"/>
      <c r="V50" s="29" t="s">
        <v>79</v>
      </c>
      <c r="W50" s="5"/>
      <c r="X50" s="5"/>
      <c r="Y50" s="5"/>
      <c r="Z50" s="5"/>
      <c r="AA50" s="58" t="s">
        <v>508</v>
      </c>
      <c r="AB50" s="344">
        <v>126.68</v>
      </c>
      <c r="AC50" s="59">
        <v>20</v>
      </c>
      <c r="AD50" s="59" t="s">
        <v>509</v>
      </c>
      <c r="AE50" s="42">
        <f t="shared" si="131"/>
        <v>48.165080000000003</v>
      </c>
      <c r="AF50" s="42"/>
      <c r="AG50" s="42">
        <f t="shared" si="132"/>
        <v>14.619883040935672</v>
      </c>
      <c r="AH50" s="42">
        <f>DM50</f>
        <v>4.16</v>
      </c>
      <c r="AI50" s="42">
        <f t="shared" si="133"/>
        <v>5.2000000000000005E-2</v>
      </c>
      <c r="AJ50" s="42">
        <f t="shared" si="134"/>
        <v>0.29239766081871343</v>
      </c>
      <c r="AK50" s="42">
        <f t="shared" si="135"/>
        <v>0.78481203801169608</v>
      </c>
      <c r="AL50" s="42">
        <f t="shared" si="136"/>
        <v>6.9063459345029248</v>
      </c>
      <c r="AM50" s="42">
        <f t="shared" si="137"/>
        <v>2.291666666666667</v>
      </c>
      <c r="AN50" s="42">
        <f t="shared" si="138"/>
        <v>1.25</v>
      </c>
      <c r="AO50" s="42">
        <f>EY50</f>
        <v>0</v>
      </c>
      <c r="AP50" s="42"/>
      <c r="AQ50" s="42">
        <f t="shared" si="139"/>
        <v>78.522185340935678</v>
      </c>
      <c r="AR50" s="42"/>
      <c r="AS50" s="42"/>
      <c r="AT50" s="60">
        <v>0</v>
      </c>
      <c r="AU50" s="42">
        <v>0</v>
      </c>
      <c r="AV50" s="42">
        <f t="shared" si="140"/>
        <v>78.522185340935678</v>
      </c>
      <c r="AW50" s="17">
        <v>0.38100000000000001</v>
      </c>
      <c r="AX50" s="68">
        <v>0.376</v>
      </c>
      <c r="AY50" s="61">
        <v>1</v>
      </c>
      <c r="AZ50" s="59">
        <f>(AW50-AX50)*AY50</f>
        <v>5.0000000000000044E-3</v>
      </c>
      <c r="BA50" s="4">
        <f t="shared" si="141"/>
        <v>48.165080000000003</v>
      </c>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59"/>
      <c r="CE50" s="59">
        <v>0</v>
      </c>
      <c r="CF50" s="59">
        <v>2.08</v>
      </c>
      <c r="CG50" s="59">
        <v>2</v>
      </c>
      <c r="CH50" s="62">
        <f>CG50*CF50</f>
        <v>4.16</v>
      </c>
      <c r="CI50" s="59"/>
      <c r="CJ50" s="59"/>
      <c r="CK50" s="63"/>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62">
        <f>CH50+CM50+CR50+CW50+DB50+DG50+DL50</f>
        <v>4.16</v>
      </c>
      <c r="DN50" s="64">
        <v>1.2500000000000001E-2</v>
      </c>
      <c r="DO50" s="62">
        <f>DN50*CG50*CF50</f>
        <v>5.2000000000000005E-2</v>
      </c>
      <c r="DP50" s="62">
        <f>DM50+DO50</f>
        <v>4.2119999999999997</v>
      </c>
      <c r="DQ50" s="62"/>
      <c r="DR50" s="62"/>
      <c r="DS50" s="62"/>
      <c r="DT50" s="62"/>
      <c r="DU50" s="62"/>
      <c r="DV50" s="62"/>
      <c r="DW50" s="62"/>
      <c r="DX50" s="62"/>
      <c r="DY50" s="62"/>
      <c r="DZ50" s="62"/>
      <c r="EA50" s="62"/>
      <c r="EB50" s="62"/>
      <c r="EC50" s="62"/>
      <c r="ED50" s="62"/>
      <c r="EE50" s="62"/>
      <c r="EF50" s="59">
        <v>500</v>
      </c>
      <c r="EG50" s="59">
        <v>5000</v>
      </c>
      <c r="EH50" s="59">
        <v>8</v>
      </c>
      <c r="EI50" s="61">
        <v>0.95</v>
      </c>
      <c r="EJ50" s="59">
        <v>1</v>
      </c>
      <c r="EK50" s="59">
        <v>80</v>
      </c>
      <c r="EL50" s="65">
        <f t="shared" si="142"/>
        <v>342</v>
      </c>
      <c r="EM50" s="65"/>
      <c r="EN50" s="65"/>
      <c r="EO50" s="65"/>
      <c r="EP50" s="65"/>
      <c r="EQ50" s="65"/>
      <c r="ER50" s="65"/>
      <c r="ES50" s="65"/>
      <c r="ET50" s="65"/>
      <c r="EU50" s="62">
        <f t="shared" si="143"/>
        <v>14.619883040935672</v>
      </c>
      <c r="EV50" s="62"/>
      <c r="EW50" s="62"/>
      <c r="EX50" s="62"/>
      <c r="EY50" s="62"/>
      <c r="EZ50" s="62"/>
      <c r="FA50" s="62"/>
      <c r="FB50" s="62"/>
      <c r="FC50" s="62"/>
      <c r="FD50" s="62"/>
      <c r="FE50" s="62"/>
      <c r="FF50" s="62"/>
      <c r="FG50" s="62"/>
      <c r="FH50" s="62"/>
      <c r="FI50" s="62"/>
      <c r="FJ50" s="62"/>
      <c r="FK50" s="62"/>
      <c r="FL50" s="62"/>
      <c r="FM50" s="62"/>
      <c r="FN50" s="62"/>
      <c r="FO50" s="62"/>
      <c r="FP50" s="62"/>
      <c r="FQ50" s="62"/>
      <c r="FR50" s="62"/>
      <c r="FS50" s="62"/>
      <c r="FT50" s="62"/>
      <c r="FU50" s="62"/>
      <c r="FV50" s="62"/>
      <c r="FW50" s="62"/>
      <c r="FX50" s="62"/>
      <c r="FY50" s="62"/>
      <c r="FZ50" s="62"/>
      <c r="GA50" s="62"/>
      <c r="GB50" s="62"/>
      <c r="GC50" s="62"/>
      <c r="GD50" s="62"/>
      <c r="GE50" s="62"/>
      <c r="GF50" s="62"/>
      <c r="GG50" s="62"/>
      <c r="GH50" s="62"/>
      <c r="GI50" s="62"/>
      <c r="GJ50" s="62"/>
      <c r="GK50" s="62"/>
      <c r="GL50" s="62"/>
      <c r="GM50" s="62"/>
      <c r="GN50" s="62"/>
      <c r="GO50" s="62"/>
      <c r="GP50" s="62"/>
      <c r="GQ50" s="62"/>
      <c r="GR50" s="61">
        <v>0.11</v>
      </c>
      <c r="GS50" s="62">
        <f t="shared" si="144"/>
        <v>6.9063459345029248</v>
      </c>
      <c r="GT50" s="64">
        <v>1.2500000000000001E-2</v>
      </c>
      <c r="GU50" s="62">
        <f t="shared" si="145"/>
        <v>0.78481203801169608</v>
      </c>
      <c r="GV50" s="61">
        <v>0.02</v>
      </c>
      <c r="GW50" s="62">
        <f t="shared" si="146"/>
        <v>0.29239766081871343</v>
      </c>
      <c r="GX50" s="62">
        <f t="shared" si="147"/>
        <v>7.9835556333333342</v>
      </c>
      <c r="GY50" s="59" t="s">
        <v>130</v>
      </c>
      <c r="GZ50" s="59" t="s">
        <v>130</v>
      </c>
      <c r="HA50" s="62">
        <v>1350</v>
      </c>
      <c r="HB50" s="62">
        <v>950</v>
      </c>
      <c r="HC50" s="59">
        <v>2400</v>
      </c>
      <c r="HD50" s="59">
        <v>80</v>
      </c>
      <c r="HE50" s="59">
        <v>800</v>
      </c>
      <c r="HF50" s="62">
        <f>ROUNDUP(HE50/HD50,0)</f>
        <v>10</v>
      </c>
      <c r="HG50" s="59">
        <v>5</v>
      </c>
      <c r="HH50" s="62">
        <v>50</v>
      </c>
      <c r="HI50" s="59">
        <v>19500</v>
      </c>
      <c r="HJ50" s="62">
        <f t="shared" si="148"/>
        <v>975000</v>
      </c>
      <c r="HK50" s="62"/>
      <c r="HL50" s="62"/>
      <c r="HM50" s="62">
        <v>3</v>
      </c>
      <c r="HN50" s="65">
        <f t="shared" si="149"/>
        <v>720000</v>
      </c>
      <c r="HO50" s="62">
        <f t="shared" si="150"/>
        <v>1.3541666666666667</v>
      </c>
      <c r="HP50" s="62">
        <v>150</v>
      </c>
      <c r="HQ50" s="59">
        <v>0.5</v>
      </c>
      <c r="HR50" s="62">
        <v>75</v>
      </c>
      <c r="HS50" s="62">
        <v>80</v>
      </c>
      <c r="HT50" s="62">
        <f>HR50/HS50</f>
        <v>0.9375</v>
      </c>
      <c r="HU50" s="62"/>
      <c r="HV50" s="62">
        <f t="shared" si="151"/>
        <v>2.291666666666667</v>
      </c>
      <c r="HW50" s="62"/>
      <c r="HX50" s="62">
        <v>5016</v>
      </c>
      <c r="HY50" s="62">
        <v>1976</v>
      </c>
      <c r="HZ50" s="62">
        <v>2280</v>
      </c>
      <c r="IA50" s="62">
        <v>3</v>
      </c>
      <c r="IB50" s="62">
        <v>2</v>
      </c>
      <c r="IC50" s="62">
        <v>0</v>
      </c>
      <c r="ID50" s="61">
        <v>1</v>
      </c>
      <c r="IE50" s="62">
        <v>5</v>
      </c>
      <c r="IF50" s="62">
        <v>500</v>
      </c>
      <c r="IG50" s="62">
        <f t="shared" si="152"/>
        <v>1.25</v>
      </c>
      <c r="IH50" s="62"/>
      <c r="II50" s="59"/>
      <c r="IJ50" s="59"/>
      <c r="IK50" s="59"/>
      <c r="IL50" s="59"/>
    </row>
    <row r="51" spans="1:246">
      <c r="A51">
        <v>53</v>
      </c>
      <c r="B51" t="s">
        <v>468</v>
      </c>
      <c r="C51" t="s">
        <v>531</v>
      </c>
      <c r="D51" s="28" t="s">
        <v>165</v>
      </c>
      <c r="E51" s="27" t="s">
        <v>166</v>
      </c>
      <c r="F51" s="5" t="s">
        <v>2182</v>
      </c>
      <c r="G51" s="27" t="s">
        <v>122</v>
      </c>
      <c r="H51" s="27"/>
      <c r="I51" s="27" t="s">
        <v>121</v>
      </c>
      <c r="J51" s="28">
        <v>29010</v>
      </c>
      <c r="K51" s="27" t="s">
        <v>229</v>
      </c>
      <c r="L51" s="28"/>
      <c r="M51" s="28"/>
      <c r="N51" s="28"/>
      <c r="O51" s="28"/>
      <c r="P51" s="28"/>
      <c r="Q51" s="28" t="s">
        <v>1858</v>
      </c>
      <c r="R51" s="28" t="s">
        <v>1193</v>
      </c>
      <c r="S51" s="27"/>
      <c r="T51" s="27"/>
      <c r="U51" s="27"/>
      <c r="V51" s="29" t="s">
        <v>79</v>
      </c>
      <c r="W51" s="5"/>
      <c r="X51" s="5"/>
      <c r="Y51" s="5"/>
      <c r="Z51" s="5"/>
      <c r="AA51" s="56" t="s">
        <v>313</v>
      </c>
      <c r="AB51" s="340">
        <v>111.78</v>
      </c>
      <c r="AC51" s="4">
        <f>AB51-5</f>
        <v>106.78</v>
      </c>
      <c r="AD51" t="s">
        <v>310</v>
      </c>
      <c r="AE51" s="7">
        <f t="shared" si="131"/>
        <v>53.252279999999999</v>
      </c>
      <c r="AF51" s="7"/>
      <c r="AG51" s="7">
        <f t="shared" si="132"/>
        <v>12.019002375296912</v>
      </c>
      <c r="AH51" s="7">
        <f>DM51</f>
        <v>0</v>
      </c>
      <c r="AI51" s="7">
        <f t="shared" si="133"/>
        <v>0</v>
      </c>
      <c r="AJ51" s="7">
        <f t="shared" si="134"/>
        <v>0.24038004750593825</v>
      </c>
      <c r="AK51" s="7">
        <f t="shared" si="135"/>
        <v>0.81589102969121141</v>
      </c>
      <c r="AL51" s="7">
        <f t="shared" si="136"/>
        <v>7.1798410612826595</v>
      </c>
      <c r="AM51" s="7">
        <f t="shared" si="137"/>
        <v>0.51507936507936503</v>
      </c>
      <c r="AN51" s="7">
        <f t="shared" si="138"/>
        <v>0.69444444444444442</v>
      </c>
      <c r="AO51" s="7">
        <f>EY51</f>
        <v>0</v>
      </c>
      <c r="AP51" s="7"/>
      <c r="AQ51" s="7">
        <f t="shared" si="139"/>
        <v>74.716918323300519</v>
      </c>
      <c r="AR51" s="7"/>
      <c r="AS51" s="7"/>
      <c r="AT51" s="6">
        <v>0</v>
      </c>
      <c r="AU51" s="7">
        <v>0</v>
      </c>
      <c r="AV51" s="7">
        <f t="shared" si="140"/>
        <v>74.716918323300519</v>
      </c>
      <c r="AW51" s="24">
        <v>0.48499999999999999</v>
      </c>
      <c r="AX51" s="2">
        <v>0.47499999999999998</v>
      </c>
      <c r="AY51" s="8">
        <v>0.9</v>
      </c>
      <c r="AZ51">
        <f>(AW51-AX51)*AY51</f>
        <v>9.000000000000008E-3</v>
      </c>
      <c r="BA51" s="4">
        <f t="shared" si="141"/>
        <v>53.252279999999999</v>
      </c>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E51">
        <v>0</v>
      </c>
      <c r="CF51">
        <v>0</v>
      </c>
      <c r="CG51">
        <v>0</v>
      </c>
      <c r="CH51" s="4">
        <f>CG51*CF51</f>
        <v>0</v>
      </c>
      <c r="CK51" s="66"/>
      <c r="DM51" s="4">
        <f>CH51+CM51+CR51+CW51+DB51+DG51+DL51</f>
        <v>0</v>
      </c>
      <c r="DN51" s="9">
        <v>1.2500000000000001E-2</v>
      </c>
      <c r="DO51" s="4">
        <f>DN51*CG51*CF51</f>
        <v>0</v>
      </c>
      <c r="DP51" s="4">
        <f>DM51+DO51</f>
        <v>0</v>
      </c>
      <c r="DQ51" s="4"/>
      <c r="DR51" s="4"/>
      <c r="DS51" s="4"/>
      <c r="DT51" s="4"/>
      <c r="DU51" s="4"/>
      <c r="DV51" s="4"/>
      <c r="DW51" s="4"/>
      <c r="DX51" s="4"/>
      <c r="DY51" s="4"/>
      <c r="DZ51" s="4"/>
      <c r="EA51" s="4"/>
      <c r="EB51" s="4"/>
      <c r="EC51" s="4"/>
      <c r="ED51" s="4"/>
      <c r="EE51" s="4"/>
      <c r="EF51">
        <v>550</v>
      </c>
      <c r="EG51">
        <v>5060</v>
      </c>
      <c r="EH51">
        <v>8</v>
      </c>
      <c r="EI51" s="8">
        <v>0.95</v>
      </c>
      <c r="EJ51">
        <v>1</v>
      </c>
      <c r="EK51">
        <v>65</v>
      </c>
      <c r="EL51" s="10">
        <f t="shared" si="142"/>
        <v>421</v>
      </c>
      <c r="EM51" s="10"/>
      <c r="EN51" s="10"/>
      <c r="EO51" s="10"/>
      <c r="EP51" s="10"/>
      <c r="EQ51" s="10"/>
      <c r="ER51" s="10"/>
      <c r="ES51" s="10"/>
      <c r="ET51" s="10"/>
      <c r="EU51" s="4">
        <f t="shared" si="143"/>
        <v>12.019002375296912</v>
      </c>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8">
        <v>0.11</v>
      </c>
      <c r="GS51" s="4">
        <f t="shared" si="144"/>
        <v>7.1798410612826595</v>
      </c>
      <c r="GT51" s="9">
        <v>1.2500000000000001E-2</v>
      </c>
      <c r="GU51" s="4">
        <f t="shared" si="145"/>
        <v>0.81589102969121141</v>
      </c>
      <c r="GV51" s="8">
        <v>0.02</v>
      </c>
      <c r="GW51" s="4">
        <f t="shared" si="146"/>
        <v>0.24038004750593825</v>
      </c>
      <c r="GX51" s="4">
        <f t="shared" si="147"/>
        <v>8.2361121384798093</v>
      </c>
      <c r="GY51" t="s">
        <v>43</v>
      </c>
      <c r="GZ51" t="s">
        <v>87</v>
      </c>
      <c r="HA51" s="4">
        <v>805</v>
      </c>
      <c r="HB51" s="4">
        <v>570</v>
      </c>
      <c r="HC51">
        <v>425</v>
      </c>
      <c r="HD51">
        <v>12</v>
      </c>
      <c r="HE51">
        <v>700</v>
      </c>
      <c r="HF51" s="4">
        <f>ROUNDUP(HE51/HD51,0)</f>
        <v>59</v>
      </c>
      <c r="HG51">
        <v>5</v>
      </c>
      <c r="HH51" s="4">
        <v>295</v>
      </c>
      <c r="HI51">
        <v>1100</v>
      </c>
      <c r="HJ51" s="4">
        <f t="shared" si="148"/>
        <v>324500</v>
      </c>
      <c r="HK51" s="4"/>
      <c r="HL51" s="4"/>
      <c r="HM51" s="4">
        <v>3</v>
      </c>
      <c r="HN51" s="10">
        <f t="shared" si="149"/>
        <v>630000</v>
      </c>
      <c r="HO51" s="4">
        <f t="shared" si="150"/>
        <v>0.51507936507936503</v>
      </c>
      <c r="HP51" s="4">
        <v>160</v>
      </c>
      <c r="HQ51">
        <v>0</v>
      </c>
      <c r="HR51" s="4">
        <v>0</v>
      </c>
      <c r="HS51" s="4">
        <v>0</v>
      </c>
      <c r="HT51" s="4">
        <f>IF(ISERROR(HR51/HS51),0,HR51/HS51)</f>
        <v>0</v>
      </c>
      <c r="HU51" s="4"/>
      <c r="HV51" s="4">
        <f t="shared" si="151"/>
        <v>0.51507936507936503</v>
      </c>
      <c r="HW51" s="4"/>
      <c r="HX51" s="4">
        <v>4200</v>
      </c>
      <c r="HY51" s="4">
        <v>1900</v>
      </c>
      <c r="HZ51" s="4">
        <v>1975</v>
      </c>
      <c r="IA51" s="4">
        <v>5</v>
      </c>
      <c r="IB51" s="4">
        <v>3</v>
      </c>
      <c r="IC51" s="4">
        <v>4</v>
      </c>
      <c r="ID51" s="8">
        <v>1</v>
      </c>
      <c r="IE51" s="4">
        <v>60</v>
      </c>
      <c r="IF51" s="4">
        <v>500</v>
      </c>
      <c r="IG51" s="4">
        <f t="shared" si="152"/>
        <v>0.69444444444444442</v>
      </c>
      <c r="IH51" s="4"/>
    </row>
    <row r="52" spans="1:246">
      <c r="A52">
        <v>54</v>
      </c>
      <c r="B52" t="s">
        <v>468</v>
      </c>
      <c r="C52" s="165" t="s">
        <v>532</v>
      </c>
      <c r="D52" s="28" t="s">
        <v>165</v>
      </c>
      <c r="E52" s="27" t="s">
        <v>166</v>
      </c>
      <c r="F52" s="5" t="s">
        <v>2182</v>
      </c>
      <c r="G52" s="27" t="s">
        <v>122</v>
      </c>
      <c r="H52" s="27"/>
      <c r="I52" s="27" t="s">
        <v>121</v>
      </c>
      <c r="J52" s="28">
        <v>21480</v>
      </c>
      <c r="K52" s="27" t="s">
        <v>97</v>
      </c>
      <c r="L52" s="28"/>
      <c r="M52" s="28"/>
      <c r="N52" s="28"/>
      <c r="O52" s="28"/>
      <c r="P52" s="28"/>
      <c r="Q52" s="28" t="s">
        <v>1035</v>
      </c>
      <c r="R52" s="28" t="s">
        <v>1194</v>
      </c>
      <c r="S52" s="27"/>
      <c r="T52" s="27"/>
      <c r="U52" s="27"/>
      <c r="V52" s="29" t="s">
        <v>79</v>
      </c>
      <c r="W52" s="5" t="s">
        <v>952</v>
      </c>
      <c r="X52" s="5"/>
      <c r="Y52" s="5"/>
      <c r="Z52" s="5"/>
      <c r="AA52" s="58" t="s">
        <v>307</v>
      </c>
      <c r="AB52" s="63">
        <v>118.8</v>
      </c>
      <c r="AC52" s="59">
        <v>20</v>
      </c>
      <c r="AD52" s="59" t="s">
        <v>297</v>
      </c>
      <c r="AE52" s="42">
        <f t="shared" si="131"/>
        <v>60.286799999999999</v>
      </c>
      <c r="AF52" s="42"/>
      <c r="AG52" s="42">
        <f t="shared" si="132"/>
        <v>15.662650602409638</v>
      </c>
      <c r="AH52" s="42">
        <f>DM52</f>
        <v>0</v>
      </c>
      <c r="AI52" s="42">
        <f t="shared" si="133"/>
        <v>0</v>
      </c>
      <c r="AJ52" s="42">
        <f t="shared" si="134"/>
        <v>0.31325301204819278</v>
      </c>
      <c r="AK52" s="42">
        <f t="shared" si="135"/>
        <v>0.94936813253012053</v>
      </c>
      <c r="AL52" s="42">
        <f t="shared" si="136"/>
        <v>8.3544395662650608</v>
      </c>
      <c r="AM52" s="42">
        <f t="shared" si="137"/>
        <v>0.76770833333333333</v>
      </c>
      <c r="AN52" s="42">
        <f t="shared" si="138"/>
        <v>2.192982456140351</v>
      </c>
      <c r="AO52" s="42">
        <f>EY52</f>
        <v>0</v>
      </c>
      <c r="AP52" s="42"/>
      <c r="AQ52" s="42">
        <f t="shared" si="139"/>
        <v>88.527202102726704</v>
      </c>
      <c r="AR52" s="42"/>
      <c r="AS52" s="42"/>
      <c r="AT52" s="60">
        <v>0</v>
      </c>
      <c r="AU52" s="60">
        <f>89.47-88.53</f>
        <v>0.93999999999999773</v>
      </c>
      <c r="AV52" s="42">
        <f t="shared" si="140"/>
        <v>89.467202102726702</v>
      </c>
      <c r="AW52" s="59">
        <v>0.51100000000000001</v>
      </c>
      <c r="AX52" s="69">
        <v>0.49</v>
      </c>
      <c r="AY52" s="61">
        <v>1</v>
      </c>
      <c r="AZ52" s="59">
        <f>(AW52-AX52)*AY52</f>
        <v>2.1000000000000019E-2</v>
      </c>
      <c r="BA52" s="44">
        <f t="shared" si="141"/>
        <v>60.286799999999999</v>
      </c>
      <c r="BB52" s="44"/>
      <c r="BC52" s="44"/>
      <c r="BD52" s="44"/>
      <c r="BE52" s="44"/>
      <c r="BF52" s="44"/>
      <c r="BG52" s="44"/>
      <c r="BH52" s="44"/>
      <c r="BI52" s="44"/>
      <c r="BJ52" s="44"/>
      <c r="BK52" s="44"/>
      <c r="BL52" s="44"/>
      <c r="BM52" s="44"/>
      <c r="BN52" s="44"/>
      <c r="BO52" s="44"/>
      <c r="BP52" s="44"/>
      <c r="BQ52" s="44"/>
      <c r="BR52" s="44"/>
      <c r="BS52" s="44"/>
      <c r="BT52" s="44"/>
      <c r="BU52" s="44"/>
      <c r="BV52" s="44"/>
      <c r="BW52" s="44"/>
      <c r="BX52" s="44"/>
      <c r="BY52" s="44"/>
      <c r="BZ52" s="44"/>
      <c r="CA52" s="44"/>
      <c r="CB52" s="44"/>
      <c r="CC52" s="44"/>
      <c r="CD52" s="59"/>
      <c r="CE52" s="59">
        <v>0</v>
      </c>
      <c r="CF52" s="59">
        <v>0</v>
      </c>
      <c r="CG52" s="59">
        <v>0</v>
      </c>
      <c r="CH52" s="62">
        <f>CF52*CG52</f>
        <v>0</v>
      </c>
      <c r="CI52" s="59"/>
      <c r="CJ52" s="59"/>
      <c r="CK52" s="63"/>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64">
        <v>1.2500000000000001E-2</v>
      </c>
      <c r="DO52" s="62">
        <f>DN52*CG52*CF52</f>
        <v>0</v>
      </c>
      <c r="DP52" s="62">
        <v>0</v>
      </c>
      <c r="DQ52" s="62"/>
      <c r="DR52" s="62"/>
      <c r="DS52" s="62"/>
      <c r="DT52" s="62"/>
      <c r="DU52" s="62"/>
      <c r="DV52" s="62"/>
      <c r="DW52" s="62"/>
      <c r="DX52" s="62"/>
      <c r="DY52" s="62"/>
      <c r="DZ52" s="62"/>
      <c r="EA52" s="62"/>
      <c r="EB52" s="62"/>
      <c r="EC52" s="62"/>
      <c r="ED52" s="62"/>
      <c r="EE52" s="62"/>
      <c r="EF52" s="59">
        <v>650</v>
      </c>
      <c r="EG52" s="59">
        <v>6500</v>
      </c>
      <c r="EH52" s="59">
        <v>8</v>
      </c>
      <c r="EI52" s="61">
        <v>0.95</v>
      </c>
      <c r="EJ52" s="59">
        <v>1</v>
      </c>
      <c r="EK52" s="59">
        <v>66</v>
      </c>
      <c r="EL52" s="65">
        <f t="shared" si="142"/>
        <v>415</v>
      </c>
      <c r="EM52" s="65"/>
      <c r="EN52" s="65"/>
      <c r="EO52" s="65"/>
      <c r="EP52" s="65"/>
      <c r="EQ52" s="65"/>
      <c r="ER52" s="65"/>
      <c r="ES52" s="65"/>
      <c r="ET52" s="65"/>
      <c r="EU52" s="62">
        <f t="shared" si="143"/>
        <v>15.662650602409638</v>
      </c>
      <c r="EV52" s="62"/>
      <c r="EW52" s="62"/>
      <c r="EX52" s="62">
        <v>0</v>
      </c>
      <c r="EY52" s="62">
        <v>0</v>
      </c>
      <c r="EZ52" s="62"/>
      <c r="FA52" s="62">
        <v>0</v>
      </c>
      <c r="FB52" s="62"/>
      <c r="FC52" s="62"/>
      <c r="FD52" s="62"/>
      <c r="FE52" s="62"/>
      <c r="FF52" s="62"/>
      <c r="FG52" s="62"/>
      <c r="FH52" s="62"/>
      <c r="FI52" s="62"/>
      <c r="FJ52" s="62"/>
      <c r="FK52" s="62"/>
      <c r="FL52" s="62"/>
      <c r="FM52" s="62"/>
      <c r="FN52" s="62"/>
      <c r="FO52" s="62"/>
      <c r="FP52" s="62"/>
      <c r="FQ52" s="62"/>
      <c r="FR52" s="62"/>
      <c r="FS52" s="62"/>
      <c r="FT52" s="62"/>
      <c r="FU52" s="62"/>
      <c r="FV52" s="62"/>
      <c r="FW52" s="62"/>
      <c r="FX52" s="62"/>
      <c r="FY52" s="62"/>
      <c r="FZ52" s="62"/>
      <c r="GA52" s="62"/>
      <c r="GB52" s="62"/>
      <c r="GC52" s="62"/>
      <c r="GD52" s="62"/>
      <c r="GE52" s="62"/>
      <c r="GF52" s="62"/>
      <c r="GG52" s="62"/>
      <c r="GH52" s="62"/>
      <c r="GI52" s="62"/>
      <c r="GJ52" s="62"/>
      <c r="GK52" s="62"/>
      <c r="GL52" s="62"/>
      <c r="GM52" s="62"/>
      <c r="GN52" s="62"/>
      <c r="GO52" s="62"/>
      <c r="GP52" s="62"/>
      <c r="GQ52" s="62"/>
      <c r="GR52" s="61">
        <v>0.11</v>
      </c>
      <c r="GS52" s="62">
        <f t="shared" si="144"/>
        <v>8.3544395662650608</v>
      </c>
      <c r="GT52" s="64">
        <v>1.2500000000000001E-2</v>
      </c>
      <c r="GU52" s="62">
        <f t="shared" si="145"/>
        <v>0.94936813253012053</v>
      </c>
      <c r="GV52" s="61">
        <v>0.02</v>
      </c>
      <c r="GW52" s="62">
        <f t="shared" si="146"/>
        <v>0.31325301204819278</v>
      </c>
      <c r="GX52" s="62">
        <f t="shared" si="147"/>
        <v>9.6170607108433739</v>
      </c>
      <c r="GY52" s="59" t="s">
        <v>43</v>
      </c>
      <c r="GZ52" s="59" t="s">
        <v>87</v>
      </c>
      <c r="HA52" s="62">
        <v>805</v>
      </c>
      <c r="HB52" s="62">
        <v>570</v>
      </c>
      <c r="HC52" s="62">
        <v>425</v>
      </c>
      <c r="HD52" s="62">
        <v>12</v>
      </c>
      <c r="HE52" s="62">
        <v>800</v>
      </c>
      <c r="HF52" s="62">
        <f>ROUNDUP(HE52/HD52,0)</f>
        <v>67</v>
      </c>
      <c r="HG52" s="62">
        <v>5</v>
      </c>
      <c r="HH52" s="62">
        <v>335</v>
      </c>
      <c r="HI52" s="62">
        <v>1100</v>
      </c>
      <c r="HJ52" s="62">
        <f t="shared" si="148"/>
        <v>368500</v>
      </c>
      <c r="HK52" s="62"/>
      <c r="HL52" s="62"/>
      <c r="HM52" s="62">
        <v>2</v>
      </c>
      <c r="HN52" s="65">
        <f t="shared" si="149"/>
        <v>480000</v>
      </c>
      <c r="HO52" s="62">
        <f t="shared" si="150"/>
        <v>0.76770833333333333</v>
      </c>
      <c r="HP52" s="62">
        <v>160</v>
      </c>
      <c r="HQ52" s="59">
        <v>0</v>
      </c>
      <c r="HR52" s="62">
        <v>0</v>
      </c>
      <c r="HS52" s="62">
        <v>0</v>
      </c>
      <c r="HT52" s="62">
        <v>0</v>
      </c>
      <c r="HU52" s="62"/>
      <c r="HV52" s="62">
        <f t="shared" si="151"/>
        <v>0.76770833333333333</v>
      </c>
      <c r="HW52" s="62"/>
      <c r="HX52" s="62">
        <v>2916</v>
      </c>
      <c r="HY52" s="62">
        <v>1688.5</v>
      </c>
      <c r="HZ52" s="62">
        <v>1842</v>
      </c>
      <c r="IA52" s="62">
        <f>ROUNDDOWN(HX52/HA52,0)</f>
        <v>3</v>
      </c>
      <c r="IB52" s="62">
        <v>2</v>
      </c>
      <c r="IC52" s="62">
        <v>4</v>
      </c>
      <c r="ID52" s="61">
        <v>0.9</v>
      </c>
      <c r="IE52" s="62">
        <v>19</v>
      </c>
      <c r="IF52" s="62">
        <v>500</v>
      </c>
      <c r="IG52" s="62">
        <f t="shared" si="152"/>
        <v>2.192982456140351</v>
      </c>
      <c r="IH52" s="62"/>
      <c r="II52" s="59"/>
      <c r="IJ52" s="59"/>
      <c r="IK52" s="59"/>
      <c r="IL52" s="59"/>
    </row>
    <row r="53" spans="1:246">
      <c r="A53">
        <v>165</v>
      </c>
      <c r="B53" t="s">
        <v>468</v>
      </c>
      <c r="C53" t="s">
        <v>618</v>
      </c>
      <c r="D53" s="28" t="s">
        <v>362</v>
      </c>
      <c r="E53" s="27" t="s">
        <v>363</v>
      </c>
      <c r="F53" s="27" t="s">
        <v>2226</v>
      </c>
      <c r="G53" t="s">
        <v>102</v>
      </c>
      <c r="H53" t="s">
        <v>2218</v>
      </c>
      <c r="I53" s="27" t="s">
        <v>121</v>
      </c>
      <c r="J53" s="28">
        <v>20945</v>
      </c>
      <c r="K53" s="27" t="s">
        <v>402</v>
      </c>
      <c r="L53" s="28"/>
      <c r="M53" s="28"/>
      <c r="N53" s="28"/>
      <c r="O53" s="28"/>
      <c r="P53" s="28"/>
      <c r="Q53" s="28" t="s">
        <v>1035</v>
      </c>
      <c r="R53" s="28" t="s">
        <v>1831</v>
      </c>
      <c r="S53" s="27"/>
      <c r="T53" s="27"/>
      <c r="U53" s="27"/>
      <c r="V53" s="29" t="s">
        <v>79</v>
      </c>
      <c r="W53"/>
      <c r="X53"/>
      <c r="Y53"/>
      <c r="Z53"/>
      <c r="AA53" s="21"/>
    </row>
    <row r="54" spans="1:246">
      <c r="A54">
        <v>56</v>
      </c>
      <c r="B54" t="s">
        <v>468</v>
      </c>
      <c r="C54" t="s">
        <v>533</v>
      </c>
      <c r="D54" s="28" t="s">
        <v>167</v>
      </c>
      <c r="E54" s="27" t="s">
        <v>168</v>
      </c>
      <c r="F54" s="5" t="s">
        <v>2182</v>
      </c>
      <c r="G54" s="27" t="s">
        <v>122</v>
      </c>
      <c r="H54" s="27"/>
      <c r="I54" s="27" t="s">
        <v>121</v>
      </c>
      <c r="J54" s="28">
        <v>29010</v>
      </c>
      <c r="K54" s="27" t="s">
        <v>229</v>
      </c>
      <c r="L54" s="28"/>
      <c r="M54" s="28"/>
      <c r="N54" s="28"/>
      <c r="O54" s="28"/>
      <c r="P54" s="28"/>
      <c r="Q54" s="28" t="s">
        <v>1858</v>
      </c>
      <c r="R54" s="28" t="s">
        <v>1194</v>
      </c>
      <c r="S54" s="27"/>
      <c r="T54" s="27"/>
      <c r="U54" s="27"/>
      <c r="V54" s="29" t="s">
        <v>79</v>
      </c>
      <c r="W54" s="5" t="s">
        <v>510</v>
      </c>
      <c r="X54" s="5"/>
      <c r="Y54" s="5"/>
      <c r="Z54" s="5"/>
      <c r="AA54" s="56" t="s">
        <v>505</v>
      </c>
      <c r="AB54" s="340">
        <v>196.14</v>
      </c>
      <c r="AC54">
        <v>20</v>
      </c>
      <c r="AD54" t="s">
        <v>310</v>
      </c>
      <c r="AE54" s="7">
        <f>BA54</f>
        <v>43.263079999999995</v>
      </c>
      <c r="AF54" s="7"/>
      <c r="AG54" s="7">
        <f>EU54</f>
        <v>7.3145780051150897</v>
      </c>
      <c r="AH54" s="7">
        <f>DM54</f>
        <v>0.21</v>
      </c>
      <c r="AI54" s="7">
        <f>DO54</f>
        <v>0</v>
      </c>
      <c r="AJ54" s="7">
        <f>GW54</f>
        <v>0.14629156010230179</v>
      </c>
      <c r="AK54" s="7">
        <f>GU54</f>
        <v>0.63222072506393856</v>
      </c>
      <c r="AL54" s="7">
        <f>GS54</f>
        <v>5.5635423805626596</v>
      </c>
      <c r="AM54" s="7">
        <f>HV54</f>
        <v>0.94444444444444442</v>
      </c>
      <c r="AN54" s="7">
        <f>IG54</f>
        <v>0.69444444444444442</v>
      </c>
      <c r="AO54" s="7">
        <f>EY54</f>
        <v>0.2188301282051282</v>
      </c>
      <c r="AP54" s="7"/>
      <c r="AQ54" s="7">
        <f>SUM(AE54:AO54)</f>
        <v>58.987431687937992</v>
      </c>
      <c r="AR54" s="7"/>
      <c r="AS54" s="7"/>
      <c r="AT54" s="6">
        <v>0</v>
      </c>
      <c r="AU54" s="7">
        <f>AQ54*1%</f>
        <v>0.58987431687937997</v>
      </c>
      <c r="AV54" s="7">
        <f>AQ54+AT54+AU54</f>
        <v>59.577306004817373</v>
      </c>
      <c r="AW54" s="24">
        <v>0.222</v>
      </c>
      <c r="AX54" s="2">
        <v>0.20799999999999999</v>
      </c>
      <c r="AY54" s="8">
        <v>1</v>
      </c>
      <c r="AZ54">
        <f>(AW54-AX54)*AY54</f>
        <v>1.4000000000000012E-2</v>
      </c>
      <c r="BA54" s="4">
        <f>AW54*AB54-AZ54*AC54</f>
        <v>43.263079999999995</v>
      </c>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E54">
        <v>0</v>
      </c>
      <c r="CF54">
        <v>1</v>
      </c>
      <c r="CG54">
        <v>0.21</v>
      </c>
      <c r="CH54" s="4">
        <f>CG54*CF54</f>
        <v>0.21</v>
      </c>
      <c r="CK54" s="66"/>
      <c r="DM54" s="4">
        <f>CH54+CM54+CR54+CW54+DB54+DG54+DL54</f>
        <v>0.21</v>
      </c>
      <c r="DN54" s="9">
        <v>1.2500000000000001E-2</v>
      </c>
      <c r="DO54" s="4">
        <v>0</v>
      </c>
      <c r="DP54" s="4">
        <f>DM54+DO54</f>
        <v>0.21</v>
      </c>
      <c r="DQ54" s="4"/>
      <c r="DR54" s="4"/>
      <c r="DS54" s="4"/>
      <c r="DT54" s="4"/>
      <c r="DU54" s="4"/>
      <c r="DV54" s="4"/>
      <c r="DW54" s="4"/>
      <c r="DX54" s="4"/>
      <c r="DY54" s="4"/>
      <c r="DZ54" s="4"/>
      <c r="EA54" s="4"/>
      <c r="EB54" s="4"/>
      <c r="EC54" s="4"/>
      <c r="ED54" s="4"/>
      <c r="EE54" s="4"/>
      <c r="EF54">
        <v>650</v>
      </c>
      <c r="EG54">
        <v>5720</v>
      </c>
      <c r="EH54">
        <v>8</v>
      </c>
      <c r="EI54" s="8">
        <v>0.95</v>
      </c>
      <c r="EJ54">
        <v>2</v>
      </c>
      <c r="EK54">
        <v>70</v>
      </c>
      <c r="EL54" s="10">
        <f>ROUND(3600/EK54*EH54*EJ54*EI54,0)</f>
        <v>782</v>
      </c>
      <c r="EM54" s="10"/>
      <c r="EN54" s="10"/>
      <c r="EO54" s="10"/>
      <c r="EP54" s="10"/>
      <c r="EQ54" s="10"/>
      <c r="ER54" s="10"/>
      <c r="ES54" s="10"/>
      <c r="ET54" s="10"/>
      <c r="EU54" s="4">
        <f>EG54/EL54</f>
        <v>7.3145780051150897</v>
      </c>
      <c r="EV54" s="4"/>
      <c r="EW54" s="4"/>
      <c r="EX54" s="4">
        <v>0</v>
      </c>
      <c r="EY54" s="4">
        <f>27310/124800</f>
        <v>0.2188301282051282</v>
      </c>
      <c r="EZ54" s="4"/>
      <c r="FA54" s="4">
        <f>EX54</f>
        <v>0</v>
      </c>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8">
        <v>0.11</v>
      </c>
      <c r="GS54" s="4">
        <f>GR54*(BA54+EU54)</f>
        <v>5.5635423805626596</v>
      </c>
      <c r="GT54" s="9">
        <v>1.2500000000000001E-2</v>
      </c>
      <c r="GU54" s="4">
        <f>GT54*(BA54+EU54)</f>
        <v>0.63222072506393856</v>
      </c>
      <c r="GV54" s="8">
        <v>0.02</v>
      </c>
      <c r="GW54" s="4">
        <f>GV54*EU54</f>
        <v>0.14629156010230179</v>
      </c>
      <c r="GX54" s="4">
        <f>GS54+GU54+GW54</f>
        <v>6.3420546657289005</v>
      </c>
      <c r="GY54" t="s">
        <v>130</v>
      </c>
      <c r="GZ54" t="s">
        <v>130</v>
      </c>
      <c r="HA54" s="4">
        <v>1600</v>
      </c>
      <c r="HB54" s="4">
        <v>800</v>
      </c>
      <c r="HC54">
        <v>1800</v>
      </c>
      <c r="HD54">
        <v>120</v>
      </c>
      <c r="HE54">
        <v>400</v>
      </c>
      <c r="HF54" s="4">
        <f>ROUNDUP(HE54/HD54,0)</f>
        <v>4</v>
      </c>
      <c r="HG54">
        <v>5</v>
      </c>
      <c r="HH54" s="4">
        <f>HF54*HG54</f>
        <v>20</v>
      </c>
      <c r="HI54">
        <v>17000</v>
      </c>
      <c r="HJ54" s="4">
        <f>HH54*HI54</f>
        <v>340000</v>
      </c>
      <c r="HK54" s="4"/>
      <c r="HL54" s="4"/>
      <c r="HM54" s="4">
        <v>3</v>
      </c>
      <c r="HN54" s="10">
        <f>HM54*12*25*HE54</f>
        <v>360000</v>
      </c>
      <c r="HO54" s="4">
        <f>IF(GY54="carton box",HI54/HD54,HJ54/HN54)</f>
        <v>0.94444444444444442</v>
      </c>
      <c r="HP54" s="4">
        <v>160</v>
      </c>
      <c r="HQ54">
        <v>0</v>
      </c>
      <c r="HR54" s="4">
        <v>0</v>
      </c>
      <c r="HS54" s="4">
        <v>0</v>
      </c>
      <c r="HT54" s="4">
        <v>0</v>
      </c>
      <c r="HU54" s="4"/>
      <c r="HV54" s="4">
        <f>HO54+HT54</f>
        <v>0.94444444444444442</v>
      </c>
      <c r="HW54" s="4"/>
      <c r="HX54" s="4">
        <v>4200</v>
      </c>
      <c r="HY54" s="4">
        <v>1900</v>
      </c>
      <c r="HZ54" s="4">
        <v>1975</v>
      </c>
      <c r="IA54" s="4">
        <v>3</v>
      </c>
      <c r="IB54" s="4">
        <v>2</v>
      </c>
      <c r="IC54" s="4">
        <v>1</v>
      </c>
      <c r="ID54" s="8">
        <v>1</v>
      </c>
      <c r="IE54" s="4">
        <v>6</v>
      </c>
      <c r="IF54" s="4">
        <v>500</v>
      </c>
      <c r="IG54" s="4">
        <f>IF54/(IE54*HD54)</f>
        <v>0.69444444444444442</v>
      </c>
      <c r="IH54" s="4"/>
    </row>
    <row r="55" spans="1:246">
      <c r="A55">
        <v>57</v>
      </c>
      <c r="B55" t="s">
        <v>468</v>
      </c>
      <c r="C55" t="s">
        <v>575</v>
      </c>
      <c r="D55" s="28" t="s">
        <v>169</v>
      </c>
      <c r="E55" s="27" t="s">
        <v>170</v>
      </c>
      <c r="F55" s="5" t="s">
        <v>2182</v>
      </c>
      <c r="G55" s="27" t="s">
        <v>102</v>
      </c>
      <c r="H55" s="27"/>
      <c r="I55" s="27" t="s">
        <v>121</v>
      </c>
      <c r="J55" s="28">
        <v>29010</v>
      </c>
      <c r="K55" s="27" t="s">
        <v>229</v>
      </c>
      <c r="L55" s="28"/>
      <c r="M55" s="28"/>
      <c r="N55" s="28"/>
      <c r="O55" s="28"/>
      <c r="P55" s="28"/>
      <c r="Q55" s="28" t="s">
        <v>1035</v>
      </c>
      <c r="R55" s="28" t="s">
        <v>1194</v>
      </c>
      <c r="S55" s="27"/>
      <c r="T55" s="27"/>
      <c r="U55" s="27"/>
      <c r="V55" s="29" t="s">
        <v>79</v>
      </c>
      <c r="W55" s="13" t="s">
        <v>576</v>
      </c>
      <c r="AA55" s="148" t="s">
        <v>573</v>
      </c>
      <c r="AB55" s="340">
        <v>204</v>
      </c>
      <c r="AC55" s="4">
        <f>AB55-5</f>
        <v>199</v>
      </c>
      <c r="AD55" t="s">
        <v>315</v>
      </c>
      <c r="AE55" s="7">
        <f>BA55</f>
        <v>67.031700000000001</v>
      </c>
      <c r="AF55" s="7"/>
      <c r="AG55" s="7">
        <f>EU55</f>
        <v>9.5391705069124431</v>
      </c>
      <c r="AH55" s="7">
        <f>DP55</f>
        <v>0</v>
      </c>
      <c r="AI55" s="7">
        <f>DO55</f>
        <v>0</v>
      </c>
      <c r="AJ55" s="7">
        <f>GW55</f>
        <v>0.19078341013824887</v>
      </c>
      <c r="AK55" s="7">
        <f>GU55</f>
        <v>0.95713588133640559</v>
      </c>
      <c r="AL55" s="7">
        <f>GS55</f>
        <v>8.42</v>
      </c>
      <c r="AM55" s="7">
        <f>HV55</f>
        <v>1.4583333333333333</v>
      </c>
      <c r="AN55" s="7">
        <f>IG55</f>
        <v>1.1904761904761905</v>
      </c>
      <c r="AO55" s="6">
        <v>0</v>
      </c>
      <c r="AP55" s="6"/>
      <c r="AQ55" s="7">
        <f>SUM(AE55:AO55)</f>
        <v>88.787599322196613</v>
      </c>
      <c r="AR55" s="7"/>
      <c r="AS55" s="7"/>
      <c r="AT55" s="6">
        <v>0</v>
      </c>
      <c r="AU55" s="7">
        <f>AQ55*2%</f>
        <v>1.7757519864439324</v>
      </c>
      <c r="AV55" s="42">
        <f>AQ55+AT55+AU55</f>
        <v>90.563351308640549</v>
      </c>
      <c r="AW55" s="98">
        <v>0.34</v>
      </c>
      <c r="AX55" s="98">
        <v>0.32700000000000001</v>
      </c>
      <c r="AY55" s="8">
        <v>0.9</v>
      </c>
      <c r="AZ55">
        <f>AW55-AX55</f>
        <v>1.3000000000000012E-2</v>
      </c>
      <c r="BA55" s="4">
        <f>AW55*AB55-(AZ55*AC55)*AY55</f>
        <v>67.031700000000001</v>
      </c>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E55">
        <v>0</v>
      </c>
      <c r="CF55">
        <v>0</v>
      </c>
      <c r="CG55">
        <v>0</v>
      </c>
      <c r="CH55">
        <v>0</v>
      </c>
      <c r="DM55">
        <f>CL55+CR55+CW55+DB55+DG55+DL55+CH55</f>
        <v>0</v>
      </c>
      <c r="DN55" s="9">
        <v>1.2500000000000001E-2</v>
      </c>
      <c r="DO55" s="4">
        <f>DN55*CG55*CF55</f>
        <v>0</v>
      </c>
      <c r="DP55" s="4">
        <f>CG55*CF55</f>
        <v>0</v>
      </c>
      <c r="DQ55" s="4"/>
      <c r="DR55" s="4"/>
      <c r="DS55" s="4"/>
      <c r="DT55" s="4"/>
      <c r="DU55" s="4"/>
      <c r="DV55" s="4"/>
      <c r="DW55" s="4"/>
      <c r="DX55" s="4"/>
      <c r="DY55" s="4"/>
      <c r="DZ55" s="4"/>
      <c r="EA55" s="4"/>
      <c r="EB55" s="4"/>
      <c r="EC55" s="4"/>
      <c r="ED55" s="4"/>
      <c r="EE55" s="4"/>
      <c r="EF55">
        <v>450</v>
      </c>
      <c r="EG55">
        <v>4140</v>
      </c>
      <c r="EH55">
        <v>8</v>
      </c>
      <c r="EI55" s="8">
        <v>0.95</v>
      </c>
      <c r="EJ55">
        <v>1</v>
      </c>
      <c r="EK55">
        <v>63</v>
      </c>
      <c r="EL55" s="10">
        <f>ROUND(3600/EK55*EH55*EJ55*EI55,0)</f>
        <v>434</v>
      </c>
      <c r="EM55" s="10"/>
      <c r="EN55" s="10"/>
      <c r="EO55" s="10"/>
      <c r="EP55" s="10"/>
      <c r="EQ55" s="10"/>
      <c r="ER55" s="10"/>
      <c r="ES55" s="10"/>
      <c r="ET55" s="10"/>
      <c r="EU55" s="4">
        <f>EG55/EL55</f>
        <v>9.5391705069124431</v>
      </c>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8">
        <v>0.11</v>
      </c>
      <c r="GS55" s="99">
        <v>8.42</v>
      </c>
      <c r="GT55" s="9">
        <v>1.2500000000000001E-2</v>
      </c>
      <c r="GU55" s="4">
        <f>GT55*(BA55+EU55)</f>
        <v>0.95713588133640559</v>
      </c>
      <c r="GV55" s="8">
        <v>0.02</v>
      </c>
      <c r="GW55" s="4">
        <f>GV55*EU55</f>
        <v>0.19078341013824887</v>
      </c>
      <c r="GX55" s="4">
        <f>GS55+GU55+GW55</f>
        <v>9.567919291474654</v>
      </c>
      <c r="GY55" t="s">
        <v>574</v>
      </c>
      <c r="GZ55" t="s">
        <v>61</v>
      </c>
      <c r="HA55" s="4">
        <v>1600</v>
      </c>
      <c r="HB55" s="4">
        <v>800</v>
      </c>
      <c r="HC55">
        <v>1800</v>
      </c>
      <c r="HD55">
        <v>70</v>
      </c>
      <c r="HE55">
        <v>800</v>
      </c>
      <c r="HF55" s="4">
        <f>ROUNDUP(HE55/HD55,0)</f>
        <v>12</v>
      </c>
      <c r="HG55">
        <v>5</v>
      </c>
      <c r="HH55">
        <v>60</v>
      </c>
      <c r="HI55">
        <v>17500</v>
      </c>
      <c r="HJ55" s="4">
        <f>HH55*HI55</f>
        <v>1050000</v>
      </c>
      <c r="HK55" s="4"/>
      <c r="HL55" s="4"/>
      <c r="HM55" s="4">
        <v>3</v>
      </c>
      <c r="HN55" s="10">
        <f>HM55*12*25*HE55</f>
        <v>720000</v>
      </c>
      <c r="HO55" s="4">
        <f>IF(GY55="carton box",HI55/HD55,HJ55/HN55)</f>
        <v>1.4583333333333333</v>
      </c>
      <c r="HP55" s="4">
        <v>160</v>
      </c>
      <c r="HQ55">
        <v>0</v>
      </c>
      <c r="HR55" s="4">
        <v>0</v>
      </c>
      <c r="HS55" s="4">
        <v>0</v>
      </c>
      <c r="HT55" s="4">
        <v>0</v>
      </c>
      <c r="HU55" s="4"/>
      <c r="HV55" s="4">
        <f>HO55+HT55</f>
        <v>1.4583333333333333</v>
      </c>
      <c r="HW55" s="4"/>
      <c r="HX55" s="4">
        <v>4200</v>
      </c>
      <c r="HY55" s="4">
        <v>1900</v>
      </c>
      <c r="HZ55" s="4">
        <v>1975</v>
      </c>
      <c r="IA55" s="4">
        <f>ROUNDDOWN(HX55/HA55,0)</f>
        <v>2</v>
      </c>
      <c r="IB55" s="4">
        <f>ROUNDDOWN(HY55/HB55,0)</f>
        <v>2</v>
      </c>
      <c r="IC55" s="4">
        <f>ROUNDDOWN(HZ55/HC55,0)</f>
        <v>1</v>
      </c>
      <c r="ID55" s="8">
        <v>1.5</v>
      </c>
      <c r="IE55" s="31">
        <f>ROUND(PRODUCT(IA55:ID55),0)</f>
        <v>6</v>
      </c>
      <c r="IF55" s="4">
        <v>500</v>
      </c>
      <c r="IG55" s="4">
        <f>IF55/(IE55*HD55)</f>
        <v>1.1904761904761905</v>
      </c>
      <c r="IH55" s="4"/>
    </row>
    <row r="56" spans="1:246">
      <c r="A56">
        <v>463</v>
      </c>
      <c r="B56" t="s">
        <v>4929</v>
      </c>
      <c r="D56" s="28" t="s">
        <v>1326</v>
      </c>
      <c r="E56" s="28" t="s">
        <v>1327</v>
      </c>
      <c r="F56" t="s">
        <v>4929</v>
      </c>
      <c r="G56" s="27" t="s">
        <v>90</v>
      </c>
      <c r="I56" s="27" t="s">
        <v>226</v>
      </c>
      <c r="J56" s="28">
        <v>21599</v>
      </c>
      <c r="K56" s="27" t="s">
        <v>1240</v>
      </c>
    </row>
    <row r="57" spans="1:246" ht="15.75">
      <c r="A57">
        <v>59</v>
      </c>
      <c r="B57" t="s">
        <v>468</v>
      </c>
      <c r="C57" t="s">
        <v>579</v>
      </c>
      <c r="D57" s="28" t="s">
        <v>171</v>
      </c>
      <c r="E57" s="27" t="s">
        <v>172</v>
      </c>
      <c r="F57" s="5" t="s">
        <v>2182</v>
      </c>
      <c r="G57" s="27" t="s">
        <v>102</v>
      </c>
      <c r="H57" s="27"/>
      <c r="I57" s="27" t="s">
        <v>121</v>
      </c>
      <c r="J57" s="28">
        <v>29010</v>
      </c>
      <c r="K57" s="27" t="s">
        <v>229</v>
      </c>
      <c r="L57" s="28"/>
      <c r="M57" s="28"/>
      <c r="N57" s="28"/>
      <c r="O57" s="28"/>
      <c r="P57" s="28"/>
      <c r="Q57" s="28" t="s">
        <v>1035</v>
      </c>
      <c r="R57" s="28" t="s">
        <v>1194</v>
      </c>
      <c r="S57" s="27"/>
      <c r="T57" s="27"/>
      <c r="U57" s="27"/>
      <c r="V57" s="29" t="s">
        <v>79</v>
      </c>
      <c r="W57" s="13" t="s">
        <v>576</v>
      </c>
      <c r="AA57" s="149" t="s">
        <v>573</v>
      </c>
      <c r="AB57" s="345">
        <v>204</v>
      </c>
      <c r="AC57" s="62">
        <f>AB57-5</f>
        <v>199</v>
      </c>
      <c r="AD57" s="59" t="s">
        <v>315</v>
      </c>
      <c r="AE57" s="42">
        <f>BA57</f>
        <v>66.270300000000006</v>
      </c>
      <c r="AF57" s="42"/>
      <c r="AG57" s="42">
        <f>EU57</f>
        <v>10.588235294117647</v>
      </c>
      <c r="AH57" s="42">
        <f>DM57</f>
        <v>3.98</v>
      </c>
      <c r="AI57" s="42">
        <f>DO57</f>
        <v>0.05</v>
      </c>
      <c r="AJ57" s="42">
        <f>GW57</f>
        <v>0.21176470588235294</v>
      </c>
      <c r="AK57" s="42">
        <f>GU57</f>
        <v>0.96073169117647073</v>
      </c>
      <c r="AL57" s="42">
        <f>GS57</f>
        <v>8.4499999999999993</v>
      </c>
      <c r="AM57" s="42">
        <f>HV57</f>
        <v>2.4648611111111114</v>
      </c>
      <c r="AN57" s="42">
        <f>IG57</f>
        <v>0.57870370370370372</v>
      </c>
      <c r="AO57" s="60">
        <v>0</v>
      </c>
      <c r="AP57" s="60"/>
      <c r="AQ57" s="42">
        <f>SUM(AE57:AO57)</f>
        <v>93.554596505991313</v>
      </c>
      <c r="AR57" s="42"/>
      <c r="AS57" s="42"/>
      <c r="AT57" s="60">
        <v>0</v>
      </c>
      <c r="AU57" s="42">
        <f>AQ57*2%</f>
        <v>1.8710919301198263</v>
      </c>
      <c r="AV57" s="42">
        <f>AQ57+AT57+AU57</f>
        <v>95.425688436111145</v>
      </c>
      <c r="AW57" s="100">
        <v>0.33100000000000002</v>
      </c>
      <c r="AX57" s="59">
        <v>0.32400000000000001</v>
      </c>
      <c r="AY57" s="61">
        <v>0.9</v>
      </c>
      <c r="AZ57" s="59">
        <f>AW57-AX57</f>
        <v>7.0000000000000062E-3</v>
      </c>
      <c r="BA57" s="62">
        <f>AW57*AB57-(AZ57*AC57)*AY57</f>
        <v>66.270300000000006</v>
      </c>
      <c r="BB57" s="62"/>
      <c r="BC57" s="62"/>
      <c r="BD57" s="62"/>
      <c r="BE57" s="62"/>
      <c r="BF57" s="62"/>
      <c r="BG57" s="62"/>
      <c r="BH57" s="62"/>
      <c r="BI57" s="62"/>
      <c r="BJ57" s="62"/>
      <c r="BK57" s="62"/>
      <c r="BL57" s="62"/>
      <c r="BM57" s="62"/>
      <c r="BN57" s="62"/>
      <c r="BO57" s="62"/>
      <c r="BP57" s="62"/>
      <c r="BQ57" s="62"/>
      <c r="BR57" s="62"/>
      <c r="BS57" s="62"/>
      <c r="BT57" s="62"/>
      <c r="BU57" s="62"/>
      <c r="BV57" s="62"/>
      <c r="BW57" s="62"/>
      <c r="BX57" s="62"/>
      <c r="BY57" s="62"/>
      <c r="BZ57" s="62"/>
      <c r="CA57" s="62"/>
      <c r="CB57" s="62"/>
      <c r="CC57" s="62"/>
      <c r="CD57" s="59"/>
      <c r="CE57" s="59">
        <v>0</v>
      </c>
      <c r="CF57" s="59">
        <v>0</v>
      </c>
      <c r="CG57" s="59">
        <v>0</v>
      </c>
      <c r="CH57" s="59">
        <v>0</v>
      </c>
      <c r="CI57" s="59" t="s">
        <v>577</v>
      </c>
      <c r="CJ57" s="59" t="s">
        <v>578</v>
      </c>
      <c r="CK57" s="59">
        <v>2</v>
      </c>
      <c r="CL57" s="59">
        <v>1.99</v>
      </c>
      <c r="CM57" s="59">
        <f>CK57*CL57</f>
        <v>3.98</v>
      </c>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f>CM57+CR57+CW57+DB57+DG57+DL57+CH57</f>
        <v>3.98</v>
      </c>
      <c r="DN57" s="64">
        <v>1.2500000000000001E-2</v>
      </c>
      <c r="DO57" s="59">
        <v>0.05</v>
      </c>
      <c r="DP57" s="62">
        <f>DM57+DO57</f>
        <v>4.03</v>
      </c>
      <c r="DQ57" s="62"/>
      <c r="DR57" s="62"/>
      <c r="DS57" s="62"/>
      <c r="DT57" s="62"/>
      <c r="DU57" s="62"/>
      <c r="DV57" s="62"/>
      <c r="DW57" s="62"/>
      <c r="DX57" s="62"/>
      <c r="DY57" s="62"/>
      <c r="DZ57" s="62"/>
      <c r="EA57" s="62"/>
      <c r="EB57" s="62"/>
      <c r="EC57" s="62"/>
      <c r="ED57" s="62"/>
      <c r="EE57" s="62"/>
      <c r="EF57" s="59">
        <v>450</v>
      </c>
      <c r="EG57" s="59">
        <v>4140</v>
      </c>
      <c r="EH57" s="59">
        <v>8</v>
      </c>
      <c r="EI57" s="61">
        <v>0.95</v>
      </c>
      <c r="EJ57" s="59">
        <v>1</v>
      </c>
      <c r="EK57" s="59">
        <v>70</v>
      </c>
      <c r="EL57" s="65">
        <f>ROUND(3600/EK57*EH57*EJ57*EI57,0)</f>
        <v>391</v>
      </c>
      <c r="EM57" s="65"/>
      <c r="EN57" s="65"/>
      <c r="EO57" s="65"/>
      <c r="EP57" s="65"/>
      <c r="EQ57" s="65"/>
      <c r="ER57" s="65"/>
      <c r="ES57" s="65"/>
      <c r="ET57" s="65"/>
      <c r="EU57" s="62">
        <f>EG57/EL57</f>
        <v>10.588235294117647</v>
      </c>
      <c r="EV57" s="62"/>
      <c r="EW57" s="62"/>
      <c r="EX57" s="62"/>
      <c r="EY57" s="62"/>
      <c r="EZ57" s="62"/>
      <c r="FA57" s="62"/>
      <c r="FB57" s="62"/>
      <c r="FC57" s="62"/>
      <c r="FD57" s="62"/>
      <c r="FE57" s="62"/>
      <c r="FF57" s="62"/>
      <c r="FG57" s="62"/>
      <c r="FH57" s="62"/>
      <c r="FI57" s="62"/>
      <c r="FJ57" s="62"/>
      <c r="FK57" s="62"/>
      <c r="FL57" s="62"/>
      <c r="FM57" s="62"/>
      <c r="FN57" s="62"/>
      <c r="FO57" s="62"/>
      <c r="FP57" s="62"/>
      <c r="FQ57" s="62"/>
      <c r="FR57" s="62"/>
      <c r="FS57" s="62"/>
      <c r="FT57" s="62"/>
      <c r="FU57" s="62"/>
      <c r="FV57" s="62"/>
      <c r="FW57" s="62"/>
      <c r="FX57" s="62"/>
      <c r="FY57" s="62"/>
      <c r="FZ57" s="62"/>
      <c r="GA57" s="62"/>
      <c r="GB57" s="62"/>
      <c r="GC57" s="62"/>
      <c r="GD57" s="62"/>
      <c r="GE57" s="62"/>
      <c r="GF57" s="62"/>
      <c r="GG57" s="62"/>
      <c r="GH57" s="62"/>
      <c r="GI57" s="62"/>
      <c r="GJ57" s="62"/>
      <c r="GK57" s="62"/>
      <c r="GL57" s="62"/>
      <c r="GM57" s="62"/>
      <c r="GN57" s="62"/>
      <c r="GO57" s="62"/>
      <c r="GP57" s="62"/>
      <c r="GQ57" s="62"/>
      <c r="GR57" s="61">
        <v>0.11</v>
      </c>
      <c r="GS57" s="59">
        <v>8.4499999999999993</v>
      </c>
      <c r="GT57" s="64">
        <v>1.2500000000000001E-2</v>
      </c>
      <c r="GU57" s="62">
        <f>GT57*(BA57+EU57)</f>
        <v>0.96073169117647073</v>
      </c>
      <c r="GV57" s="61">
        <v>0.02</v>
      </c>
      <c r="GW57" s="62">
        <f>GV57*EU57</f>
        <v>0.21176470588235294</v>
      </c>
      <c r="GX57" s="62">
        <f>GS57+GU57+GW57</f>
        <v>9.6224963970588213</v>
      </c>
      <c r="GY57" s="59" t="s">
        <v>43</v>
      </c>
      <c r="GZ57" s="59" t="s">
        <v>87</v>
      </c>
      <c r="HA57" s="62">
        <v>650</v>
      </c>
      <c r="HB57" s="62">
        <v>450</v>
      </c>
      <c r="HC57" s="59">
        <v>315</v>
      </c>
      <c r="HD57" s="59">
        <v>6</v>
      </c>
      <c r="HE57" s="59">
        <v>800</v>
      </c>
      <c r="HF57" s="59">
        <v>134</v>
      </c>
      <c r="HG57" s="59">
        <v>5</v>
      </c>
      <c r="HH57" s="59">
        <v>670</v>
      </c>
      <c r="HI57" s="59">
        <v>650</v>
      </c>
      <c r="HJ57" s="62">
        <f>HH57*HI57</f>
        <v>435500</v>
      </c>
      <c r="HK57" s="62"/>
      <c r="HL57" s="62"/>
      <c r="HM57" s="62">
        <v>3</v>
      </c>
      <c r="HN57" s="65">
        <f>HM57*12*25*HE57</f>
        <v>720000</v>
      </c>
      <c r="HO57" s="62">
        <f>IF(GY57="carton box",HI57/HD57,HJ57/HN57)</f>
        <v>0.60486111111111107</v>
      </c>
      <c r="HP57" s="62">
        <v>160</v>
      </c>
      <c r="HQ57" s="59">
        <v>0</v>
      </c>
      <c r="HR57" s="62">
        <v>1.86</v>
      </c>
      <c r="HS57" s="62">
        <v>1</v>
      </c>
      <c r="HT57" s="62">
        <f>HR57/HS57</f>
        <v>1.86</v>
      </c>
      <c r="HU57" s="62"/>
      <c r="HV57" s="62">
        <f>HO57+HT57</f>
        <v>2.4648611111111114</v>
      </c>
      <c r="HW57" s="62"/>
      <c r="HX57" s="62">
        <v>4200</v>
      </c>
      <c r="HY57" s="62">
        <v>1900</v>
      </c>
      <c r="HZ57" s="62">
        <v>1975</v>
      </c>
      <c r="IA57" s="62">
        <f>ROUNDDOWN(HX57/HA57,0)</f>
        <v>6</v>
      </c>
      <c r="IB57" s="62">
        <f>ROUNDDOWN(HY57/HB57,0)</f>
        <v>4</v>
      </c>
      <c r="IC57" s="62">
        <f>ROUNDDOWN(HZ57/HC57,0)</f>
        <v>6</v>
      </c>
      <c r="ID57" s="61">
        <v>1</v>
      </c>
      <c r="IE57" s="62">
        <f>ROUND(PRODUCT(IA57:ID57),0)</f>
        <v>144</v>
      </c>
      <c r="IF57" s="62">
        <v>500</v>
      </c>
      <c r="IG57" s="62">
        <f>IF57/(IE57*HD57)</f>
        <v>0.57870370370370372</v>
      </c>
      <c r="IH57" s="62"/>
      <c r="II57" s="59"/>
      <c r="IJ57" s="59"/>
      <c r="IK57" s="59"/>
    </row>
    <row r="58" spans="1:246">
      <c r="A58">
        <v>465</v>
      </c>
      <c r="B58" t="s">
        <v>4929</v>
      </c>
      <c r="D58" s="28" t="s">
        <v>1328</v>
      </c>
      <c r="E58" s="28" t="s">
        <v>1329</v>
      </c>
      <c r="F58" t="s">
        <v>4929</v>
      </c>
      <c r="G58" s="27" t="s">
        <v>90</v>
      </c>
      <c r="I58" s="27" t="s">
        <v>226</v>
      </c>
      <c r="J58" s="28">
        <v>21599</v>
      </c>
      <c r="K58" s="27" t="s">
        <v>1240</v>
      </c>
    </row>
    <row r="59" spans="1:246">
      <c r="A59">
        <v>61</v>
      </c>
      <c r="B59" t="s">
        <v>468</v>
      </c>
      <c r="C59" t="s">
        <v>581</v>
      </c>
      <c r="D59" s="28" t="s">
        <v>173</v>
      </c>
      <c r="E59" s="27" t="s">
        <v>174</v>
      </c>
      <c r="F59" s="5" t="s">
        <v>2182</v>
      </c>
      <c r="G59" s="27" t="s">
        <v>102</v>
      </c>
      <c r="H59" s="27"/>
      <c r="I59" s="27" t="s">
        <v>121</v>
      </c>
      <c r="J59" s="28">
        <v>29010</v>
      </c>
      <c r="K59" s="27" t="s">
        <v>229</v>
      </c>
      <c r="L59" s="28"/>
      <c r="M59" s="28"/>
      <c r="N59" s="28"/>
      <c r="O59" s="28"/>
      <c r="P59" s="28"/>
      <c r="Q59" s="28" t="s">
        <v>1035</v>
      </c>
      <c r="R59" s="28" t="s">
        <v>1194</v>
      </c>
      <c r="S59" s="27"/>
      <c r="T59" s="27"/>
      <c r="U59" s="27"/>
      <c r="V59" s="29" t="s">
        <v>79</v>
      </c>
      <c r="W59" s="13" t="s">
        <v>576</v>
      </c>
      <c r="AA59" s="80" t="s">
        <v>580</v>
      </c>
      <c r="AB59" s="63">
        <v>367</v>
      </c>
      <c r="AC59" s="59">
        <v>20</v>
      </c>
      <c r="AD59" s="59" t="s">
        <v>315</v>
      </c>
      <c r="AE59" s="42">
        <f>BA59</f>
        <v>36.966999999999999</v>
      </c>
      <c r="AF59" s="42"/>
      <c r="AG59" s="42">
        <f>EU59</f>
        <v>1.9011406844106464</v>
      </c>
      <c r="AH59" s="42">
        <f>DP59</f>
        <v>0</v>
      </c>
      <c r="AI59" s="42">
        <f>DO59</f>
        <v>0</v>
      </c>
      <c r="AJ59" s="42">
        <f>GW59</f>
        <v>3.8022813688212927E-2</v>
      </c>
      <c r="AK59" s="42">
        <f>GU59</f>
        <v>0.48585175855513313</v>
      </c>
      <c r="AL59" s="42">
        <f>GS59</f>
        <v>4.28</v>
      </c>
      <c r="AM59" s="42">
        <f>HV59</f>
        <v>3.7625000000000002</v>
      </c>
      <c r="AN59" s="42">
        <f>IG59</f>
        <v>0.19403594771241831</v>
      </c>
      <c r="AO59" s="60">
        <v>0</v>
      </c>
      <c r="AP59" s="60"/>
      <c r="AQ59" s="42">
        <f>SUM(AE59:AO59)</f>
        <v>47.628551204366424</v>
      </c>
      <c r="AR59" s="42"/>
      <c r="AS59" s="42"/>
      <c r="AT59" s="60">
        <v>0</v>
      </c>
      <c r="AU59" s="42">
        <f>AQ59*2%</f>
        <v>0.95257102408732852</v>
      </c>
      <c r="AV59" s="42">
        <f>AQ59+AT59+AU59</f>
        <v>48.581122228453751</v>
      </c>
      <c r="AW59" s="59">
        <v>0.10100000000000001</v>
      </c>
      <c r="AX59" s="59">
        <v>9.6000000000000002E-2</v>
      </c>
      <c r="AY59" s="61">
        <v>1</v>
      </c>
      <c r="AZ59" s="59">
        <f>AW59-AX59</f>
        <v>5.0000000000000044E-3</v>
      </c>
      <c r="BA59" s="62">
        <f>AW59*AB59-(AZ59*AC59)*AY59</f>
        <v>36.966999999999999</v>
      </c>
      <c r="BB59" s="62"/>
      <c r="BC59" s="62"/>
      <c r="BD59" s="62"/>
      <c r="BE59" s="62"/>
      <c r="BF59" s="62"/>
      <c r="BG59" s="62"/>
      <c r="BH59" s="62"/>
      <c r="BI59" s="62"/>
      <c r="BJ59" s="62"/>
      <c r="BK59" s="62"/>
      <c r="BL59" s="62"/>
      <c r="BM59" s="62"/>
      <c r="BN59" s="62"/>
      <c r="BO59" s="62"/>
      <c r="BP59" s="62"/>
      <c r="BQ59" s="62"/>
      <c r="BR59" s="62"/>
      <c r="BS59" s="62"/>
      <c r="BT59" s="62"/>
      <c r="BU59" s="62"/>
      <c r="BV59" s="62"/>
      <c r="BW59" s="62"/>
      <c r="BX59" s="62"/>
      <c r="BY59" s="62"/>
      <c r="BZ59" s="62"/>
      <c r="CA59" s="62"/>
      <c r="CB59" s="62"/>
      <c r="CC59" s="62"/>
      <c r="CD59" s="59"/>
      <c r="CE59" s="59">
        <v>0</v>
      </c>
      <c r="CF59" s="59">
        <v>0</v>
      </c>
      <c r="CG59" s="59">
        <v>0</v>
      </c>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64">
        <v>1.2500000000000001E-2</v>
      </c>
      <c r="DO59" s="62">
        <f>DN59*CG59*CF59</f>
        <v>0</v>
      </c>
      <c r="DP59" s="62">
        <f>CG59*CF59</f>
        <v>0</v>
      </c>
      <c r="DQ59" s="62"/>
      <c r="DR59" s="62"/>
      <c r="DS59" s="62"/>
      <c r="DT59" s="62"/>
      <c r="DU59" s="62"/>
      <c r="DV59" s="62"/>
      <c r="DW59" s="62"/>
      <c r="DX59" s="62"/>
      <c r="DY59" s="62"/>
      <c r="DZ59" s="62"/>
      <c r="EA59" s="62"/>
      <c r="EB59" s="62"/>
      <c r="EC59" s="62"/>
      <c r="ED59" s="62"/>
      <c r="EE59" s="62"/>
      <c r="EF59" s="59">
        <v>200</v>
      </c>
      <c r="EG59" s="59">
        <v>2000</v>
      </c>
      <c r="EH59" s="59">
        <v>8</v>
      </c>
      <c r="EI59" s="61">
        <v>0.95</v>
      </c>
      <c r="EJ59" s="59">
        <v>2</v>
      </c>
      <c r="EK59" s="59">
        <v>52</v>
      </c>
      <c r="EL59" s="65">
        <f>ROUND(3600/EK59*EH59*EJ59*EI59,0)</f>
        <v>1052</v>
      </c>
      <c r="EM59" s="65"/>
      <c r="EN59" s="65"/>
      <c r="EO59" s="65"/>
      <c r="EP59" s="65"/>
      <c r="EQ59" s="65"/>
      <c r="ER59" s="65"/>
      <c r="ES59" s="65"/>
      <c r="ET59" s="65"/>
      <c r="EU59" s="62">
        <f>EG59/EL59</f>
        <v>1.9011406844106464</v>
      </c>
      <c r="EV59" s="62"/>
      <c r="EW59" s="62"/>
      <c r="EX59" s="62"/>
      <c r="EY59" s="62"/>
      <c r="EZ59" s="62"/>
      <c r="FA59" s="62"/>
      <c r="FB59" s="62"/>
      <c r="FC59" s="62"/>
      <c r="FD59" s="62"/>
      <c r="FE59" s="62"/>
      <c r="FF59" s="62"/>
      <c r="FG59" s="62"/>
      <c r="FH59" s="62"/>
      <c r="FI59" s="62"/>
      <c r="FJ59" s="62"/>
      <c r="FK59" s="62"/>
      <c r="FL59" s="62"/>
      <c r="FM59" s="62"/>
      <c r="FN59" s="62"/>
      <c r="FO59" s="62"/>
      <c r="FP59" s="62"/>
      <c r="FQ59" s="62"/>
      <c r="FR59" s="62"/>
      <c r="FS59" s="62"/>
      <c r="FT59" s="62"/>
      <c r="FU59" s="62"/>
      <c r="FV59" s="62"/>
      <c r="FW59" s="62"/>
      <c r="FX59" s="62"/>
      <c r="FY59" s="62"/>
      <c r="FZ59" s="62"/>
      <c r="GA59" s="62"/>
      <c r="GB59" s="62"/>
      <c r="GC59" s="62"/>
      <c r="GD59" s="62"/>
      <c r="GE59" s="62"/>
      <c r="GF59" s="62"/>
      <c r="GG59" s="62"/>
      <c r="GH59" s="62"/>
      <c r="GI59" s="62"/>
      <c r="GJ59" s="62"/>
      <c r="GK59" s="62"/>
      <c r="GL59" s="62"/>
      <c r="GM59" s="62"/>
      <c r="GN59" s="62"/>
      <c r="GO59" s="62"/>
      <c r="GP59" s="62"/>
      <c r="GQ59" s="62"/>
      <c r="GR59" s="61">
        <v>0.11</v>
      </c>
      <c r="GS59" s="59">
        <v>4.28</v>
      </c>
      <c r="GT59" s="64">
        <v>1.2500000000000001E-2</v>
      </c>
      <c r="GU59" s="62">
        <f>GT59*(BA59+EU59)</f>
        <v>0.48585175855513313</v>
      </c>
      <c r="GV59" s="61">
        <v>0.02</v>
      </c>
      <c r="GW59" s="62">
        <f>GV59*EU59</f>
        <v>3.8022813688212927E-2</v>
      </c>
      <c r="GX59" s="62">
        <f>GS59+GU59+GW59</f>
        <v>4.8038745722433456</v>
      </c>
      <c r="GY59" s="59" t="s">
        <v>43</v>
      </c>
      <c r="GZ59" s="59" t="s">
        <v>87</v>
      </c>
      <c r="HA59" s="62">
        <v>650</v>
      </c>
      <c r="HB59" s="62">
        <v>450</v>
      </c>
      <c r="HC59" s="59">
        <v>315</v>
      </c>
      <c r="HD59" s="59">
        <v>34</v>
      </c>
      <c r="HE59" s="59">
        <v>800</v>
      </c>
      <c r="HF59" s="59">
        <v>24</v>
      </c>
      <c r="HG59" s="59">
        <v>5</v>
      </c>
      <c r="HH59" s="59">
        <v>120</v>
      </c>
      <c r="HI59" s="59">
        <v>650</v>
      </c>
      <c r="HJ59" s="62">
        <f>HH59*HI59</f>
        <v>78000</v>
      </c>
      <c r="HK59" s="62"/>
      <c r="HL59" s="62"/>
      <c r="HM59" s="62">
        <v>2</v>
      </c>
      <c r="HN59" s="65">
        <f>HM59*12*25*HE59</f>
        <v>480000</v>
      </c>
      <c r="HO59" s="62">
        <f>IF(GY59="carton box",HI59/HD59,HJ59/HN59)</f>
        <v>0.16250000000000001</v>
      </c>
      <c r="HP59" s="62">
        <v>160</v>
      </c>
      <c r="HQ59" s="59">
        <v>0</v>
      </c>
      <c r="HR59" s="101">
        <v>3.6</v>
      </c>
      <c r="HS59" s="62">
        <v>1</v>
      </c>
      <c r="HT59" s="62">
        <f>HR59/HS59</f>
        <v>3.6</v>
      </c>
      <c r="HU59" s="62"/>
      <c r="HV59" s="62">
        <f>HO59+HT59</f>
        <v>3.7625000000000002</v>
      </c>
      <c r="HW59" s="62"/>
      <c r="HX59" s="62">
        <v>4200</v>
      </c>
      <c r="HY59" s="62">
        <v>1900</v>
      </c>
      <c r="HZ59" s="62">
        <v>1975</v>
      </c>
      <c r="IA59" s="62">
        <f t="shared" ref="IA59:IC62" si="153">ROUNDDOWN(HX59/HA59,0)</f>
        <v>6</v>
      </c>
      <c r="IB59" s="62">
        <f t="shared" si="153"/>
        <v>4</v>
      </c>
      <c r="IC59" s="62">
        <f t="shared" si="153"/>
        <v>6</v>
      </c>
      <c r="ID59" s="61">
        <v>1</v>
      </c>
      <c r="IE59" s="62">
        <f>ROUND(PRODUCT(IA59:ID59),0)</f>
        <v>144</v>
      </c>
      <c r="IF59" s="62">
        <v>950</v>
      </c>
      <c r="IG59" s="62">
        <f>IF59/(IE59*HD59)</f>
        <v>0.19403594771241831</v>
      </c>
      <c r="IH59" s="62"/>
      <c r="II59" s="59"/>
      <c r="IJ59" s="59"/>
      <c r="IK59" s="59"/>
    </row>
    <row r="60" spans="1:246">
      <c r="A60">
        <v>62</v>
      </c>
      <c r="B60" t="s">
        <v>468</v>
      </c>
      <c r="C60" s="115" t="s">
        <v>582</v>
      </c>
      <c r="D60" s="28" t="s">
        <v>175</v>
      </c>
      <c r="E60" s="27" t="s">
        <v>176</v>
      </c>
      <c r="F60" s="5" t="s">
        <v>2182</v>
      </c>
      <c r="G60" s="27" t="s">
        <v>102</v>
      </c>
      <c r="H60" s="27"/>
      <c r="I60" s="27" t="s">
        <v>121</v>
      </c>
      <c r="J60" s="28">
        <v>29010</v>
      </c>
      <c r="K60" s="27" t="s">
        <v>229</v>
      </c>
      <c r="L60" s="28"/>
      <c r="M60" s="28"/>
      <c r="N60" s="28"/>
      <c r="O60" s="28"/>
      <c r="P60" s="28"/>
      <c r="Q60" s="28" t="s">
        <v>1035</v>
      </c>
      <c r="R60" s="28" t="s">
        <v>1194</v>
      </c>
      <c r="S60" s="27"/>
      <c r="T60" s="27"/>
      <c r="U60" s="27"/>
      <c r="V60" s="29" t="s">
        <v>79</v>
      </c>
      <c r="W60" s="143"/>
      <c r="X60" s="143"/>
      <c r="Y60" s="143"/>
      <c r="Z60" s="143"/>
      <c r="AA60" s="150" t="s">
        <v>573</v>
      </c>
      <c r="AB60" s="137">
        <v>204</v>
      </c>
      <c r="AC60" s="104">
        <f>AB60-5</f>
        <v>199</v>
      </c>
      <c r="AD60" s="105" t="s">
        <v>315</v>
      </c>
      <c r="AE60" s="106">
        <f>BA60</f>
        <v>48.268500000000003</v>
      </c>
      <c r="AF60" s="106"/>
      <c r="AG60" s="106">
        <f>EU60</f>
        <v>8.7619047619047628</v>
      </c>
      <c r="AH60" s="106">
        <f>DP60</f>
        <v>0</v>
      </c>
      <c r="AI60" s="106">
        <f>DO60</f>
        <v>0</v>
      </c>
      <c r="AJ60" s="106">
        <f>GW60</f>
        <v>0.17523809523809525</v>
      </c>
      <c r="AK60" s="106">
        <f>GU60</f>
        <v>0.71288005952380962</v>
      </c>
      <c r="AL60" s="106">
        <f>GS60</f>
        <v>6.27</v>
      </c>
      <c r="AM60" s="106">
        <f>HV60</f>
        <v>1.7011111111111112</v>
      </c>
      <c r="AN60" s="106">
        <f>IG60</f>
        <v>0.34722222222222221</v>
      </c>
      <c r="AO60" s="107">
        <v>0</v>
      </c>
      <c r="AP60" s="107"/>
      <c r="AQ60" s="106">
        <f>SUM(AE60:AO60)</f>
        <v>66.236856250000017</v>
      </c>
      <c r="AR60" s="106"/>
      <c r="AS60" s="106"/>
      <c r="AT60" s="107"/>
      <c r="AU60" s="106">
        <f>AQ60*2%</f>
        <v>1.3247371250000004</v>
      </c>
      <c r="AV60" s="106">
        <f>AQ60+AT60+AU60</f>
        <v>67.561593375000015</v>
      </c>
      <c r="AW60" s="105">
        <v>0.24099999999999999</v>
      </c>
      <c r="AX60" s="105">
        <v>0.23599999999999999</v>
      </c>
      <c r="AY60" s="108">
        <v>0.9</v>
      </c>
      <c r="AZ60" s="105">
        <f>AW60-AX60</f>
        <v>5.0000000000000044E-3</v>
      </c>
      <c r="BA60" s="109">
        <f>AW60*AB60-(AZ60*AC60)*AY60</f>
        <v>48.268500000000003</v>
      </c>
      <c r="BB60" s="109"/>
      <c r="BC60" s="109"/>
      <c r="BD60" s="109"/>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5"/>
      <c r="CE60" s="105">
        <v>0</v>
      </c>
      <c r="CF60" s="105">
        <v>0</v>
      </c>
      <c r="CG60" s="105">
        <v>0</v>
      </c>
      <c r="CH60" s="105">
        <v>0</v>
      </c>
      <c r="CI60" s="105"/>
      <c r="CJ60" s="105"/>
      <c r="CK60" s="105"/>
      <c r="CL60" s="105"/>
      <c r="CM60" s="105"/>
      <c r="CN60" s="105"/>
      <c r="CO60" s="105"/>
      <c r="CP60" s="105"/>
      <c r="CQ60" s="105"/>
      <c r="CR60" s="105"/>
      <c r="CS60" s="105"/>
      <c r="CT60" s="105"/>
      <c r="CU60" s="105"/>
      <c r="CV60" s="105"/>
      <c r="CW60" s="105"/>
      <c r="CX60" s="105"/>
      <c r="CY60" s="105"/>
      <c r="CZ60" s="105"/>
      <c r="DA60" s="105"/>
      <c r="DB60" s="105"/>
      <c r="DC60" s="105"/>
      <c r="DD60" s="105"/>
      <c r="DE60" s="105"/>
      <c r="DF60" s="105"/>
      <c r="DG60" s="105"/>
      <c r="DH60" s="105"/>
      <c r="DI60" s="105"/>
      <c r="DJ60" s="105"/>
      <c r="DK60" s="105"/>
      <c r="DL60" s="105"/>
      <c r="DM60" s="105">
        <f>CM60+CR60+CW60+DB60+DG60+DL60+CH60</f>
        <v>0</v>
      </c>
      <c r="DN60" s="110">
        <v>1.2500000000000001E-2</v>
      </c>
      <c r="DO60" s="109">
        <f>DN60*CG60*CF60</f>
        <v>0</v>
      </c>
      <c r="DP60" s="109">
        <f>DM60+DO60</f>
        <v>0</v>
      </c>
      <c r="DQ60" s="109"/>
      <c r="DR60" s="109"/>
      <c r="DS60" s="109"/>
      <c r="DT60" s="109"/>
      <c r="DU60" s="109"/>
      <c r="DV60" s="109"/>
      <c r="DW60" s="109"/>
      <c r="DX60" s="109"/>
      <c r="DY60" s="109"/>
      <c r="DZ60" s="109"/>
      <c r="EA60" s="109"/>
      <c r="EB60" s="109"/>
      <c r="EC60" s="109"/>
      <c r="ED60" s="109"/>
      <c r="EE60" s="109"/>
      <c r="EF60" s="105">
        <v>420</v>
      </c>
      <c r="EG60" s="105">
        <v>3864</v>
      </c>
      <c r="EH60" s="105">
        <v>8</v>
      </c>
      <c r="EI60" s="108">
        <v>0.95</v>
      </c>
      <c r="EJ60" s="105">
        <v>1</v>
      </c>
      <c r="EK60" s="105">
        <v>62</v>
      </c>
      <c r="EL60" s="111">
        <f>ROUND(3600/EK60*EH60*EJ60*EI60,0)</f>
        <v>441</v>
      </c>
      <c r="EM60" s="109"/>
      <c r="EN60" s="109"/>
      <c r="EO60" s="109"/>
      <c r="EP60" s="111"/>
      <c r="EQ60" s="111"/>
      <c r="ER60" s="111"/>
      <c r="ES60" s="111"/>
      <c r="ET60" s="111"/>
      <c r="EU60" s="109">
        <f>EG60/EL60</f>
        <v>8.7619047619047628</v>
      </c>
      <c r="EV60" s="109"/>
      <c r="EW60" s="109"/>
      <c r="EX60" s="109"/>
      <c r="EY60" s="109"/>
      <c r="EZ60" s="109"/>
      <c r="FA60" s="109"/>
      <c r="FB60" s="109"/>
      <c r="FC60" s="109"/>
      <c r="FD60" s="109"/>
      <c r="FE60" s="109"/>
      <c r="FF60" s="109"/>
      <c r="FG60" s="109"/>
      <c r="FH60" s="109"/>
      <c r="FI60" s="109"/>
      <c r="FJ60" s="109"/>
      <c r="FK60" s="109"/>
      <c r="FL60" s="109"/>
      <c r="FM60" s="109"/>
      <c r="FN60" s="109"/>
      <c r="FO60" s="109"/>
      <c r="FP60" s="109"/>
      <c r="FQ60" s="109"/>
      <c r="FR60" s="109"/>
      <c r="FS60" s="109"/>
      <c r="FT60" s="109"/>
      <c r="FU60" s="109"/>
      <c r="FV60" s="109"/>
      <c r="FW60" s="109"/>
      <c r="FX60" s="109"/>
      <c r="FY60" s="109"/>
      <c r="FZ60" s="109"/>
      <c r="GA60" s="109"/>
      <c r="GB60" s="109"/>
      <c r="GC60" s="109"/>
      <c r="GD60" s="109"/>
      <c r="GE60" s="109"/>
      <c r="GF60" s="109"/>
      <c r="GG60" s="109"/>
      <c r="GH60" s="109"/>
      <c r="GI60" s="109"/>
      <c r="GJ60" s="109"/>
      <c r="GK60" s="109"/>
      <c r="GL60" s="109"/>
      <c r="GM60" s="109"/>
      <c r="GN60" s="109"/>
      <c r="GO60" s="109"/>
      <c r="GP60" s="109"/>
      <c r="GQ60" s="109"/>
      <c r="GR60" s="108">
        <v>0.11</v>
      </c>
      <c r="GS60" s="112">
        <v>6.27</v>
      </c>
      <c r="GT60" s="110">
        <v>1.2500000000000001E-2</v>
      </c>
      <c r="GU60" s="109">
        <f>GT60*(BA60+EU60)</f>
        <v>0.71288005952380962</v>
      </c>
      <c r="GV60" s="108">
        <v>0.02</v>
      </c>
      <c r="GW60" s="109">
        <f>GV60*EU60</f>
        <v>0.17523809523809525</v>
      </c>
      <c r="GX60" s="109">
        <f>GS60+GU60+GW60</f>
        <v>7.1581181547619046</v>
      </c>
      <c r="GY60" s="105" t="s">
        <v>43</v>
      </c>
      <c r="GZ60" s="105" t="s">
        <v>87</v>
      </c>
      <c r="HA60" s="109">
        <v>650</v>
      </c>
      <c r="HB60" s="109">
        <v>450</v>
      </c>
      <c r="HC60" s="105">
        <v>315</v>
      </c>
      <c r="HD60" s="105">
        <v>10</v>
      </c>
      <c r="HE60" s="105">
        <v>800</v>
      </c>
      <c r="HF60" s="105">
        <v>80</v>
      </c>
      <c r="HG60" s="105">
        <v>5</v>
      </c>
      <c r="HH60" s="109">
        <f>HF60*HG60</f>
        <v>400</v>
      </c>
      <c r="HI60" s="105">
        <v>650</v>
      </c>
      <c r="HJ60" s="109">
        <f>HH60*HI60</f>
        <v>260000</v>
      </c>
      <c r="HK60" s="109"/>
      <c r="HL60" s="109"/>
      <c r="HM60" s="109">
        <v>3</v>
      </c>
      <c r="HN60" s="111">
        <f>HM60*12*25*HE60</f>
        <v>720000</v>
      </c>
      <c r="HO60" s="109">
        <f>IF(GY60="carton box",HI60/HD60,HJ60/HN60)</f>
        <v>0.3611111111111111</v>
      </c>
      <c r="HP60" s="109">
        <v>160</v>
      </c>
      <c r="HQ60" s="105">
        <v>0</v>
      </c>
      <c r="HR60" s="113">
        <v>1.34</v>
      </c>
      <c r="HS60" s="109">
        <v>1</v>
      </c>
      <c r="HT60" s="109">
        <f>HR60/HS60</f>
        <v>1.34</v>
      </c>
      <c r="HU60" s="109"/>
      <c r="HV60" s="109">
        <f>HO60+HT60</f>
        <v>1.7011111111111112</v>
      </c>
      <c r="HW60" s="109"/>
      <c r="HX60" s="109">
        <v>4200</v>
      </c>
      <c r="HY60" s="109">
        <v>1900</v>
      </c>
      <c r="HZ60" s="109">
        <v>1975</v>
      </c>
      <c r="IA60" s="109">
        <f t="shared" si="153"/>
        <v>6</v>
      </c>
      <c r="IB60" s="109">
        <f t="shared" si="153"/>
        <v>4</v>
      </c>
      <c r="IC60" s="109">
        <f t="shared" si="153"/>
        <v>6</v>
      </c>
      <c r="ID60" s="108">
        <v>1</v>
      </c>
      <c r="IE60" s="109">
        <f>ROUND(PRODUCT(IA60:ID60),0)</f>
        <v>144</v>
      </c>
      <c r="IF60" s="109">
        <v>500</v>
      </c>
      <c r="IG60" s="109">
        <f>IF60/(IE60*HD60)</f>
        <v>0.34722222222222221</v>
      </c>
      <c r="IH60" s="109"/>
      <c r="II60" s="114"/>
      <c r="IJ60" s="114"/>
    </row>
    <row r="61" spans="1:246">
      <c r="A61">
        <v>63</v>
      </c>
      <c r="B61" t="s">
        <v>468</v>
      </c>
      <c r="C61" s="115" t="s">
        <v>584</v>
      </c>
      <c r="D61" s="28" t="s">
        <v>175</v>
      </c>
      <c r="E61" s="27" t="s">
        <v>176</v>
      </c>
      <c r="F61" s="5" t="s">
        <v>2182</v>
      </c>
      <c r="G61" s="27" t="s">
        <v>102</v>
      </c>
      <c r="H61" s="27"/>
      <c r="I61" s="27" t="s">
        <v>121</v>
      </c>
      <c r="J61" s="28">
        <v>21677</v>
      </c>
      <c r="K61" s="27" t="s">
        <v>228</v>
      </c>
      <c r="L61" s="28"/>
      <c r="M61" s="28"/>
      <c r="N61" s="28"/>
      <c r="O61" s="28"/>
      <c r="P61" s="28"/>
      <c r="Q61" s="28" t="s">
        <v>1857</v>
      </c>
      <c r="R61" s="28" t="s">
        <v>1193</v>
      </c>
      <c r="S61" s="27"/>
      <c r="T61" s="27"/>
      <c r="U61" s="27"/>
      <c r="V61" s="29" t="s">
        <v>79</v>
      </c>
      <c r="W61" s="144"/>
      <c r="X61" s="144"/>
      <c r="Y61" s="144"/>
      <c r="Z61" s="144"/>
      <c r="AA61" s="151" t="s">
        <v>583</v>
      </c>
      <c r="AB61" s="137">
        <v>188.79</v>
      </c>
      <c r="AC61" s="116">
        <v>20</v>
      </c>
      <c r="AD61" s="105" t="s">
        <v>310</v>
      </c>
      <c r="AE61" s="106">
        <f>BA61</f>
        <v>44.265649999999994</v>
      </c>
      <c r="AF61" s="106"/>
      <c r="AG61" s="106">
        <f>EU61</f>
        <v>9.8130841121495322</v>
      </c>
      <c r="AH61" s="106">
        <f>DP61</f>
        <v>0.2</v>
      </c>
      <c r="AI61" s="106">
        <f>DO61</f>
        <v>2.5000000000000005E-3</v>
      </c>
      <c r="AJ61" s="106">
        <f>DP61</f>
        <v>0.2</v>
      </c>
      <c r="AK61" s="106">
        <f>GU61</f>
        <v>0.67598417640186914</v>
      </c>
      <c r="AL61" s="106">
        <f>GS61</f>
        <v>5.95</v>
      </c>
      <c r="AM61" s="106">
        <f>HV61</f>
        <v>2.5371148459383752</v>
      </c>
      <c r="AN61" s="106">
        <f>IG61</f>
        <v>0.7142857142857143</v>
      </c>
      <c r="AO61" s="107">
        <v>0</v>
      </c>
      <c r="AP61" s="107"/>
      <c r="AQ61" s="106">
        <f>SUM(AE61:AO61)</f>
        <v>64.358618848775492</v>
      </c>
      <c r="AR61" s="106"/>
      <c r="AS61" s="106"/>
      <c r="AT61" s="107">
        <v>0</v>
      </c>
      <c r="AU61" s="106"/>
      <c r="AV61" s="106">
        <f>AQ61+AT61+AU61</f>
        <v>64.358618848775492</v>
      </c>
      <c r="AW61" s="105">
        <v>0.23499999999999999</v>
      </c>
      <c r="AX61" s="105">
        <v>0.23</v>
      </c>
      <c r="AY61" s="108">
        <v>1</v>
      </c>
      <c r="AZ61" s="105">
        <f>AW61-AX61</f>
        <v>4.9999999999999767E-3</v>
      </c>
      <c r="BA61" s="109">
        <f>AW61*AB61-AZ61*AC61</f>
        <v>44.265649999999994</v>
      </c>
      <c r="BB61" s="109"/>
      <c r="BC61" s="109"/>
      <c r="BD61" s="109"/>
      <c r="BE61" s="109"/>
      <c r="BF61" s="109"/>
      <c r="BG61" s="109"/>
      <c r="BH61" s="109"/>
      <c r="BI61" s="109"/>
      <c r="BJ61" s="109"/>
      <c r="BK61" s="109"/>
      <c r="BL61" s="109"/>
      <c r="BM61" s="109"/>
      <c r="BN61" s="109"/>
      <c r="BO61" s="109"/>
      <c r="BP61" s="109"/>
      <c r="BQ61" s="109"/>
      <c r="BR61" s="109"/>
      <c r="BS61" s="109"/>
      <c r="BT61" s="109"/>
      <c r="BU61" s="109"/>
      <c r="BV61" s="109"/>
      <c r="BW61" s="109"/>
      <c r="BX61" s="109"/>
      <c r="BY61" s="109"/>
      <c r="BZ61" s="109"/>
      <c r="CA61" s="109"/>
      <c r="CB61" s="109"/>
      <c r="CC61" s="109"/>
      <c r="CD61" s="105"/>
      <c r="CE61" s="105">
        <v>0</v>
      </c>
      <c r="CF61" s="105">
        <v>1</v>
      </c>
      <c r="CG61" s="105">
        <v>0.2</v>
      </c>
      <c r="CH61" s="105">
        <f>CG61*CF61</f>
        <v>0.2</v>
      </c>
      <c r="CI61" s="105"/>
      <c r="CJ61" s="105"/>
      <c r="CK61" s="105"/>
      <c r="CL61" s="105"/>
      <c r="CM61" s="105"/>
      <c r="CN61" s="105"/>
      <c r="CO61" s="105"/>
      <c r="CP61" s="105"/>
      <c r="CQ61" s="105"/>
      <c r="CR61" s="105"/>
      <c r="CS61" s="105"/>
      <c r="CT61" s="105"/>
      <c r="CU61" s="105"/>
      <c r="CV61" s="105"/>
      <c r="CW61" s="105"/>
      <c r="CX61" s="105"/>
      <c r="CY61" s="105"/>
      <c r="CZ61" s="105"/>
      <c r="DA61" s="105"/>
      <c r="DB61" s="105"/>
      <c r="DC61" s="105"/>
      <c r="DD61" s="105"/>
      <c r="DE61" s="105"/>
      <c r="DF61" s="105"/>
      <c r="DG61" s="105"/>
      <c r="DH61" s="105"/>
      <c r="DI61" s="105"/>
      <c r="DJ61" s="105"/>
      <c r="DK61" s="105"/>
      <c r="DL61" s="105"/>
      <c r="DM61" s="105">
        <f>CL61+CR61+CW61+DB61+DG61+DL61+CH61</f>
        <v>0.2</v>
      </c>
      <c r="DN61" s="110">
        <v>1.2500000000000001E-2</v>
      </c>
      <c r="DO61" s="109">
        <f>DN61*CG61*CF61</f>
        <v>2.5000000000000005E-3</v>
      </c>
      <c r="DP61" s="109">
        <f>CG61*CF61</f>
        <v>0.2</v>
      </c>
      <c r="DQ61" s="109"/>
      <c r="DR61" s="109"/>
      <c r="DS61" s="109"/>
      <c r="DT61" s="109"/>
      <c r="DU61" s="109"/>
      <c r="DV61" s="109"/>
      <c r="DW61" s="109"/>
      <c r="DX61" s="109"/>
      <c r="DY61" s="109"/>
      <c r="DZ61" s="109"/>
      <c r="EA61" s="109"/>
      <c r="EB61" s="109"/>
      <c r="EC61" s="109"/>
      <c r="ED61" s="109"/>
      <c r="EE61" s="109"/>
      <c r="EF61" s="105">
        <v>420</v>
      </c>
      <c r="EG61" s="105">
        <v>4200</v>
      </c>
      <c r="EH61" s="105">
        <v>8</v>
      </c>
      <c r="EI61" s="108">
        <v>0.95</v>
      </c>
      <c r="EJ61" s="105">
        <v>1</v>
      </c>
      <c r="EK61" s="105">
        <v>64</v>
      </c>
      <c r="EL61" s="111">
        <f>ROUND(3600/EK61*EH61*EJ61*EI61,0)</f>
        <v>428</v>
      </c>
      <c r="EM61" s="109"/>
      <c r="EN61" s="109"/>
      <c r="EO61" s="109"/>
      <c r="EP61" s="111"/>
      <c r="EQ61" s="111"/>
      <c r="ER61" s="111"/>
      <c r="ES61" s="111"/>
      <c r="ET61" s="111"/>
      <c r="EU61" s="109">
        <f>EG61/EL61</f>
        <v>9.8130841121495322</v>
      </c>
      <c r="EV61" s="109"/>
      <c r="EW61" s="109"/>
      <c r="EX61" s="109"/>
      <c r="EY61" s="109"/>
      <c r="EZ61" s="109"/>
      <c r="FA61" s="109"/>
      <c r="FB61" s="109"/>
      <c r="FC61" s="109"/>
      <c r="FD61" s="109"/>
      <c r="FE61" s="109"/>
      <c r="FF61" s="109"/>
      <c r="FG61" s="109"/>
      <c r="FH61" s="109"/>
      <c r="FI61" s="109"/>
      <c r="FJ61" s="109"/>
      <c r="FK61" s="109"/>
      <c r="FL61" s="109"/>
      <c r="FM61" s="109"/>
      <c r="FN61" s="109"/>
      <c r="FO61" s="109"/>
      <c r="FP61" s="109"/>
      <c r="FQ61" s="109"/>
      <c r="FR61" s="109"/>
      <c r="FS61" s="109"/>
      <c r="FT61" s="109"/>
      <c r="FU61" s="109"/>
      <c r="FV61" s="109"/>
      <c r="FW61" s="109"/>
      <c r="FX61" s="109"/>
      <c r="FY61" s="109"/>
      <c r="FZ61" s="109"/>
      <c r="GA61" s="109"/>
      <c r="GB61" s="109"/>
      <c r="GC61" s="109"/>
      <c r="GD61" s="109"/>
      <c r="GE61" s="109"/>
      <c r="GF61" s="109"/>
      <c r="GG61" s="109"/>
      <c r="GH61" s="109"/>
      <c r="GI61" s="109"/>
      <c r="GJ61" s="109"/>
      <c r="GK61" s="109"/>
      <c r="GL61" s="109"/>
      <c r="GM61" s="109"/>
      <c r="GN61" s="109"/>
      <c r="GO61" s="109"/>
      <c r="GP61" s="109"/>
      <c r="GQ61" s="109"/>
      <c r="GR61" s="108">
        <v>0.11</v>
      </c>
      <c r="GS61" s="105">
        <v>5.95</v>
      </c>
      <c r="GT61" s="110">
        <v>1.2500000000000001E-2</v>
      </c>
      <c r="GU61" s="109">
        <f>GT61*(BA61+EU61)</f>
        <v>0.67598417640186914</v>
      </c>
      <c r="GV61" s="108">
        <v>0.02</v>
      </c>
      <c r="GW61" s="109">
        <f>GV61*EU61</f>
        <v>0.19626168224299065</v>
      </c>
      <c r="GX61" s="109">
        <f>GS61+GU61+GW61</f>
        <v>6.8222458586448598</v>
      </c>
      <c r="GY61" s="105" t="s">
        <v>43</v>
      </c>
      <c r="GZ61" s="105" t="s">
        <v>87</v>
      </c>
      <c r="HA61" s="109">
        <v>805</v>
      </c>
      <c r="HB61" s="109">
        <v>675</v>
      </c>
      <c r="HC61" s="105">
        <v>405</v>
      </c>
      <c r="HD61" s="105">
        <v>14</v>
      </c>
      <c r="HE61" s="105">
        <v>700</v>
      </c>
      <c r="HF61" s="109">
        <v>50</v>
      </c>
      <c r="HG61" s="105">
        <v>5</v>
      </c>
      <c r="HH61" s="109">
        <f>HF61*HG61</f>
        <v>250</v>
      </c>
      <c r="HI61" s="105">
        <v>1100</v>
      </c>
      <c r="HJ61" s="109">
        <f>HH61*HI61</f>
        <v>275000</v>
      </c>
      <c r="HK61" s="109"/>
      <c r="HL61" s="109"/>
      <c r="HM61" s="109">
        <v>2</v>
      </c>
      <c r="HN61" s="111">
        <f>HM61*12*25*HE61</f>
        <v>420000</v>
      </c>
      <c r="HO61" s="109">
        <f>IF(GY61="carton box",HI61/HD61,HJ61/HN61)</f>
        <v>0.65476190476190477</v>
      </c>
      <c r="HP61" s="109">
        <v>160</v>
      </c>
      <c r="HQ61" s="105">
        <v>0</v>
      </c>
      <c r="HR61" s="109">
        <v>160</v>
      </c>
      <c r="HS61" s="109">
        <v>85</v>
      </c>
      <c r="HT61" s="109">
        <f>HR61/HS61</f>
        <v>1.8823529411764706</v>
      </c>
      <c r="HU61" s="109"/>
      <c r="HV61" s="109">
        <f>HO61+HT61</f>
        <v>2.5371148459383752</v>
      </c>
      <c r="HW61" s="109"/>
      <c r="HX61" s="109">
        <v>5016</v>
      </c>
      <c r="HY61" s="109">
        <v>1976</v>
      </c>
      <c r="HZ61" s="109">
        <v>2280</v>
      </c>
      <c r="IA61" s="109">
        <f t="shared" si="153"/>
        <v>6</v>
      </c>
      <c r="IB61" s="109">
        <f t="shared" si="153"/>
        <v>2</v>
      </c>
      <c r="IC61" s="109">
        <f t="shared" si="153"/>
        <v>5</v>
      </c>
      <c r="ID61" s="108">
        <v>0.9</v>
      </c>
      <c r="IE61" s="109">
        <v>50</v>
      </c>
      <c r="IF61" s="109">
        <v>500</v>
      </c>
      <c r="IG61" s="109">
        <f>IF61/(IE61*HD61)</f>
        <v>0.7142857142857143</v>
      </c>
      <c r="IH61" s="62"/>
    </row>
    <row r="62" spans="1:246">
      <c r="A62">
        <v>64</v>
      </c>
      <c r="B62" t="s">
        <v>468</v>
      </c>
      <c r="C62" s="115" t="s">
        <v>585</v>
      </c>
      <c r="D62" s="28" t="s">
        <v>177</v>
      </c>
      <c r="E62" s="27" t="s">
        <v>178</v>
      </c>
      <c r="F62" s="5" t="s">
        <v>2182</v>
      </c>
      <c r="G62" s="27" t="s">
        <v>102</v>
      </c>
      <c r="H62" s="27"/>
      <c r="I62" s="27" t="s">
        <v>121</v>
      </c>
      <c r="J62" s="28">
        <v>29010</v>
      </c>
      <c r="K62" s="27" t="s">
        <v>229</v>
      </c>
      <c r="L62" s="28"/>
      <c r="M62" s="28"/>
      <c r="N62" s="28"/>
      <c r="O62" s="28"/>
      <c r="P62" s="28"/>
      <c r="Q62" s="28" t="s">
        <v>1857</v>
      </c>
      <c r="R62" s="28" t="s">
        <v>1193</v>
      </c>
      <c r="S62" s="27"/>
      <c r="T62" s="27"/>
      <c r="U62" s="27"/>
      <c r="V62" s="29" t="s">
        <v>79</v>
      </c>
      <c r="W62" s="145" t="s">
        <v>576</v>
      </c>
      <c r="X62" s="145"/>
      <c r="Y62" s="145"/>
      <c r="Z62" s="145"/>
      <c r="AA62" s="150" t="s">
        <v>573</v>
      </c>
      <c r="AB62" s="346">
        <v>204</v>
      </c>
      <c r="AC62" s="105">
        <f>AB62-5</f>
        <v>199</v>
      </c>
      <c r="AD62" s="105" t="s">
        <v>315</v>
      </c>
      <c r="AE62" s="106">
        <f>BA62</f>
        <v>15.474299999999999</v>
      </c>
      <c r="AF62" s="106"/>
      <c r="AG62" s="106">
        <f>EU62</f>
        <v>2.0912547528517109</v>
      </c>
      <c r="AH62" s="106">
        <f>DP62</f>
        <v>0</v>
      </c>
      <c r="AI62" s="106">
        <f>DO62</f>
        <v>0</v>
      </c>
      <c r="AJ62" s="106">
        <f>GW62</f>
        <v>4.1825095057034217E-2</v>
      </c>
      <c r="AK62" s="106">
        <f>GU62</f>
        <v>0.21956943441064639</v>
      </c>
      <c r="AL62" s="106">
        <f>GS62</f>
        <v>1.93</v>
      </c>
      <c r="AM62" s="106">
        <f>HV62</f>
        <v>0.86284722222222221</v>
      </c>
      <c r="AN62" s="106">
        <f>IG62</f>
        <v>0.10850694444444445</v>
      </c>
      <c r="AO62" s="107">
        <v>0</v>
      </c>
      <c r="AP62" s="107"/>
      <c r="AQ62" s="106">
        <f>SUM(AE62:AO62)</f>
        <v>20.728303448986058</v>
      </c>
      <c r="AR62" s="106"/>
      <c r="AS62" s="106"/>
      <c r="AT62" s="107">
        <v>0</v>
      </c>
      <c r="AU62" s="106">
        <f>AQ62*2%</f>
        <v>0.41456606897972115</v>
      </c>
      <c r="AV62" s="106">
        <f>AQ62+AT62+AU62</f>
        <v>21.142869517965778</v>
      </c>
      <c r="AW62" s="117">
        <v>8.2000000000000003E-2</v>
      </c>
      <c r="AX62" s="105">
        <v>7.4999999999999997E-2</v>
      </c>
      <c r="AY62" s="108">
        <v>0.9</v>
      </c>
      <c r="AZ62" s="105">
        <f>AW62-AX62</f>
        <v>7.0000000000000062E-3</v>
      </c>
      <c r="BA62" s="109">
        <f>AW62*AB62-(AZ62*AC62)*AY62</f>
        <v>15.474299999999999</v>
      </c>
      <c r="BB62" s="109"/>
      <c r="BC62" s="109"/>
      <c r="BD62" s="109"/>
      <c r="BE62" s="109"/>
      <c r="BF62" s="109"/>
      <c r="BG62" s="109"/>
      <c r="BH62" s="109"/>
      <c r="BI62" s="109"/>
      <c r="BJ62" s="109"/>
      <c r="BK62" s="109"/>
      <c r="BL62" s="109"/>
      <c r="BM62" s="109"/>
      <c r="BN62" s="109"/>
      <c r="BO62" s="109"/>
      <c r="BP62" s="109"/>
      <c r="BQ62" s="109"/>
      <c r="BR62" s="109"/>
      <c r="BS62" s="109"/>
      <c r="BT62" s="109"/>
      <c r="BU62" s="109"/>
      <c r="BV62" s="109"/>
      <c r="BW62" s="109"/>
      <c r="BX62" s="109"/>
      <c r="BY62" s="109"/>
      <c r="BZ62" s="109"/>
      <c r="CA62" s="109"/>
      <c r="CB62" s="109"/>
      <c r="CC62" s="109"/>
      <c r="CD62" s="105"/>
      <c r="CE62" s="105">
        <v>0</v>
      </c>
      <c r="CF62" s="105">
        <v>0</v>
      </c>
      <c r="CG62" s="105">
        <v>0</v>
      </c>
      <c r="CH62" s="105">
        <f>CF62*CG62</f>
        <v>0</v>
      </c>
      <c r="CI62" s="105"/>
      <c r="CJ62" s="105"/>
      <c r="CK62" s="105"/>
      <c r="CL62" s="105"/>
      <c r="CM62" s="105"/>
      <c r="CN62" s="105"/>
      <c r="CO62" s="105"/>
      <c r="CP62" s="105"/>
      <c r="CQ62" s="105"/>
      <c r="CR62" s="105"/>
      <c r="CS62" s="105"/>
      <c r="CT62" s="105"/>
      <c r="CU62" s="105"/>
      <c r="CV62" s="105"/>
      <c r="CW62" s="105"/>
      <c r="CX62" s="105"/>
      <c r="CY62" s="105"/>
      <c r="CZ62" s="105"/>
      <c r="DA62" s="105"/>
      <c r="DB62" s="105"/>
      <c r="DC62" s="105"/>
      <c r="DD62" s="105"/>
      <c r="DE62" s="105"/>
      <c r="DF62" s="105"/>
      <c r="DG62" s="105"/>
      <c r="DH62" s="105"/>
      <c r="DI62" s="105"/>
      <c r="DJ62" s="105"/>
      <c r="DK62" s="105"/>
      <c r="DL62" s="105"/>
      <c r="DM62" s="118">
        <v>0</v>
      </c>
      <c r="DN62" s="110">
        <v>1.2500000000000001E-2</v>
      </c>
      <c r="DO62" s="109">
        <f>DN62*CG62*CF62</f>
        <v>0</v>
      </c>
      <c r="DP62" s="109">
        <f>CG62*CF62</f>
        <v>0</v>
      </c>
      <c r="DQ62" s="109"/>
      <c r="DR62" s="109"/>
      <c r="DS62" s="109"/>
      <c r="DT62" s="109"/>
      <c r="DU62" s="109"/>
      <c r="DV62" s="109"/>
      <c r="DW62" s="109"/>
      <c r="DX62" s="109"/>
      <c r="DY62" s="109"/>
      <c r="DZ62" s="109"/>
      <c r="EA62" s="109"/>
      <c r="EB62" s="109"/>
      <c r="EC62" s="109"/>
      <c r="ED62" s="109"/>
      <c r="EE62" s="109"/>
      <c r="EF62" s="105">
        <v>220</v>
      </c>
      <c r="EG62" s="105">
        <v>2200</v>
      </c>
      <c r="EH62" s="105">
        <v>8</v>
      </c>
      <c r="EI62" s="108">
        <v>0.95</v>
      </c>
      <c r="EJ62" s="105">
        <v>2</v>
      </c>
      <c r="EK62" s="105">
        <v>52</v>
      </c>
      <c r="EL62" s="111">
        <f>ROUND(3600/EK62*EH62*EJ62*EI62,0)</f>
        <v>1052</v>
      </c>
      <c r="EM62" s="109"/>
      <c r="EN62" s="109"/>
      <c r="EO62" s="109"/>
      <c r="EP62" s="111"/>
      <c r="EQ62" s="111"/>
      <c r="ER62" s="111"/>
      <c r="ES62" s="111"/>
      <c r="ET62" s="111"/>
      <c r="EU62" s="109">
        <f>EG62/EL62</f>
        <v>2.0912547528517109</v>
      </c>
      <c r="EV62" s="109"/>
      <c r="EW62" s="109"/>
      <c r="EX62" s="109"/>
      <c r="EY62" s="109"/>
      <c r="EZ62" s="109"/>
      <c r="FA62" s="109"/>
      <c r="FB62" s="109"/>
      <c r="FC62" s="109"/>
      <c r="FD62" s="109"/>
      <c r="FE62" s="109"/>
      <c r="FF62" s="109"/>
      <c r="FG62" s="109"/>
      <c r="FH62" s="109"/>
      <c r="FI62" s="109"/>
      <c r="FJ62" s="109"/>
      <c r="FK62" s="109"/>
      <c r="FL62" s="109"/>
      <c r="FM62" s="109"/>
      <c r="FN62" s="109"/>
      <c r="FO62" s="109"/>
      <c r="FP62" s="109"/>
      <c r="FQ62" s="109"/>
      <c r="FR62" s="109"/>
      <c r="FS62" s="109"/>
      <c r="FT62" s="109"/>
      <c r="FU62" s="109"/>
      <c r="FV62" s="109"/>
      <c r="FW62" s="109"/>
      <c r="FX62" s="109"/>
      <c r="FY62" s="109"/>
      <c r="FZ62" s="109"/>
      <c r="GA62" s="109"/>
      <c r="GB62" s="109"/>
      <c r="GC62" s="109"/>
      <c r="GD62" s="109"/>
      <c r="GE62" s="109"/>
      <c r="GF62" s="109"/>
      <c r="GG62" s="109"/>
      <c r="GH62" s="109"/>
      <c r="GI62" s="109"/>
      <c r="GJ62" s="109"/>
      <c r="GK62" s="109"/>
      <c r="GL62" s="109"/>
      <c r="GM62" s="109"/>
      <c r="GN62" s="109"/>
      <c r="GO62" s="109"/>
      <c r="GP62" s="109"/>
      <c r="GQ62" s="109"/>
      <c r="GR62" s="108">
        <v>0.11</v>
      </c>
      <c r="GS62" s="105">
        <v>1.93</v>
      </c>
      <c r="GT62" s="110">
        <v>1.2500000000000001E-2</v>
      </c>
      <c r="GU62" s="109">
        <f>GT62*(BA62+EU62)</f>
        <v>0.21956943441064639</v>
      </c>
      <c r="GV62" s="108">
        <v>0.02</v>
      </c>
      <c r="GW62" s="109">
        <f>GV62*EU62</f>
        <v>4.1825095057034217E-2</v>
      </c>
      <c r="GX62" s="109">
        <f>GS62+GU62+GW62</f>
        <v>2.1913945294676802</v>
      </c>
      <c r="GY62" s="105" t="s">
        <v>43</v>
      </c>
      <c r="GZ62" s="105" t="s">
        <v>87</v>
      </c>
      <c r="HA62" s="109">
        <v>650</v>
      </c>
      <c r="HB62" s="109">
        <v>450</v>
      </c>
      <c r="HC62" s="105">
        <v>315</v>
      </c>
      <c r="HD62" s="105">
        <v>32</v>
      </c>
      <c r="HE62" s="105">
        <v>800</v>
      </c>
      <c r="HF62" s="105">
        <v>25</v>
      </c>
      <c r="HG62" s="105">
        <v>5</v>
      </c>
      <c r="HH62" s="118">
        <f>HF62*HG62</f>
        <v>125</v>
      </c>
      <c r="HI62" s="105">
        <v>650</v>
      </c>
      <c r="HJ62" s="109">
        <f>HH62*HI62</f>
        <v>81250</v>
      </c>
      <c r="HK62" s="109"/>
      <c r="HL62" s="109"/>
      <c r="HM62" s="109">
        <v>3</v>
      </c>
      <c r="HN62" s="111">
        <f>HM62*12*25*HE62</f>
        <v>720000</v>
      </c>
      <c r="HO62" s="109">
        <f>IF(GY62="carton box",HI62/HD62,HJ62/HN62)</f>
        <v>0.11284722222222222</v>
      </c>
      <c r="HP62" s="109">
        <v>160</v>
      </c>
      <c r="HQ62" s="105">
        <v>0</v>
      </c>
      <c r="HR62" s="109">
        <v>0.75</v>
      </c>
      <c r="HS62" s="109">
        <v>1</v>
      </c>
      <c r="HT62" s="109">
        <f>HR62/HS62</f>
        <v>0.75</v>
      </c>
      <c r="HU62" s="109"/>
      <c r="HV62" s="109">
        <f>HO62+HT62</f>
        <v>0.86284722222222221</v>
      </c>
      <c r="HW62" s="109"/>
      <c r="HX62" s="109">
        <v>4200</v>
      </c>
      <c r="HY62" s="109">
        <v>1900</v>
      </c>
      <c r="HZ62" s="109">
        <v>1975</v>
      </c>
      <c r="IA62" s="109">
        <f t="shared" si="153"/>
        <v>6</v>
      </c>
      <c r="IB62" s="109">
        <f t="shared" si="153"/>
        <v>4</v>
      </c>
      <c r="IC62" s="109">
        <f t="shared" si="153"/>
        <v>6</v>
      </c>
      <c r="ID62" s="108">
        <v>1</v>
      </c>
      <c r="IE62" s="109">
        <f>ROUND(PRODUCT(IA62:ID62),0)</f>
        <v>144</v>
      </c>
      <c r="IF62" s="109">
        <v>500</v>
      </c>
      <c r="IG62" s="109">
        <f>IF62/(IE62*HD62)</f>
        <v>0.10850694444444445</v>
      </c>
      <c r="IH62" s="109"/>
      <c r="II62" s="114"/>
      <c r="IJ62" s="114"/>
    </row>
    <row r="63" spans="1:246">
      <c r="A63">
        <v>467</v>
      </c>
      <c r="B63" t="s">
        <v>4929</v>
      </c>
      <c r="D63" s="28" t="s">
        <v>1330</v>
      </c>
      <c r="E63" s="28" t="s">
        <v>176</v>
      </c>
      <c r="F63" t="s">
        <v>4929</v>
      </c>
      <c r="G63" s="27" t="s">
        <v>90</v>
      </c>
      <c r="I63" s="27" t="s">
        <v>226</v>
      </c>
      <c r="J63" s="28">
        <v>21599</v>
      </c>
      <c r="K63" s="27" t="s">
        <v>1240</v>
      </c>
    </row>
    <row r="64" spans="1:246">
      <c r="A64">
        <v>66</v>
      </c>
      <c r="B64" t="s">
        <v>468</v>
      </c>
      <c r="C64" s="115" t="s">
        <v>586</v>
      </c>
      <c r="D64" s="28" t="s">
        <v>181</v>
      </c>
      <c r="E64" s="27" t="s">
        <v>182</v>
      </c>
      <c r="F64" s="5" t="s">
        <v>2182</v>
      </c>
      <c r="G64" s="27" t="s">
        <v>102</v>
      </c>
      <c r="H64" s="27"/>
      <c r="I64" s="27" t="s">
        <v>121</v>
      </c>
      <c r="J64" s="28">
        <v>21677</v>
      </c>
      <c r="K64" s="27" t="s">
        <v>228</v>
      </c>
      <c r="L64" s="28"/>
      <c r="M64" s="28"/>
      <c r="N64" s="28"/>
      <c r="O64" s="28"/>
      <c r="P64" s="28"/>
      <c r="Q64" s="28" t="s">
        <v>1862</v>
      </c>
      <c r="R64" s="28" t="s">
        <v>1194</v>
      </c>
      <c r="S64" s="27"/>
      <c r="T64" s="27"/>
      <c r="U64" s="27"/>
      <c r="V64" s="29" t="s">
        <v>79</v>
      </c>
      <c r="W64" s="145"/>
      <c r="X64" s="145"/>
      <c r="Y64" s="145"/>
      <c r="Z64" s="145"/>
      <c r="AA64" s="152" t="s">
        <v>587</v>
      </c>
      <c r="AB64" s="137">
        <v>197.27</v>
      </c>
      <c r="AC64" s="109">
        <v>20</v>
      </c>
      <c r="AD64" s="105" t="s">
        <v>315</v>
      </c>
      <c r="AE64" s="106">
        <f t="shared" ref="AE64:AE79" si="154">BA64</f>
        <v>68.489959999999996</v>
      </c>
      <c r="AF64" s="106"/>
      <c r="AG64" s="106">
        <f>EU64+EV64</f>
        <v>17.244444444444444</v>
      </c>
      <c r="AH64" s="119">
        <f>DP64</f>
        <v>0</v>
      </c>
      <c r="AI64" s="119">
        <f t="shared" ref="AI64:AI79" si="155">DO64</f>
        <v>0</v>
      </c>
      <c r="AJ64" s="119">
        <f t="shared" ref="AJ64:AJ79" si="156">GW64</f>
        <v>0.28266666666666668</v>
      </c>
      <c r="AK64" s="119">
        <f t="shared" ref="AK64:AK79" si="157">GU64</f>
        <v>1.0327911666666665</v>
      </c>
      <c r="AL64" s="106">
        <f t="shared" ref="AL64:AL79" si="158">GS64</f>
        <v>9.09</v>
      </c>
      <c r="AM64" s="119">
        <f t="shared" ref="AM64:AM79" si="159">HV64</f>
        <v>2.5462962962962963</v>
      </c>
      <c r="AN64" s="106">
        <f t="shared" ref="AN64:AN79" si="160">IG64</f>
        <v>1.3888888888888888</v>
      </c>
      <c r="AO64" s="107">
        <v>0</v>
      </c>
      <c r="AP64" s="107"/>
      <c r="AQ64" s="106">
        <f t="shared" ref="AQ64:AQ79" si="161">SUM(AE64:AO64)</f>
        <v>100.07504746296296</v>
      </c>
      <c r="AR64" s="106"/>
      <c r="AS64" s="106"/>
      <c r="AT64" s="107">
        <v>0</v>
      </c>
      <c r="AU64" s="114"/>
      <c r="AV64" s="106">
        <f>AQ64+AT64</f>
        <v>100.07504746296296</v>
      </c>
      <c r="AW64" s="114">
        <v>0.34799999999999998</v>
      </c>
      <c r="AX64" s="105">
        <v>0.34</v>
      </c>
      <c r="AY64" s="108">
        <v>1</v>
      </c>
      <c r="AZ64" s="105">
        <f>AW64-AX64</f>
        <v>7.9999999999999516E-3</v>
      </c>
      <c r="BA64" s="109">
        <f>AW64*AB64-(AZ64*AC64)*AY64</f>
        <v>68.489959999999996</v>
      </c>
      <c r="BB64" s="109"/>
      <c r="BC64" s="109"/>
      <c r="BD64" s="109"/>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09"/>
      <c r="CD64" s="114"/>
      <c r="CE64" s="105">
        <v>0</v>
      </c>
      <c r="CF64" s="105">
        <v>0</v>
      </c>
      <c r="CG64" s="105">
        <v>0</v>
      </c>
      <c r="CH64" s="114">
        <f t="shared" ref="CH64:CH70" si="162">CG64*CF64</f>
        <v>0</v>
      </c>
      <c r="CI64" s="114"/>
      <c r="CJ64" s="114"/>
      <c r="CK64" s="114"/>
      <c r="CL64" s="114"/>
      <c r="CM64" s="114"/>
      <c r="CN64" s="114"/>
      <c r="CO64" s="114"/>
      <c r="CP64" s="114"/>
      <c r="CQ64" s="114"/>
      <c r="CR64" s="114"/>
      <c r="CS64" s="114"/>
      <c r="CT64" s="114"/>
      <c r="CU64" s="114"/>
      <c r="CV64" s="114"/>
      <c r="CW64" s="114"/>
      <c r="CX64" s="114"/>
      <c r="CY64" s="114"/>
      <c r="CZ64" s="114"/>
      <c r="DA64" s="114"/>
      <c r="DB64" s="114"/>
      <c r="DC64" s="114"/>
      <c r="DD64" s="114"/>
      <c r="DE64" s="114"/>
      <c r="DF64" s="114"/>
      <c r="DG64" s="114"/>
      <c r="DH64" s="114"/>
      <c r="DI64" s="114"/>
      <c r="DJ64" s="114"/>
      <c r="DK64" s="114"/>
      <c r="DL64" s="114"/>
      <c r="DM64" s="118">
        <v>0</v>
      </c>
      <c r="DN64" s="110">
        <v>1.2500000000000001E-2</v>
      </c>
      <c r="DO64" s="118">
        <f>DN64*CG64*CF64</f>
        <v>0</v>
      </c>
      <c r="DP64" s="109">
        <f>CG64*CF64</f>
        <v>0</v>
      </c>
      <c r="DQ64" s="109"/>
      <c r="DR64" s="109"/>
      <c r="DS64" s="109"/>
      <c r="DT64" s="109"/>
      <c r="DU64" s="109"/>
      <c r="DV64" s="109"/>
      <c r="DW64" s="109"/>
      <c r="DX64" s="109"/>
      <c r="DY64" s="109"/>
      <c r="DZ64" s="109"/>
      <c r="EA64" s="109"/>
      <c r="EB64" s="109"/>
      <c r="EC64" s="109"/>
      <c r="ED64" s="109"/>
      <c r="EE64" s="109"/>
      <c r="EF64" s="105">
        <v>530</v>
      </c>
      <c r="EG64" s="105">
        <v>5300</v>
      </c>
      <c r="EH64" s="105">
        <v>8</v>
      </c>
      <c r="EI64" s="108">
        <v>0.95</v>
      </c>
      <c r="EJ64" s="105">
        <v>1</v>
      </c>
      <c r="EK64" s="105">
        <v>73</v>
      </c>
      <c r="EL64" s="111">
        <f>ROUND(3600/EK64*EH64*EJ64*EI64,0)</f>
        <v>375</v>
      </c>
      <c r="EM64" s="109"/>
      <c r="EN64" s="109"/>
      <c r="EO64" s="109"/>
      <c r="EP64" s="111"/>
      <c r="EQ64" s="111"/>
      <c r="ER64" s="111"/>
      <c r="ES64" s="111"/>
      <c r="ET64" s="111"/>
      <c r="EU64" s="109">
        <f t="shared" ref="EU64:EU79" si="163">EG64/EL64</f>
        <v>14.133333333333333</v>
      </c>
      <c r="EV64" s="109">
        <f>(21000/25/7.5)/(3600/80*80%)</f>
        <v>3.1111111111111112</v>
      </c>
      <c r="EW64" s="109"/>
      <c r="EX64" s="109"/>
      <c r="EY64" s="109"/>
      <c r="EZ64" s="109"/>
      <c r="FA64" s="109"/>
      <c r="FB64" s="109"/>
      <c r="FC64" s="109"/>
      <c r="FD64" s="109"/>
      <c r="FE64" s="109"/>
      <c r="FF64" s="109"/>
      <c r="FG64" s="109"/>
      <c r="FH64" s="109"/>
      <c r="FI64" s="109"/>
      <c r="FJ64" s="109"/>
      <c r="FK64" s="109"/>
      <c r="FL64" s="109"/>
      <c r="FM64" s="109"/>
      <c r="FN64" s="109"/>
      <c r="FO64" s="109"/>
      <c r="FP64" s="109"/>
      <c r="FQ64" s="109"/>
      <c r="FR64" s="109"/>
      <c r="FS64" s="109"/>
      <c r="FT64" s="109"/>
      <c r="FU64" s="109"/>
      <c r="FV64" s="109"/>
      <c r="FW64" s="109"/>
      <c r="FX64" s="109"/>
      <c r="FY64" s="109"/>
      <c r="FZ64" s="109"/>
      <c r="GA64" s="109"/>
      <c r="GB64" s="109"/>
      <c r="GC64" s="109"/>
      <c r="GD64" s="109"/>
      <c r="GE64" s="109"/>
      <c r="GF64" s="109"/>
      <c r="GG64" s="109"/>
      <c r="GH64" s="109"/>
      <c r="GI64" s="109"/>
      <c r="GJ64" s="109"/>
      <c r="GK64" s="109"/>
      <c r="GL64" s="109"/>
      <c r="GM64" s="109"/>
      <c r="GN64" s="109"/>
      <c r="GO64" s="109"/>
      <c r="GP64" s="109"/>
      <c r="GQ64" s="109"/>
      <c r="GR64" s="120">
        <v>0.11</v>
      </c>
      <c r="GS64" s="105">
        <v>9.09</v>
      </c>
      <c r="GT64" s="110">
        <v>1.2500000000000001E-2</v>
      </c>
      <c r="GU64" s="109">
        <f t="shared" ref="GU64:GU79" si="164">GT64*(BA64+EU64)</f>
        <v>1.0327911666666665</v>
      </c>
      <c r="GV64" s="108">
        <v>0.02</v>
      </c>
      <c r="GW64" s="109">
        <f t="shared" ref="GW64:GW79" si="165">GV64*EU64</f>
        <v>0.28266666666666668</v>
      </c>
      <c r="GX64" s="118">
        <f t="shared" ref="GX64:GX79" si="166">GS64+GU64+GW64</f>
        <v>10.405457833333333</v>
      </c>
      <c r="GY64" s="114" t="s">
        <v>130</v>
      </c>
      <c r="GZ64" s="114" t="s">
        <v>130</v>
      </c>
      <c r="HA64" s="109">
        <v>1350</v>
      </c>
      <c r="HB64" s="109">
        <v>950</v>
      </c>
      <c r="HC64" s="105">
        <v>2400</v>
      </c>
      <c r="HD64" s="105">
        <v>72</v>
      </c>
      <c r="HE64" s="105">
        <v>800</v>
      </c>
      <c r="HF64" s="118">
        <f>HE64/HD64</f>
        <v>11.111111111111111</v>
      </c>
      <c r="HG64" s="105">
        <v>5</v>
      </c>
      <c r="HH64" s="118">
        <f>HF64*HG64</f>
        <v>55.555555555555557</v>
      </c>
      <c r="HI64" s="105">
        <v>19500</v>
      </c>
      <c r="HJ64" s="118">
        <f t="shared" ref="HJ64:HJ79" si="167">HH64*HI64</f>
        <v>1083333.3333333333</v>
      </c>
      <c r="HK64" s="118"/>
      <c r="HL64" s="118"/>
      <c r="HM64" s="109">
        <v>3</v>
      </c>
      <c r="HN64" s="111">
        <f t="shared" ref="HN64:HN79" si="168">HM64*12*25*HE64</f>
        <v>720000</v>
      </c>
      <c r="HO64" s="118">
        <f t="shared" ref="HO64:HO79" si="169">IF(GY64="carton box",HI64/HD64,HJ64/HN64)</f>
        <v>1.5046296296296295</v>
      </c>
      <c r="HP64" s="118">
        <v>160</v>
      </c>
      <c r="HQ64" s="105">
        <v>0</v>
      </c>
      <c r="HR64" s="114">
        <v>75</v>
      </c>
      <c r="HS64" s="109">
        <v>72</v>
      </c>
      <c r="HT64" s="109">
        <f>HR64/HS64</f>
        <v>1.0416666666666667</v>
      </c>
      <c r="HU64" s="109"/>
      <c r="HV64" s="109">
        <f t="shared" ref="HV64:HV79" si="170">HO64+HT64</f>
        <v>2.5462962962962963</v>
      </c>
      <c r="HW64" s="109"/>
      <c r="HX64" s="109">
        <v>5016</v>
      </c>
      <c r="HY64" s="109">
        <v>1976</v>
      </c>
      <c r="HZ64" s="109">
        <v>2280</v>
      </c>
      <c r="IA64" s="109">
        <f t="shared" ref="IA64:IB66" si="171">ROUNDDOWN(HX64/HA64,0)</f>
        <v>3</v>
      </c>
      <c r="IB64" s="109">
        <f t="shared" si="171"/>
        <v>2</v>
      </c>
      <c r="IC64" s="109">
        <v>1</v>
      </c>
      <c r="ID64" s="108">
        <v>1</v>
      </c>
      <c r="IE64" s="118">
        <f>ROUND(PRODUCT(IA64:ID64),0)-1</f>
        <v>5</v>
      </c>
      <c r="IF64" s="118">
        <v>500</v>
      </c>
      <c r="IG64" s="118">
        <f>IF64/(IE64*HD64)</f>
        <v>1.3888888888888888</v>
      </c>
      <c r="IH64" s="118"/>
      <c r="II64" s="114"/>
      <c r="IJ64" s="114"/>
    </row>
    <row r="65" spans="1:246">
      <c r="A65">
        <v>67</v>
      </c>
      <c r="B65" t="s">
        <v>468</v>
      </c>
      <c r="C65" s="115" t="s">
        <v>588</v>
      </c>
      <c r="D65" s="28" t="s">
        <v>183</v>
      </c>
      <c r="E65" s="27" t="s">
        <v>184</v>
      </c>
      <c r="F65" s="5" t="s">
        <v>2182</v>
      </c>
      <c r="G65" s="27" t="s">
        <v>102</v>
      </c>
      <c r="H65" s="27"/>
      <c r="I65" s="27" t="s">
        <v>121</v>
      </c>
      <c r="J65" s="28">
        <v>21677</v>
      </c>
      <c r="K65" s="27" t="s">
        <v>228</v>
      </c>
      <c r="L65" s="28"/>
      <c r="M65" s="28"/>
      <c r="N65" s="28"/>
      <c r="O65" s="28"/>
      <c r="P65" s="28"/>
      <c r="Q65" s="28" t="s">
        <v>1862</v>
      </c>
      <c r="R65" s="28" t="s">
        <v>1194</v>
      </c>
      <c r="S65" s="27"/>
      <c r="T65" s="27"/>
      <c r="U65" s="27"/>
      <c r="V65" s="29" t="s">
        <v>79</v>
      </c>
      <c r="W65" s="115" t="s">
        <v>589</v>
      </c>
      <c r="X65" s="115"/>
      <c r="Y65" s="115"/>
      <c r="Z65" s="115"/>
      <c r="AA65" s="153" t="s">
        <v>590</v>
      </c>
      <c r="AB65" s="121">
        <v>127.56</v>
      </c>
      <c r="AC65" s="118">
        <v>20</v>
      </c>
      <c r="AD65" s="114" t="s">
        <v>315</v>
      </c>
      <c r="AE65" s="119">
        <f t="shared" si="154"/>
        <v>27.271619999999999</v>
      </c>
      <c r="AF65" s="119"/>
      <c r="AG65" s="119">
        <f>EU65+EM65+EV65+EX65</f>
        <v>5.2035805626598464</v>
      </c>
      <c r="AH65" s="119">
        <f>DM65</f>
        <v>3.62</v>
      </c>
      <c r="AI65" s="119">
        <f t="shared" si="155"/>
        <v>0</v>
      </c>
      <c r="AJ65" s="119">
        <f t="shared" si="156"/>
        <v>9.2071611253196933E-2</v>
      </c>
      <c r="AK65" s="119">
        <f t="shared" si="157"/>
        <v>0.39844000703324811</v>
      </c>
      <c r="AL65" s="119">
        <f t="shared" si="158"/>
        <v>3.51</v>
      </c>
      <c r="AM65" s="119">
        <f t="shared" si="159"/>
        <v>1.3364583333333333</v>
      </c>
      <c r="AN65" s="119">
        <f t="shared" si="160"/>
        <v>0.3125</v>
      </c>
      <c r="AO65" s="123">
        <v>0</v>
      </c>
      <c r="AP65" s="123"/>
      <c r="AQ65" s="119">
        <f t="shared" si="161"/>
        <v>41.744670514279619</v>
      </c>
      <c r="AR65" s="119"/>
      <c r="AS65" s="119"/>
      <c r="AT65" s="123">
        <v>0</v>
      </c>
      <c r="AU65" s="114"/>
      <c r="AV65" s="119">
        <f t="shared" ref="AV65:AV70" si="172">AQ65+AT65+AU65</f>
        <v>41.744670514279619</v>
      </c>
      <c r="AW65" s="124">
        <v>0.2145</v>
      </c>
      <c r="AX65" s="124">
        <v>0.21</v>
      </c>
      <c r="AY65" s="120">
        <v>1</v>
      </c>
      <c r="AZ65" s="114">
        <f>AW65-AX65</f>
        <v>4.500000000000004E-3</v>
      </c>
      <c r="BA65" s="118">
        <f>AW65*AB65-(AZ65*AC65)*AY65</f>
        <v>27.271619999999999</v>
      </c>
      <c r="BB65" s="118"/>
      <c r="BC65" s="118"/>
      <c r="BD65" s="118"/>
      <c r="BE65" s="118"/>
      <c r="BF65" s="118"/>
      <c r="BG65" s="118"/>
      <c r="BH65" s="118"/>
      <c r="BI65" s="118"/>
      <c r="BJ65" s="118"/>
      <c r="BK65" s="118"/>
      <c r="BL65" s="118"/>
      <c r="BM65" s="118"/>
      <c r="BN65" s="118"/>
      <c r="BO65" s="118"/>
      <c r="BP65" s="118"/>
      <c r="BQ65" s="118"/>
      <c r="BR65" s="118"/>
      <c r="BS65" s="118"/>
      <c r="BT65" s="118"/>
      <c r="BU65" s="118"/>
      <c r="BV65" s="118"/>
      <c r="BW65" s="118"/>
      <c r="BX65" s="118"/>
      <c r="BY65" s="118"/>
      <c r="BZ65" s="118"/>
      <c r="CA65" s="118"/>
      <c r="CB65" s="118"/>
      <c r="CC65" s="118"/>
      <c r="CD65" s="114"/>
      <c r="CE65" s="114">
        <v>0</v>
      </c>
      <c r="CF65" s="114">
        <v>0</v>
      </c>
      <c r="CG65" s="114">
        <v>0</v>
      </c>
      <c r="CH65" s="114">
        <f t="shared" si="162"/>
        <v>0</v>
      </c>
      <c r="CI65" s="114" t="s">
        <v>591</v>
      </c>
      <c r="CJ65" s="114" t="s">
        <v>592</v>
      </c>
      <c r="CK65" s="114">
        <v>1</v>
      </c>
      <c r="CL65" s="114">
        <v>3.62</v>
      </c>
      <c r="CM65" s="114">
        <f>CK65*CL65</f>
        <v>3.62</v>
      </c>
      <c r="CN65" s="114"/>
      <c r="CO65" s="114"/>
      <c r="CP65" s="114"/>
      <c r="CQ65" s="114"/>
      <c r="CR65" s="114"/>
      <c r="CS65" s="114"/>
      <c r="CT65" s="114"/>
      <c r="CU65" s="114"/>
      <c r="CV65" s="114"/>
      <c r="CW65" s="114"/>
      <c r="CX65" s="114"/>
      <c r="CY65" s="114"/>
      <c r="CZ65" s="114"/>
      <c r="DA65" s="114"/>
      <c r="DB65" s="114"/>
      <c r="DC65" s="114"/>
      <c r="DD65" s="114"/>
      <c r="DE65" s="114"/>
      <c r="DF65" s="114"/>
      <c r="DG65" s="114"/>
      <c r="DH65" s="114"/>
      <c r="DI65" s="114"/>
      <c r="DJ65" s="114"/>
      <c r="DK65" s="114"/>
      <c r="DL65" s="114"/>
      <c r="DM65" s="114">
        <f>CM65+CR65+CW65+DB65+DG65+DL65+CH65</f>
        <v>3.62</v>
      </c>
      <c r="DN65" s="125">
        <v>0</v>
      </c>
      <c r="DO65" s="118">
        <f>DN65*CG65*CF65</f>
        <v>0</v>
      </c>
      <c r="DP65" s="118">
        <f>CG65*CF65</f>
        <v>0</v>
      </c>
      <c r="DQ65" s="118"/>
      <c r="DR65" s="118"/>
      <c r="DS65" s="118"/>
      <c r="DT65" s="118"/>
      <c r="DU65" s="118"/>
      <c r="DV65" s="118"/>
      <c r="DW65" s="118"/>
      <c r="DX65" s="118"/>
      <c r="DY65" s="118"/>
      <c r="DZ65" s="118"/>
      <c r="EA65" s="118"/>
      <c r="EB65" s="118"/>
      <c r="EC65" s="118"/>
      <c r="ED65" s="118"/>
      <c r="EE65" s="118"/>
      <c r="EF65" s="114">
        <v>360</v>
      </c>
      <c r="EG65" s="114">
        <v>3600</v>
      </c>
      <c r="EH65" s="114">
        <v>8</v>
      </c>
      <c r="EI65" s="120">
        <v>0.95</v>
      </c>
      <c r="EJ65" s="114">
        <v>2</v>
      </c>
      <c r="EK65" s="114">
        <v>70</v>
      </c>
      <c r="EL65" s="126">
        <f>ROUND(3600/EK65*EH65*EJ65*EI65,0)</f>
        <v>782</v>
      </c>
      <c r="EM65" s="114"/>
      <c r="EN65" s="114"/>
      <c r="EO65" s="114"/>
      <c r="EP65" s="126"/>
      <c r="EQ65" s="126"/>
      <c r="ER65" s="126"/>
      <c r="ES65" s="126"/>
      <c r="ET65" s="126"/>
      <c r="EU65" s="118">
        <f t="shared" si="163"/>
        <v>4.6035805626598467</v>
      </c>
      <c r="EV65" s="114"/>
      <c r="EW65" s="114"/>
      <c r="EX65" s="114">
        <v>0.6</v>
      </c>
      <c r="EY65" s="114">
        <v>0</v>
      </c>
      <c r="EZ65" s="114"/>
      <c r="FA65" s="114">
        <f>EX65</f>
        <v>0.6</v>
      </c>
      <c r="FB65" s="114"/>
      <c r="FC65" s="114"/>
      <c r="FD65" s="114"/>
      <c r="FE65" s="114"/>
      <c r="FF65" s="114"/>
      <c r="FG65" s="114"/>
      <c r="FH65" s="114"/>
      <c r="FI65" s="114"/>
      <c r="FJ65" s="114"/>
      <c r="FK65" s="114"/>
      <c r="FL65" s="114"/>
      <c r="FM65" s="114"/>
      <c r="FN65" s="114"/>
      <c r="FO65" s="114"/>
      <c r="FP65" s="114"/>
      <c r="FQ65" s="114"/>
      <c r="FR65" s="114"/>
      <c r="FS65" s="114"/>
      <c r="FT65" s="114"/>
      <c r="FU65" s="114"/>
      <c r="FV65" s="114"/>
      <c r="FW65" s="114"/>
      <c r="FX65" s="114"/>
      <c r="FY65" s="114"/>
      <c r="FZ65" s="114"/>
      <c r="GA65" s="114"/>
      <c r="GB65" s="114"/>
      <c r="GC65" s="114"/>
      <c r="GD65" s="114"/>
      <c r="GE65" s="114"/>
      <c r="GF65" s="114"/>
      <c r="GG65" s="114"/>
      <c r="GH65" s="114"/>
      <c r="GI65" s="114"/>
      <c r="GJ65" s="114"/>
      <c r="GK65" s="114"/>
      <c r="GL65" s="114"/>
      <c r="GM65" s="114"/>
      <c r="GN65" s="114"/>
      <c r="GO65" s="114"/>
      <c r="GP65" s="114"/>
      <c r="GQ65" s="114"/>
      <c r="GR65" s="120">
        <v>0.11</v>
      </c>
      <c r="GS65" s="114">
        <v>3.51</v>
      </c>
      <c r="GT65" s="125">
        <v>1.2500000000000001E-2</v>
      </c>
      <c r="GU65" s="118">
        <f t="shared" si="164"/>
        <v>0.39844000703324811</v>
      </c>
      <c r="GV65" s="120">
        <v>0.02</v>
      </c>
      <c r="GW65" s="118">
        <f t="shared" si="165"/>
        <v>9.2071611253196933E-2</v>
      </c>
      <c r="GX65" s="118">
        <f t="shared" si="166"/>
        <v>4.0005116182864446</v>
      </c>
      <c r="GY65" s="114" t="s">
        <v>130</v>
      </c>
      <c r="GZ65" s="114" t="s">
        <v>130</v>
      </c>
      <c r="HA65" s="118">
        <v>810</v>
      </c>
      <c r="HB65" s="118">
        <v>568</v>
      </c>
      <c r="HC65" s="114">
        <v>425</v>
      </c>
      <c r="HD65" s="114">
        <v>32</v>
      </c>
      <c r="HE65" s="114">
        <v>800</v>
      </c>
      <c r="HF65" s="118">
        <f>ROUNDUP(HE65/HD65,0)</f>
        <v>25</v>
      </c>
      <c r="HG65" s="114">
        <v>5</v>
      </c>
      <c r="HH65" s="118">
        <f>HF65*HG65</f>
        <v>125</v>
      </c>
      <c r="HI65" s="114">
        <v>1100</v>
      </c>
      <c r="HJ65" s="118">
        <f t="shared" si="167"/>
        <v>137500</v>
      </c>
      <c r="HK65" s="118"/>
      <c r="HL65" s="118"/>
      <c r="HM65" s="118">
        <v>2</v>
      </c>
      <c r="HN65" s="126">
        <f t="shared" si="168"/>
        <v>480000</v>
      </c>
      <c r="HO65" s="118">
        <f t="shared" si="169"/>
        <v>0.28645833333333331</v>
      </c>
      <c r="HP65" s="118">
        <v>160</v>
      </c>
      <c r="HQ65" s="114">
        <v>0</v>
      </c>
      <c r="HR65" s="118">
        <v>1.05</v>
      </c>
      <c r="HS65" s="118">
        <v>1</v>
      </c>
      <c r="HT65" s="118">
        <f>HR65/HS65</f>
        <v>1.05</v>
      </c>
      <c r="HU65" s="118"/>
      <c r="HV65" s="118">
        <f t="shared" si="170"/>
        <v>1.3364583333333333</v>
      </c>
      <c r="HW65" s="118"/>
      <c r="HX65" s="118">
        <v>5016</v>
      </c>
      <c r="HY65" s="118">
        <v>1976</v>
      </c>
      <c r="HZ65" s="118">
        <v>2280</v>
      </c>
      <c r="IA65" s="109">
        <f t="shared" si="171"/>
        <v>6</v>
      </c>
      <c r="IB65" s="118">
        <f t="shared" si="171"/>
        <v>3</v>
      </c>
      <c r="IC65" s="118">
        <f>ROUNDDOWN(HZ65/HC65,0)</f>
        <v>5</v>
      </c>
      <c r="ID65" s="120">
        <v>1</v>
      </c>
      <c r="IE65" s="127">
        <f>ROUND(PRODUCT(IA65:ID65),0)-40</f>
        <v>50</v>
      </c>
      <c r="IF65" s="118">
        <v>500</v>
      </c>
      <c r="IG65" s="118">
        <f>IF65/(IE65*HD65)</f>
        <v>0.3125</v>
      </c>
      <c r="IH65" s="4"/>
    </row>
    <row r="66" spans="1:246">
      <c r="A66">
        <v>68</v>
      </c>
      <c r="B66" t="s">
        <v>468</v>
      </c>
      <c r="C66" s="115" t="s">
        <v>593</v>
      </c>
      <c r="D66" s="28" t="s">
        <v>185</v>
      </c>
      <c r="E66" s="27" t="s">
        <v>186</v>
      </c>
      <c r="F66" s="5" t="s">
        <v>2182</v>
      </c>
      <c r="G66" s="27" t="s">
        <v>102</v>
      </c>
      <c r="H66" s="27"/>
      <c r="I66" s="27" t="s">
        <v>121</v>
      </c>
      <c r="J66" s="28">
        <v>29010</v>
      </c>
      <c r="K66" s="27" t="s">
        <v>229</v>
      </c>
      <c r="L66" s="28"/>
      <c r="M66" s="28"/>
      <c r="N66" s="28"/>
      <c r="O66" s="28"/>
      <c r="P66" s="28"/>
      <c r="Q66" s="28" t="s">
        <v>1858</v>
      </c>
      <c r="R66" s="28" t="s">
        <v>1193</v>
      </c>
      <c r="S66" s="27"/>
      <c r="T66" s="27"/>
      <c r="U66" s="27"/>
      <c r="V66" s="29" t="s">
        <v>79</v>
      </c>
      <c r="W66" s="115"/>
      <c r="X66" s="115"/>
      <c r="Y66" s="115"/>
      <c r="Z66" s="115"/>
      <c r="AA66" s="154" t="s">
        <v>511</v>
      </c>
      <c r="AB66" s="137">
        <v>102.51</v>
      </c>
      <c r="AC66" s="118">
        <f>AB66-5</f>
        <v>97.51</v>
      </c>
      <c r="AD66" s="114" t="s">
        <v>310</v>
      </c>
      <c r="AE66" s="106">
        <f t="shared" si="154"/>
        <v>27.165150000000004</v>
      </c>
      <c r="AF66" s="106"/>
      <c r="AG66" s="106">
        <f>EU66+EV66</f>
        <v>6.1403508771929829</v>
      </c>
      <c r="AH66" s="119">
        <f>DP66</f>
        <v>0</v>
      </c>
      <c r="AI66" s="119">
        <f t="shared" si="155"/>
        <v>0</v>
      </c>
      <c r="AJ66" s="119">
        <f t="shared" si="156"/>
        <v>0.12280701754385966</v>
      </c>
      <c r="AK66" s="119">
        <f t="shared" si="157"/>
        <v>0.41631876096491233</v>
      </c>
      <c r="AL66" s="106">
        <f t="shared" si="158"/>
        <v>3.66</v>
      </c>
      <c r="AM66" s="119">
        <f t="shared" si="159"/>
        <v>0.28809523809523807</v>
      </c>
      <c r="AN66" s="106">
        <f t="shared" si="160"/>
        <v>0.32552083333333331</v>
      </c>
      <c r="AO66" s="107">
        <v>0</v>
      </c>
      <c r="AP66" s="107"/>
      <c r="AQ66" s="106">
        <f t="shared" si="161"/>
        <v>38.11824272713033</v>
      </c>
      <c r="AR66" s="106"/>
      <c r="AS66" s="106"/>
      <c r="AT66" s="107">
        <v>0</v>
      </c>
      <c r="AU66" s="114"/>
      <c r="AV66" s="106">
        <f t="shared" si="172"/>
        <v>38.11824272713033</v>
      </c>
      <c r="AW66" s="114">
        <v>0.26500000000000001</v>
      </c>
      <c r="AX66" s="105">
        <v>0.26500000000000001</v>
      </c>
      <c r="AY66" s="108">
        <v>0.9</v>
      </c>
      <c r="AZ66" s="105">
        <f>AW66-AX66</f>
        <v>0</v>
      </c>
      <c r="BA66" s="109">
        <f>AW66*AB66-(AZ66*AC66)*AY66</f>
        <v>27.165150000000004</v>
      </c>
      <c r="BB66" s="109"/>
      <c r="BC66" s="109"/>
      <c r="BD66" s="109"/>
      <c r="BE66" s="109"/>
      <c r="BF66" s="109"/>
      <c r="BG66" s="109"/>
      <c r="BH66" s="109"/>
      <c r="BI66" s="109"/>
      <c r="BJ66" s="109"/>
      <c r="BK66" s="109"/>
      <c r="BL66" s="109"/>
      <c r="BM66" s="109"/>
      <c r="BN66" s="109"/>
      <c r="BO66" s="109"/>
      <c r="BP66" s="109"/>
      <c r="BQ66" s="109"/>
      <c r="BR66" s="109"/>
      <c r="BS66" s="109"/>
      <c r="BT66" s="109"/>
      <c r="BU66" s="109"/>
      <c r="BV66" s="109"/>
      <c r="BW66" s="109"/>
      <c r="BX66" s="109"/>
      <c r="BY66" s="109"/>
      <c r="BZ66" s="109"/>
      <c r="CA66" s="109"/>
      <c r="CB66" s="109"/>
      <c r="CC66" s="109"/>
      <c r="CD66" s="114"/>
      <c r="CE66" s="105">
        <v>0</v>
      </c>
      <c r="CF66" s="105">
        <v>0</v>
      </c>
      <c r="CG66" s="105">
        <v>0</v>
      </c>
      <c r="CH66" s="114">
        <f t="shared" si="162"/>
        <v>0</v>
      </c>
      <c r="CI66" s="114"/>
      <c r="CJ66" s="114"/>
      <c r="CK66" s="114"/>
      <c r="CL66" s="114"/>
      <c r="CM66" s="105"/>
      <c r="CN66" s="114"/>
      <c r="CO66" s="114"/>
      <c r="CP66" s="114"/>
      <c r="CQ66" s="114"/>
      <c r="CR66" s="114"/>
      <c r="CS66" s="114"/>
      <c r="CT66" s="114"/>
      <c r="CU66" s="114"/>
      <c r="CV66" s="114"/>
      <c r="CW66" s="114"/>
      <c r="CX66" s="114"/>
      <c r="CY66" s="114"/>
      <c r="CZ66" s="114"/>
      <c r="DA66" s="114"/>
      <c r="DB66" s="114"/>
      <c r="DC66" s="114"/>
      <c r="DD66" s="114"/>
      <c r="DE66" s="114"/>
      <c r="DF66" s="114"/>
      <c r="DG66" s="114"/>
      <c r="DH66" s="114"/>
      <c r="DI66" s="114"/>
      <c r="DJ66" s="114"/>
      <c r="DK66" s="114"/>
      <c r="DL66" s="114"/>
      <c r="DM66" s="114">
        <f>CM66+CR66+CW66+DB66+DG66+DL66+CH66</f>
        <v>0</v>
      </c>
      <c r="DN66" s="110">
        <v>1.2500000000000001E-2</v>
      </c>
      <c r="DO66" s="118">
        <v>0</v>
      </c>
      <c r="DP66" s="109">
        <f>CG66*CF66</f>
        <v>0</v>
      </c>
      <c r="DQ66" s="109"/>
      <c r="DR66" s="109"/>
      <c r="DS66" s="109"/>
      <c r="DT66" s="109"/>
      <c r="DU66" s="109"/>
      <c r="DV66" s="109"/>
      <c r="DW66" s="109"/>
      <c r="DX66" s="109"/>
      <c r="DY66" s="109"/>
      <c r="DZ66" s="109"/>
      <c r="EA66" s="109"/>
      <c r="EB66" s="109"/>
      <c r="EC66" s="109"/>
      <c r="ED66" s="109"/>
      <c r="EE66" s="109"/>
      <c r="EF66" s="105">
        <v>280</v>
      </c>
      <c r="EG66" s="105">
        <v>2800</v>
      </c>
      <c r="EH66" s="105">
        <v>8</v>
      </c>
      <c r="EI66" s="108">
        <v>0.95</v>
      </c>
      <c r="EJ66" s="105">
        <v>1</v>
      </c>
      <c r="EK66" s="105">
        <v>60</v>
      </c>
      <c r="EL66" s="111">
        <f>ROUND(3600/EK66*EH66*EJ66*EI66,0)</f>
        <v>456</v>
      </c>
      <c r="EM66" s="114"/>
      <c r="EN66" s="114"/>
      <c r="EO66" s="114"/>
      <c r="EP66" s="111"/>
      <c r="EQ66" s="111"/>
      <c r="ER66" s="111"/>
      <c r="ES66" s="111"/>
      <c r="ET66" s="111"/>
      <c r="EU66" s="109">
        <f t="shared" si="163"/>
        <v>6.1403508771929829</v>
      </c>
      <c r="EV66" s="114"/>
      <c r="EW66" s="114"/>
      <c r="EX66" s="114"/>
      <c r="EY66" s="114"/>
      <c r="EZ66" s="114"/>
      <c r="FA66" s="114"/>
      <c r="FB66" s="114"/>
      <c r="FC66" s="114"/>
      <c r="FD66" s="114"/>
      <c r="FE66" s="114"/>
      <c r="FF66" s="114"/>
      <c r="FG66" s="114"/>
      <c r="FH66" s="114"/>
      <c r="FI66" s="114"/>
      <c r="FJ66" s="114"/>
      <c r="FK66" s="114"/>
      <c r="FL66" s="114"/>
      <c r="FM66" s="114"/>
      <c r="FN66" s="114"/>
      <c r="FO66" s="114"/>
      <c r="FP66" s="114"/>
      <c r="FQ66" s="114"/>
      <c r="FR66" s="114"/>
      <c r="FS66" s="114"/>
      <c r="FT66" s="114"/>
      <c r="FU66" s="114"/>
      <c r="FV66" s="114"/>
      <c r="FW66" s="114"/>
      <c r="FX66" s="114"/>
      <c r="FY66" s="114"/>
      <c r="FZ66" s="114"/>
      <c r="GA66" s="114"/>
      <c r="GB66" s="114"/>
      <c r="GC66" s="114"/>
      <c r="GD66" s="114"/>
      <c r="GE66" s="114"/>
      <c r="GF66" s="114"/>
      <c r="GG66" s="114"/>
      <c r="GH66" s="114"/>
      <c r="GI66" s="114"/>
      <c r="GJ66" s="114"/>
      <c r="GK66" s="114"/>
      <c r="GL66" s="114"/>
      <c r="GM66" s="114"/>
      <c r="GN66" s="114"/>
      <c r="GO66" s="114"/>
      <c r="GP66" s="114"/>
      <c r="GQ66" s="114"/>
      <c r="GR66" s="120">
        <v>0.11</v>
      </c>
      <c r="GS66" s="105">
        <v>3.66</v>
      </c>
      <c r="GT66" s="110">
        <v>1.2500000000000001E-2</v>
      </c>
      <c r="GU66" s="118">
        <f t="shared" si="164"/>
        <v>0.41631876096491233</v>
      </c>
      <c r="GV66" s="108">
        <v>0.02</v>
      </c>
      <c r="GW66" s="109">
        <f t="shared" si="165"/>
        <v>0.12280701754385966</v>
      </c>
      <c r="GX66" s="118">
        <f t="shared" si="166"/>
        <v>4.1991257785087717</v>
      </c>
      <c r="GY66" s="105" t="s">
        <v>43</v>
      </c>
      <c r="GZ66" s="105" t="s">
        <v>87</v>
      </c>
      <c r="HA66" s="109">
        <v>650</v>
      </c>
      <c r="HB66" s="109">
        <v>450</v>
      </c>
      <c r="HC66" s="105">
        <v>480</v>
      </c>
      <c r="HD66" s="105">
        <v>16</v>
      </c>
      <c r="HE66" s="105">
        <v>700</v>
      </c>
      <c r="HF66" s="118">
        <f>ROUNDUP(HE66/HD66,0)</f>
        <v>44</v>
      </c>
      <c r="HG66" s="105">
        <v>5</v>
      </c>
      <c r="HH66" s="118">
        <f>HF66*HG66</f>
        <v>220</v>
      </c>
      <c r="HI66" s="105">
        <v>550</v>
      </c>
      <c r="HJ66" s="118">
        <f t="shared" si="167"/>
        <v>121000</v>
      </c>
      <c r="HK66" s="118"/>
      <c r="HL66" s="118"/>
      <c r="HM66" s="109">
        <v>2</v>
      </c>
      <c r="HN66" s="111">
        <f t="shared" si="168"/>
        <v>420000</v>
      </c>
      <c r="HO66" s="118">
        <f t="shared" si="169"/>
        <v>0.28809523809523807</v>
      </c>
      <c r="HP66" s="109">
        <v>160</v>
      </c>
      <c r="HQ66" s="105">
        <v>0</v>
      </c>
      <c r="HR66" s="114">
        <v>0</v>
      </c>
      <c r="HS66" s="109">
        <v>0</v>
      </c>
      <c r="HT66" s="118">
        <f>IF(ISERROR(HR66/HS66),0,HR66/HS66)</f>
        <v>0</v>
      </c>
      <c r="HU66" s="118"/>
      <c r="HV66" s="109">
        <f t="shared" si="170"/>
        <v>0.28809523809523807</v>
      </c>
      <c r="HW66" s="109"/>
      <c r="HX66" s="109">
        <v>4200</v>
      </c>
      <c r="HY66" s="109">
        <v>1900</v>
      </c>
      <c r="HZ66" s="109">
        <v>1975</v>
      </c>
      <c r="IA66" s="109">
        <f t="shared" si="171"/>
        <v>6</v>
      </c>
      <c r="IB66" s="109">
        <f t="shared" si="171"/>
        <v>4</v>
      </c>
      <c r="IC66" s="109">
        <f>ROUNDDOWN(HZ66/HC66,0)</f>
        <v>4</v>
      </c>
      <c r="ID66" s="108">
        <v>1</v>
      </c>
      <c r="IE66" s="118">
        <f>ROUND(PRODUCT(IA66:ID66),0)</f>
        <v>96</v>
      </c>
      <c r="IF66" s="118">
        <v>500</v>
      </c>
      <c r="IG66" s="109">
        <f>IF66/(IE66*HD66)</f>
        <v>0.32552083333333331</v>
      </c>
      <c r="IH66" s="109"/>
      <c r="II66" s="114"/>
      <c r="IJ66" s="114"/>
    </row>
    <row r="67" spans="1:246">
      <c r="A67">
        <v>69</v>
      </c>
      <c r="B67" t="s">
        <v>468</v>
      </c>
      <c r="C67" t="s">
        <v>534</v>
      </c>
      <c r="D67" s="28" t="s">
        <v>185</v>
      </c>
      <c r="E67" s="27" t="s">
        <v>186</v>
      </c>
      <c r="F67" s="5" t="s">
        <v>2182</v>
      </c>
      <c r="G67" s="27" t="s">
        <v>122</v>
      </c>
      <c r="H67" s="27"/>
      <c r="I67" s="27" t="s">
        <v>121</v>
      </c>
      <c r="J67" s="28">
        <v>21480</v>
      </c>
      <c r="K67" s="27" t="s">
        <v>97</v>
      </c>
      <c r="L67" s="28"/>
      <c r="M67" s="28"/>
      <c r="N67" s="28"/>
      <c r="O67" s="28"/>
      <c r="P67" s="28"/>
      <c r="Q67" s="28" t="s">
        <v>1862</v>
      </c>
      <c r="R67" s="28" t="s">
        <v>1194</v>
      </c>
      <c r="S67" s="27"/>
      <c r="T67" s="27"/>
      <c r="U67" s="27"/>
      <c r="V67" s="29" t="s">
        <v>79</v>
      </c>
      <c r="W67" s="5"/>
      <c r="X67" s="5"/>
      <c r="Y67" s="5"/>
      <c r="Z67" s="5"/>
      <c r="AA67" s="58" t="s">
        <v>511</v>
      </c>
      <c r="AB67" s="63">
        <v>109.62</v>
      </c>
      <c r="AC67" s="59">
        <v>20</v>
      </c>
      <c r="AD67" s="59" t="s">
        <v>297</v>
      </c>
      <c r="AE67" s="42">
        <f t="shared" si="154"/>
        <v>30.035880000000002</v>
      </c>
      <c r="AF67" s="42"/>
      <c r="AG67" s="42">
        <f>EU67</f>
        <v>6.1403508771929829</v>
      </c>
      <c r="AH67" s="42">
        <f>DM67</f>
        <v>0</v>
      </c>
      <c r="AI67" s="42">
        <f t="shared" si="155"/>
        <v>0</v>
      </c>
      <c r="AJ67" s="42">
        <f t="shared" si="156"/>
        <v>0.12280701754385966</v>
      </c>
      <c r="AK67" s="42">
        <f t="shared" si="157"/>
        <v>0.45220288596491232</v>
      </c>
      <c r="AL67" s="42">
        <f t="shared" si="158"/>
        <v>3.9793853964912285</v>
      </c>
      <c r="AM67" s="42">
        <f t="shared" si="159"/>
        <v>0.28645833333333331</v>
      </c>
      <c r="AN67" s="42">
        <f t="shared" si="160"/>
        <v>1.08</v>
      </c>
      <c r="AO67" s="42">
        <f>EY67</f>
        <v>0</v>
      </c>
      <c r="AP67" s="42"/>
      <c r="AQ67" s="7">
        <f t="shared" si="161"/>
        <v>42.097084510526329</v>
      </c>
      <c r="AR67" s="7"/>
      <c r="AS67" s="7"/>
      <c r="AT67" s="60">
        <v>0</v>
      </c>
      <c r="AU67" s="60">
        <v>0</v>
      </c>
      <c r="AV67" s="42">
        <f t="shared" si="172"/>
        <v>42.097084510526329</v>
      </c>
      <c r="AW67" s="59">
        <v>0.27400000000000002</v>
      </c>
      <c r="AX67" s="59">
        <v>0.27400000000000002</v>
      </c>
      <c r="AY67" s="61">
        <v>1</v>
      </c>
      <c r="AZ67" s="59">
        <f>(AW67-AX67)*AY67</f>
        <v>0</v>
      </c>
      <c r="BA67" s="4">
        <f>AW67*AB67-AZ67*AC67</f>
        <v>30.035880000000002</v>
      </c>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59"/>
      <c r="CE67" s="59">
        <v>0</v>
      </c>
      <c r="CF67" s="59">
        <v>0</v>
      </c>
      <c r="CG67" s="59">
        <v>0</v>
      </c>
      <c r="CH67" s="62">
        <f t="shared" si="162"/>
        <v>0</v>
      </c>
      <c r="CI67" s="59"/>
      <c r="CJ67" s="59"/>
      <c r="CK67" s="63"/>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64">
        <v>1.2500000000000001E-2</v>
      </c>
      <c r="DO67" s="62">
        <f>DN67*CG67*CF67</f>
        <v>0</v>
      </c>
      <c r="DP67" s="62">
        <f>DM67+DO67</f>
        <v>0</v>
      </c>
      <c r="DQ67" s="62"/>
      <c r="DR67" s="62"/>
      <c r="DS67" s="62"/>
      <c r="DT67" s="62"/>
      <c r="DU67" s="62"/>
      <c r="DV67" s="62"/>
      <c r="DW67" s="62"/>
      <c r="DX67" s="62"/>
      <c r="DY67" s="62"/>
      <c r="DZ67" s="62"/>
      <c r="EA67" s="62"/>
      <c r="EB67" s="62"/>
      <c r="EC67" s="62"/>
      <c r="ED67" s="62"/>
      <c r="EE67" s="62"/>
      <c r="EF67" s="59">
        <v>280</v>
      </c>
      <c r="EG67" s="59">
        <v>2800</v>
      </c>
      <c r="EH67" s="59">
        <v>8</v>
      </c>
      <c r="EI67" s="61">
        <v>0.95</v>
      </c>
      <c r="EJ67" s="59">
        <v>1</v>
      </c>
      <c r="EK67" s="59">
        <v>60</v>
      </c>
      <c r="EL67" s="65">
        <f>ROUND(3600/EK67*EH67*EJ67*EI67,0)</f>
        <v>456</v>
      </c>
      <c r="EM67" s="65"/>
      <c r="EN67" s="65"/>
      <c r="EO67" s="65"/>
      <c r="EP67" s="65"/>
      <c r="EQ67" s="65"/>
      <c r="ER67" s="65"/>
      <c r="ES67" s="65"/>
      <c r="ET67" s="65"/>
      <c r="EU67" s="62">
        <f t="shared" si="163"/>
        <v>6.1403508771929829</v>
      </c>
      <c r="EV67" s="62"/>
      <c r="EW67" s="62"/>
      <c r="EX67" s="62">
        <v>0</v>
      </c>
      <c r="EY67" s="62">
        <v>0</v>
      </c>
      <c r="EZ67" s="62"/>
      <c r="FA67" s="62">
        <v>0</v>
      </c>
      <c r="FB67" s="62"/>
      <c r="FC67" s="62"/>
      <c r="FD67" s="62"/>
      <c r="FE67" s="62"/>
      <c r="FF67" s="62"/>
      <c r="FG67" s="62"/>
      <c r="FH67" s="62"/>
      <c r="FI67" s="62"/>
      <c r="FJ67" s="62"/>
      <c r="FK67" s="62"/>
      <c r="FL67" s="62"/>
      <c r="FM67" s="62"/>
      <c r="FN67" s="62"/>
      <c r="FO67" s="62"/>
      <c r="FP67" s="62"/>
      <c r="FQ67" s="62"/>
      <c r="FR67" s="62"/>
      <c r="FS67" s="62"/>
      <c r="FT67" s="62"/>
      <c r="FU67" s="62"/>
      <c r="FV67" s="62"/>
      <c r="FW67" s="62"/>
      <c r="FX67" s="62"/>
      <c r="FY67" s="62"/>
      <c r="FZ67" s="62"/>
      <c r="GA67" s="62"/>
      <c r="GB67" s="62"/>
      <c r="GC67" s="62"/>
      <c r="GD67" s="62"/>
      <c r="GE67" s="62"/>
      <c r="GF67" s="62"/>
      <c r="GG67" s="62"/>
      <c r="GH67" s="62"/>
      <c r="GI67" s="62"/>
      <c r="GJ67" s="62"/>
      <c r="GK67" s="62"/>
      <c r="GL67" s="62"/>
      <c r="GM67" s="62"/>
      <c r="GN67" s="62"/>
      <c r="GO67" s="62"/>
      <c r="GP67" s="62"/>
      <c r="GQ67" s="62"/>
      <c r="GR67" s="61">
        <v>0.11</v>
      </c>
      <c r="GS67" s="62">
        <f>GR67*(BA67+EU67)</f>
        <v>3.9793853964912285</v>
      </c>
      <c r="GT67" s="64">
        <v>1.2500000000000001E-2</v>
      </c>
      <c r="GU67" s="62">
        <f t="shared" si="164"/>
        <v>0.45220288596491232</v>
      </c>
      <c r="GV67" s="61">
        <v>0.02</v>
      </c>
      <c r="GW67" s="62">
        <f t="shared" si="165"/>
        <v>0.12280701754385966</v>
      </c>
      <c r="GX67" s="62">
        <f t="shared" si="166"/>
        <v>4.5543953000000004</v>
      </c>
      <c r="GY67" s="59" t="s">
        <v>43</v>
      </c>
      <c r="GZ67" s="59" t="s">
        <v>87</v>
      </c>
      <c r="HA67" s="62">
        <v>650</v>
      </c>
      <c r="HB67" s="62">
        <v>450</v>
      </c>
      <c r="HC67" s="59">
        <v>480</v>
      </c>
      <c r="HD67" s="59">
        <v>16</v>
      </c>
      <c r="HE67" s="59">
        <v>800</v>
      </c>
      <c r="HF67" s="62">
        <v>50</v>
      </c>
      <c r="HG67" s="59">
        <v>5</v>
      </c>
      <c r="HH67" s="62">
        <v>250</v>
      </c>
      <c r="HI67" s="59">
        <v>550</v>
      </c>
      <c r="HJ67" s="62">
        <f t="shared" si="167"/>
        <v>137500</v>
      </c>
      <c r="HK67" s="62"/>
      <c r="HL67" s="62"/>
      <c r="HM67" s="62">
        <v>2</v>
      </c>
      <c r="HN67" s="65">
        <f t="shared" si="168"/>
        <v>480000</v>
      </c>
      <c r="HO67" s="62">
        <f t="shared" si="169"/>
        <v>0.28645833333333331</v>
      </c>
      <c r="HP67" s="62">
        <v>160</v>
      </c>
      <c r="HQ67" s="59">
        <v>0</v>
      </c>
      <c r="HR67" s="62">
        <v>0</v>
      </c>
      <c r="HS67" s="62">
        <v>0</v>
      </c>
      <c r="HT67" s="62">
        <v>0</v>
      </c>
      <c r="HU67" s="62"/>
      <c r="HV67" s="62">
        <f t="shared" si="170"/>
        <v>0.28645833333333331</v>
      </c>
      <c r="HW67" s="62"/>
      <c r="HX67" s="62">
        <v>2917</v>
      </c>
      <c r="HY67" s="62">
        <v>1689</v>
      </c>
      <c r="HZ67" s="62">
        <v>1842</v>
      </c>
      <c r="IA67" s="62">
        <f t="shared" ref="IA67:IA72" si="173">ROUNDDOWN(HX67/HA67,0)</f>
        <v>4</v>
      </c>
      <c r="IB67" s="62">
        <v>3</v>
      </c>
      <c r="IC67" s="62">
        <v>3</v>
      </c>
      <c r="ID67" s="61">
        <v>0.8</v>
      </c>
      <c r="IE67" s="62">
        <v>29</v>
      </c>
      <c r="IF67" s="62">
        <v>500</v>
      </c>
      <c r="IG67" s="62">
        <f>ROUNDUP((IF67/(IE67*HD67)),2)</f>
        <v>1.08</v>
      </c>
      <c r="IH67" s="62"/>
      <c r="II67" s="59"/>
      <c r="IJ67" s="59"/>
      <c r="IK67" s="59"/>
      <c r="IL67" s="59"/>
    </row>
    <row r="68" spans="1:246" ht="15.75">
      <c r="A68">
        <v>70</v>
      </c>
      <c r="B68" t="s">
        <v>468</v>
      </c>
      <c r="C68" s="115" t="s">
        <v>594</v>
      </c>
      <c r="D68" s="28" t="s">
        <v>187</v>
      </c>
      <c r="E68" s="27" t="s">
        <v>188</v>
      </c>
      <c r="F68" s="5" t="s">
        <v>2182</v>
      </c>
      <c r="G68" s="27" t="s">
        <v>102</v>
      </c>
      <c r="H68" s="27"/>
      <c r="I68" s="27" t="s">
        <v>121</v>
      </c>
      <c r="J68" s="28">
        <v>29010</v>
      </c>
      <c r="K68" s="27" t="s">
        <v>229</v>
      </c>
      <c r="L68" s="28"/>
      <c r="M68" s="28"/>
      <c r="N68" s="28"/>
      <c r="O68" s="28"/>
      <c r="P68" s="28"/>
      <c r="Q68" s="28" t="s">
        <v>1862</v>
      </c>
      <c r="R68" s="28" t="s">
        <v>1194</v>
      </c>
      <c r="S68" s="27"/>
      <c r="T68" s="27"/>
      <c r="U68" s="27"/>
      <c r="V68" s="29" t="s">
        <v>79</v>
      </c>
      <c r="W68" s="115"/>
      <c r="X68" s="115"/>
      <c r="Y68" s="115"/>
      <c r="Z68" s="115"/>
      <c r="AA68" s="155" t="s">
        <v>595</v>
      </c>
      <c r="AB68" s="121">
        <v>123.68</v>
      </c>
      <c r="AC68" s="118">
        <f>AB68-5</f>
        <v>118.68</v>
      </c>
      <c r="AD68" s="114" t="s">
        <v>596</v>
      </c>
      <c r="AE68" s="106">
        <f t="shared" si="154"/>
        <v>181.56224</v>
      </c>
      <c r="AF68" s="106"/>
      <c r="AG68" s="106">
        <f>EU68+EV68+EX68</f>
        <v>20.533918128654975</v>
      </c>
      <c r="AH68" s="119">
        <f>DM68</f>
        <v>22.080000000000002</v>
      </c>
      <c r="AI68" s="119">
        <f t="shared" si="155"/>
        <v>0.28000000000000003</v>
      </c>
      <c r="AJ68" s="119">
        <f t="shared" si="156"/>
        <v>0.38467836257309951</v>
      </c>
      <c r="AK68" s="119">
        <f t="shared" si="157"/>
        <v>2.5099519766081873</v>
      </c>
      <c r="AL68" s="106">
        <f t="shared" si="158"/>
        <v>22.09</v>
      </c>
      <c r="AM68" s="119">
        <f t="shared" si="159"/>
        <v>2.7951388888888888</v>
      </c>
      <c r="AN68" s="106">
        <f t="shared" si="160"/>
        <v>3.4722222222222223</v>
      </c>
      <c r="AO68" s="106">
        <f>EY68</f>
        <v>0.15476190476190477</v>
      </c>
      <c r="AP68" s="106"/>
      <c r="AQ68" s="106">
        <f t="shared" si="161"/>
        <v>255.8629114837093</v>
      </c>
      <c r="AR68" s="106"/>
      <c r="AS68" s="106"/>
      <c r="AT68" s="107">
        <v>0</v>
      </c>
      <c r="AU68" s="106">
        <f>AQ68*2%</f>
        <v>5.117258229674186</v>
      </c>
      <c r="AV68" s="106">
        <f t="shared" si="172"/>
        <v>260.98016971338348</v>
      </c>
      <c r="AW68" s="114">
        <v>1.468</v>
      </c>
      <c r="AX68" s="105">
        <v>1.468</v>
      </c>
      <c r="AY68" s="108">
        <v>0.9</v>
      </c>
      <c r="AZ68" s="118">
        <f>AW68-AX68</f>
        <v>0</v>
      </c>
      <c r="BA68" s="109">
        <f>AW68*AB68-(AZ68*AC68)*AY68</f>
        <v>181.56224</v>
      </c>
      <c r="BB68" s="109"/>
      <c r="BC68" s="109"/>
      <c r="BD68" s="109"/>
      <c r="BE68" s="109"/>
      <c r="BF68" s="109"/>
      <c r="BG68" s="109"/>
      <c r="BH68" s="109"/>
      <c r="BI68" s="109"/>
      <c r="BJ68" s="109"/>
      <c r="BK68" s="109"/>
      <c r="BL68" s="109"/>
      <c r="BM68" s="109"/>
      <c r="BN68" s="109"/>
      <c r="BO68" s="109"/>
      <c r="BP68" s="109"/>
      <c r="BQ68" s="109"/>
      <c r="BR68" s="109"/>
      <c r="BS68" s="109"/>
      <c r="BT68" s="109"/>
      <c r="BU68" s="109"/>
      <c r="BV68" s="109"/>
      <c r="BW68" s="109"/>
      <c r="BX68" s="109"/>
      <c r="BY68" s="109"/>
      <c r="BZ68" s="109"/>
      <c r="CA68" s="109"/>
      <c r="CB68" s="109"/>
      <c r="CC68" s="109"/>
      <c r="CD68" s="114"/>
      <c r="CE68" s="105">
        <v>0</v>
      </c>
      <c r="CF68" s="111">
        <v>0</v>
      </c>
      <c r="CG68" s="128">
        <v>0</v>
      </c>
      <c r="CH68" s="126">
        <f t="shared" si="162"/>
        <v>0</v>
      </c>
      <c r="CI68" s="129" t="s">
        <v>513</v>
      </c>
      <c r="CJ68" s="130" t="s">
        <v>514</v>
      </c>
      <c r="CK68" s="114">
        <v>1</v>
      </c>
      <c r="CL68" s="114">
        <v>13.16</v>
      </c>
      <c r="CM68" s="114">
        <f>CK68*CL68</f>
        <v>13.16</v>
      </c>
      <c r="CN68" s="129" t="s">
        <v>515</v>
      </c>
      <c r="CO68" s="114" t="s">
        <v>597</v>
      </c>
      <c r="CP68" s="114">
        <v>1</v>
      </c>
      <c r="CQ68" s="114">
        <v>7.58</v>
      </c>
      <c r="CR68" s="114">
        <f>CP68*CQ68</f>
        <v>7.58</v>
      </c>
      <c r="CS68" s="131" t="s">
        <v>517</v>
      </c>
      <c r="CT68" s="132" t="s">
        <v>598</v>
      </c>
      <c r="CU68" s="114">
        <v>1</v>
      </c>
      <c r="CV68" s="114">
        <v>1.34</v>
      </c>
      <c r="CW68" s="114">
        <f>CU68*CV68</f>
        <v>1.34</v>
      </c>
      <c r="CX68" s="114"/>
      <c r="CY68" s="114"/>
      <c r="CZ68" s="114"/>
      <c r="DA68" s="114"/>
      <c r="DB68" s="114"/>
      <c r="DC68" s="114"/>
      <c r="DD68" s="114"/>
      <c r="DE68" s="114"/>
      <c r="DF68" s="114"/>
      <c r="DG68" s="114"/>
      <c r="DH68" s="114"/>
      <c r="DI68" s="114"/>
      <c r="DJ68" s="114"/>
      <c r="DK68" s="114"/>
      <c r="DL68" s="114"/>
      <c r="DM68" s="114">
        <f>CM68+CR68+CW68+DB68+DG68+DL68+CH68</f>
        <v>22.080000000000002</v>
      </c>
      <c r="DN68" s="110">
        <v>1.2500000000000001E-2</v>
      </c>
      <c r="DO68" s="114">
        <v>0.28000000000000003</v>
      </c>
      <c r="DP68" s="109">
        <f>DM68+DO68</f>
        <v>22.360000000000003</v>
      </c>
      <c r="DQ68" s="109"/>
      <c r="DR68" s="109"/>
      <c r="DS68" s="109"/>
      <c r="DT68" s="109"/>
      <c r="DU68" s="109"/>
      <c r="DV68" s="109"/>
      <c r="DW68" s="109"/>
      <c r="DX68" s="109"/>
      <c r="DY68" s="109"/>
      <c r="DZ68" s="109"/>
      <c r="EA68" s="109"/>
      <c r="EB68" s="109"/>
      <c r="EC68" s="109"/>
      <c r="ED68" s="109"/>
      <c r="EE68" s="109"/>
      <c r="EF68" s="105">
        <v>650</v>
      </c>
      <c r="EG68" s="105">
        <v>5720</v>
      </c>
      <c r="EH68" s="105">
        <v>8</v>
      </c>
      <c r="EI68" s="108">
        <v>0.95</v>
      </c>
      <c r="EJ68" s="105">
        <v>1</v>
      </c>
      <c r="EK68" s="105">
        <v>92</v>
      </c>
      <c r="EL68" s="111">
        <f>3600/EK68*EH68*EJ68*EI68</f>
        <v>297.39130434782606</v>
      </c>
      <c r="EM68" s="114"/>
      <c r="EN68" s="114"/>
      <c r="EO68" s="114"/>
      <c r="EP68" s="111"/>
      <c r="EQ68" s="111"/>
      <c r="ER68" s="111"/>
      <c r="ES68" s="111"/>
      <c r="ET68" s="111"/>
      <c r="EU68" s="109">
        <f t="shared" si="163"/>
        <v>19.233918128654974</v>
      </c>
      <c r="EV68" s="114"/>
      <c r="EW68" s="114"/>
      <c r="EX68" s="114">
        <f>0.9+0.4</f>
        <v>1.3</v>
      </c>
      <c r="EY68" s="118">
        <f>130000/(2*420000)</f>
        <v>0.15476190476190477</v>
      </c>
      <c r="EZ68" s="118"/>
      <c r="FA68" s="118">
        <f>EX68+EY68</f>
        <v>1.4547619047619049</v>
      </c>
      <c r="FB68" s="118"/>
      <c r="FC68" s="118"/>
      <c r="FD68" s="118"/>
      <c r="FE68" s="118"/>
      <c r="FF68" s="118"/>
      <c r="FG68" s="118"/>
      <c r="FH68" s="118"/>
      <c r="FI68" s="118"/>
      <c r="FJ68" s="118"/>
      <c r="FK68" s="118"/>
      <c r="FL68" s="118"/>
      <c r="FM68" s="118"/>
      <c r="FN68" s="118"/>
      <c r="FO68" s="118"/>
      <c r="FP68" s="118"/>
      <c r="FQ68" s="118"/>
      <c r="FR68" s="118"/>
      <c r="FS68" s="118"/>
      <c r="FT68" s="118"/>
      <c r="FU68" s="118"/>
      <c r="FV68" s="118"/>
      <c r="FW68" s="118"/>
      <c r="FX68" s="118"/>
      <c r="FY68" s="118"/>
      <c r="FZ68" s="118"/>
      <c r="GA68" s="118"/>
      <c r="GB68" s="118"/>
      <c r="GC68" s="118"/>
      <c r="GD68" s="118"/>
      <c r="GE68" s="118"/>
      <c r="GF68" s="118"/>
      <c r="GG68" s="118"/>
      <c r="GH68" s="118"/>
      <c r="GI68" s="118"/>
      <c r="GJ68" s="118"/>
      <c r="GK68" s="118"/>
      <c r="GL68" s="118"/>
      <c r="GM68" s="118"/>
      <c r="GN68" s="118"/>
      <c r="GO68" s="118"/>
      <c r="GP68" s="118"/>
      <c r="GQ68" s="118"/>
      <c r="GR68" s="120">
        <v>0.11</v>
      </c>
      <c r="GS68" s="105">
        <v>22.09</v>
      </c>
      <c r="GT68" s="110">
        <v>1.2500000000000001E-2</v>
      </c>
      <c r="GU68" s="118">
        <f t="shared" si="164"/>
        <v>2.5099519766081873</v>
      </c>
      <c r="GV68" s="108">
        <v>0.02</v>
      </c>
      <c r="GW68" s="109">
        <f t="shared" si="165"/>
        <v>0.38467836257309951</v>
      </c>
      <c r="GX68" s="118">
        <f t="shared" si="166"/>
        <v>24.984630339181287</v>
      </c>
      <c r="GY68" s="105" t="s">
        <v>43</v>
      </c>
      <c r="GZ68" s="105" t="s">
        <v>87</v>
      </c>
      <c r="HA68" s="109">
        <v>1600</v>
      </c>
      <c r="HB68" s="109">
        <v>800</v>
      </c>
      <c r="HC68" s="105">
        <v>1800</v>
      </c>
      <c r="HD68" s="105">
        <v>36</v>
      </c>
      <c r="HE68" s="105">
        <v>800</v>
      </c>
      <c r="HF68" s="118">
        <f>ROUNDUP(HE68/HD68,0)</f>
        <v>23</v>
      </c>
      <c r="HG68" s="105">
        <v>5</v>
      </c>
      <c r="HH68" s="118">
        <f>HF68*HG68</f>
        <v>115</v>
      </c>
      <c r="HI68" s="105">
        <v>17500</v>
      </c>
      <c r="HJ68" s="109">
        <f t="shared" si="167"/>
        <v>2012500</v>
      </c>
      <c r="HK68" s="109"/>
      <c r="HL68" s="109"/>
      <c r="HM68" s="109">
        <v>3</v>
      </c>
      <c r="HN68" s="111">
        <f t="shared" si="168"/>
        <v>720000</v>
      </c>
      <c r="HO68" s="109">
        <f t="shared" si="169"/>
        <v>2.7951388888888888</v>
      </c>
      <c r="HP68" s="109">
        <v>160</v>
      </c>
      <c r="HQ68" s="105">
        <v>0</v>
      </c>
      <c r="HR68" s="109">
        <v>0</v>
      </c>
      <c r="HS68" s="109">
        <v>0</v>
      </c>
      <c r="HT68" s="109">
        <v>0</v>
      </c>
      <c r="HU68" s="109"/>
      <c r="HV68" s="109">
        <f t="shared" si="170"/>
        <v>2.7951388888888888</v>
      </c>
      <c r="HW68" s="109"/>
      <c r="HX68" s="109">
        <v>4200</v>
      </c>
      <c r="HY68" s="109">
        <v>1900</v>
      </c>
      <c r="HZ68" s="109">
        <v>1975</v>
      </c>
      <c r="IA68" s="109">
        <f t="shared" si="173"/>
        <v>2</v>
      </c>
      <c r="IB68" s="109">
        <f>ROUNDDOWN(HY68/HB68,0)</f>
        <v>2</v>
      </c>
      <c r="IC68" s="109">
        <f>ROUNDDOWN(HZ68/HC68,0)</f>
        <v>1</v>
      </c>
      <c r="ID68" s="108">
        <v>1</v>
      </c>
      <c r="IE68" s="118">
        <f>ROUND(PRODUCT(IA68:ID68),0)</f>
        <v>4</v>
      </c>
      <c r="IF68" s="109">
        <v>500</v>
      </c>
      <c r="IG68" s="109">
        <f t="shared" ref="IG68:IG79" si="174">IF68/(IE68*HD68)</f>
        <v>3.4722222222222223</v>
      </c>
      <c r="IH68" s="62"/>
    </row>
    <row r="69" spans="1:246">
      <c r="A69">
        <v>71</v>
      </c>
      <c r="B69" t="s">
        <v>468</v>
      </c>
      <c r="C69" t="s">
        <v>535</v>
      </c>
      <c r="D69" s="28" t="s">
        <v>187</v>
      </c>
      <c r="E69" s="27" t="s">
        <v>188</v>
      </c>
      <c r="F69" s="5" t="s">
        <v>2182</v>
      </c>
      <c r="G69" s="27" t="s">
        <v>122</v>
      </c>
      <c r="H69" s="27"/>
      <c r="I69" s="27" t="s">
        <v>121</v>
      </c>
      <c r="J69" s="28">
        <v>21480</v>
      </c>
      <c r="K69" s="27" t="s">
        <v>97</v>
      </c>
      <c r="L69" s="28"/>
      <c r="M69" s="28"/>
      <c r="N69" s="28"/>
      <c r="O69" s="28"/>
      <c r="P69" s="28"/>
      <c r="Q69" s="28" t="s">
        <v>1857</v>
      </c>
      <c r="R69" s="28" t="s">
        <v>1194</v>
      </c>
      <c r="S69" s="27"/>
      <c r="T69" s="27"/>
      <c r="U69" s="27"/>
      <c r="V69" s="29" t="s">
        <v>79</v>
      </c>
      <c r="W69" s="5"/>
      <c r="X69" s="5"/>
      <c r="Y69" s="5"/>
      <c r="Z69" s="5"/>
      <c r="AA69" s="56" t="s">
        <v>512</v>
      </c>
      <c r="AB69" s="340">
        <v>132.65</v>
      </c>
      <c r="AC69" s="4">
        <f>AB69-5</f>
        <v>127.65</v>
      </c>
      <c r="AD69" t="s">
        <v>272</v>
      </c>
      <c r="AE69" s="7">
        <f t="shared" si="154"/>
        <v>194.60754999999997</v>
      </c>
      <c r="AF69" s="7"/>
      <c r="AG69" s="7">
        <f>EU69+EX69</f>
        <v>21.147873865265169</v>
      </c>
      <c r="AH69" s="7">
        <f>DM69</f>
        <v>22.32</v>
      </c>
      <c r="AI69" s="7">
        <f t="shared" si="155"/>
        <v>0.66959999999999997</v>
      </c>
      <c r="AJ69" s="7">
        <f t="shared" si="156"/>
        <v>0.4037267080745342</v>
      </c>
      <c r="AK69" s="7">
        <f t="shared" si="157"/>
        <v>2.6849235675465835</v>
      </c>
      <c r="AL69" s="7">
        <f t="shared" si="158"/>
        <v>22.17504727939756</v>
      </c>
      <c r="AM69" s="7">
        <f t="shared" si="159"/>
        <v>4.7222222222222223</v>
      </c>
      <c r="AN69" s="7">
        <f t="shared" si="160"/>
        <v>2.7777777777777777</v>
      </c>
      <c r="AO69" s="7">
        <f>EY69</f>
        <v>0</v>
      </c>
      <c r="AP69" s="7"/>
      <c r="AQ69" s="7">
        <f t="shared" si="161"/>
        <v>271.50872142028379</v>
      </c>
      <c r="AR69" s="7"/>
      <c r="AS69" s="7"/>
      <c r="AT69" s="6">
        <v>0</v>
      </c>
      <c r="AU69" s="6">
        <v>0</v>
      </c>
      <c r="AV69" s="7">
        <f t="shared" si="172"/>
        <v>271.50872142028379</v>
      </c>
      <c r="AW69" s="17">
        <v>1.4690000000000001</v>
      </c>
      <c r="AX69">
        <v>1.4669999999999999</v>
      </c>
      <c r="AY69" s="8">
        <v>1</v>
      </c>
      <c r="AZ69">
        <f>(AW69-AX69)*AY69</f>
        <v>2.0000000000002238E-3</v>
      </c>
      <c r="BA69" s="4">
        <f>AW69*AB69-AZ69*AC69</f>
        <v>194.60754999999997</v>
      </c>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E69">
        <v>0</v>
      </c>
      <c r="CF69">
        <v>0</v>
      </c>
      <c r="CG69">
        <v>0</v>
      </c>
      <c r="CH69" s="62">
        <f t="shared" si="162"/>
        <v>0</v>
      </c>
      <c r="CI69" t="s">
        <v>513</v>
      </c>
      <c r="CJ69" t="s">
        <v>514</v>
      </c>
      <c r="CK69" s="66">
        <v>1</v>
      </c>
      <c r="CL69">
        <v>13.88</v>
      </c>
      <c r="CM69">
        <f>CK69*CL69</f>
        <v>13.88</v>
      </c>
      <c r="CN69" t="s">
        <v>515</v>
      </c>
      <c r="CO69" t="s">
        <v>516</v>
      </c>
      <c r="CP69">
        <v>1</v>
      </c>
      <c r="CQ69">
        <v>7.1</v>
      </c>
      <c r="CR69">
        <f>CP69*CQ69</f>
        <v>7.1</v>
      </c>
      <c r="CS69" t="s">
        <v>517</v>
      </c>
      <c r="CT69" t="s">
        <v>518</v>
      </c>
      <c r="CU69">
        <v>1</v>
      </c>
      <c r="CV69">
        <v>1.34</v>
      </c>
      <c r="CW69">
        <f>CU69*CV69</f>
        <v>1.34</v>
      </c>
      <c r="DM69" s="4">
        <f>CH69+CM69+CR69+CW69+DB69+DG69+DL69</f>
        <v>22.32</v>
      </c>
      <c r="DN69" s="9">
        <v>0.03</v>
      </c>
      <c r="DO69" s="4">
        <f>DN69*DM69</f>
        <v>0.66959999999999997</v>
      </c>
      <c r="DP69" s="4">
        <f>DM69+DO69</f>
        <v>22.989599999999999</v>
      </c>
      <c r="DQ69" s="4"/>
      <c r="DR69" s="4"/>
      <c r="DS69" s="4"/>
      <c r="DT69" s="4"/>
      <c r="DU69" s="4"/>
      <c r="DV69" s="4"/>
      <c r="DW69" s="4"/>
      <c r="DX69" s="4"/>
      <c r="DY69" s="4"/>
      <c r="DZ69" s="4"/>
      <c r="EA69" s="4"/>
      <c r="EB69" s="4"/>
      <c r="EC69" s="4"/>
      <c r="ED69" s="4"/>
      <c r="EE69" s="4"/>
      <c r="EF69">
        <v>650</v>
      </c>
      <c r="EG69">
        <v>6500</v>
      </c>
      <c r="EH69">
        <v>8</v>
      </c>
      <c r="EI69" s="8">
        <v>0.95</v>
      </c>
      <c r="EJ69">
        <v>1</v>
      </c>
      <c r="EK69">
        <v>85</v>
      </c>
      <c r="EL69" s="10">
        <f t="shared" ref="EL69:EL78" si="175">ROUND(3600/EK69*EH69*EJ69*EI69,0)</f>
        <v>322</v>
      </c>
      <c r="EM69" s="10"/>
      <c r="EN69" s="10"/>
      <c r="EO69" s="10"/>
      <c r="EP69" s="10"/>
      <c r="EQ69" s="10"/>
      <c r="ER69" s="10"/>
      <c r="ES69" s="10"/>
      <c r="ET69" s="10"/>
      <c r="EU69" s="4">
        <f t="shared" si="163"/>
        <v>20.186335403726709</v>
      </c>
      <c r="EV69" s="4"/>
      <c r="EW69" s="4"/>
      <c r="EX69" s="4">
        <f>62.5/65</f>
        <v>0.96153846153846156</v>
      </c>
      <c r="EY69" s="4">
        <v>0</v>
      </c>
      <c r="EZ69" s="4"/>
      <c r="FA69" s="4">
        <f>EX69</f>
        <v>0.96153846153846156</v>
      </c>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36">
        <v>0.10323872692054215</v>
      </c>
      <c r="GS69" s="4">
        <f t="shared" ref="GS69:GS75" si="176">GR69*(BA69+EU69)</f>
        <v>22.17504727939756</v>
      </c>
      <c r="GT69" s="9">
        <v>1.2500000000000001E-2</v>
      </c>
      <c r="GU69" s="4">
        <f t="shared" si="164"/>
        <v>2.6849235675465835</v>
      </c>
      <c r="GV69" s="8">
        <v>0.02</v>
      </c>
      <c r="GW69" s="4">
        <f t="shared" si="165"/>
        <v>0.4037267080745342</v>
      </c>
      <c r="GX69" s="4">
        <f t="shared" si="166"/>
        <v>25.263697555018677</v>
      </c>
      <c r="GY69" t="s">
        <v>130</v>
      </c>
      <c r="GZ69" t="s">
        <v>130</v>
      </c>
      <c r="HA69" s="4">
        <v>1300</v>
      </c>
      <c r="HB69" s="4">
        <v>950</v>
      </c>
      <c r="HC69">
        <v>1600</v>
      </c>
      <c r="HD69">
        <v>36</v>
      </c>
      <c r="HE69">
        <v>600</v>
      </c>
      <c r="HF69" s="4">
        <f>ROUNDUP(HE69/HD69,0)</f>
        <v>17</v>
      </c>
      <c r="HG69">
        <v>5</v>
      </c>
      <c r="HH69" s="4">
        <f>HF69*HG69</f>
        <v>85</v>
      </c>
      <c r="HI69">
        <v>20000</v>
      </c>
      <c r="HJ69" s="4">
        <f t="shared" si="167"/>
        <v>1700000</v>
      </c>
      <c r="HK69" s="4"/>
      <c r="HL69" s="4"/>
      <c r="HM69" s="4">
        <v>2</v>
      </c>
      <c r="HN69" s="10">
        <f t="shared" si="168"/>
        <v>360000</v>
      </c>
      <c r="HO69" s="4">
        <f t="shared" si="169"/>
        <v>4.7222222222222223</v>
      </c>
      <c r="HP69" s="4">
        <v>160</v>
      </c>
      <c r="HQ69">
        <v>0</v>
      </c>
      <c r="HR69" s="4">
        <v>0</v>
      </c>
      <c r="HS69" s="4">
        <v>0</v>
      </c>
      <c r="HT69" s="4">
        <v>0</v>
      </c>
      <c r="HU69" s="4"/>
      <c r="HV69" s="4">
        <f t="shared" si="170"/>
        <v>4.7222222222222223</v>
      </c>
      <c r="HW69" s="4"/>
      <c r="HX69" s="4">
        <v>4200</v>
      </c>
      <c r="HY69" s="4">
        <v>1900</v>
      </c>
      <c r="HZ69" s="4">
        <v>1975</v>
      </c>
      <c r="IA69" s="4">
        <f t="shared" si="173"/>
        <v>3</v>
      </c>
      <c r="IB69" s="4">
        <f>ROUNDDOWN(HY69/HB69,0)</f>
        <v>2</v>
      </c>
      <c r="IC69" s="4">
        <f>ROUNDDOWN(HZ69/HC69,0)</f>
        <v>1</v>
      </c>
      <c r="ID69" s="8">
        <v>1</v>
      </c>
      <c r="IE69" s="4">
        <f>ROUND(PRODUCT(IA69:ID69),0)-1</f>
        <v>5</v>
      </c>
      <c r="IF69" s="4">
        <v>500</v>
      </c>
      <c r="IG69" s="4">
        <f t="shared" si="174"/>
        <v>2.7777777777777777</v>
      </c>
      <c r="IH69" s="4"/>
    </row>
    <row r="70" spans="1:246">
      <c r="A70">
        <v>72</v>
      </c>
      <c r="B70" t="s">
        <v>468</v>
      </c>
      <c r="C70" s="165" t="s">
        <v>536</v>
      </c>
      <c r="D70" s="28" t="s">
        <v>189</v>
      </c>
      <c r="E70" s="27" t="s">
        <v>190</v>
      </c>
      <c r="F70" s="5" t="s">
        <v>2182</v>
      </c>
      <c r="G70" s="27" t="s">
        <v>122</v>
      </c>
      <c r="H70" s="27"/>
      <c r="I70" s="27" t="s">
        <v>121</v>
      </c>
      <c r="J70" s="28">
        <v>21480</v>
      </c>
      <c r="K70" s="27" t="s">
        <v>97</v>
      </c>
      <c r="L70" s="28"/>
      <c r="M70" s="28"/>
      <c r="N70" s="28"/>
      <c r="O70" s="28"/>
      <c r="P70" s="28"/>
      <c r="Q70" s="28" t="s">
        <v>1035</v>
      </c>
      <c r="R70" s="28" t="s">
        <v>1034</v>
      </c>
      <c r="S70" s="27"/>
      <c r="T70" s="27"/>
      <c r="U70" s="27"/>
      <c r="V70" s="29" t="s">
        <v>79</v>
      </c>
      <c r="W70" s="5"/>
      <c r="X70" s="5"/>
      <c r="Y70" s="5"/>
      <c r="Z70" s="5"/>
      <c r="AA70" s="56" t="s">
        <v>307</v>
      </c>
      <c r="AB70" s="66">
        <v>118.8</v>
      </c>
      <c r="AC70">
        <v>20</v>
      </c>
      <c r="AD70" t="s">
        <v>297</v>
      </c>
      <c r="AE70" s="7">
        <f t="shared" si="154"/>
        <v>5.6812000000000005</v>
      </c>
      <c r="AF70" s="7"/>
      <c r="AG70" s="7">
        <f t="shared" ref="AG70:AG76" si="177">EU70</f>
        <v>3.3254156769596199</v>
      </c>
      <c r="AH70" s="7">
        <f>DM70</f>
        <v>0</v>
      </c>
      <c r="AI70" s="7">
        <f t="shared" si="155"/>
        <v>0</v>
      </c>
      <c r="AJ70" s="7">
        <f t="shared" si="156"/>
        <v>6.6508313539192399E-2</v>
      </c>
      <c r="AK70" s="7">
        <f t="shared" si="157"/>
        <v>0.11258269596199527</v>
      </c>
      <c r="AL70" s="7">
        <f t="shared" si="158"/>
        <v>0.99072772446555835</v>
      </c>
      <c r="AM70" s="7">
        <f t="shared" si="159"/>
        <v>8.020833333333334E-2</v>
      </c>
      <c r="AN70" s="7">
        <f t="shared" si="160"/>
        <v>0.12437810945273632</v>
      </c>
      <c r="AO70" s="7">
        <f>EY70</f>
        <v>0</v>
      </c>
      <c r="AP70" s="7"/>
      <c r="AQ70" s="42">
        <f t="shared" si="161"/>
        <v>10.381020853712435</v>
      </c>
      <c r="AR70" s="42"/>
      <c r="AS70" s="42"/>
      <c r="AT70" s="6">
        <v>0</v>
      </c>
      <c r="AU70" s="7">
        <v>0.32</v>
      </c>
      <c r="AV70" s="7">
        <f t="shared" si="172"/>
        <v>10.701020853712436</v>
      </c>
      <c r="AW70">
        <v>4.9000000000000002E-2</v>
      </c>
      <c r="AX70">
        <v>4.2000000000000003E-2</v>
      </c>
      <c r="AY70" s="8">
        <v>1</v>
      </c>
      <c r="AZ70" s="59">
        <f>(AW70-AX70)*AY70</f>
        <v>6.9999999999999993E-3</v>
      </c>
      <c r="BA70" s="44">
        <f>AW70*AB70-AZ70*AC70</f>
        <v>5.6812000000000005</v>
      </c>
      <c r="BB70" s="44"/>
      <c r="BC70" s="44"/>
      <c r="BD70" s="44"/>
      <c r="BE70" s="44"/>
      <c r="BF70" s="44"/>
      <c r="BG70" s="44"/>
      <c r="BH70" s="44"/>
      <c r="BI70" s="44"/>
      <c r="BJ70" s="44"/>
      <c r="BK70" s="44"/>
      <c r="BL70" s="44"/>
      <c r="BM70" s="44"/>
      <c r="BN70" s="44"/>
      <c r="BO70" s="44"/>
      <c r="BP70" s="44"/>
      <c r="BQ70" s="44"/>
      <c r="BR70" s="44"/>
      <c r="BS70" s="44"/>
      <c r="BT70" s="44"/>
      <c r="BU70" s="44"/>
      <c r="BV70" s="44"/>
      <c r="BW70" s="44"/>
      <c r="BX70" s="44"/>
      <c r="BY70" s="44"/>
      <c r="BZ70" s="44"/>
      <c r="CA70" s="44"/>
      <c r="CB70" s="44"/>
      <c r="CC70" s="44"/>
      <c r="CE70">
        <v>0</v>
      </c>
      <c r="CF70">
        <v>0</v>
      </c>
      <c r="CG70">
        <v>0</v>
      </c>
      <c r="CH70" s="4">
        <f t="shared" si="162"/>
        <v>0</v>
      </c>
      <c r="CK70" s="66"/>
      <c r="DN70" s="9">
        <v>1.2500000000000001E-2</v>
      </c>
      <c r="DO70" s="4">
        <v>0</v>
      </c>
      <c r="DP70" s="4">
        <f>DM70+DO70</f>
        <v>0</v>
      </c>
      <c r="DQ70" s="4"/>
      <c r="DR70" s="4"/>
      <c r="DS70" s="4"/>
      <c r="DT70" s="4"/>
      <c r="DU70" s="4"/>
      <c r="DV70" s="4"/>
      <c r="DW70" s="4"/>
      <c r="DX70" s="4"/>
      <c r="DY70" s="4"/>
      <c r="DZ70" s="4"/>
      <c r="EA70" s="4"/>
      <c r="EB70" s="4"/>
      <c r="EC70" s="4"/>
      <c r="ED70" s="4"/>
      <c r="EE70" s="4"/>
      <c r="EF70">
        <v>280</v>
      </c>
      <c r="EG70">
        <v>2800</v>
      </c>
      <c r="EH70">
        <v>8</v>
      </c>
      <c r="EI70" s="8">
        <v>0.95</v>
      </c>
      <c r="EJ70">
        <v>2</v>
      </c>
      <c r="EK70">
        <v>65</v>
      </c>
      <c r="EL70" s="10">
        <f t="shared" si="175"/>
        <v>842</v>
      </c>
      <c r="EM70" s="10"/>
      <c r="EN70" s="10"/>
      <c r="EO70" s="10"/>
      <c r="EP70" s="10"/>
      <c r="EQ70" s="10"/>
      <c r="ER70" s="10"/>
      <c r="ES70" s="10"/>
      <c r="ET70" s="10"/>
      <c r="EU70" s="4">
        <f t="shared" si="163"/>
        <v>3.3254156769596199</v>
      </c>
      <c r="EV70" s="4"/>
      <c r="EW70" s="4"/>
      <c r="EX70" s="4">
        <v>0</v>
      </c>
      <c r="EY70" s="4">
        <v>0</v>
      </c>
      <c r="EZ70" s="4"/>
      <c r="FA70" s="4">
        <v>0</v>
      </c>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8">
        <v>0.11</v>
      </c>
      <c r="GS70" s="4">
        <f t="shared" si="176"/>
        <v>0.99072772446555835</v>
      </c>
      <c r="GT70" s="9">
        <v>1.2500000000000001E-2</v>
      </c>
      <c r="GU70" s="4">
        <f t="shared" si="164"/>
        <v>0.11258269596199527</v>
      </c>
      <c r="GV70" s="8">
        <v>0.02</v>
      </c>
      <c r="GW70" s="4">
        <f t="shared" si="165"/>
        <v>6.6508313539192399E-2</v>
      </c>
      <c r="GX70" s="4">
        <f t="shared" si="166"/>
        <v>1.1698187339667461</v>
      </c>
      <c r="GY70" t="s">
        <v>43</v>
      </c>
      <c r="GZ70" t="s">
        <v>87</v>
      </c>
      <c r="HA70" s="4">
        <v>650</v>
      </c>
      <c r="HB70" s="4">
        <v>450</v>
      </c>
      <c r="HC70">
        <v>240</v>
      </c>
      <c r="HD70">
        <v>60</v>
      </c>
      <c r="HE70">
        <v>800</v>
      </c>
      <c r="HF70" s="4">
        <v>14</v>
      </c>
      <c r="HG70">
        <v>5</v>
      </c>
      <c r="HH70" s="4">
        <v>70</v>
      </c>
      <c r="HI70">
        <v>550</v>
      </c>
      <c r="HJ70" s="4">
        <f t="shared" si="167"/>
        <v>38500</v>
      </c>
      <c r="HK70" s="4"/>
      <c r="HL70" s="4"/>
      <c r="HM70" s="4">
        <v>2</v>
      </c>
      <c r="HN70" s="10">
        <f t="shared" si="168"/>
        <v>480000</v>
      </c>
      <c r="HO70" s="4">
        <f t="shared" si="169"/>
        <v>8.020833333333334E-2</v>
      </c>
      <c r="HP70" s="4">
        <v>160</v>
      </c>
      <c r="HQ70">
        <v>0</v>
      </c>
      <c r="HR70" s="4">
        <v>0</v>
      </c>
      <c r="HS70" s="4">
        <v>0</v>
      </c>
      <c r="HT70" s="4">
        <v>0</v>
      </c>
      <c r="HU70" s="4"/>
      <c r="HV70" s="4">
        <f t="shared" si="170"/>
        <v>8.020833333333334E-2</v>
      </c>
      <c r="HW70" s="4"/>
      <c r="HX70" s="4">
        <v>2917</v>
      </c>
      <c r="HY70" s="4">
        <v>1689</v>
      </c>
      <c r="HZ70" s="4">
        <v>1842</v>
      </c>
      <c r="IA70" s="4">
        <f t="shared" si="173"/>
        <v>4</v>
      </c>
      <c r="IB70" s="4">
        <v>3</v>
      </c>
      <c r="IC70" s="4">
        <v>7</v>
      </c>
      <c r="ID70" s="8">
        <v>0.8</v>
      </c>
      <c r="IE70" s="4">
        <v>67</v>
      </c>
      <c r="IF70" s="4">
        <v>500</v>
      </c>
      <c r="IG70" s="4">
        <f t="shared" si="174"/>
        <v>0.12437810945273632</v>
      </c>
      <c r="IH70" s="4"/>
    </row>
    <row r="71" spans="1:246">
      <c r="A71">
        <v>73</v>
      </c>
      <c r="B71" t="s">
        <v>468</v>
      </c>
      <c r="C71" s="5" t="s">
        <v>447</v>
      </c>
      <c r="D71" s="28" t="s">
        <v>191</v>
      </c>
      <c r="E71" s="27" t="s">
        <v>192</v>
      </c>
      <c r="F71" s="5" t="s">
        <v>2182</v>
      </c>
      <c r="G71" s="27" t="s">
        <v>101</v>
      </c>
      <c r="H71" s="27"/>
      <c r="I71" s="27" t="s">
        <v>121</v>
      </c>
      <c r="J71" s="28">
        <v>21480</v>
      </c>
      <c r="K71" s="27" t="s">
        <v>97</v>
      </c>
      <c r="L71" s="28"/>
      <c r="M71" s="28"/>
      <c r="N71" s="28"/>
      <c r="O71" s="28"/>
      <c r="P71" s="28"/>
      <c r="Q71" s="28" t="s">
        <v>1035</v>
      </c>
      <c r="R71" s="28" t="s">
        <v>1831</v>
      </c>
      <c r="S71" s="27"/>
      <c r="T71" s="27"/>
      <c r="U71" s="27"/>
      <c r="V71" s="29" t="s">
        <v>79</v>
      </c>
      <c r="W71" s="5"/>
      <c r="X71" s="5"/>
      <c r="Y71" s="5"/>
      <c r="Z71" s="5"/>
      <c r="AA71" s="51" t="s">
        <v>440</v>
      </c>
      <c r="AB71" s="339">
        <v>85.45</v>
      </c>
      <c r="AC71" s="11">
        <f>AB71-5</f>
        <v>80.45</v>
      </c>
      <c r="AD71" t="s">
        <v>448</v>
      </c>
      <c r="AE71" s="7">
        <f t="shared" si="154"/>
        <v>3.1916500000000001</v>
      </c>
      <c r="AF71" s="7"/>
      <c r="AG71" s="7">
        <f t="shared" si="177"/>
        <v>3.0701754385964914</v>
      </c>
      <c r="AH71" s="7">
        <f t="shared" ref="AH71:AH76" si="178">DP71</f>
        <v>0</v>
      </c>
      <c r="AI71" s="7">
        <f t="shared" si="155"/>
        <v>0</v>
      </c>
      <c r="AJ71" s="7">
        <f t="shared" si="156"/>
        <v>6.1403508771929828E-2</v>
      </c>
      <c r="AK71" s="7">
        <f t="shared" si="157"/>
        <v>7.8272817982456153E-2</v>
      </c>
      <c r="AL71" s="7">
        <f t="shared" si="158"/>
        <v>0.68880079824561402</v>
      </c>
      <c r="AM71" s="7">
        <f t="shared" si="159"/>
        <v>0.90041666666666664</v>
      </c>
      <c r="AN71" s="7">
        <f t="shared" si="160"/>
        <v>0.11574074074074074</v>
      </c>
      <c r="AO71" s="6">
        <v>0</v>
      </c>
      <c r="AP71" s="6"/>
      <c r="AQ71" s="7">
        <f t="shared" si="161"/>
        <v>8.1064599710038987</v>
      </c>
      <c r="AR71" s="7"/>
      <c r="AS71" s="7"/>
      <c r="AT71" s="6">
        <v>0</v>
      </c>
      <c r="AU71" s="6"/>
      <c r="AV71" s="7">
        <f>AQ71+AT71</f>
        <v>8.1064599710038987</v>
      </c>
      <c r="AW71">
        <v>4.2999999999999997E-2</v>
      </c>
      <c r="AX71">
        <v>3.6999999999999998E-2</v>
      </c>
      <c r="AY71" s="8">
        <v>1</v>
      </c>
      <c r="AZ71">
        <f>AW71-AX71</f>
        <v>5.9999999999999984E-3</v>
      </c>
      <c r="BA71" s="4">
        <f>AW71*AB71-AZ71*AC71</f>
        <v>3.1916500000000001</v>
      </c>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E71">
        <v>0</v>
      </c>
      <c r="CF71">
        <v>0</v>
      </c>
      <c r="CG71">
        <v>0</v>
      </c>
      <c r="DN71" s="9">
        <v>1.2500000000000001E-2</v>
      </c>
      <c r="DO71" s="4">
        <f>DN71*CG71*CF71</f>
        <v>0</v>
      </c>
      <c r="DP71" s="4">
        <f t="shared" ref="DP71:DP76" si="179">CG71*CF71</f>
        <v>0</v>
      </c>
      <c r="DQ71" s="4"/>
      <c r="DR71" s="4"/>
      <c r="DS71" s="4"/>
      <c r="DT71" s="4"/>
      <c r="DU71" s="4"/>
      <c r="DV71" s="4"/>
      <c r="DW71" s="4"/>
      <c r="DX71" s="4"/>
      <c r="DY71" s="4"/>
      <c r="DZ71" s="4"/>
      <c r="EA71" s="4"/>
      <c r="EB71" s="4"/>
      <c r="EC71" s="4"/>
      <c r="ED71" s="4"/>
      <c r="EE71" s="4"/>
      <c r="EF71">
        <v>280</v>
      </c>
      <c r="EG71">
        <v>2800</v>
      </c>
      <c r="EH71">
        <v>8</v>
      </c>
      <c r="EI71" s="8">
        <v>0.95</v>
      </c>
      <c r="EJ71">
        <v>2</v>
      </c>
      <c r="EK71">
        <v>60</v>
      </c>
      <c r="EL71" s="10">
        <f t="shared" si="175"/>
        <v>912</v>
      </c>
      <c r="EM71" s="10"/>
      <c r="EN71" s="10"/>
      <c r="EO71" s="10"/>
      <c r="EP71" s="4"/>
      <c r="EQ71" s="4"/>
      <c r="ER71" s="4"/>
      <c r="ES71" s="4"/>
      <c r="ET71" s="4"/>
      <c r="EU71" s="4">
        <f t="shared" si="163"/>
        <v>3.0701754385964914</v>
      </c>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8">
        <v>0.11</v>
      </c>
      <c r="GS71" s="4">
        <f t="shared" si="176"/>
        <v>0.68880079824561402</v>
      </c>
      <c r="GT71" s="9">
        <v>1.2500000000000001E-2</v>
      </c>
      <c r="GU71" s="4">
        <f t="shared" si="164"/>
        <v>7.8272817982456153E-2</v>
      </c>
      <c r="GV71" s="8">
        <v>0.02</v>
      </c>
      <c r="GW71" s="4">
        <f t="shared" si="165"/>
        <v>6.1403508771929828E-2</v>
      </c>
      <c r="GX71" s="4">
        <f t="shared" si="166"/>
        <v>0.82847712499999993</v>
      </c>
      <c r="GY71" t="s">
        <v>449</v>
      </c>
      <c r="GZ71" t="s">
        <v>87</v>
      </c>
      <c r="HA71" s="4">
        <v>650</v>
      </c>
      <c r="HB71" s="4">
        <v>450</v>
      </c>
      <c r="HC71">
        <v>320</v>
      </c>
      <c r="HD71">
        <v>30</v>
      </c>
      <c r="HE71">
        <v>400</v>
      </c>
      <c r="HF71" s="4">
        <f t="shared" ref="HF71:HF79" si="180">ROUNDUP(HE71/HD71,0)</f>
        <v>14</v>
      </c>
      <c r="HG71">
        <v>5</v>
      </c>
      <c r="HH71" s="4">
        <f t="shared" ref="HH71:HH79" si="181">HF71*HG71</f>
        <v>70</v>
      </c>
      <c r="HI71">
        <v>550</v>
      </c>
      <c r="HJ71" s="4">
        <f t="shared" si="167"/>
        <v>38500</v>
      </c>
      <c r="HK71" s="4"/>
      <c r="HL71" s="4"/>
      <c r="HM71" s="4">
        <v>2</v>
      </c>
      <c r="HN71" s="10">
        <f t="shared" si="168"/>
        <v>240000</v>
      </c>
      <c r="HO71" s="4">
        <f t="shared" si="169"/>
        <v>0.16041666666666668</v>
      </c>
      <c r="HP71" s="4">
        <v>160</v>
      </c>
      <c r="HQ71">
        <v>0</v>
      </c>
      <c r="HR71" s="4">
        <v>0.74</v>
      </c>
      <c r="HS71">
        <v>1</v>
      </c>
      <c r="HT71" s="4">
        <f>HR71/HS71</f>
        <v>0.74</v>
      </c>
      <c r="HU71" s="4"/>
      <c r="HV71" s="4">
        <f t="shared" si="170"/>
        <v>0.90041666666666664</v>
      </c>
      <c r="HW71" s="4"/>
      <c r="HX71" s="45">
        <v>2916.5</v>
      </c>
      <c r="HY71" s="45">
        <v>1688.5</v>
      </c>
      <c r="HZ71" s="10">
        <v>1842</v>
      </c>
      <c r="IA71" s="4">
        <f t="shared" si="173"/>
        <v>4</v>
      </c>
      <c r="IB71" s="4">
        <f>ROUNDDOWN(HY71/HB71,0)</f>
        <v>3</v>
      </c>
      <c r="IC71" s="4">
        <f>ROUNDDOWN(HZ71/HC71,0)</f>
        <v>5</v>
      </c>
      <c r="ID71" s="8">
        <v>2.4</v>
      </c>
      <c r="IE71" s="4">
        <f>ROUND(PRODUCT(IA71:ID71),0)</f>
        <v>144</v>
      </c>
      <c r="IF71" s="4">
        <v>500</v>
      </c>
      <c r="IG71" s="4">
        <f t="shared" si="174"/>
        <v>0.11574074074074074</v>
      </c>
      <c r="IH71" s="4"/>
    </row>
    <row r="72" spans="1:246">
      <c r="A72">
        <v>74</v>
      </c>
      <c r="B72" t="s">
        <v>468</v>
      </c>
      <c r="C72" t="s">
        <v>570</v>
      </c>
      <c r="D72" s="28" t="s">
        <v>193</v>
      </c>
      <c r="E72" s="27" t="s">
        <v>194</v>
      </c>
      <c r="F72" s="5" t="s">
        <v>2182</v>
      </c>
      <c r="G72" s="27" t="s">
        <v>108</v>
      </c>
      <c r="H72" s="27"/>
      <c r="I72" s="27" t="s">
        <v>121</v>
      </c>
      <c r="J72" s="28">
        <v>29010</v>
      </c>
      <c r="K72" s="27" t="s">
        <v>229</v>
      </c>
      <c r="L72" s="28"/>
      <c r="M72" s="28"/>
      <c r="N72" s="28"/>
      <c r="O72" s="28"/>
      <c r="P72" s="28"/>
      <c r="Q72" s="28" t="s">
        <v>1858</v>
      </c>
      <c r="R72" s="28" t="s">
        <v>1193</v>
      </c>
      <c r="S72" s="27"/>
      <c r="T72" s="27"/>
      <c r="U72" s="27"/>
      <c r="V72" s="29" t="s">
        <v>79</v>
      </c>
      <c r="W72" s="5"/>
      <c r="X72" s="5"/>
      <c r="Y72" s="5"/>
      <c r="Z72" s="5"/>
      <c r="AA72" t="s">
        <v>542</v>
      </c>
      <c r="AB72" s="66">
        <v>144.18</v>
      </c>
      <c r="AC72">
        <f>AB72-5</f>
        <v>139.18</v>
      </c>
      <c r="AD72"/>
      <c r="AE72" s="7">
        <f t="shared" si="154"/>
        <v>40.521744000000005</v>
      </c>
      <c r="AF72" s="7"/>
      <c r="AG72" s="7">
        <f t="shared" si="177"/>
        <v>3.6549707602339181</v>
      </c>
      <c r="AH72" s="7">
        <f t="shared" si="178"/>
        <v>11.2</v>
      </c>
      <c r="AI72" s="7">
        <f t="shared" si="155"/>
        <v>0.13999999999999999</v>
      </c>
      <c r="AJ72" s="7">
        <f t="shared" si="156"/>
        <v>7.3099415204678359E-2</v>
      </c>
      <c r="AK72" s="7">
        <f t="shared" si="157"/>
        <v>0.55220893450292408</v>
      </c>
      <c r="AL72" s="7">
        <f t="shared" si="158"/>
        <v>4.8594386236257314</v>
      </c>
      <c r="AM72" s="7">
        <f t="shared" si="159"/>
        <v>0.18333333333333332</v>
      </c>
      <c r="AN72" s="7">
        <f t="shared" si="160"/>
        <v>0.1388888888888889</v>
      </c>
      <c r="AO72" s="7">
        <v>0</v>
      </c>
      <c r="AP72" s="7"/>
      <c r="AQ72" s="7">
        <f t="shared" si="161"/>
        <v>61.32368395578947</v>
      </c>
      <c r="AR72" s="7"/>
      <c r="AS72" s="7"/>
      <c r="AT72" s="7"/>
      <c r="AU72" s="7"/>
      <c r="AV72" s="7">
        <f>AQ72</f>
        <v>61.32368395578947</v>
      </c>
      <c r="AW72" s="4">
        <v>0.28800000000000003</v>
      </c>
      <c r="AX72" s="4">
        <v>0.28000000000000003</v>
      </c>
      <c r="AY72" s="77">
        <v>0.9</v>
      </c>
      <c r="AZ72" s="4">
        <f>AW72-AX72</f>
        <v>8.0000000000000071E-3</v>
      </c>
      <c r="BA72" s="4">
        <f>AW72*AB72-(AZ72*AC72)*AY72</f>
        <v>40.521744000000005</v>
      </c>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v>0</v>
      </c>
      <c r="CF72" s="4">
        <v>4</v>
      </c>
      <c r="CG72" s="4">
        <v>2.8</v>
      </c>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9">
        <v>1.2500000000000001E-2</v>
      </c>
      <c r="DO72" s="4">
        <f>DN72*CG72*CF72</f>
        <v>0.13999999999999999</v>
      </c>
      <c r="DP72" s="4">
        <f t="shared" si="179"/>
        <v>11.2</v>
      </c>
      <c r="DQ72" s="4"/>
      <c r="DR72" s="4"/>
      <c r="DS72" s="4"/>
      <c r="DT72" s="4"/>
      <c r="DU72" s="4"/>
      <c r="DV72" s="4"/>
      <c r="DW72" s="4"/>
      <c r="DX72" s="4"/>
      <c r="DY72" s="4"/>
      <c r="DZ72" s="4"/>
      <c r="EA72" s="4"/>
      <c r="EB72" s="4"/>
      <c r="EC72" s="4"/>
      <c r="ED72" s="4"/>
      <c r="EE72" s="4"/>
      <c r="EF72" s="4">
        <v>250</v>
      </c>
      <c r="EG72" s="4">
        <v>2500</v>
      </c>
      <c r="EH72" s="4">
        <v>8</v>
      </c>
      <c r="EI72" s="77">
        <v>0.95</v>
      </c>
      <c r="EJ72" s="4">
        <v>2</v>
      </c>
      <c r="EK72" s="4">
        <v>80</v>
      </c>
      <c r="EL72" s="4">
        <f t="shared" si="175"/>
        <v>684</v>
      </c>
      <c r="EM72" s="4"/>
      <c r="EN72" s="4"/>
      <c r="EO72" s="4"/>
      <c r="EP72" s="4"/>
      <c r="EQ72" s="4"/>
      <c r="ER72" s="4"/>
      <c r="ES72" s="4"/>
      <c r="ET72" s="4"/>
      <c r="EU72" s="4">
        <f t="shared" si="163"/>
        <v>3.6549707602339181</v>
      </c>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8">
        <v>0.11</v>
      </c>
      <c r="GS72" s="4">
        <f t="shared" si="176"/>
        <v>4.8594386236257314</v>
      </c>
      <c r="GT72" s="9">
        <v>1.2500000000000001E-2</v>
      </c>
      <c r="GU72" s="4">
        <f t="shared" si="164"/>
        <v>0.55220893450292408</v>
      </c>
      <c r="GV72" s="8">
        <v>0.02</v>
      </c>
      <c r="GW72" s="4">
        <f t="shared" si="165"/>
        <v>7.3099415204678359E-2</v>
      </c>
      <c r="GX72" s="4">
        <f t="shared" si="166"/>
        <v>5.4847469733333343</v>
      </c>
      <c r="GY72" s="4" t="s">
        <v>43</v>
      </c>
      <c r="GZ72" s="4" t="s">
        <v>87</v>
      </c>
      <c r="HA72" s="4">
        <v>650</v>
      </c>
      <c r="HB72" s="4">
        <v>450</v>
      </c>
      <c r="HC72" s="4">
        <v>320</v>
      </c>
      <c r="HD72" s="4">
        <v>25</v>
      </c>
      <c r="HE72" s="4">
        <v>700</v>
      </c>
      <c r="HF72" s="4">
        <f t="shared" si="180"/>
        <v>28</v>
      </c>
      <c r="HG72" s="4">
        <v>5</v>
      </c>
      <c r="HH72" s="4">
        <f t="shared" si="181"/>
        <v>140</v>
      </c>
      <c r="HI72" s="4">
        <v>550</v>
      </c>
      <c r="HJ72" s="4">
        <f t="shared" si="167"/>
        <v>77000</v>
      </c>
      <c r="HK72" s="4"/>
      <c r="HL72" s="4"/>
      <c r="HM72" s="4">
        <v>2</v>
      </c>
      <c r="HN72" s="4">
        <f t="shared" si="168"/>
        <v>420000</v>
      </c>
      <c r="HO72" s="4">
        <f t="shared" si="169"/>
        <v>0.18333333333333332</v>
      </c>
      <c r="HP72" s="4">
        <v>160</v>
      </c>
      <c r="HQ72" s="4">
        <v>0</v>
      </c>
      <c r="HR72" s="4">
        <v>0</v>
      </c>
      <c r="HS72" s="4">
        <v>0</v>
      </c>
      <c r="HT72" s="4">
        <v>0</v>
      </c>
      <c r="HU72" s="4"/>
      <c r="HV72" s="4">
        <f t="shared" si="170"/>
        <v>0.18333333333333332</v>
      </c>
      <c r="HW72" s="4"/>
      <c r="HX72" s="4">
        <v>4200</v>
      </c>
      <c r="HY72" s="4">
        <v>1900</v>
      </c>
      <c r="HZ72" s="4">
        <v>1975</v>
      </c>
      <c r="IA72" s="4">
        <f t="shared" si="173"/>
        <v>6</v>
      </c>
      <c r="IB72" s="4">
        <f>ROUNDDOWN(HY72/HB72,0)</f>
        <v>4</v>
      </c>
      <c r="IC72" s="4">
        <f>ROUNDDOWN(HZ72/HC72,0)</f>
        <v>6</v>
      </c>
      <c r="ID72" s="8">
        <v>1</v>
      </c>
      <c r="IE72" s="4">
        <f>PRODUCT(IA72:ID72)</f>
        <v>144</v>
      </c>
      <c r="IF72" s="4">
        <v>500</v>
      </c>
      <c r="IG72" s="4">
        <f t="shared" si="174"/>
        <v>0.1388888888888889</v>
      </c>
      <c r="IH72" s="4"/>
    </row>
    <row r="73" spans="1:246">
      <c r="A73">
        <v>75</v>
      </c>
      <c r="B73" t="s">
        <v>468</v>
      </c>
      <c r="C73" t="s">
        <v>1863</v>
      </c>
      <c r="D73" s="28" t="s">
        <v>193</v>
      </c>
      <c r="E73" s="27" t="s">
        <v>194</v>
      </c>
      <c r="F73" s="5" t="s">
        <v>2182</v>
      </c>
      <c r="G73" s="27" t="s">
        <v>101</v>
      </c>
      <c r="H73" s="27"/>
      <c r="I73" s="27" t="s">
        <v>121</v>
      </c>
      <c r="J73" s="28">
        <v>21480</v>
      </c>
      <c r="K73" s="27" t="s">
        <v>97</v>
      </c>
      <c r="L73" s="28"/>
      <c r="M73" s="28"/>
      <c r="N73" s="28"/>
      <c r="O73" s="28"/>
      <c r="P73" s="28"/>
      <c r="Q73" s="28" t="s">
        <v>1035</v>
      </c>
      <c r="R73" s="28" t="s">
        <v>1194</v>
      </c>
      <c r="S73" s="27"/>
      <c r="T73" s="27"/>
      <c r="U73" s="27"/>
      <c r="V73" s="29" t="s">
        <v>79</v>
      </c>
      <c r="W73" s="5"/>
      <c r="X73" s="5"/>
      <c r="Y73" s="5"/>
      <c r="Z73" s="5"/>
      <c r="AA73" s="51" t="s">
        <v>417</v>
      </c>
      <c r="AB73" s="339">
        <v>148</v>
      </c>
      <c r="AC73" s="11">
        <v>20</v>
      </c>
      <c r="AE73" s="7">
        <f t="shared" si="154"/>
        <v>45.423999999999992</v>
      </c>
      <c r="AF73" s="7"/>
      <c r="AG73" s="7">
        <f t="shared" si="177"/>
        <v>8.2266910420475323</v>
      </c>
      <c r="AH73" s="7">
        <f t="shared" si="178"/>
        <v>25.3</v>
      </c>
      <c r="AI73" s="7">
        <f t="shared" si="155"/>
        <v>0</v>
      </c>
      <c r="AJ73" s="7">
        <f t="shared" si="156"/>
        <v>0.16453382084095064</v>
      </c>
      <c r="AK73" s="7">
        <f t="shared" si="157"/>
        <v>0.67063363802559417</v>
      </c>
      <c r="AL73" s="7">
        <f t="shared" si="158"/>
        <v>5.9015760146252276</v>
      </c>
      <c r="AM73" s="7">
        <f t="shared" si="159"/>
        <v>0.18333333333333332</v>
      </c>
      <c r="AN73" s="7">
        <f t="shared" si="160"/>
        <v>0.41666666666666669</v>
      </c>
      <c r="AO73" s="6">
        <v>0</v>
      </c>
      <c r="AP73" s="6"/>
      <c r="AQ73" s="7">
        <f t="shared" si="161"/>
        <v>86.287434515539289</v>
      </c>
      <c r="AR73" s="7"/>
      <c r="AS73" s="7"/>
      <c r="AT73" s="6">
        <v>0</v>
      </c>
      <c r="AU73" s="6"/>
      <c r="AV73" s="7">
        <f>AQ73+AT73</f>
        <v>86.287434515539289</v>
      </c>
      <c r="AW73">
        <v>0.308</v>
      </c>
      <c r="AX73">
        <v>0.3</v>
      </c>
      <c r="AY73" s="8">
        <v>1</v>
      </c>
      <c r="AZ73">
        <f>AW73-AX73</f>
        <v>8.0000000000000071E-3</v>
      </c>
      <c r="BA73" s="4">
        <f>AW73*AB73-AZ73*AC73</f>
        <v>45.423999999999992</v>
      </c>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E73">
        <v>0</v>
      </c>
      <c r="CF73">
        <v>4</v>
      </c>
      <c r="CG73">
        <v>6.3250000000000002</v>
      </c>
      <c r="DN73" s="9">
        <v>0</v>
      </c>
      <c r="DO73" s="4">
        <f>DN73*CG73*CF73</f>
        <v>0</v>
      </c>
      <c r="DP73" s="4">
        <f t="shared" si="179"/>
        <v>25.3</v>
      </c>
      <c r="DQ73" s="4"/>
      <c r="DR73" s="4"/>
      <c r="DS73" s="4"/>
      <c r="DT73" s="4"/>
      <c r="DU73" s="4"/>
      <c r="DV73" s="4"/>
      <c r="DW73" s="4"/>
      <c r="DX73" s="4"/>
      <c r="DY73" s="4"/>
      <c r="DZ73" s="4"/>
      <c r="EA73" s="4"/>
      <c r="EB73" s="4"/>
      <c r="EC73" s="4"/>
      <c r="ED73" s="4"/>
      <c r="EE73" s="4"/>
      <c r="EF73">
        <v>450</v>
      </c>
      <c r="EG73">
        <v>4500</v>
      </c>
      <c r="EH73">
        <v>8</v>
      </c>
      <c r="EI73" s="8">
        <v>0.95</v>
      </c>
      <c r="EJ73">
        <v>2</v>
      </c>
      <c r="EK73">
        <v>100</v>
      </c>
      <c r="EL73" s="10">
        <f t="shared" si="175"/>
        <v>547</v>
      </c>
      <c r="EM73" s="10"/>
      <c r="EN73" s="10"/>
      <c r="EO73" s="10"/>
      <c r="EP73" s="4"/>
      <c r="EQ73" s="4"/>
      <c r="ER73" s="4"/>
      <c r="ES73" s="4"/>
      <c r="ET73" s="4"/>
      <c r="EU73" s="4">
        <f t="shared" si="163"/>
        <v>8.2266910420475323</v>
      </c>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8">
        <v>0.11</v>
      </c>
      <c r="GS73" s="4">
        <f t="shared" si="176"/>
        <v>5.9015760146252276</v>
      </c>
      <c r="GT73" s="9">
        <v>1.2500000000000001E-2</v>
      </c>
      <c r="GU73" s="4">
        <f t="shared" si="164"/>
        <v>0.67063363802559417</v>
      </c>
      <c r="GV73" s="8">
        <v>0.02</v>
      </c>
      <c r="GW73" s="4">
        <f t="shared" si="165"/>
        <v>0.16453382084095064</v>
      </c>
      <c r="GX73" s="4">
        <f t="shared" si="166"/>
        <v>6.7367434734917717</v>
      </c>
      <c r="GY73" t="s">
        <v>418</v>
      </c>
      <c r="GZ73" t="s">
        <v>87</v>
      </c>
      <c r="HA73" s="4">
        <v>650</v>
      </c>
      <c r="HB73" s="4">
        <v>450</v>
      </c>
      <c r="HC73">
        <v>320</v>
      </c>
      <c r="HD73">
        <v>25</v>
      </c>
      <c r="HE73">
        <v>800</v>
      </c>
      <c r="HF73" s="4">
        <f t="shared" si="180"/>
        <v>32</v>
      </c>
      <c r="HG73">
        <v>5</v>
      </c>
      <c r="HH73" s="4">
        <f t="shared" si="181"/>
        <v>160</v>
      </c>
      <c r="HI73">
        <v>550</v>
      </c>
      <c r="HJ73" s="4">
        <f t="shared" si="167"/>
        <v>88000</v>
      </c>
      <c r="HK73" s="4"/>
      <c r="HL73" s="4"/>
      <c r="HM73" s="4">
        <v>2</v>
      </c>
      <c r="HN73" s="10">
        <f t="shared" si="168"/>
        <v>480000</v>
      </c>
      <c r="HO73" s="4">
        <f t="shared" si="169"/>
        <v>0.18333333333333332</v>
      </c>
      <c r="HP73" s="4">
        <v>160</v>
      </c>
      <c r="HQ73">
        <v>0</v>
      </c>
      <c r="HR73" s="4">
        <v>0</v>
      </c>
      <c r="HS73" s="4">
        <v>0</v>
      </c>
      <c r="HT73" s="4">
        <v>0</v>
      </c>
      <c r="HU73" s="4"/>
      <c r="HV73" s="4">
        <f t="shared" si="170"/>
        <v>0.18333333333333332</v>
      </c>
      <c r="HW73" s="4"/>
      <c r="HX73" s="4">
        <v>2917</v>
      </c>
      <c r="HY73" s="4">
        <v>1689</v>
      </c>
      <c r="HZ73" s="4">
        <v>1842</v>
      </c>
      <c r="IA73" s="4">
        <v>4</v>
      </c>
      <c r="IB73" s="4">
        <v>3</v>
      </c>
      <c r="IC73" s="4">
        <v>5</v>
      </c>
      <c r="ID73" s="8">
        <v>0.8</v>
      </c>
      <c r="IE73" s="4">
        <f>ROUND(PRODUCT(IA73:ID73),0)</f>
        <v>48</v>
      </c>
      <c r="IF73" s="4">
        <v>500</v>
      </c>
      <c r="IG73" s="4">
        <f t="shared" si="174"/>
        <v>0.41666666666666669</v>
      </c>
      <c r="IH73" s="4"/>
    </row>
    <row r="74" spans="1:246">
      <c r="A74">
        <v>76</v>
      </c>
      <c r="B74" t="s">
        <v>468</v>
      </c>
      <c r="C74" t="s">
        <v>961</v>
      </c>
      <c r="D74" s="28" t="s">
        <v>195</v>
      </c>
      <c r="E74" s="27" t="s">
        <v>196</v>
      </c>
      <c r="F74" s="5" t="s">
        <v>2182</v>
      </c>
      <c r="G74" s="27" t="s">
        <v>101</v>
      </c>
      <c r="H74" s="27"/>
      <c r="I74" s="27" t="s">
        <v>121</v>
      </c>
      <c r="J74" s="28">
        <v>21480</v>
      </c>
      <c r="K74" s="27" t="s">
        <v>97</v>
      </c>
      <c r="L74" s="28"/>
      <c r="M74" s="28"/>
      <c r="N74" s="28"/>
      <c r="O74" s="28"/>
      <c r="P74" s="28"/>
      <c r="Q74" s="28" t="s">
        <v>1035</v>
      </c>
      <c r="R74" s="28" t="s">
        <v>1194</v>
      </c>
      <c r="S74" s="27"/>
      <c r="T74" s="27"/>
      <c r="U74" s="27"/>
      <c r="V74" s="29" t="s">
        <v>79</v>
      </c>
      <c r="W74" s="5"/>
      <c r="X74" s="5"/>
      <c r="Y74" s="5"/>
      <c r="Z74" s="5"/>
      <c r="AA74" s="51" t="s">
        <v>307</v>
      </c>
      <c r="AB74" s="339">
        <v>118.8</v>
      </c>
      <c r="AC74" s="11">
        <v>20</v>
      </c>
      <c r="AE74" s="7">
        <f t="shared" si="154"/>
        <v>1.1868000000000001</v>
      </c>
      <c r="AF74" s="7"/>
      <c r="AG74" s="7">
        <f t="shared" si="177"/>
        <v>1.069078947368421</v>
      </c>
      <c r="AH74" s="7">
        <f t="shared" si="178"/>
        <v>0</v>
      </c>
      <c r="AI74" s="7">
        <f t="shared" si="155"/>
        <v>0</v>
      </c>
      <c r="AJ74" s="7">
        <f t="shared" si="156"/>
        <v>2.1381578947368422E-2</v>
      </c>
      <c r="AK74" s="7">
        <f t="shared" si="157"/>
        <v>2.8198486842105266E-2</v>
      </c>
      <c r="AL74" s="7">
        <f t="shared" si="158"/>
        <v>0.24814668421052632</v>
      </c>
      <c r="AM74" s="7">
        <f t="shared" si="159"/>
        <v>1.1458333333333333E-2</v>
      </c>
      <c r="AN74" s="7">
        <f t="shared" si="160"/>
        <v>1.4925373134328358E-2</v>
      </c>
      <c r="AO74" s="6">
        <v>0</v>
      </c>
      <c r="AP74" s="6"/>
      <c r="AQ74" s="7">
        <f t="shared" si="161"/>
        <v>2.5799894038360827</v>
      </c>
      <c r="AR74" s="7"/>
      <c r="AS74" s="7"/>
      <c r="AT74" s="6">
        <v>0</v>
      </c>
      <c r="AU74" s="7">
        <v>0.27</v>
      </c>
      <c r="AV74" s="7">
        <f>AQ74+AT74+AU74</f>
        <v>2.8499894038360827</v>
      </c>
      <c r="AW74">
        <v>1.0999999999999999E-2</v>
      </c>
      <c r="AX74">
        <v>5.0000000000000001E-3</v>
      </c>
      <c r="AY74" s="8">
        <v>1</v>
      </c>
      <c r="AZ74">
        <f>(AW74-AX74)*AY74</f>
        <v>5.9999999999999993E-3</v>
      </c>
      <c r="BA74" s="4">
        <f>AW74*AB74-AZ74*AC74</f>
        <v>1.1868000000000001</v>
      </c>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E74">
        <v>0</v>
      </c>
      <c r="CF74">
        <v>0</v>
      </c>
      <c r="CG74">
        <v>0</v>
      </c>
      <c r="DN74" s="9">
        <v>1.2500000000000001E-2</v>
      </c>
      <c r="DO74" s="4">
        <f>DN74*CG74*CF74</f>
        <v>0</v>
      </c>
      <c r="DP74" s="4">
        <f t="shared" si="179"/>
        <v>0</v>
      </c>
      <c r="DQ74" s="4"/>
      <c r="DR74" s="4"/>
      <c r="DS74" s="4"/>
      <c r="DT74" s="4"/>
      <c r="DU74" s="4"/>
      <c r="DV74" s="4"/>
      <c r="DW74" s="4"/>
      <c r="DX74" s="4"/>
      <c r="DY74" s="4"/>
      <c r="DZ74" s="4"/>
      <c r="EA74" s="4"/>
      <c r="EB74" s="4"/>
      <c r="EC74" s="4"/>
      <c r="ED74" s="4"/>
      <c r="EE74" s="4"/>
      <c r="EF74">
        <v>130</v>
      </c>
      <c r="EG74">
        <v>1300</v>
      </c>
      <c r="EH74">
        <v>8</v>
      </c>
      <c r="EI74" s="8">
        <v>0.95</v>
      </c>
      <c r="EJ74">
        <v>2</v>
      </c>
      <c r="EK74">
        <v>45</v>
      </c>
      <c r="EL74" s="10">
        <f t="shared" si="175"/>
        <v>1216</v>
      </c>
      <c r="EM74" s="10"/>
      <c r="EN74" s="10"/>
      <c r="EO74" s="10"/>
      <c r="EP74" s="4"/>
      <c r="EQ74" s="4"/>
      <c r="ER74" s="4"/>
      <c r="ES74" s="4"/>
      <c r="ET74" s="4"/>
      <c r="EU74" s="4">
        <f t="shared" si="163"/>
        <v>1.069078947368421</v>
      </c>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8">
        <v>0.11</v>
      </c>
      <c r="GS74" s="4">
        <f t="shared" si="176"/>
        <v>0.24814668421052632</v>
      </c>
      <c r="GT74" s="9">
        <v>1.2500000000000001E-2</v>
      </c>
      <c r="GU74" s="4">
        <f t="shared" si="164"/>
        <v>2.8198486842105266E-2</v>
      </c>
      <c r="GV74" s="8">
        <v>0.02</v>
      </c>
      <c r="GW74" s="4">
        <f t="shared" si="165"/>
        <v>2.1381578947368422E-2</v>
      </c>
      <c r="GX74" s="4">
        <f t="shared" si="166"/>
        <v>0.29772674999999998</v>
      </c>
      <c r="GY74" t="s">
        <v>43</v>
      </c>
      <c r="GZ74" t="s">
        <v>87</v>
      </c>
      <c r="HA74" s="4">
        <v>650</v>
      </c>
      <c r="HB74" s="4">
        <v>450</v>
      </c>
      <c r="HC74">
        <v>240</v>
      </c>
      <c r="HD74">
        <v>500</v>
      </c>
      <c r="HE74">
        <v>800</v>
      </c>
      <c r="HF74" s="4">
        <f t="shared" si="180"/>
        <v>2</v>
      </c>
      <c r="HG74">
        <v>5</v>
      </c>
      <c r="HH74" s="4">
        <f t="shared" si="181"/>
        <v>10</v>
      </c>
      <c r="HI74">
        <v>550</v>
      </c>
      <c r="HJ74" s="4">
        <f t="shared" si="167"/>
        <v>5500</v>
      </c>
      <c r="HK74" s="4"/>
      <c r="HL74" s="4"/>
      <c r="HM74" s="4">
        <v>2</v>
      </c>
      <c r="HN74" s="10">
        <f t="shared" si="168"/>
        <v>480000</v>
      </c>
      <c r="HO74" s="4">
        <f t="shared" si="169"/>
        <v>1.1458333333333333E-2</v>
      </c>
      <c r="HP74" s="4">
        <v>160</v>
      </c>
      <c r="HQ74">
        <v>0</v>
      </c>
      <c r="HR74" s="4">
        <v>0</v>
      </c>
      <c r="HS74" s="4">
        <v>0</v>
      </c>
      <c r="HT74" s="4">
        <v>0</v>
      </c>
      <c r="HU74" s="4"/>
      <c r="HV74" s="4">
        <f t="shared" si="170"/>
        <v>1.1458333333333333E-2</v>
      </c>
      <c r="HW74" s="4"/>
      <c r="HX74" s="4">
        <v>2917</v>
      </c>
      <c r="HY74" s="4">
        <v>1689</v>
      </c>
      <c r="HZ74" s="4">
        <v>1842</v>
      </c>
      <c r="IA74" s="4">
        <v>4</v>
      </c>
      <c r="IB74" s="4">
        <v>3</v>
      </c>
      <c r="IC74" s="4">
        <v>7</v>
      </c>
      <c r="ID74" s="8">
        <v>0.8</v>
      </c>
      <c r="IE74" s="4">
        <f>ROUND(PRODUCT(IA74:ID74),0)</f>
        <v>67</v>
      </c>
      <c r="IF74" s="4">
        <v>500</v>
      </c>
      <c r="IG74" s="4">
        <f t="shared" si="174"/>
        <v>1.4925373134328358E-2</v>
      </c>
      <c r="IH74" s="4"/>
    </row>
    <row r="75" spans="1:246">
      <c r="A75">
        <v>77</v>
      </c>
      <c r="B75" t="s">
        <v>468</v>
      </c>
      <c r="C75" t="s">
        <v>571</v>
      </c>
      <c r="D75" s="28" t="s">
        <v>197</v>
      </c>
      <c r="E75" s="27" t="s">
        <v>198</v>
      </c>
      <c r="F75" s="5" t="s">
        <v>2182</v>
      </c>
      <c r="G75" s="27" t="s">
        <v>108</v>
      </c>
      <c r="H75" s="27"/>
      <c r="I75" s="27" t="s">
        <v>121</v>
      </c>
      <c r="J75" s="28">
        <v>29010</v>
      </c>
      <c r="K75" s="27" t="s">
        <v>229</v>
      </c>
      <c r="L75" s="28"/>
      <c r="M75" s="28"/>
      <c r="N75" s="28"/>
      <c r="O75" s="28"/>
      <c r="P75" s="28"/>
      <c r="Q75" s="28" t="s">
        <v>1035</v>
      </c>
      <c r="R75" s="28" t="s">
        <v>1194</v>
      </c>
      <c r="S75" s="27"/>
      <c r="T75" s="27"/>
      <c r="U75" s="27"/>
      <c r="V75" s="29" t="s">
        <v>79</v>
      </c>
      <c r="W75" s="5"/>
      <c r="X75" s="5"/>
      <c r="Y75" s="5"/>
      <c r="Z75" s="5"/>
      <c r="AA75" t="s">
        <v>543</v>
      </c>
      <c r="AB75" s="66">
        <v>286</v>
      </c>
      <c r="AC75">
        <v>20</v>
      </c>
      <c r="AD75" t="s">
        <v>315</v>
      </c>
      <c r="AE75" s="7">
        <f t="shared" si="154"/>
        <v>47.968000000000004</v>
      </c>
      <c r="AF75" s="7"/>
      <c r="AG75" s="7">
        <f t="shared" si="177"/>
        <v>5.4347826086956523</v>
      </c>
      <c r="AH75" s="7">
        <f t="shared" si="178"/>
        <v>15.120000000000001</v>
      </c>
      <c r="AI75" s="7">
        <f t="shared" si="155"/>
        <v>0.19</v>
      </c>
      <c r="AJ75" s="7">
        <f t="shared" si="156"/>
        <v>0.10869565217391305</v>
      </c>
      <c r="AK75" s="7">
        <f t="shared" si="157"/>
        <v>0.66753478260869581</v>
      </c>
      <c r="AL75" s="7">
        <f t="shared" si="158"/>
        <v>5.8743060869565227</v>
      </c>
      <c r="AM75" s="7">
        <f t="shared" si="159"/>
        <v>0.33854166666666669</v>
      </c>
      <c r="AN75" s="7">
        <f t="shared" si="160"/>
        <v>0.2170138888888889</v>
      </c>
      <c r="AO75" s="7">
        <v>0</v>
      </c>
      <c r="AP75" s="7"/>
      <c r="AQ75" s="7">
        <f t="shared" si="161"/>
        <v>75.918874685990346</v>
      </c>
      <c r="AR75" s="7"/>
      <c r="AS75" s="7"/>
      <c r="AT75" s="7"/>
      <c r="AU75" s="7">
        <f>AQ75*2%</f>
        <v>1.5183774937198069</v>
      </c>
      <c r="AV75" s="7">
        <f>AQ75+AU75</f>
        <v>77.437252179710157</v>
      </c>
      <c r="AW75" s="4">
        <v>0.16800000000000001</v>
      </c>
      <c r="AX75" s="4">
        <v>0.16400000000000001</v>
      </c>
      <c r="AY75" s="77">
        <v>1</v>
      </c>
      <c r="AZ75" s="4">
        <f>AW75-AX75</f>
        <v>4.0000000000000036E-3</v>
      </c>
      <c r="BA75" s="4">
        <f>AW75*AB75-(AZ75*AC75)*AY75</f>
        <v>47.968000000000004</v>
      </c>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v>0</v>
      </c>
      <c r="CF75" s="4">
        <v>6</v>
      </c>
      <c r="CG75" s="4">
        <v>2.52</v>
      </c>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9">
        <v>1.2500000000000001E-2</v>
      </c>
      <c r="DO75" s="4">
        <v>0.19</v>
      </c>
      <c r="DP75" s="4">
        <f t="shared" si="179"/>
        <v>15.120000000000001</v>
      </c>
      <c r="DQ75" s="4"/>
      <c r="DR75" s="4"/>
      <c r="DS75" s="4"/>
      <c r="DT75" s="4"/>
      <c r="DU75" s="4"/>
      <c r="DV75" s="4"/>
      <c r="DW75" s="4"/>
      <c r="DX75" s="4"/>
      <c r="DY75" s="4"/>
      <c r="DZ75" s="4"/>
      <c r="EA75" s="4"/>
      <c r="EB75" s="4"/>
      <c r="EC75" s="4"/>
      <c r="ED75" s="4"/>
      <c r="EE75" s="4"/>
      <c r="EF75" s="4">
        <v>350</v>
      </c>
      <c r="EG75" s="4">
        <v>3500</v>
      </c>
      <c r="EH75" s="4">
        <v>8</v>
      </c>
      <c r="EI75" s="77">
        <v>0.95</v>
      </c>
      <c r="EJ75" s="4">
        <v>2</v>
      </c>
      <c r="EK75" s="4">
        <v>85</v>
      </c>
      <c r="EL75" s="4">
        <f t="shared" si="175"/>
        <v>644</v>
      </c>
      <c r="EM75" s="4"/>
      <c r="EN75" s="4"/>
      <c r="EO75" s="4"/>
      <c r="EP75" s="4"/>
      <c r="EQ75" s="4"/>
      <c r="ER75" s="4"/>
      <c r="ES75" s="4"/>
      <c r="ET75" s="4"/>
      <c r="EU75" s="4">
        <f t="shared" si="163"/>
        <v>5.4347826086956523</v>
      </c>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8">
        <v>0.11</v>
      </c>
      <c r="GS75" s="4">
        <f t="shared" si="176"/>
        <v>5.8743060869565227</v>
      </c>
      <c r="GT75" s="9">
        <v>1.2500000000000001E-2</v>
      </c>
      <c r="GU75" s="4">
        <f t="shared" si="164"/>
        <v>0.66753478260869581</v>
      </c>
      <c r="GV75" s="8">
        <v>0.02</v>
      </c>
      <c r="GW75" s="4">
        <f t="shared" si="165"/>
        <v>0.10869565217391305</v>
      </c>
      <c r="GX75" s="4">
        <f t="shared" si="166"/>
        <v>6.6505365217391317</v>
      </c>
      <c r="GY75" s="4" t="s">
        <v>43</v>
      </c>
      <c r="GZ75" s="4" t="s">
        <v>87</v>
      </c>
      <c r="HA75" s="4">
        <v>650</v>
      </c>
      <c r="HB75" s="4">
        <v>450</v>
      </c>
      <c r="HC75" s="4">
        <v>315</v>
      </c>
      <c r="HD75" s="4">
        <v>16</v>
      </c>
      <c r="HE75" s="4">
        <v>800</v>
      </c>
      <c r="HF75" s="4">
        <f t="shared" si="180"/>
        <v>50</v>
      </c>
      <c r="HG75" s="4">
        <v>5</v>
      </c>
      <c r="HH75" s="4">
        <f t="shared" si="181"/>
        <v>250</v>
      </c>
      <c r="HI75" s="4">
        <v>650</v>
      </c>
      <c r="HJ75" s="4">
        <f t="shared" si="167"/>
        <v>162500</v>
      </c>
      <c r="HK75" s="4"/>
      <c r="HL75" s="4"/>
      <c r="HM75" s="4">
        <v>2</v>
      </c>
      <c r="HN75" s="4">
        <f t="shared" si="168"/>
        <v>480000</v>
      </c>
      <c r="HO75" s="4">
        <f t="shared" si="169"/>
        <v>0.33854166666666669</v>
      </c>
      <c r="HP75" s="4">
        <v>160</v>
      </c>
      <c r="HQ75" s="4">
        <v>0</v>
      </c>
      <c r="HR75" s="4">
        <v>0</v>
      </c>
      <c r="HS75" s="4">
        <v>0</v>
      </c>
      <c r="HT75" s="4">
        <v>0</v>
      </c>
      <c r="HU75" s="4"/>
      <c r="HV75" s="4">
        <f t="shared" si="170"/>
        <v>0.33854166666666669</v>
      </c>
      <c r="HW75" s="4"/>
      <c r="HX75" s="4">
        <v>4200</v>
      </c>
      <c r="HY75" s="4">
        <v>1900</v>
      </c>
      <c r="HZ75" s="4">
        <v>1975</v>
      </c>
      <c r="IA75" s="4">
        <f>ROUNDDOWN(HX75/HA75,0)</f>
        <v>6</v>
      </c>
      <c r="IB75" s="4">
        <f>ROUNDDOWN(HY75/HB75,0)</f>
        <v>4</v>
      </c>
      <c r="IC75" s="4">
        <f>ROUNDDOWN(HZ75/HC75,0)</f>
        <v>6</v>
      </c>
      <c r="ID75" s="8">
        <v>1</v>
      </c>
      <c r="IE75" s="4">
        <f>PRODUCT(IA75:ID75)</f>
        <v>144</v>
      </c>
      <c r="IF75" s="4">
        <v>500</v>
      </c>
      <c r="IG75" s="4">
        <f t="shared" si="174"/>
        <v>0.2170138888888889</v>
      </c>
      <c r="IH75" s="4"/>
    </row>
    <row r="76" spans="1:246">
      <c r="A76">
        <v>78</v>
      </c>
      <c r="B76" t="s">
        <v>468</v>
      </c>
      <c r="C76" s="115" t="s">
        <v>599</v>
      </c>
      <c r="D76" s="28" t="s">
        <v>197</v>
      </c>
      <c r="E76" s="27" t="s">
        <v>198</v>
      </c>
      <c r="F76" s="5" t="s">
        <v>2182</v>
      </c>
      <c r="G76" s="27" t="s">
        <v>102</v>
      </c>
      <c r="H76" s="27"/>
      <c r="I76" s="27" t="s">
        <v>121</v>
      </c>
      <c r="J76" s="28">
        <v>21480</v>
      </c>
      <c r="K76" s="27" t="s">
        <v>97</v>
      </c>
      <c r="L76" s="28"/>
      <c r="M76" s="28"/>
      <c r="N76" s="28"/>
      <c r="O76" s="28"/>
      <c r="P76" s="28"/>
      <c r="Q76" s="28" t="s">
        <v>1857</v>
      </c>
      <c r="R76" s="28" t="s">
        <v>1193</v>
      </c>
      <c r="S76" s="27"/>
      <c r="T76" s="27"/>
      <c r="U76" s="27"/>
      <c r="V76" s="29" t="s">
        <v>79</v>
      </c>
      <c r="W76" s="146"/>
      <c r="X76" s="146"/>
      <c r="Y76" s="146"/>
      <c r="Z76" s="146"/>
      <c r="AA76" s="154" t="s">
        <v>417</v>
      </c>
      <c r="AB76" s="341">
        <v>134.28</v>
      </c>
      <c r="AC76" s="114">
        <v>20</v>
      </c>
      <c r="AD76" s="114" t="s">
        <v>310</v>
      </c>
      <c r="AE76" s="119">
        <f t="shared" si="154"/>
        <v>21.270519999999998</v>
      </c>
      <c r="AF76" s="119"/>
      <c r="AG76" s="119">
        <f t="shared" si="177"/>
        <v>3.5175879396984926</v>
      </c>
      <c r="AH76" s="119">
        <f t="shared" si="178"/>
        <v>16.638000000000002</v>
      </c>
      <c r="AI76" s="119">
        <f t="shared" si="155"/>
        <v>0.49914000000000003</v>
      </c>
      <c r="AJ76" s="119">
        <f t="shared" si="156"/>
        <v>7.0351758793969849E-2</v>
      </c>
      <c r="AK76" s="119">
        <f t="shared" si="157"/>
        <v>0.30985134924623114</v>
      </c>
      <c r="AL76" s="119">
        <f t="shared" si="158"/>
        <v>2.73</v>
      </c>
      <c r="AM76" s="119">
        <f t="shared" si="159"/>
        <v>0.25535714285714284</v>
      </c>
      <c r="AN76" s="119">
        <f t="shared" si="160"/>
        <v>0.32299741602067183</v>
      </c>
      <c r="AO76" s="123">
        <v>0</v>
      </c>
      <c r="AP76" s="123"/>
      <c r="AQ76" s="119">
        <f t="shared" si="161"/>
        <v>45.613805606616502</v>
      </c>
      <c r="AR76" s="119"/>
      <c r="AS76" s="119"/>
      <c r="AT76" s="123">
        <v>0</v>
      </c>
      <c r="AU76" s="119"/>
      <c r="AV76" s="106">
        <f>AQ76+AT76</f>
        <v>45.613805606616502</v>
      </c>
      <c r="AW76" s="133">
        <v>0.159</v>
      </c>
      <c r="AX76" s="134">
        <v>0.155</v>
      </c>
      <c r="AY76" s="120">
        <v>1</v>
      </c>
      <c r="AZ76" s="114">
        <f>AW76-AX76</f>
        <v>4.0000000000000036E-3</v>
      </c>
      <c r="BA76" s="118">
        <f>AW76*AB76-AZ76*AC76</f>
        <v>21.270519999999998</v>
      </c>
      <c r="BB76" s="118"/>
      <c r="BC76" s="118"/>
      <c r="BD76" s="118"/>
      <c r="BE76" s="118"/>
      <c r="BF76" s="118"/>
      <c r="BG76" s="118"/>
      <c r="BH76" s="118"/>
      <c r="BI76" s="118"/>
      <c r="BJ76" s="118"/>
      <c r="BK76" s="118"/>
      <c r="BL76" s="118"/>
      <c r="BM76" s="118"/>
      <c r="BN76" s="118"/>
      <c r="BO76" s="118"/>
      <c r="BP76" s="118"/>
      <c r="BQ76" s="118"/>
      <c r="BR76" s="118"/>
      <c r="BS76" s="118"/>
      <c r="BT76" s="118"/>
      <c r="BU76" s="118"/>
      <c r="BV76" s="118"/>
      <c r="BW76" s="118"/>
      <c r="BX76" s="118"/>
      <c r="BY76" s="118"/>
      <c r="BZ76" s="118"/>
      <c r="CA76" s="118"/>
      <c r="CB76" s="118"/>
      <c r="CC76" s="118"/>
      <c r="CD76" s="114"/>
      <c r="CE76" s="114">
        <v>0</v>
      </c>
      <c r="CF76" s="114">
        <v>6</v>
      </c>
      <c r="CG76" s="114">
        <f>2.74+0.033</f>
        <v>2.7730000000000001</v>
      </c>
      <c r="CH76" s="114">
        <f>CF76*CG76</f>
        <v>16.638000000000002</v>
      </c>
      <c r="CI76" s="114"/>
      <c r="CJ76" s="114"/>
      <c r="CK76" s="114"/>
      <c r="CL76" s="114"/>
      <c r="CM76" s="114"/>
      <c r="CN76" s="114"/>
      <c r="CO76" s="114"/>
      <c r="CP76" s="114"/>
      <c r="CQ76" s="114"/>
      <c r="CR76" s="114"/>
      <c r="CS76" s="114"/>
      <c r="CT76" s="114"/>
      <c r="CU76" s="114"/>
      <c r="CV76" s="114"/>
      <c r="CW76" s="114"/>
      <c r="CX76" s="114"/>
      <c r="CY76" s="114"/>
      <c r="CZ76" s="114"/>
      <c r="DA76" s="114"/>
      <c r="DB76" s="114"/>
      <c r="DC76" s="114"/>
      <c r="DD76" s="114"/>
      <c r="DE76" s="114"/>
      <c r="DF76" s="114"/>
      <c r="DG76" s="114"/>
      <c r="DH76" s="114"/>
      <c r="DI76" s="114"/>
      <c r="DJ76" s="114"/>
      <c r="DK76" s="114"/>
      <c r="DL76" s="114"/>
      <c r="DM76" s="118">
        <v>0</v>
      </c>
      <c r="DN76" s="125">
        <v>0.03</v>
      </c>
      <c r="DO76" s="118">
        <f>DN76*CG76*CF76</f>
        <v>0.49914000000000003</v>
      </c>
      <c r="DP76" s="118">
        <f t="shared" si="179"/>
        <v>16.638000000000002</v>
      </c>
      <c r="DQ76" s="118"/>
      <c r="DR76" s="118"/>
      <c r="DS76" s="118"/>
      <c r="DT76" s="118"/>
      <c r="DU76" s="118"/>
      <c r="DV76" s="118"/>
      <c r="DW76" s="118"/>
      <c r="DX76" s="118"/>
      <c r="DY76" s="118"/>
      <c r="DZ76" s="118"/>
      <c r="EA76" s="118"/>
      <c r="EB76" s="118"/>
      <c r="EC76" s="118"/>
      <c r="ED76" s="118"/>
      <c r="EE76" s="118"/>
      <c r="EF76" s="114">
        <v>350</v>
      </c>
      <c r="EG76" s="114">
        <v>3500</v>
      </c>
      <c r="EH76" s="114">
        <v>8</v>
      </c>
      <c r="EI76" s="120">
        <v>0.95</v>
      </c>
      <c r="EJ76" s="114">
        <v>2</v>
      </c>
      <c r="EK76" s="114">
        <v>55</v>
      </c>
      <c r="EL76" s="126">
        <f t="shared" si="175"/>
        <v>995</v>
      </c>
      <c r="EM76" s="118"/>
      <c r="EN76" s="118"/>
      <c r="EO76" s="118"/>
      <c r="EP76" s="126"/>
      <c r="EQ76" s="126"/>
      <c r="ER76" s="126"/>
      <c r="ES76" s="126"/>
      <c r="ET76" s="126"/>
      <c r="EU76" s="118">
        <f t="shared" si="163"/>
        <v>3.5175879396984926</v>
      </c>
      <c r="EV76" s="118"/>
      <c r="EW76" s="118"/>
      <c r="EX76" s="118"/>
      <c r="EY76" s="118"/>
      <c r="EZ76" s="118"/>
      <c r="FA76" s="118"/>
      <c r="FB76" s="118"/>
      <c r="FC76" s="118"/>
      <c r="FD76" s="118"/>
      <c r="FE76" s="118"/>
      <c r="FF76" s="118"/>
      <c r="FG76" s="118"/>
      <c r="FH76" s="118"/>
      <c r="FI76" s="118"/>
      <c r="FJ76" s="118"/>
      <c r="FK76" s="118"/>
      <c r="FL76" s="118"/>
      <c r="FM76" s="118"/>
      <c r="FN76" s="118"/>
      <c r="FO76" s="118"/>
      <c r="FP76" s="118"/>
      <c r="FQ76" s="118"/>
      <c r="FR76" s="118"/>
      <c r="FS76" s="118"/>
      <c r="FT76" s="118"/>
      <c r="FU76" s="118"/>
      <c r="FV76" s="118"/>
      <c r="FW76" s="118"/>
      <c r="FX76" s="118"/>
      <c r="FY76" s="118"/>
      <c r="FZ76" s="118"/>
      <c r="GA76" s="118"/>
      <c r="GB76" s="118"/>
      <c r="GC76" s="118"/>
      <c r="GD76" s="118"/>
      <c r="GE76" s="118"/>
      <c r="GF76" s="118"/>
      <c r="GG76" s="118"/>
      <c r="GH76" s="118"/>
      <c r="GI76" s="118"/>
      <c r="GJ76" s="118"/>
      <c r="GK76" s="118"/>
      <c r="GL76" s="118"/>
      <c r="GM76" s="118"/>
      <c r="GN76" s="118"/>
      <c r="GO76" s="118"/>
      <c r="GP76" s="118"/>
      <c r="GQ76" s="118"/>
      <c r="GR76" s="120">
        <v>0.11</v>
      </c>
      <c r="GS76" s="118">
        <v>2.73</v>
      </c>
      <c r="GT76" s="125">
        <v>1.2500000000000001E-2</v>
      </c>
      <c r="GU76" s="118">
        <f t="shared" si="164"/>
        <v>0.30985134924623114</v>
      </c>
      <c r="GV76" s="120">
        <v>0.02</v>
      </c>
      <c r="GW76" s="118">
        <f t="shared" si="165"/>
        <v>7.0351758793969849E-2</v>
      </c>
      <c r="GX76" s="118">
        <f t="shared" si="166"/>
        <v>3.1102031080402011</v>
      </c>
      <c r="GY76" s="114" t="s">
        <v>43</v>
      </c>
      <c r="GZ76" s="114" t="s">
        <v>87</v>
      </c>
      <c r="HA76" s="118">
        <v>650</v>
      </c>
      <c r="HB76" s="118">
        <v>450</v>
      </c>
      <c r="HC76" s="114">
        <v>480</v>
      </c>
      <c r="HD76" s="114">
        <v>18</v>
      </c>
      <c r="HE76" s="114">
        <v>700</v>
      </c>
      <c r="HF76" s="118">
        <f t="shared" si="180"/>
        <v>39</v>
      </c>
      <c r="HG76" s="114">
        <v>5</v>
      </c>
      <c r="HH76" s="118">
        <f t="shared" si="181"/>
        <v>195</v>
      </c>
      <c r="HI76" s="114">
        <v>550</v>
      </c>
      <c r="HJ76" s="118">
        <f t="shared" si="167"/>
        <v>107250</v>
      </c>
      <c r="HK76" s="118"/>
      <c r="HL76" s="118"/>
      <c r="HM76" s="118">
        <v>2</v>
      </c>
      <c r="HN76" s="126">
        <f t="shared" si="168"/>
        <v>420000</v>
      </c>
      <c r="HO76" s="118">
        <f t="shared" si="169"/>
        <v>0.25535714285714284</v>
      </c>
      <c r="HP76" s="118">
        <v>160</v>
      </c>
      <c r="HQ76" s="114">
        <v>0</v>
      </c>
      <c r="HR76" s="118">
        <f>HP76*HQ76</f>
        <v>0</v>
      </c>
      <c r="HS76" s="118">
        <v>0</v>
      </c>
      <c r="HT76" s="118">
        <v>0</v>
      </c>
      <c r="HU76" s="118"/>
      <c r="HV76" s="118">
        <f t="shared" si="170"/>
        <v>0.25535714285714284</v>
      </c>
      <c r="HW76" s="118"/>
      <c r="HX76" s="118">
        <v>4200</v>
      </c>
      <c r="HY76" s="118">
        <v>1900</v>
      </c>
      <c r="HZ76" s="118">
        <v>1975</v>
      </c>
      <c r="IA76" s="118">
        <v>6</v>
      </c>
      <c r="IB76" s="118">
        <v>4</v>
      </c>
      <c r="IC76" s="118">
        <v>4</v>
      </c>
      <c r="ID76" s="120">
        <v>0.9</v>
      </c>
      <c r="IE76" s="118">
        <f>ROUND(PRODUCT(IA76:ID76),0)</f>
        <v>86</v>
      </c>
      <c r="IF76" s="118">
        <v>500</v>
      </c>
      <c r="IG76" s="118">
        <f t="shared" si="174"/>
        <v>0.32299741602067183</v>
      </c>
      <c r="IH76" s="4"/>
    </row>
    <row r="77" spans="1:246">
      <c r="A77">
        <v>79</v>
      </c>
      <c r="B77" t="s">
        <v>468</v>
      </c>
      <c r="C77" s="27" t="s">
        <v>600</v>
      </c>
      <c r="D77" s="28" t="s">
        <v>199</v>
      </c>
      <c r="E77" s="27" t="s">
        <v>200</v>
      </c>
      <c r="F77" s="5" t="s">
        <v>2182</v>
      </c>
      <c r="G77" s="27" t="s">
        <v>108</v>
      </c>
      <c r="H77" s="27"/>
      <c r="I77" s="27" t="s">
        <v>121</v>
      </c>
      <c r="J77" s="28">
        <v>29010</v>
      </c>
      <c r="K77" s="27" t="s">
        <v>229</v>
      </c>
      <c r="L77" s="28"/>
      <c r="M77" s="28"/>
      <c r="N77" s="28"/>
      <c r="O77" s="28"/>
      <c r="P77" s="28"/>
      <c r="Q77" s="28" t="s">
        <v>1035</v>
      </c>
      <c r="R77" s="28" t="s">
        <v>1194</v>
      </c>
      <c r="S77" s="27"/>
      <c r="T77" s="27"/>
      <c r="U77" s="27"/>
      <c r="V77" s="29" t="s">
        <v>79</v>
      </c>
      <c r="W77" s="5"/>
      <c r="X77" s="5"/>
      <c r="Y77" s="5"/>
      <c r="Z77" s="5"/>
      <c r="AA77" t="s">
        <v>313</v>
      </c>
      <c r="AB77" s="66">
        <v>127.56</v>
      </c>
      <c r="AC77">
        <f>AB77-5</f>
        <v>122.56</v>
      </c>
      <c r="AD77" t="s">
        <v>315</v>
      </c>
      <c r="AE77" s="7">
        <f t="shared" si="154"/>
        <v>39.240432000000006</v>
      </c>
      <c r="AF77" s="7"/>
      <c r="AG77" s="7">
        <f>EU77+FA77</f>
        <v>11.199078341013825</v>
      </c>
      <c r="AH77" s="7">
        <f>DM77</f>
        <v>16.09</v>
      </c>
      <c r="AI77" s="7">
        <f t="shared" si="155"/>
        <v>0.2</v>
      </c>
      <c r="AJ77" s="7">
        <f t="shared" si="156"/>
        <v>0.21198156682027652</v>
      </c>
      <c r="AK77" s="7">
        <f t="shared" si="157"/>
        <v>0.62299387926267302</v>
      </c>
      <c r="AL77" s="7">
        <f t="shared" si="158"/>
        <v>5.4823461375115219</v>
      </c>
      <c r="AM77" s="7">
        <f t="shared" si="159"/>
        <v>2.1586458333333334</v>
      </c>
      <c r="AN77" s="7">
        <f t="shared" si="160"/>
        <v>0.49603174603174605</v>
      </c>
      <c r="AO77" s="7">
        <f>EY77</f>
        <v>0.16700000000000001</v>
      </c>
      <c r="AP77" s="7"/>
      <c r="AQ77" s="7">
        <f t="shared" si="161"/>
        <v>75.868509503973399</v>
      </c>
      <c r="AR77" s="7"/>
      <c r="AS77" s="7"/>
      <c r="AT77" s="7"/>
      <c r="AU77" s="7">
        <f>AQ77*2%</f>
        <v>1.5173701900794681</v>
      </c>
      <c r="AV77" s="7">
        <f>AQ77+AU77</f>
        <v>77.385879694052861</v>
      </c>
      <c r="AW77" s="4">
        <v>0.318</v>
      </c>
      <c r="AX77" s="4">
        <v>0.30599999999999999</v>
      </c>
      <c r="AY77" s="77">
        <v>0.9</v>
      </c>
      <c r="AZ77" s="4">
        <f>AW77-AX77</f>
        <v>1.2000000000000011E-2</v>
      </c>
      <c r="BA77" s="4">
        <f>AW77*AB77-(AZ77*AC77)*AY77</f>
        <v>39.240432000000006</v>
      </c>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v>0</v>
      </c>
      <c r="CF77" s="4">
        <v>0</v>
      </c>
      <c r="CG77" s="4">
        <v>0</v>
      </c>
      <c r="CH77" s="4">
        <f>CF77*CG77</f>
        <v>0</v>
      </c>
      <c r="CI77" s="4" t="s">
        <v>544</v>
      </c>
      <c r="CJ77" s="4" t="s">
        <v>545</v>
      </c>
      <c r="CK77" s="4">
        <v>1</v>
      </c>
      <c r="CL77" s="4">
        <v>6.3</v>
      </c>
      <c r="CM77" s="4">
        <f>CK77*CL77</f>
        <v>6.3</v>
      </c>
      <c r="CN77" s="4" t="s">
        <v>546</v>
      </c>
      <c r="CO77" s="4" t="s">
        <v>547</v>
      </c>
      <c r="CP77" s="4">
        <v>1</v>
      </c>
      <c r="CQ77" s="4">
        <v>7.79</v>
      </c>
      <c r="CR77" s="4">
        <f>CP77*CQ77</f>
        <v>7.79</v>
      </c>
      <c r="CS77" s="4" t="s">
        <v>548</v>
      </c>
      <c r="CT77" s="4" t="s">
        <v>549</v>
      </c>
      <c r="CU77" s="4">
        <v>1</v>
      </c>
      <c r="CV77" s="4">
        <v>1.08</v>
      </c>
      <c r="CW77" s="4">
        <f>CU77*CV77</f>
        <v>1.08</v>
      </c>
      <c r="CX77" s="4">
        <v>8200320</v>
      </c>
      <c r="CY77" s="4" t="s">
        <v>550</v>
      </c>
      <c r="CZ77" s="4">
        <v>2</v>
      </c>
      <c r="DA77" s="4">
        <v>0.46</v>
      </c>
      <c r="DB77" s="4">
        <f>CZ77*DA77</f>
        <v>0.92</v>
      </c>
      <c r="DC77" s="4"/>
      <c r="DD77" s="4"/>
      <c r="DE77" s="4"/>
      <c r="DF77" s="4"/>
      <c r="DG77" s="4"/>
      <c r="DH77" s="4"/>
      <c r="DI77" s="4"/>
      <c r="DJ77" s="4"/>
      <c r="DK77" s="4"/>
      <c r="DL77" s="4"/>
      <c r="DM77" s="4">
        <f>CH77+CM77+CR77+CW77+DB77+DG77+DK77</f>
        <v>16.09</v>
      </c>
      <c r="DN77" s="9">
        <v>1.2500000000000001E-2</v>
      </c>
      <c r="DO77" s="4">
        <v>0.2</v>
      </c>
      <c r="DP77" s="4">
        <f>DM77</f>
        <v>16.09</v>
      </c>
      <c r="DQ77" s="4"/>
      <c r="DR77" s="4"/>
      <c r="DS77" s="4"/>
      <c r="DT77" s="4"/>
      <c r="DU77" s="4"/>
      <c r="DV77" s="4"/>
      <c r="DW77" s="4"/>
      <c r="DX77" s="4"/>
      <c r="DY77" s="4"/>
      <c r="DZ77" s="4"/>
      <c r="EA77" s="4"/>
      <c r="EB77" s="4"/>
      <c r="EC77" s="4"/>
      <c r="ED77" s="4"/>
      <c r="EE77" s="4"/>
      <c r="EF77" s="4">
        <v>500</v>
      </c>
      <c r="EG77" s="4">
        <v>4600</v>
      </c>
      <c r="EH77" s="4">
        <v>8</v>
      </c>
      <c r="EI77" s="77">
        <v>0.95</v>
      </c>
      <c r="EJ77" s="4">
        <v>1</v>
      </c>
      <c r="EK77" s="4">
        <v>63</v>
      </c>
      <c r="EL77" s="4">
        <f t="shared" si="175"/>
        <v>434</v>
      </c>
      <c r="EM77" s="4"/>
      <c r="EN77" s="4"/>
      <c r="EO77" s="4"/>
      <c r="EP77" s="4"/>
      <c r="EQ77" s="4"/>
      <c r="ER77" s="4"/>
      <c r="ES77" s="4"/>
      <c r="ET77" s="4"/>
      <c r="EU77" s="4">
        <f t="shared" si="163"/>
        <v>10.599078341013826</v>
      </c>
      <c r="EV77" s="4"/>
      <c r="EW77" s="4"/>
      <c r="EX77" s="4">
        <v>0.6</v>
      </c>
      <c r="EY77" s="4">
        <v>0.16700000000000001</v>
      </c>
      <c r="EZ77" s="4"/>
      <c r="FA77" s="4">
        <f>EX77</f>
        <v>0.6</v>
      </c>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8">
        <v>0.11</v>
      </c>
      <c r="GS77" s="4">
        <f>GR77*(BA77+EU77)</f>
        <v>5.4823461375115219</v>
      </c>
      <c r="GT77" s="9">
        <v>1.2500000000000001E-2</v>
      </c>
      <c r="GU77" s="4">
        <f t="shared" si="164"/>
        <v>0.62299387926267302</v>
      </c>
      <c r="GV77" s="8">
        <v>0.02</v>
      </c>
      <c r="GW77" s="4">
        <f t="shared" si="165"/>
        <v>0.21198156682027652</v>
      </c>
      <c r="GX77" s="4">
        <f t="shared" si="166"/>
        <v>6.3173215835944712</v>
      </c>
      <c r="GY77" s="4" t="s">
        <v>43</v>
      </c>
      <c r="GZ77" s="4" t="s">
        <v>551</v>
      </c>
      <c r="HA77" s="4">
        <v>650</v>
      </c>
      <c r="HB77" s="4">
        <v>450</v>
      </c>
      <c r="HC77" s="4">
        <v>315</v>
      </c>
      <c r="HD77" s="4">
        <v>7</v>
      </c>
      <c r="HE77" s="4">
        <v>800</v>
      </c>
      <c r="HF77" s="4">
        <f t="shared" si="180"/>
        <v>115</v>
      </c>
      <c r="HG77" s="4">
        <v>5</v>
      </c>
      <c r="HH77" s="4">
        <f t="shared" si="181"/>
        <v>575</v>
      </c>
      <c r="HI77" s="4">
        <v>650</v>
      </c>
      <c r="HJ77" s="4">
        <f t="shared" si="167"/>
        <v>373750</v>
      </c>
      <c r="HK77" s="4"/>
      <c r="HL77" s="4"/>
      <c r="HM77" s="4">
        <v>2</v>
      </c>
      <c r="HN77" s="4">
        <f t="shared" si="168"/>
        <v>480000</v>
      </c>
      <c r="HO77" s="4">
        <f t="shared" si="169"/>
        <v>0.77864583333333337</v>
      </c>
      <c r="HP77" s="4">
        <v>160</v>
      </c>
      <c r="HQ77" s="4">
        <v>0</v>
      </c>
      <c r="HR77" s="4">
        <v>1.38</v>
      </c>
      <c r="HS77" s="4">
        <v>1</v>
      </c>
      <c r="HT77" s="4">
        <f>HR77/HS77</f>
        <v>1.38</v>
      </c>
      <c r="HU77" s="4"/>
      <c r="HV77" s="4">
        <f t="shared" si="170"/>
        <v>2.1586458333333334</v>
      </c>
      <c r="HW77" s="4"/>
      <c r="HX77" s="4">
        <v>4200</v>
      </c>
      <c r="HY77" s="4">
        <v>1900</v>
      </c>
      <c r="HZ77" s="4">
        <v>1975</v>
      </c>
      <c r="IA77" s="4">
        <f>ROUNDDOWN(HX77/HA77,0)</f>
        <v>6</v>
      </c>
      <c r="IB77" s="4">
        <f>ROUNDDOWN(HY77/HB77,0)</f>
        <v>4</v>
      </c>
      <c r="IC77" s="4">
        <f>ROUNDDOWN(HZ77/HC77,0)</f>
        <v>6</v>
      </c>
      <c r="ID77" s="8">
        <v>1</v>
      </c>
      <c r="IE77" s="4">
        <f>PRODUCT(IA77:ID77)</f>
        <v>144</v>
      </c>
      <c r="IF77" s="4">
        <v>500</v>
      </c>
      <c r="IG77" s="4">
        <f t="shared" si="174"/>
        <v>0.49603174603174605</v>
      </c>
      <c r="IH77" s="4"/>
    </row>
    <row r="78" spans="1:246">
      <c r="A78">
        <v>80</v>
      </c>
      <c r="B78" t="s">
        <v>468</v>
      </c>
      <c r="C78" s="115" t="s">
        <v>2249</v>
      </c>
      <c r="D78" s="28" t="s">
        <v>199</v>
      </c>
      <c r="E78" s="27" t="s">
        <v>200</v>
      </c>
      <c r="F78" s="5" t="s">
        <v>2182</v>
      </c>
      <c r="G78" s="27" t="s">
        <v>102</v>
      </c>
      <c r="H78" s="27"/>
      <c r="I78" s="27" t="s">
        <v>121</v>
      </c>
      <c r="J78" s="28">
        <v>21480</v>
      </c>
      <c r="K78" s="27" t="s">
        <v>97</v>
      </c>
      <c r="L78" s="28"/>
      <c r="M78" s="28"/>
      <c r="N78" s="28"/>
      <c r="O78" s="28"/>
      <c r="P78" s="28"/>
      <c r="Q78" s="28" t="s">
        <v>1857</v>
      </c>
      <c r="R78" s="28" t="s">
        <v>1193</v>
      </c>
      <c r="S78" s="27"/>
      <c r="T78" s="27"/>
      <c r="U78" s="27"/>
      <c r="V78" s="29" t="s">
        <v>79</v>
      </c>
      <c r="W78" s="147"/>
      <c r="X78" s="147"/>
      <c r="Y78" s="147"/>
      <c r="Z78" s="147"/>
      <c r="AA78" s="154" t="s">
        <v>601</v>
      </c>
      <c r="AB78" s="341">
        <v>111.78</v>
      </c>
      <c r="AC78" s="114">
        <v>5</v>
      </c>
      <c r="AD78" s="114" t="s">
        <v>310</v>
      </c>
      <c r="AE78" s="119">
        <f t="shared" si="154"/>
        <v>33.865229999999997</v>
      </c>
      <c r="AF78" s="119"/>
      <c r="AG78" s="119">
        <f>EU78</f>
        <v>9.8684210526315788</v>
      </c>
      <c r="AH78" s="119">
        <f>DM78</f>
        <v>19.189999999999998</v>
      </c>
      <c r="AI78" s="119">
        <f t="shared" si="155"/>
        <v>0.57569999999999988</v>
      </c>
      <c r="AJ78" s="119">
        <f t="shared" si="156"/>
        <v>0.19736842105263158</v>
      </c>
      <c r="AK78" s="119">
        <f t="shared" si="157"/>
        <v>0.54667063815789463</v>
      </c>
      <c r="AL78" s="119">
        <f t="shared" si="158"/>
        <v>4.8099999999999996</v>
      </c>
      <c r="AM78" s="119">
        <f t="shared" si="159"/>
        <v>1.9547619047619049</v>
      </c>
      <c r="AN78" s="119">
        <f t="shared" si="160"/>
        <v>0.83056478405315615</v>
      </c>
      <c r="AO78" s="123">
        <v>0</v>
      </c>
      <c r="AP78" s="123"/>
      <c r="AQ78" s="119">
        <f t="shared" si="161"/>
        <v>71.838716800657153</v>
      </c>
      <c r="AR78" s="119"/>
      <c r="AS78" s="119"/>
      <c r="AT78" s="123">
        <v>0</v>
      </c>
      <c r="AU78" s="119"/>
      <c r="AV78" s="106">
        <f>AQ78+AT78</f>
        <v>71.838716800657153</v>
      </c>
      <c r="AW78" s="74">
        <v>0.30349999999999999</v>
      </c>
      <c r="AX78" s="135">
        <v>0.29149999999999998</v>
      </c>
      <c r="AY78" s="120">
        <v>0.9</v>
      </c>
      <c r="AZ78" s="114">
        <f>AW78-AX78</f>
        <v>1.2000000000000011E-2</v>
      </c>
      <c r="BA78" s="118">
        <f>AW78*AB78-AZ78*AC78</f>
        <v>33.865229999999997</v>
      </c>
      <c r="BB78" s="118"/>
      <c r="BC78" s="118"/>
      <c r="BD78" s="118"/>
      <c r="BE78" s="118"/>
      <c r="BF78" s="118"/>
      <c r="BG78" s="118"/>
      <c r="BH78" s="118"/>
      <c r="BI78" s="118"/>
      <c r="BJ78" s="118"/>
      <c r="BK78" s="118"/>
      <c r="BL78" s="118"/>
      <c r="BM78" s="118"/>
      <c r="BN78" s="118"/>
      <c r="BO78" s="118"/>
      <c r="BP78" s="118"/>
      <c r="BQ78" s="118"/>
      <c r="BR78" s="118"/>
      <c r="BS78" s="118"/>
      <c r="BT78" s="118"/>
      <c r="BU78" s="118"/>
      <c r="BV78" s="118"/>
      <c r="BW78" s="118"/>
      <c r="BX78" s="118"/>
      <c r="BY78" s="118"/>
      <c r="BZ78" s="118"/>
      <c r="CA78" s="118"/>
      <c r="CB78" s="118"/>
      <c r="CC78" s="118"/>
      <c r="CD78" s="114"/>
      <c r="CE78" s="114">
        <v>0</v>
      </c>
      <c r="CF78" s="114">
        <v>1</v>
      </c>
      <c r="CG78" s="114">
        <f>2.25+0.2</f>
        <v>2.4500000000000002</v>
      </c>
      <c r="CH78" s="114">
        <f>CF78*CG78</f>
        <v>2.4500000000000002</v>
      </c>
      <c r="CI78" s="114" t="s">
        <v>546</v>
      </c>
      <c r="CJ78" s="114" t="s">
        <v>545</v>
      </c>
      <c r="CK78" s="114">
        <v>1</v>
      </c>
      <c r="CL78" s="114">
        <v>7.16</v>
      </c>
      <c r="CM78" s="114">
        <f>CK78*CL78</f>
        <v>7.16</v>
      </c>
      <c r="CN78" s="114" t="s">
        <v>548</v>
      </c>
      <c r="CO78" s="114" t="s">
        <v>602</v>
      </c>
      <c r="CP78" s="114">
        <v>1</v>
      </c>
      <c r="CQ78" s="114">
        <v>1.06</v>
      </c>
      <c r="CR78" s="114">
        <f>CQ78*CP78</f>
        <v>1.06</v>
      </c>
      <c r="CS78" s="114">
        <v>8200320</v>
      </c>
      <c r="CT78" s="114" t="s">
        <v>603</v>
      </c>
      <c r="CU78" s="114">
        <v>2</v>
      </c>
      <c r="CV78" s="114">
        <v>0.45</v>
      </c>
      <c r="CW78" s="114">
        <v>0.9</v>
      </c>
      <c r="CX78" s="114" t="s">
        <v>604</v>
      </c>
      <c r="CY78" s="114" t="s">
        <v>605</v>
      </c>
      <c r="CZ78" s="114">
        <v>1</v>
      </c>
      <c r="DA78" s="114">
        <v>2.36</v>
      </c>
      <c r="DB78" s="114">
        <v>2.36</v>
      </c>
      <c r="DC78" s="114" t="s">
        <v>606</v>
      </c>
      <c r="DD78" s="114" t="s">
        <v>607</v>
      </c>
      <c r="DE78" s="114">
        <v>1</v>
      </c>
      <c r="DF78" s="114">
        <v>4.45</v>
      </c>
      <c r="DG78" s="114">
        <v>4.45</v>
      </c>
      <c r="DH78" s="114" t="s">
        <v>608</v>
      </c>
      <c r="DI78" s="114" t="s">
        <v>608</v>
      </c>
      <c r="DJ78" s="114" t="s">
        <v>609</v>
      </c>
      <c r="DK78" s="114">
        <v>1</v>
      </c>
      <c r="DL78" s="114">
        <v>0.81</v>
      </c>
      <c r="DM78" s="114">
        <f>CM78+CR78+CW78+DB78+DG78+DL78+CH78</f>
        <v>19.189999999999998</v>
      </c>
      <c r="DN78" s="125">
        <v>0.03</v>
      </c>
      <c r="DO78" s="118">
        <f>DM78*DN78</f>
        <v>0.57569999999999988</v>
      </c>
      <c r="DP78" s="118">
        <f>CG78*CF78</f>
        <v>2.4500000000000002</v>
      </c>
      <c r="DQ78" s="118"/>
      <c r="DR78" s="118"/>
      <c r="DS78" s="118"/>
      <c r="DT78" s="118"/>
      <c r="DU78" s="118"/>
      <c r="DV78" s="118"/>
      <c r="DW78" s="118"/>
      <c r="DX78" s="118"/>
      <c r="DY78" s="118"/>
      <c r="DZ78" s="118"/>
      <c r="EA78" s="118"/>
      <c r="EB78" s="118"/>
      <c r="EC78" s="118"/>
      <c r="ED78" s="118"/>
      <c r="EE78" s="118"/>
      <c r="EF78" s="114">
        <v>450</v>
      </c>
      <c r="EG78" s="114">
        <v>4500</v>
      </c>
      <c r="EH78" s="114">
        <v>8</v>
      </c>
      <c r="EI78" s="120">
        <v>0.95</v>
      </c>
      <c r="EJ78" s="114">
        <v>1</v>
      </c>
      <c r="EK78" s="114">
        <v>60</v>
      </c>
      <c r="EL78" s="126">
        <f t="shared" si="175"/>
        <v>456</v>
      </c>
      <c r="EM78" s="118"/>
      <c r="EN78" s="118"/>
      <c r="EO78" s="118"/>
      <c r="EP78" s="126"/>
      <c r="EQ78" s="126"/>
      <c r="ER78" s="126"/>
      <c r="ES78" s="126"/>
      <c r="ET78" s="126"/>
      <c r="EU78" s="118">
        <f t="shared" si="163"/>
        <v>9.8684210526315788</v>
      </c>
      <c r="EV78" s="118"/>
      <c r="EW78" s="118"/>
      <c r="EX78" s="118"/>
      <c r="EY78" s="118"/>
      <c r="EZ78" s="118"/>
      <c r="FA78" s="118"/>
      <c r="FB78" s="118"/>
      <c r="FC78" s="118"/>
      <c r="FD78" s="118"/>
      <c r="FE78" s="118"/>
      <c r="FF78" s="118"/>
      <c r="FG78" s="118"/>
      <c r="FH78" s="118"/>
      <c r="FI78" s="118"/>
      <c r="FJ78" s="118"/>
      <c r="FK78" s="118"/>
      <c r="FL78" s="118"/>
      <c r="FM78" s="118"/>
      <c r="FN78" s="118"/>
      <c r="FO78" s="118"/>
      <c r="FP78" s="118"/>
      <c r="FQ78" s="118"/>
      <c r="FR78" s="118"/>
      <c r="FS78" s="118"/>
      <c r="FT78" s="118"/>
      <c r="FU78" s="118"/>
      <c r="FV78" s="118"/>
      <c r="FW78" s="118"/>
      <c r="FX78" s="118"/>
      <c r="FY78" s="118"/>
      <c r="FZ78" s="118"/>
      <c r="GA78" s="118"/>
      <c r="GB78" s="118"/>
      <c r="GC78" s="118"/>
      <c r="GD78" s="118"/>
      <c r="GE78" s="118"/>
      <c r="GF78" s="118"/>
      <c r="GG78" s="118"/>
      <c r="GH78" s="118"/>
      <c r="GI78" s="118"/>
      <c r="GJ78" s="118"/>
      <c r="GK78" s="118"/>
      <c r="GL78" s="118"/>
      <c r="GM78" s="118"/>
      <c r="GN78" s="118"/>
      <c r="GO78" s="118"/>
      <c r="GP78" s="118"/>
      <c r="GQ78" s="118"/>
      <c r="GR78" s="120">
        <v>0.11</v>
      </c>
      <c r="GS78" s="114">
        <v>4.8099999999999996</v>
      </c>
      <c r="GT78" s="125">
        <v>1.2500000000000001E-2</v>
      </c>
      <c r="GU78" s="118">
        <f t="shared" si="164"/>
        <v>0.54667063815789463</v>
      </c>
      <c r="GV78" s="120">
        <v>0.02</v>
      </c>
      <c r="GW78" s="118">
        <f t="shared" si="165"/>
        <v>0.19736842105263158</v>
      </c>
      <c r="GX78" s="118">
        <f t="shared" si="166"/>
        <v>5.5540390592105258</v>
      </c>
      <c r="GY78" s="114" t="s">
        <v>43</v>
      </c>
      <c r="GZ78" s="114" t="s">
        <v>87</v>
      </c>
      <c r="HA78" s="118">
        <v>650</v>
      </c>
      <c r="HB78" s="118">
        <v>450</v>
      </c>
      <c r="HC78" s="114">
        <v>480</v>
      </c>
      <c r="HD78" s="114">
        <v>7</v>
      </c>
      <c r="HE78" s="114">
        <v>700</v>
      </c>
      <c r="HF78" s="118">
        <f t="shared" si="180"/>
        <v>100</v>
      </c>
      <c r="HG78" s="114">
        <v>5</v>
      </c>
      <c r="HH78" s="118">
        <f t="shared" si="181"/>
        <v>500</v>
      </c>
      <c r="HI78" s="114">
        <v>550</v>
      </c>
      <c r="HJ78" s="118">
        <f t="shared" si="167"/>
        <v>275000</v>
      </c>
      <c r="HK78" s="118"/>
      <c r="HL78" s="118"/>
      <c r="HM78" s="118">
        <v>2</v>
      </c>
      <c r="HN78" s="126">
        <f t="shared" si="168"/>
        <v>420000</v>
      </c>
      <c r="HO78" s="118">
        <f t="shared" si="169"/>
        <v>0.65476190476190477</v>
      </c>
      <c r="HP78" s="118">
        <v>160</v>
      </c>
      <c r="HQ78" s="114">
        <v>0</v>
      </c>
      <c r="HR78" s="118">
        <f>HP78*HQ78</f>
        <v>0</v>
      </c>
      <c r="HS78" s="118">
        <v>1</v>
      </c>
      <c r="HT78" s="118">
        <v>1.3</v>
      </c>
      <c r="HU78" s="118"/>
      <c r="HV78" s="118">
        <f t="shared" si="170"/>
        <v>1.9547619047619049</v>
      </c>
      <c r="HW78" s="118"/>
      <c r="HX78" s="118">
        <v>4200</v>
      </c>
      <c r="HY78" s="118">
        <v>1900</v>
      </c>
      <c r="HZ78" s="118">
        <v>1975</v>
      </c>
      <c r="IA78" s="118">
        <v>6</v>
      </c>
      <c r="IB78" s="118">
        <v>4</v>
      </c>
      <c r="IC78" s="118">
        <v>4</v>
      </c>
      <c r="ID78" s="120">
        <v>0.9</v>
      </c>
      <c r="IE78" s="118">
        <f>ROUND(PRODUCT(IA78:ID78),0)</f>
        <v>86</v>
      </c>
      <c r="IF78" s="118">
        <v>500</v>
      </c>
      <c r="IG78" s="118">
        <f t="shared" si="174"/>
        <v>0.83056478405315615</v>
      </c>
      <c r="IH78" s="118"/>
      <c r="II78" s="114"/>
    </row>
    <row r="79" spans="1:246">
      <c r="A79">
        <v>81</v>
      </c>
      <c r="B79" t="s">
        <v>468</v>
      </c>
      <c r="C79" s="166" t="s">
        <v>610</v>
      </c>
      <c r="D79" s="28" t="s">
        <v>201</v>
      </c>
      <c r="E79" s="27" t="s">
        <v>202</v>
      </c>
      <c r="F79" s="5" t="s">
        <v>2182</v>
      </c>
      <c r="G79" s="27" t="s">
        <v>102</v>
      </c>
      <c r="H79" s="27"/>
      <c r="I79" s="27" t="s">
        <v>121</v>
      </c>
      <c r="J79" s="28">
        <v>21480</v>
      </c>
      <c r="K79" s="27" t="s">
        <v>97</v>
      </c>
      <c r="L79" s="28"/>
      <c r="M79" s="28"/>
      <c r="N79" s="28"/>
      <c r="O79" s="28"/>
      <c r="P79" s="28"/>
      <c r="Q79" s="28" t="s">
        <v>1035</v>
      </c>
      <c r="R79" s="28" t="s">
        <v>1194</v>
      </c>
      <c r="S79" s="27"/>
      <c r="T79" s="27"/>
      <c r="U79" s="27"/>
      <c r="V79" s="29" t="s">
        <v>79</v>
      </c>
      <c r="W79" s="115" t="s">
        <v>611</v>
      </c>
      <c r="X79" s="115"/>
      <c r="Y79" s="115"/>
      <c r="Z79" s="115"/>
      <c r="AA79" s="154" t="s">
        <v>307</v>
      </c>
      <c r="AB79" s="341">
        <v>118.8</v>
      </c>
      <c r="AC79" s="114">
        <v>20</v>
      </c>
      <c r="AD79" s="114"/>
      <c r="AE79" s="119">
        <f t="shared" si="154"/>
        <v>18.887999999999998</v>
      </c>
      <c r="AF79" s="119"/>
      <c r="AG79" s="119">
        <f>EU79</f>
        <v>3.7097953216374271</v>
      </c>
      <c r="AH79" s="119">
        <f>DP79</f>
        <v>0</v>
      </c>
      <c r="AI79" s="119">
        <f t="shared" si="155"/>
        <v>0</v>
      </c>
      <c r="AJ79" s="119">
        <f t="shared" si="156"/>
        <v>7.4195906432748537E-2</v>
      </c>
      <c r="AK79" s="119">
        <f t="shared" si="157"/>
        <v>0.2824724415204678</v>
      </c>
      <c r="AL79" s="119">
        <f t="shared" si="158"/>
        <v>2.4857574853801165</v>
      </c>
      <c r="AM79" s="119">
        <f t="shared" si="159"/>
        <v>9.166666666666666E-2</v>
      </c>
      <c r="AN79" s="119">
        <f t="shared" si="160"/>
        <v>0.20833333333333334</v>
      </c>
      <c r="AO79" s="123">
        <v>0</v>
      </c>
      <c r="AP79" s="123"/>
      <c r="AQ79" s="119">
        <f t="shared" si="161"/>
        <v>25.740221154970754</v>
      </c>
      <c r="AR79" s="119"/>
      <c r="AS79" s="119"/>
      <c r="AT79" s="123">
        <v>0</v>
      </c>
      <c r="AU79" s="119">
        <f>26.01-25.74</f>
        <v>0.27000000000000313</v>
      </c>
      <c r="AV79" s="106">
        <f>AQ79+AT79+AU79</f>
        <v>26.010221154970758</v>
      </c>
      <c r="AW79" s="136">
        <v>0.16</v>
      </c>
      <c r="AX79" s="114">
        <v>0.154</v>
      </c>
      <c r="AY79" s="120">
        <v>1</v>
      </c>
      <c r="AZ79" s="114">
        <f>AW79-AX79</f>
        <v>6.0000000000000053E-3</v>
      </c>
      <c r="BA79" s="109">
        <f>AW79*AB79-AZ79*AC79</f>
        <v>18.887999999999998</v>
      </c>
      <c r="BB79" s="109"/>
      <c r="BC79" s="109"/>
      <c r="BD79" s="109"/>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14"/>
      <c r="CE79" s="114">
        <v>0</v>
      </c>
      <c r="CF79" s="114">
        <v>0</v>
      </c>
      <c r="CG79" s="114">
        <v>0</v>
      </c>
      <c r="CH79" s="114"/>
      <c r="CI79" s="114"/>
      <c r="CJ79" s="114"/>
      <c r="CK79" s="114"/>
      <c r="CL79" s="114"/>
      <c r="CM79" s="114"/>
      <c r="CN79" s="114"/>
      <c r="CO79" s="114"/>
      <c r="CP79" s="114"/>
      <c r="CQ79" s="114"/>
      <c r="CR79" s="114"/>
      <c r="CS79" s="114"/>
      <c r="CT79" s="114"/>
      <c r="CU79" s="114"/>
      <c r="CV79" s="114"/>
      <c r="CW79" s="114"/>
      <c r="CX79" s="114"/>
      <c r="CY79" s="114"/>
      <c r="CZ79" s="114"/>
      <c r="DA79" s="114"/>
      <c r="DB79" s="114"/>
      <c r="DC79" s="114"/>
      <c r="DD79" s="114"/>
      <c r="DE79" s="114"/>
      <c r="DF79" s="114"/>
      <c r="DG79" s="114"/>
      <c r="DH79" s="114"/>
      <c r="DI79" s="114"/>
      <c r="DJ79" s="114"/>
      <c r="DK79" s="114"/>
      <c r="DL79" s="114"/>
      <c r="DM79" s="118">
        <v>0</v>
      </c>
      <c r="DN79" s="125">
        <v>1.2500000000000001E-2</v>
      </c>
      <c r="DO79" s="118">
        <f>DN79*CG79*CF79</f>
        <v>0</v>
      </c>
      <c r="DP79" s="118">
        <f>CG79*CF79</f>
        <v>0</v>
      </c>
      <c r="DQ79" s="118"/>
      <c r="DR79" s="118"/>
      <c r="DS79" s="118"/>
      <c r="DT79" s="118"/>
      <c r="DU79" s="118"/>
      <c r="DV79" s="118"/>
      <c r="DW79" s="118"/>
      <c r="DX79" s="118"/>
      <c r="DY79" s="118"/>
      <c r="DZ79" s="118"/>
      <c r="EA79" s="118"/>
      <c r="EB79" s="118"/>
      <c r="EC79" s="118"/>
      <c r="ED79" s="118"/>
      <c r="EE79" s="118"/>
      <c r="EF79" s="114">
        <v>350</v>
      </c>
      <c r="EG79" s="114">
        <v>3500</v>
      </c>
      <c r="EH79" s="114">
        <v>8</v>
      </c>
      <c r="EI79" s="120">
        <v>0.95</v>
      </c>
      <c r="EJ79" s="114">
        <v>2</v>
      </c>
      <c r="EK79" s="114">
        <v>58</v>
      </c>
      <c r="EL79" s="126">
        <f>3600/EK79*EH79*EJ79*EI79</f>
        <v>943.44827586206895</v>
      </c>
      <c r="EM79" s="118"/>
      <c r="EN79" s="118"/>
      <c r="EO79" s="118"/>
      <c r="EP79" s="126"/>
      <c r="EQ79" s="126"/>
      <c r="ER79" s="126"/>
      <c r="ES79" s="126"/>
      <c r="ET79" s="126"/>
      <c r="EU79" s="118">
        <f t="shared" si="163"/>
        <v>3.7097953216374271</v>
      </c>
      <c r="EV79" s="118"/>
      <c r="EW79" s="118"/>
      <c r="EX79" s="118"/>
      <c r="EY79" s="118"/>
      <c r="EZ79" s="118"/>
      <c r="FA79" s="118"/>
      <c r="FB79" s="118"/>
      <c r="FC79" s="118"/>
      <c r="FD79" s="118"/>
      <c r="FE79" s="118"/>
      <c r="FF79" s="118"/>
      <c r="FG79" s="118"/>
      <c r="FH79" s="118"/>
      <c r="FI79" s="118"/>
      <c r="FJ79" s="118"/>
      <c r="FK79" s="118"/>
      <c r="FL79" s="118"/>
      <c r="FM79" s="118"/>
      <c r="FN79" s="118"/>
      <c r="FO79" s="118"/>
      <c r="FP79" s="118"/>
      <c r="FQ79" s="118"/>
      <c r="FR79" s="118"/>
      <c r="FS79" s="118"/>
      <c r="FT79" s="118"/>
      <c r="FU79" s="118"/>
      <c r="FV79" s="118"/>
      <c r="FW79" s="118"/>
      <c r="FX79" s="118"/>
      <c r="FY79" s="118"/>
      <c r="FZ79" s="118"/>
      <c r="GA79" s="118"/>
      <c r="GB79" s="118"/>
      <c r="GC79" s="118"/>
      <c r="GD79" s="118"/>
      <c r="GE79" s="118"/>
      <c r="GF79" s="118"/>
      <c r="GG79" s="118"/>
      <c r="GH79" s="118"/>
      <c r="GI79" s="118"/>
      <c r="GJ79" s="118"/>
      <c r="GK79" s="118"/>
      <c r="GL79" s="118"/>
      <c r="GM79" s="118"/>
      <c r="GN79" s="118"/>
      <c r="GO79" s="118"/>
      <c r="GP79" s="118"/>
      <c r="GQ79" s="118"/>
      <c r="GR79" s="120">
        <v>0.11</v>
      </c>
      <c r="GS79" s="118">
        <f>GR79*(BA79+EU79)</f>
        <v>2.4857574853801165</v>
      </c>
      <c r="GT79" s="125">
        <v>1.2500000000000001E-2</v>
      </c>
      <c r="GU79" s="118">
        <f t="shared" si="164"/>
        <v>0.2824724415204678</v>
      </c>
      <c r="GV79" s="120">
        <v>0.02</v>
      </c>
      <c r="GW79" s="118">
        <f t="shared" si="165"/>
        <v>7.4195906432748537E-2</v>
      </c>
      <c r="GX79" s="118">
        <f t="shared" si="166"/>
        <v>2.842425833333333</v>
      </c>
      <c r="GY79" s="114" t="s">
        <v>43</v>
      </c>
      <c r="GZ79" s="114" t="s">
        <v>87</v>
      </c>
      <c r="HA79" s="118">
        <v>650</v>
      </c>
      <c r="HB79" s="118">
        <v>450</v>
      </c>
      <c r="HC79" s="114">
        <v>320</v>
      </c>
      <c r="HD79" s="114">
        <v>50</v>
      </c>
      <c r="HE79" s="114">
        <v>800</v>
      </c>
      <c r="HF79" s="118">
        <f t="shared" si="180"/>
        <v>16</v>
      </c>
      <c r="HG79" s="114">
        <v>5</v>
      </c>
      <c r="HH79" s="118">
        <f t="shared" si="181"/>
        <v>80</v>
      </c>
      <c r="HI79" s="114">
        <v>550</v>
      </c>
      <c r="HJ79" s="118">
        <f t="shared" si="167"/>
        <v>44000</v>
      </c>
      <c r="HK79" s="118"/>
      <c r="HL79" s="118"/>
      <c r="HM79" s="118">
        <v>2</v>
      </c>
      <c r="HN79" s="126">
        <f t="shared" si="168"/>
        <v>480000</v>
      </c>
      <c r="HO79" s="118">
        <f t="shared" si="169"/>
        <v>9.166666666666666E-2</v>
      </c>
      <c r="HP79" s="118">
        <v>160</v>
      </c>
      <c r="HQ79" s="114">
        <v>0</v>
      </c>
      <c r="HR79" s="118">
        <f>HP79*HQ79</f>
        <v>0</v>
      </c>
      <c r="HS79" s="118">
        <v>0</v>
      </c>
      <c r="HT79" s="118">
        <v>0</v>
      </c>
      <c r="HU79" s="118"/>
      <c r="HV79" s="118">
        <f t="shared" si="170"/>
        <v>9.166666666666666E-2</v>
      </c>
      <c r="HW79" s="118"/>
      <c r="HX79" s="118">
        <v>2917</v>
      </c>
      <c r="HY79" s="118">
        <v>1689</v>
      </c>
      <c r="HZ79" s="118">
        <v>1842</v>
      </c>
      <c r="IA79" s="118">
        <f>ROUNDDOWN(HX79/HA79,0)</f>
        <v>4</v>
      </c>
      <c r="IB79" s="118">
        <f>ROUNDDOWN(HY79/HB79,0)</f>
        <v>3</v>
      </c>
      <c r="IC79" s="118">
        <f>ROUNDDOWN(HZ79/HC79,0)</f>
        <v>5</v>
      </c>
      <c r="ID79" s="120">
        <v>0.8</v>
      </c>
      <c r="IE79" s="118">
        <f>ROUND(PRODUCT(IA79:ID79),0)</f>
        <v>48</v>
      </c>
      <c r="IF79" s="118">
        <v>500</v>
      </c>
      <c r="IG79" s="118">
        <f t="shared" si="174"/>
        <v>0.20833333333333334</v>
      </c>
      <c r="IH79" s="4"/>
    </row>
    <row r="80" spans="1:246">
      <c r="A80">
        <v>82</v>
      </c>
      <c r="D80" s="28" t="s">
        <v>203</v>
      </c>
      <c r="E80" s="27" t="s">
        <v>204</v>
      </c>
      <c r="F80" s="27"/>
      <c r="G80" s="27" t="s">
        <v>108</v>
      </c>
      <c r="H80" s="27"/>
      <c r="I80" s="27" t="s">
        <v>121</v>
      </c>
      <c r="J80" s="28">
        <v>21677</v>
      </c>
      <c r="K80" s="27" t="s">
        <v>228</v>
      </c>
      <c r="L80" s="28"/>
      <c r="M80" s="28"/>
      <c r="N80" s="28"/>
      <c r="O80" s="28"/>
      <c r="P80" s="28"/>
      <c r="Q80" s="28"/>
      <c r="R80" s="28"/>
      <c r="S80" s="27"/>
      <c r="T80" s="27"/>
      <c r="U80" s="27"/>
      <c r="V80" s="29" t="s">
        <v>79</v>
      </c>
      <c r="W80" s="5"/>
      <c r="X80" s="5"/>
      <c r="Y80" s="5"/>
      <c r="Z80" s="5"/>
      <c r="AA80" s="32"/>
      <c r="AB80" s="342"/>
      <c r="AC80" s="32"/>
      <c r="AD80" s="50"/>
    </row>
    <row r="81" spans="1:245">
      <c r="A81">
        <v>83</v>
      </c>
      <c r="B81" t="s">
        <v>468</v>
      </c>
      <c r="C81" t="s">
        <v>552</v>
      </c>
      <c r="D81" s="28" t="s">
        <v>205</v>
      </c>
      <c r="E81" s="27" t="s">
        <v>206</v>
      </c>
      <c r="F81" s="5" t="s">
        <v>2182</v>
      </c>
      <c r="G81" s="27" t="s">
        <v>108</v>
      </c>
      <c r="H81" s="27"/>
      <c r="I81" s="27" t="s">
        <v>121</v>
      </c>
      <c r="J81" s="28">
        <v>21677</v>
      </c>
      <c r="K81" s="27" t="s">
        <v>228</v>
      </c>
      <c r="L81" s="28"/>
      <c r="M81" s="28"/>
      <c r="N81" s="28"/>
      <c r="O81" s="28"/>
      <c r="P81" s="28"/>
      <c r="Q81" s="28" t="s">
        <v>1841</v>
      </c>
      <c r="R81" s="28" t="s">
        <v>1194</v>
      </c>
      <c r="S81" s="27"/>
      <c r="T81" s="27"/>
      <c r="U81" s="27"/>
      <c r="V81" s="29" t="s">
        <v>79</v>
      </c>
      <c r="W81" s="5"/>
      <c r="X81" s="5"/>
      <c r="Y81" s="5"/>
      <c r="Z81" s="5"/>
      <c r="AA81" t="s">
        <v>309</v>
      </c>
      <c r="AB81" s="66">
        <v>193.27</v>
      </c>
      <c r="AC81">
        <v>20</v>
      </c>
      <c r="AD81" t="s">
        <v>310</v>
      </c>
      <c r="AE81" s="7">
        <f t="shared" ref="AE81:AE86" si="182">BA81</f>
        <v>5.844735</v>
      </c>
      <c r="AF81" s="7"/>
      <c r="AG81" s="7">
        <f>EU81</f>
        <v>3.5087719298245612</v>
      </c>
      <c r="AH81" s="7">
        <f>DP81</f>
        <v>0.2</v>
      </c>
      <c r="AI81" s="7">
        <f t="shared" ref="AI81:AI86" si="183">DO81</f>
        <v>0</v>
      </c>
      <c r="AJ81" s="7">
        <f t="shared" ref="AJ81:AJ86" si="184">GW81</f>
        <v>7.0175438596491224E-2</v>
      </c>
      <c r="AK81" s="7">
        <f t="shared" ref="AK81:AK86" si="185">GU81</f>
        <v>0.11691883662280703</v>
      </c>
      <c r="AL81" s="7">
        <f t="shared" ref="AL81:AL86" si="186">GS81</f>
        <v>1.0288857622807017</v>
      </c>
      <c r="AM81" s="7">
        <f t="shared" ref="AM81:AM86" si="187">HV81</f>
        <v>1.1983333333333333</v>
      </c>
      <c r="AN81" s="7">
        <f t="shared" ref="AN81:AN86" si="188">IG81</f>
        <v>0.2</v>
      </c>
      <c r="AO81" s="7">
        <v>0</v>
      </c>
      <c r="AP81" s="7"/>
      <c r="AQ81" s="7">
        <f t="shared" ref="AQ81:AQ86" si="189">SUM(AE81:AO81)</f>
        <v>12.167820300657894</v>
      </c>
      <c r="AR81" s="7"/>
      <c r="AS81" s="7"/>
      <c r="AT81" s="7"/>
      <c r="AU81" s="7"/>
      <c r="AV81" s="7">
        <f>AQ81</f>
        <v>12.167820300657894</v>
      </c>
      <c r="AW81" s="4">
        <v>3.0499999999999999E-2</v>
      </c>
      <c r="AX81" s="4">
        <v>2.8000000000000001E-2</v>
      </c>
      <c r="AY81" s="77">
        <v>1</v>
      </c>
      <c r="AZ81" s="4">
        <f t="shared" ref="AZ81:AZ86" si="190">AW81-AX81</f>
        <v>2.4999999999999988E-3</v>
      </c>
      <c r="BA81" s="4">
        <f t="shared" ref="BA81:BA86" si="191">AW81*AB81-(AZ81*AC81)*AY81</f>
        <v>5.844735</v>
      </c>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v>0</v>
      </c>
      <c r="CF81" s="4">
        <v>1</v>
      </c>
      <c r="CG81" s="4">
        <v>0.2</v>
      </c>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9">
        <v>1.2500000000000001E-2</v>
      </c>
      <c r="DO81" s="4">
        <v>0</v>
      </c>
      <c r="DP81" s="4">
        <f>CG81*CF81</f>
        <v>0.2</v>
      </c>
      <c r="DQ81" s="4"/>
      <c r="DR81" s="4"/>
      <c r="DS81" s="4"/>
      <c r="DT81" s="4"/>
      <c r="DU81" s="4"/>
      <c r="DV81" s="4"/>
      <c r="DW81" s="4"/>
      <c r="DX81" s="4"/>
      <c r="DY81" s="4"/>
      <c r="DZ81" s="4"/>
      <c r="EA81" s="4"/>
      <c r="EB81" s="4"/>
      <c r="EC81" s="4"/>
      <c r="ED81" s="4"/>
      <c r="EE81" s="4"/>
      <c r="EF81" s="4">
        <v>320</v>
      </c>
      <c r="EG81" s="4">
        <v>3200</v>
      </c>
      <c r="EH81" s="4">
        <v>8</v>
      </c>
      <c r="EI81" s="77">
        <v>0.95</v>
      </c>
      <c r="EJ81" s="4">
        <v>2</v>
      </c>
      <c r="EK81" s="4">
        <v>60</v>
      </c>
      <c r="EL81" s="4">
        <f t="shared" ref="EL81:EL86" si="192">ROUND(3600/EK81*EH81*EJ81*EI81,0)</f>
        <v>912</v>
      </c>
      <c r="EM81" s="4"/>
      <c r="EN81" s="4"/>
      <c r="EO81" s="4"/>
      <c r="EP81" s="4"/>
      <c r="EQ81" s="4"/>
      <c r="ER81" s="4"/>
      <c r="ES81" s="4"/>
      <c r="ET81" s="4"/>
      <c r="EU81" s="4">
        <f t="shared" ref="EU81:EU86" si="193">EG81/EL81</f>
        <v>3.5087719298245612</v>
      </c>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8">
        <v>0.11</v>
      </c>
      <c r="GS81" s="4">
        <f t="shared" ref="GS81:GS86" si="194">GR81*(BA81+EU81)</f>
        <v>1.0288857622807017</v>
      </c>
      <c r="GT81" s="9">
        <v>1.2500000000000001E-2</v>
      </c>
      <c r="GU81" s="4">
        <f t="shared" ref="GU81:GU86" si="195">GT81*(BA81+EU81)</f>
        <v>0.11691883662280703</v>
      </c>
      <c r="GV81" s="8">
        <v>0.02</v>
      </c>
      <c r="GW81" s="4">
        <f t="shared" ref="GW81:GW86" si="196">GV81*EU81</f>
        <v>7.0175438596491224E-2</v>
      </c>
      <c r="GX81" s="4">
        <f t="shared" ref="GX81:GX86" si="197">GS81+GU81+GW81</f>
        <v>1.2159800375000001</v>
      </c>
      <c r="GY81" s="4" t="s">
        <v>43</v>
      </c>
      <c r="GZ81" s="4" t="s">
        <v>87</v>
      </c>
      <c r="HA81" s="4">
        <v>650</v>
      </c>
      <c r="HB81" s="4">
        <v>450</v>
      </c>
      <c r="HC81" s="4">
        <v>315</v>
      </c>
      <c r="HD81" s="4">
        <v>50</v>
      </c>
      <c r="HE81" s="4">
        <v>400</v>
      </c>
      <c r="HF81" s="4">
        <f t="shared" ref="HF81:HF86" si="198">ROUNDUP(HE81/HD81,0)</f>
        <v>8</v>
      </c>
      <c r="HG81" s="4">
        <v>5</v>
      </c>
      <c r="HH81" s="4">
        <f t="shared" ref="HH81:HH86" si="199">HF81*HG81</f>
        <v>40</v>
      </c>
      <c r="HI81" s="4">
        <v>650</v>
      </c>
      <c r="HJ81" s="4">
        <f t="shared" ref="HJ81:HJ86" si="200">HH81*HI81</f>
        <v>26000</v>
      </c>
      <c r="HK81" s="4"/>
      <c r="HL81" s="4"/>
      <c r="HM81" s="4">
        <v>2</v>
      </c>
      <c r="HN81" s="4">
        <f t="shared" ref="HN81:HN86" si="201">HM81*12*25*HE81</f>
        <v>240000</v>
      </c>
      <c r="HO81" s="4">
        <f t="shared" ref="HO81:HO86" si="202">IF(GY81="carton box",HI81/HD81,HJ81/HN81)</f>
        <v>0.10833333333333334</v>
      </c>
      <c r="HP81" s="4">
        <v>160</v>
      </c>
      <c r="HQ81" s="4">
        <v>0</v>
      </c>
      <c r="HR81" s="4">
        <v>1.2</v>
      </c>
      <c r="HS81" s="4">
        <v>1</v>
      </c>
      <c r="HT81" s="4">
        <f>HR81/HS81</f>
        <v>1.2</v>
      </c>
      <c r="HU81" s="4"/>
      <c r="HV81" s="4">
        <f>HO81+HT81-0.11</f>
        <v>1.1983333333333333</v>
      </c>
      <c r="HW81" s="4"/>
      <c r="HX81" s="4">
        <v>5016</v>
      </c>
      <c r="HY81" s="4">
        <v>1976</v>
      </c>
      <c r="HZ81" s="4">
        <v>2280</v>
      </c>
      <c r="IA81" s="4">
        <f t="shared" ref="IA81:IC86" si="203">ROUNDDOWN(HX81/HA81,0)</f>
        <v>7</v>
      </c>
      <c r="IB81" s="4">
        <f t="shared" si="203"/>
        <v>4</v>
      </c>
      <c r="IC81" s="4">
        <f t="shared" si="203"/>
        <v>7</v>
      </c>
      <c r="ID81" s="8">
        <v>1</v>
      </c>
      <c r="IE81" s="4">
        <f>PRODUCT(IA81:ID81)-146</f>
        <v>50</v>
      </c>
      <c r="IF81" s="4">
        <v>500</v>
      </c>
      <c r="IG81" s="4">
        <f t="shared" ref="IG81:IG86" si="204">IF81/(IE81*HD81)</f>
        <v>0.2</v>
      </c>
      <c r="IH81" s="4"/>
    </row>
    <row r="82" spans="1:245">
      <c r="A82">
        <v>84</v>
      </c>
      <c r="B82" t="s">
        <v>468</v>
      </c>
      <c r="C82" t="s">
        <v>553</v>
      </c>
      <c r="D82" s="28" t="s">
        <v>207</v>
      </c>
      <c r="E82" s="27" t="s">
        <v>208</v>
      </c>
      <c r="F82" s="5" t="s">
        <v>2182</v>
      </c>
      <c r="G82" s="27" t="s">
        <v>108</v>
      </c>
      <c r="H82" s="27"/>
      <c r="I82" s="27" t="s">
        <v>121</v>
      </c>
      <c r="J82" s="28">
        <v>21677</v>
      </c>
      <c r="K82" s="27" t="s">
        <v>228</v>
      </c>
      <c r="L82" s="28"/>
      <c r="M82" s="28"/>
      <c r="N82" s="28"/>
      <c r="O82" s="28"/>
      <c r="P82" s="28"/>
      <c r="Q82" s="28" t="s">
        <v>1841</v>
      </c>
      <c r="R82" s="28" t="s">
        <v>1194</v>
      </c>
      <c r="S82" s="27"/>
      <c r="T82" s="27"/>
      <c r="U82" s="27"/>
      <c r="V82" s="29" t="s">
        <v>79</v>
      </c>
      <c r="W82" s="5"/>
      <c r="X82" s="5"/>
      <c r="Y82" s="5"/>
      <c r="Z82" s="5"/>
      <c r="AA82" t="s">
        <v>309</v>
      </c>
      <c r="AB82" s="66">
        <v>193.27</v>
      </c>
      <c r="AC82">
        <v>20</v>
      </c>
      <c r="AD82" t="s">
        <v>310</v>
      </c>
      <c r="AE82" s="7">
        <f t="shared" si="182"/>
        <v>5.844735</v>
      </c>
      <c r="AF82" s="7"/>
      <c r="AG82" s="7">
        <f>EU82</f>
        <v>3.5087719298245612</v>
      </c>
      <c r="AH82" s="7">
        <f>DP82</f>
        <v>0.2</v>
      </c>
      <c r="AI82" s="7">
        <f t="shared" si="183"/>
        <v>0</v>
      </c>
      <c r="AJ82" s="7">
        <f t="shared" si="184"/>
        <v>7.0175438596491224E-2</v>
      </c>
      <c r="AK82" s="7">
        <f t="shared" si="185"/>
        <v>0.11691883662280703</v>
      </c>
      <c r="AL82" s="7">
        <f t="shared" si="186"/>
        <v>1.0288857622807017</v>
      </c>
      <c r="AM82" s="7">
        <f t="shared" si="187"/>
        <v>1.1983333333333333</v>
      </c>
      <c r="AN82" s="7">
        <f t="shared" si="188"/>
        <v>0.2</v>
      </c>
      <c r="AO82" s="7">
        <v>0</v>
      </c>
      <c r="AP82" s="7"/>
      <c r="AQ82" s="7">
        <f t="shared" si="189"/>
        <v>12.167820300657894</v>
      </c>
      <c r="AR82" s="7"/>
      <c r="AS82" s="7"/>
      <c r="AT82" s="7"/>
      <c r="AU82" s="7"/>
      <c r="AV82" s="7">
        <f>AQ82</f>
        <v>12.167820300657894</v>
      </c>
      <c r="AW82" s="4">
        <v>3.0499999999999999E-2</v>
      </c>
      <c r="AX82" s="4">
        <v>2.8000000000000001E-2</v>
      </c>
      <c r="AY82" s="77">
        <v>1</v>
      </c>
      <c r="AZ82" s="4">
        <f t="shared" si="190"/>
        <v>2.4999999999999988E-3</v>
      </c>
      <c r="BA82" s="4">
        <f t="shared" si="191"/>
        <v>5.844735</v>
      </c>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v>0</v>
      </c>
      <c r="CF82" s="4">
        <v>1</v>
      </c>
      <c r="CG82" s="4">
        <v>0.2</v>
      </c>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9">
        <v>1.2500000000000001E-2</v>
      </c>
      <c r="DO82" s="4">
        <v>0</v>
      </c>
      <c r="DP82" s="4">
        <f>CG82*CF82</f>
        <v>0.2</v>
      </c>
      <c r="DQ82" s="4"/>
      <c r="DR82" s="4"/>
      <c r="DS82" s="4"/>
      <c r="DT82" s="4"/>
      <c r="DU82" s="4"/>
      <c r="DV82" s="4"/>
      <c r="DW82" s="4"/>
      <c r="DX82" s="4"/>
      <c r="DY82" s="4"/>
      <c r="DZ82" s="4"/>
      <c r="EA82" s="4"/>
      <c r="EB82" s="4"/>
      <c r="EC82" s="4"/>
      <c r="ED82" s="4"/>
      <c r="EE82" s="4"/>
      <c r="EF82" s="4">
        <v>320</v>
      </c>
      <c r="EG82" s="4">
        <v>3200</v>
      </c>
      <c r="EH82" s="4">
        <v>8</v>
      </c>
      <c r="EI82" s="77">
        <v>0.95</v>
      </c>
      <c r="EJ82" s="4">
        <v>2</v>
      </c>
      <c r="EK82" s="4">
        <v>60</v>
      </c>
      <c r="EL82" s="4">
        <f t="shared" si="192"/>
        <v>912</v>
      </c>
      <c r="EM82" s="4"/>
      <c r="EN82" s="4"/>
      <c r="EO82" s="4"/>
      <c r="EP82" s="4"/>
      <c r="EQ82" s="4"/>
      <c r="ER82" s="4"/>
      <c r="ES82" s="4"/>
      <c r="ET82" s="4"/>
      <c r="EU82" s="4">
        <f t="shared" si="193"/>
        <v>3.5087719298245612</v>
      </c>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8">
        <v>0.11</v>
      </c>
      <c r="GS82" s="4">
        <f t="shared" si="194"/>
        <v>1.0288857622807017</v>
      </c>
      <c r="GT82" s="9">
        <v>1.2500000000000001E-2</v>
      </c>
      <c r="GU82" s="4">
        <f t="shared" si="195"/>
        <v>0.11691883662280703</v>
      </c>
      <c r="GV82" s="8">
        <v>0.02</v>
      </c>
      <c r="GW82" s="4">
        <f t="shared" si="196"/>
        <v>7.0175438596491224E-2</v>
      </c>
      <c r="GX82" s="4">
        <f t="shared" si="197"/>
        <v>1.2159800375000001</v>
      </c>
      <c r="GY82" s="4" t="s">
        <v>43</v>
      </c>
      <c r="GZ82" s="4" t="s">
        <v>87</v>
      </c>
      <c r="HA82" s="4">
        <v>650</v>
      </c>
      <c r="HB82" s="4">
        <v>450</v>
      </c>
      <c r="HC82" s="4">
        <v>315</v>
      </c>
      <c r="HD82" s="4">
        <v>50</v>
      </c>
      <c r="HE82" s="4">
        <v>400</v>
      </c>
      <c r="HF82" s="4">
        <f t="shared" si="198"/>
        <v>8</v>
      </c>
      <c r="HG82" s="4">
        <v>5</v>
      </c>
      <c r="HH82" s="4">
        <f t="shared" si="199"/>
        <v>40</v>
      </c>
      <c r="HI82" s="4">
        <v>650</v>
      </c>
      <c r="HJ82" s="4">
        <f t="shared" si="200"/>
        <v>26000</v>
      </c>
      <c r="HK82" s="4"/>
      <c r="HL82" s="4"/>
      <c r="HM82" s="4">
        <v>2</v>
      </c>
      <c r="HN82" s="4">
        <f t="shared" si="201"/>
        <v>240000</v>
      </c>
      <c r="HO82" s="4">
        <f t="shared" si="202"/>
        <v>0.10833333333333334</v>
      </c>
      <c r="HP82" s="4">
        <v>160</v>
      </c>
      <c r="HQ82" s="4">
        <v>0</v>
      </c>
      <c r="HR82" s="4">
        <v>1.2</v>
      </c>
      <c r="HS82" s="4">
        <v>1</v>
      </c>
      <c r="HT82" s="4">
        <f>HR82/HS82</f>
        <v>1.2</v>
      </c>
      <c r="HU82" s="4"/>
      <c r="HV82" s="4">
        <f>HO82+HT82-0.11</f>
        <v>1.1983333333333333</v>
      </c>
      <c r="HW82" s="4"/>
      <c r="HX82" s="4">
        <v>5016</v>
      </c>
      <c r="HY82" s="4">
        <v>1976</v>
      </c>
      <c r="HZ82" s="4">
        <v>2280</v>
      </c>
      <c r="IA82" s="4">
        <f t="shared" si="203"/>
        <v>7</v>
      </c>
      <c r="IB82" s="4">
        <f t="shared" si="203"/>
        <v>4</v>
      </c>
      <c r="IC82" s="4">
        <f t="shared" si="203"/>
        <v>7</v>
      </c>
      <c r="ID82" s="8">
        <v>1</v>
      </c>
      <c r="IE82" s="4">
        <f>PRODUCT(IA82:ID82)-146</f>
        <v>50</v>
      </c>
      <c r="IF82" s="4">
        <v>500</v>
      </c>
      <c r="IG82" s="4">
        <f t="shared" si="204"/>
        <v>0.2</v>
      </c>
      <c r="IH82" s="4"/>
    </row>
    <row r="83" spans="1:245">
      <c r="A83">
        <v>85</v>
      </c>
      <c r="B83" t="s">
        <v>468</v>
      </c>
      <c r="C83" s="59" t="s">
        <v>555</v>
      </c>
      <c r="D83" s="28" t="s">
        <v>209</v>
      </c>
      <c r="E83" s="27" t="s">
        <v>172</v>
      </c>
      <c r="F83" s="5" t="s">
        <v>2182</v>
      </c>
      <c r="G83" s="27" t="s">
        <v>108</v>
      </c>
      <c r="H83" s="27"/>
      <c r="I83" s="27" t="s">
        <v>121</v>
      </c>
      <c r="J83" s="28">
        <v>29010</v>
      </c>
      <c r="K83" s="27" t="s">
        <v>229</v>
      </c>
      <c r="L83" s="28"/>
      <c r="M83" s="28"/>
      <c r="N83" s="28"/>
      <c r="O83" s="28"/>
      <c r="P83" s="28"/>
      <c r="Q83" s="28" t="s">
        <v>1035</v>
      </c>
      <c r="R83" s="28" t="s">
        <v>1194</v>
      </c>
      <c r="S83" s="27"/>
      <c r="T83" s="27"/>
      <c r="U83" s="27"/>
      <c r="V83" s="29" t="s">
        <v>79</v>
      </c>
      <c r="W83" s="5"/>
      <c r="X83" s="5"/>
      <c r="Y83" s="5"/>
      <c r="Z83" s="5"/>
      <c r="AA83" s="59" t="s">
        <v>313</v>
      </c>
      <c r="AB83" s="63">
        <v>127.56</v>
      </c>
      <c r="AC83" s="59">
        <f>AB83-5</f>
        <v>122.56</v>
      </c>
      <c r="AD83" s="59" t="s">
        <v>554</v>
      </c>
      <c r="AE83" s="42">
        <f t="shared" si="182"/>
        <v>39.409272000000001</v>
      </c>
      <c r="AF83" s="42"/>
      <c r="AG83" s="42">
        <f>EU83+FA83</f>
        <v>11.342465753424657</v>
      </c>
      <c r="AH83" s="60">
        <f>DM83</f>
        <v>4.5199999999999996</v>
      </c>
      <c r="AI83" s="60">
        <f t="shared" si="183"/>
        <v>0.06</v>
      </c>
      <c r="AJ83" s="42">
        <f t="shared" si="184"/>
        <v>0.22684931506849315</v>
      </c>
      <c r="AK83" s="42">
        <f t="shared" si="185"/>
        <v>0.63439672191780827</v>
      </c>
      <c r="AL83" s="42">
        <f t="shared" si="186"/>
        <v>5.5826911528767118</v>
      </c>
      <c r="AM83" s="42">
        <f t="shared" si="187"/>
        <v>0.85069444444444442</v>
      </c>
      <c r="AN83" s="7">
        <f t="shared" si="188"/>
        <v>0.63131313131313127</v>
      </c>
      <c r="AO83" s="60">
        <f>EY83</f>
        <v>0</v>
      </c>
      <c r="AP83" s="60"/>
      <c r="AQ83" s="42">
        <f t="shared" si="189"/>
        <v>63.257682519045247</v>
      </c>
      <c r="AR83" s="42"/>
      <c r="AS83" s="42"/>
      <c r="AT83" s="42"/>
      <c r="AU83" s="7">
        <f>AQ83*2%</f>
        <v>1.2651536503809049</v>
      </c>
      <c r="AV83" s="42">
        <f>AQ83+AU83</f>
        <v>64.522836169426157</v>
      </c>
      <c r="AW83" s="59">
        <v>0.315</v>
      </c>
      <c r="AX83" s="59">
        <v>0.308</v>
      </c>
      <c r="AY83" s="78">
        <v>0.9</v>
      </c>
      <c r="AZ83" s="59">
        <f t="shared" si="190"/>
        <v>7.0000000000000062E-3</v>
      </c>
      <c r="BA83" s="62">
        <f t="shared" si="191"/>
        <v>39.409272000000001</v>
      </c>
      <c r="BB83" s="62"/>
      <c r="BC83" s="62"/>
      <c r="BD83" s="62"/>
      <c r="BE83" s="62"/>
      <c r="BF83" s="62"/>
      <c r="BG83" s="62"/>
      <c r="BH83" s="62"/>
      <c r="BI83" s="62"/>
      <c r="BJ83" s="62"/>
      <c r="BK83" s="62"/>
      <c r="BL83" s="62"/>
      <c r="BM83" s="62"/>
      <c r="BN83" s="62"/>
      <c r="BO83" s="62"/>
      <c r="BP83" s="62"/>
      <c r="BQ83" s="62"/>
      <c r="BR83" s="62"/>
      <c r="BS83" s="62"/>
      <c r="BT83" s="62"/>
      <c r="BU83" s="62"/>
      <c r="BV83" s="62"/>
      <c r="BW83" s="62"/>
      <c r="BX83" s="62"/>
      <c r="BY83" s="62"/>
      <c r="BZ83" s="62"/>
      <c r="CA83" s="62"/>
      <c r="CB83" s="62"/>
      <c r="CC83" s="62"/>
      <c r="CD83" s="59"/>
      <c r="CE83" s="59">
        <v>0</v>
      </c>
      <c r="CF83" s="59">
        <v>2</v>
      </c>
      <c r="CG83" s="59">
        <v>2.2599999999999998</v>
      </c>
      <c r="CH83" s="59">
        <f>CF83*CG83</f>
        <v>4.5199999999999996</v>
      </c>
      <c r="CI83" s="59"/>
      <c r="CJ83" s="59"/>
      <c r="CK83" s="59"/>
      <c r="CL83" s="59"/>
      <c r="CM83" s="59"/>
      <c r="CN83" s="59"/>
      <c r="CO83" s="59"/>
      <c r="CP83" s="59"/>
      <c r="CQ83" s="59"/>
      <c r="CR83" s="59"/>
      <c r="CS83" s="59"/>
      <c r="CT83" s="59"/>
      <c r="CU83" s="59"/>
      <c r="CV83" s="59"/>
      <c r="CW83" s="59"/>
      <c r="CX83" s="59"/>
      <c r="CY83" s="59"/>
      <c r="CZ83" s="59"/>
      <c r="DA83" s="59"/>
      <c r="DB83" s="59"/>
      <c r="DC83" s="59"/>
      <c r="DD83" s="59"/>
      <c r="DE83" s="59"/>
      <c r="DF83" s="59"/>
      <c r="DG83" s="59"/>
      <c r="DH83" s="59"/>
      <c r="DI83" s="59"/>
      <c r="DJ83" s="59"/>
      <c r="DK83" s="59"/>
      <c r="DL83" s="59"/>
      <c r="DM83" s="59">
        <f>CH83+CM83+CR83+CW83+DB83+DG83+DK83</f>
        <v>4.5199999999999996</v>
      </c>
      <c r="DN83" s="64">
        <v>1.2500000000000001E-2</v>
      </c>
      <c r="DO83" s="59">
        <v>0.06</v>
      </c>
      <c r="DP83" s="59">
        <f>DM83+DO83</f>
        <v>4.5799999999999992</v>
      </c>
      <c r="DQ83" s="59"/>
      <c r="DR83" s="59"/>
      <c r="DS83" s="59"/>
      <c r="DT83" s="59"/>
      <c r="DU83" s="59"/>
      <c r="DV83" s="59"/>
      <c r="DW83" s="59"/>
      <c r="DX83" s="59"/>
      <c r="DY83" s="59"/>
      <c r="DZ83" s="59"/>
      <c r="EA83" s="59"/>
      <c r="EB83" s="59"/>
      <c r="EC83" s="59"/>
      <c r="ED83" s="59"/>
      <c r="EE83" s="59"/>
      <c r="EF83" s="59">
        <v>450</v>
      </c>
      <c r="EG83" s="59">
        <v>4140</v>
      </c>
      <c r="EH83" s="59">
        <v>8</v>
      </c>
      <c r="EI83" s="61">
        <v>0.95</v>
      </c>
      <c r="EJ83" s="59">
        <v>1</v>
      </c>
      <c r="EK83" s="59">
        <v>75</v>
      </c>
      <c r="EL83" s="59">
        <f t="shared" si="192"/>
        <v>365</v>
      </c>
      <c r="EM83" s="59"/>
      <c r="EN83" s="59"/>
      <c r="EO83" s="59"/>
      <c r="EP83" s="59"/>
      <c r="EQ83" s="59"/>
      <c r="ER83" s="59"/>
      <c r="ES83" s="59"/>
      <c r="ET83" s="59"/>
      <c r="EU83" s="62">
        <f t="shared" si="193"/>
        <v>11.342465753424657</v>
      </c>
      <c r="EV83" s="62"/>
      <c r="EW83" s="62"/>
      <c r="EX83" s="59"/>
      <c r="EY83" s="59"/>
      <c r="EZ83" s="59"/>
      <c r="FA83" s="59"/>
      <c r="FB83" s="59"/>
      <c r="FC83" s="59"/>
      <c r="FD83" s="59"/>
      <c r="FE83" s="59"/>
      <c r="FF83" s="59"/>
      <c r="FG83" s="59"/>
      <c r="FH83" s="59"/>
      <c r="FI83" s="59"/>
      <c r="FJ83" s="59"/>
      <c r="FK83" s="59"/>
      <c r="FL83" s="59"/>
      <c r="FM83" s="59"/>
      <c r="FN83" s="59"/>
      <c r="FO83" s="59"/>
      <c r="FP83" s="59"/>
      <c r="FQ83" s="59"/>
      <c r="FR83" s="59"/>
      <c r="FS83" s="59"/>
      <c r="FT83" s="59"/>
      <c r="FU83" s="59"/>
      <c r="FV83" s="59"/>
      <c r="FW83" s="59"/>
      <c r="FX83" s="59"/>
      <c r="FY83" s="59"/>
      <c r="FZ83" s="59"/>
      <c r="GA83" s="59"/>
      <c r="GB83" s="59"/>
      <c r="GC83" s="59"/>
      <c r="GD83" s="59"/>
      <c r="GE83" s="59"/>
      <c r="GF83" s="59"/>
      <c r="GG83" s="59"/>
      <c r="GH83" s="59"/>
      <c r="GI83" s="59"/>
      <c r="GJ83" s="59"/>
      <c r="GK83" s="59"/>
      <c r="GL83" s="59"/>
      <c r="GM83" s="59"/>
      <c r="GN83" s="59"/>
      <c r="GO83" s="59"/>
      <c r="GP83" s="59"/>
      <c r="GQ83" s="59"/>
      <c r="GR83" s="8">
        <v>0.11</v>
      </c>
      <c r="GS83" s="69">
        <f t="shared" si="194"/>
        <v>5.5826911528767118</v>
      </c>
      <c r="GT83" s="9">
        <v>1.2500000000000001E-2</v>
      </c>
      <c r="GU83" s="62">
        <f t="shared" si="195"/>
        <v>0.63439672191780827</v>
      </c>
      <c r="GV83" s="61">
        <v>0.02</v>
      </c>
      <c r="GW83" s="62">
        <f t="shared" si="196"/>
        <v>0.22684931506849315</v>
      </c>
      <c r="GX83" s="62">
        <f t="shared" si="197"/>
        <v>6.4439371898630124</v>
      </c>
      <c r="GY83" s="59" t="s">
        <v>43</v>
      </c>
      <c r="GZ83" s="59" t="s">
        <v>551</v>
      </c>
      <c r="HA83" s="59">
        <v>1600</v>
      </c>
      <c r="HB83" s="59">
        <v>800</v>
      </c>
      <c r="HC83" s="59">
        <v>1800</v>
      </c>
      <c r="HD83" s="59">
        <v>132</v>
      </c>
      <c r="HE83" s="59">
        <v>800</v>
      </c>
      <c r="HF83" s="59">
        <f t="shared" si="198"/>
        <v>7</v>
      </c>
      <c r="HG83" s="59">
        <v>5</v>
      </c>
      <c r="HH83" s="59">
        <f t="shared" si="199"/>
        <v>35</v>
      </c>
      <c r="HI83" s="59">
        <v>17500</v>
      </c>
      <c r="HJ83" s="59">
        <f t="shared" si="200"/>
        <v>612500</v>
      </c>
      <c r="HK83" s="59"/>
      <c r="HL83" s="59"/>
      <c r="HM83" s="59">
        <v>3</v>
      </c>
      <c r="HN83" s="59">
        <f t="shared" si="201"/>
        <v>720000</v>
      </c>
      <c r="HO83" s="62">
        <f t="shared" si="202"/>
        <v>0.85069444444444442</v>
      </c>
      <c r="HP83" s="59">
        <v>160</v>
      </c>
      <c r="HQ83" s="59">
        <v>0</v>
      </c>
      <c r="HR83" s="59">
        <v>0</v>
      </c>
      <c r="HS83" s="59">
        <v>0</v>
      </c>
      <c r="HT83" s="59">
        <v>0</v>
      </c>
      <c r="HU83" s="59"/>
      <c r="HV83" s="62">
        <f>HO83+HT83</f>
        <v>0.85069444444444442</v>
      </c>
      <c r="HW83" s="62"/>
      <c r="HX83" s="59">
        <v>4200</v>
      </c>
      <c r="HY83" s="59">
        <v>1900</v>
      </c>
      <c r="HZ83" s="59">
        <v>1975</v>
      </c>
      <c r="IA83" s="59">
        <f t="shared" si="203"/>
        <v>2</v>
      </c>
      <c r="IB83" s="59">
        <f t="shared" si="203"/>
        <v>2</v>
      </c>
      <c r="IC83" s="59">
        <f t="shared" si="203"/>
        <v>1</v>
      </c>
      <c r="ID83" s="61">
        <v>1</v>
      </c>
      <c r="IE83" s="4">
        <f>PRODUCT(IA83:ID83)+2</f>
        <v>6</v>
      </c>
      <c r="IF83" s="59">
        <v>500</v>
      </c>
      <c r="IG83" s="62">
        <f t="shared" si="204"/>
        <v>0.63131313131313127</v>
      </c>
      <c r="IH83" s="62"/>
      <c r="II83" s="59"/>
      <c r="IJ83" s="59"/>
      <c r="IK83" s="59"/>
    </row>
    <row r="84" spans="1:245">
      <c r="A84">
        <v>86</v>
      </c>
      <c r="B84" t="s">
        <v>468</v>
      </c>
      <c r="C84" t="s">
        <v>556</v>
      </c>
      <c r="D84" s="28" t="s">
        <v>210</v>
      </c>
      <c r="E84" s="27" t="s">
        <v>211</v>
      </c>
      <c r="F84" s="5" t="s">
        <v>2182</v>
      </c>
      <c r="G84" s="27" t="s">
        <v>108</v>
      </c>
      <c r="H84" s="27"/>
      <c r="I84" s="27" t="s">
        <v>121</v>
      </c>
      <c r="J84" s="28">
        <v>21677</v>
      </c>
      <c r="K84" s="27" t="s">
        <v>228</v>
      </c>
      <c r="L84" s="28"/>
      <c r="M84" s="28"/>
      <c r="N84" s="28"/>
      <c r="O84" s="28"/>
      <c r="P84" s="28"/>
      <c r="Q84" s="28" t="s">
        <v>1841</v>
      </c>
      <c r="R84" s="28" t="s">
        <v>1194</v>
      </c>
      <c r="S84" s="27"/>
      <c r="T84" s="27"/>
      <c r="U84" s="27"/>
      <c r="V84" s="29" t="s">
        <v>79</v>
      </c>
      <c r="W84" s="5"/>
      <c r="X84" s="5"/>
      <c r="Y84" s="5"/>
      <c r="Z84" s="5"/>
      <c r="AA84" s="89" t="s">
        <v>309</v>
      </c>
      <c r="AB84" s="66">
        <v>193.27</v>
      </c>
      <c r="AC84">
        <v>20</v>
      </c>
      <c r="AD84"/>
      <c r="AE84" s="42">
        <f t="shared" si="182"/>
        <v>4.4918450000000005</v>
      </c>
      <c r="AF84" s="42"/>
      <c r="AG84" s="79">
        <f>EU84+FA84</f>
        <v>1.7543859649122806</v>
      </c>
      <c r="AH84" s="42">
        <f>DM84</f>
        <v>0.2</v>
      </c>
      <c r="AI84" s="60">
        <f t="shared" si="183"/>
        <v>0</v>
      </c>
      <c r="AJ84" s="7">
        <f t="shared" si="184"/>
        <v>3.5087719298245612E-2</v>
      </c>
      <c r="AK84" s="7">
        <f t="shared" si="185"/>
        <v>7.807788706140352E-2</v>
      </c>
      <c r="AL84" s="7">
        <f t="shared" si="186"/>
        <v>0.68708540614035096</v>
      </c>
      <c r="AM84" s="42">
        <f t="shared" si="187"/>
        <v>1</v>
      </c>
      <c r="AN84" s="7">
        <f t="shared" si="188"/>
        <v>0.1</v>
      </c>
      <c r="AQ84" s="42">
        <f t="shared" si="189"/>
        <v>8.3464819774122816</v>
      </c>
      <c r="AR84" s="42"/>
      <c r="AS84" s="42"/>
      <c r="AT84" s="42"/>
      <c r="AV84" s="7">
        <f>AQ84+AU84</f>
        <v>8.3464819774122816</v>
      </c>
      <c r="AW84" s="14">
        <v>2.35E-2</v>
      </c>
      <c r="AX84">
        <v>2.1000000000000001E-2</v>
      </c>
      <c r="AY84" s="8">
        <v>1</v>
      </c>
      <c r="AZ84" s="59">
        <f t="shared" si="190"/>
        <v>2.4999999999999988E-3</v>
      </c>
      <c r="BA84" s="62">
        <f t="shared" si="191"/>
        <v>4.4918450000000005</v>
      </c>
      <c r="BB84" s="62"/>
      <c r="BC84" s="62"/>
      <c r="BD84" s="62"/>
      <c r="BE84" s="62"/>
      <c r="BF84" s="62"/>
      <c r="BG84" s="62"/>
      <c r="BH84" s="62"/>
      <c r="BI84" s="62"/>
      <c r="BJ84" s="62"/>
      <c r="BK84" s="62"/>
      <c r="BL84" s="62"/>
      <c r="BM84" s="62"/>
      <c r="BN84" s="62"/>
      <c r="BO84" s="62"/>
      <c r="BP84" s="62"/>
      <c r="BQ84" s="62"/>
      <c r="BR84" s="62"/>
      <c r="BS84" s="62"/>
      <c r="BT84" s="62"/>
      <c r="BU84" s="62"/>
      <c r="BV84" s="62"/>
      <c r="BW84" s="62"/>
      <c r="BX84" s="62"/>
      <c r="BY84" s="62"/>
      <c r="BZ84" s="62"/>
      <c r="CA84" s="62"/>
      <c r="CB84" s="62"/>
      <c r="CC84" s="62"/>
      <c r="CF84" s="4">
        <v>1</v>
      </c>
      <c r="CG84" s="4">
        <v>0.2</v>
      </c>
      <c r="CH84" s="62">
        <f>CF84*CG84</f>
        <v>0.2</v>
      </c>
      <c r="DM84" s="59">
        <f>CH84+CM84+CR84+CW84+DB84+DG84+DK84</f>
        <v>0.2</v>
      </c>
      <c r="DN84" s="9">
        <v>1.2500000000000001E-2</v>
      </c>
      <c r="DO84" s="4">
        <v>0</v>
      </c>
      <c r="DP84" s="62">
        <f>DM84+DO84</f>
        <v>0.2</v>
      </c>
      <c r="DQ84" s="62"/>
      <c r="DR84" s="62"/>
      <c r="DS84" s="62"/>
      <c r="DT84" s="62"/>
      <c r="DU84" s="62"/>
      <c r="DV84" s="62"/>
      <c r="DW84" s="62"/>
      <c r="DX84" s="62"/>
      <c r="DY84" s="62"/>
      <c r="DZ84" s="62"/>
      <c r="EA84" s="62"/>
      <c r="EB84" s="62"/>
      <c r="EC84" s="62"/>
      <c r="ED84" s="62"/>
      <c r="EE84" s="62"/>
      <c r="EF84">
        <v>160</v>
      </c>
      <c r="EG84" s="4">
        <v>1600</v>
      </c>
      <c r="EH84" s="4">
        <v>8</v>
      </c>
      <c r="EI84" s="8">
        <v>0.95</v>
      </c>
      <c r="EJ84" s="4">
        <v>2</v>
      </c>
      <c r="EK84" s="4">
        <v>60</v>
      </c>
      <c r="EL84" s="4">
        <f t="shared" si="192"/>
        <v>912</v>
      </c>
      <c r="EM84" s="4"/>
      <c r="EN84" s="4"/>
      <c r="EO84" s="4"/>
      <c r="EP84" s="4"/>
      <c r="EQ84" s="4"/>
      <c r="EU84" s="4">
        <f t="shared" si="193"/>
        <v>1.7543859649122806</v>
      </c>
      <c r="EV84" s="4"/>
      <c r="EW84" s="4"/>
      <c r="GR84" s="8">
        <v>0.11</v>
      </c>
      <c r="GS84" s="4">
        <f t="shared" si="194"/>
        <v>0.68708540614035096</v>
      </c>
      <c r="GT84" s="9">
        <v>1.2500000000000001E-2</v>
      </c>
      <c r="GU84" s="4">
        <f t="shared" si="195"/>
        <v>7.807788706140352E-2</v>
      </c>
      <c r="GV84" s="8">
        <v>0.02</v>
      </c>
      <c r="GW84" s="4">
        <f t="shared" si="196"/>
        <v>3.5087719298245612E-2</v>
      </c>
      <c r="GX84" s="4">
        <f t="shared" si="197"/>
        <v>0.80025101250000008</v>
      </c>
      <c r="GY84" s="4" t="s">
        <v>43</v>
      </c>
      <c r="GZ84" s="4" t="s">
        <v>551</v>
      </c>
      <c r="HA84" s="4">
        <v>650</v>
      </c>
      <c r="HB84" s="4">
        <v>450</v>
      </c>
      <c r="HC84" s="4">
        <v>315</v>
      </c>
      <c r="HD84" s="4">
        <v>100</v>
      </c>
      <c r="HE84" s="4">
        <v>400</v>
      </c>
      <c r="HF84" s="4">
        <f t="shared" si="198"/>
        <v>4</v>
      </c>
      <c r="HG84" s="4">
        <v>5</v>
      </c>
      <c r="HH84" s="4">
        <f t="shared" si="199"/>
        <v>20</v>
      </c>
      <c r="HI84" s="4">
        <v>650</v>
      </c>
      <c r="HJ84" s="4">
        <f t="shared" si="200"/>
        <v>13000</v>
      </c>
      <c r="HK84" s="4"/>
      <c r="HL84" s="4"/>
      <c r="HM84" s="4">
        <v>2</v>
      </c>
      <c r="HN84" s="4">
        <f t="shared" si="201"/>
        <v>240000</v>
      </c>
      <c r="HO84" s="4">
        <f t="shared" si="202"/>
        <v>5.4166666666666669E-2</v>
      </c>
      <c r="HP84" s="4">
        <v>160</v>
      </c>
      <c r="HQ84" s="4">
        <v>0</v>
      </c>
      <c r="HR84" s="4">
        <v>1</v>
      </c>
      <c r="HS84" s="4">
        <v>1</v>
      </c>
      <c r="HT84" s="4">
        <f>HR84/HS84</f>
        <v>1</v>
      </c>
      <c r="HU84" s="4"/>
      <c r="HV84" s="62">
        <f>HO84+HT84-HO84</f>
        <v>1</v>
      </c>
      <c r="HW84" s="62"/>
      <c r="HX84">
        <v>5016</v>
      </c>
      <c r="HY84">
        <v>1976</v>
      </c>
      <c r="HZ84">
        <v>2280</v>
      </c>
      <c r="IA84" s="4">
        <f t="shared" si="203"/>
        <v>7</v>
      </c>
      <c r="IB84" s="4">
        <f t="shared" si="203"/>
        <v>4</v>
      </c>
      <c r="IC84" s="4">
        <f t="shared" si="203"/>
        <v>7</v>
      </c>
      <c r="ID84" s="8">
        <v>1</v>
      </c>
      <c r="IE84" s="4">
        <f>ROUND(PRODUCT(IA84:ID84),0)-146</f>
        <v>50</v>
      </c>
      <c r="IF84" s="4">
        <v>500</v>
      </c>
      <c r="IG84" s="4">
        <f t="shared" si="204"/>
        <v>0.1</v>
      </c>
      <c r="IH84" s="4"/>
    </row>
    <row r="85" spans="1:245">
      <c r="A85">
        <v>87</v>
      </c>
      <c r="B85" t="s">
        <v>468</v>
      </c>
      <c r="C85" t="s">
        <v>557</v>
      </c>
      <c r="D85" s="28" t="s">
        <v>212</v>
      </c>
      <c r="E85" s="27" t="s">
        <v>213</v>
      </c>
      <c r="F85" s="5" t="s">
        <v>2182</v>
      </c>
      <c r="G85" s="27" t="s">
        <v>108</v>
      </c>
      <c r="H85" s="27"/>
      <c r="I85" s="27" t="s">
        <v>121</v>
      </c>
      <c r="J85" s="28">
        <v>21677</v>
      </c>
      <c r="K85" s="27" t="s">
        <v>228</v>
      </c>
      <c r="L85" s="28"/>
      <c r="M85" s="28"/>
      <c r="N85" s="28"/>
      <c r="O85" s="28"/>
      <c r="P85" s="28"/>
      <c r="Q85" s="28" t="s">
        <v>1841</v>
      </c>
      <c r="R85" s="28" t="s">
        <v>1194</v>
      </c>
      <c r="S85" s="27"/>
      <c r="T85" s="27"/>
      <c r="U85" s="27"/>
      <c r="V85" s="29" t="s">
        <v>79</v>
      </c>
      <c r="W85" s="5"/>
      <c r="X85" s="5"/>
      <c r="Y85" s="5"/>
      <c r="Z85" s="5"/>
      <c r="AA85" s="89" t="s">
        <v>309</v>
      </c>
      <c r="AB85" s="66">
        <v>193.27</v>
      </c>
      <c r="AC85">
        <v>20</v>
      </c>
      <c r="AD85"/>
      <c r="AE85" s="42">
        <f t="shared" si="182"/>
        <v>4.4918450000000005</v>
      </c>
      <c r="AF85" s="42"/>
      <c r="AG85" s="79">
        <f>EU85+FA85</f>
        <v>1.7543859649122806</v>
      </c>
      <c r="AH85" s="42">
        <f>DM85</f>
        <v>0.2</v>
      </c>
      <c r="AI85" s="60">
        <f t="shared" si="183"/>
        <v>0</v>
      </c>
      <c r="AJ85" s="7">
        <f t="shared" si="184"/>
        <v>3.5087719298245612E-2</v>
      </c>
      <c r="AK85" s="7">
        <f t="shared" si="185"/>
        <v>7.807788706140352E-2</v>
      </c>
      <c r="AL85" s="7">
        <f t="shared" si="186"/>
        <v>0.68708540614035096</v>
      </c>
      <c r="AM85" s="42">
        <f t="shared" si="187"/>
        <v>1</v>
      </c>
      <c r="AN85" s="7">
        <f t="shared" si="188"/>
        <v>0.1</v>
      </c>
      <c r="AQ85" s="42">
        <f t="shared" si="189"/>
        <v>8.3464819774122816</v>
      </c>
      <c r="AR85" s="42"/>
      <c r="AS85" s="42"/>
      <c r="AT85" s="42"/>
      <c r="AV85" s="7">
        <f>AQ85+AU85</f>
        <v>8.3464819774122816</v>
      </c>
      <c r="AW85" s="14">
        <v>2.35E-2</v>
      </c>
      <c r="AX85">
        <v>2.1000000000000001E-2</v>
      </c>
      <c r="AY85" s="8">
        <v>1</v>
      </c>
      <c r="AZ85" s="59">
        <f t="shared" si="190"/>
        <v>2.4999999999999988E-3</v>
      </c>
      <c r="BA85" s="62">
        <f t="shared" si="191"/>
        <v>4.4918450000000005</v>
      </c>
      <c r="BB85" s="62"/>
      <c r="BC85" s="62"/>
      <c r="BD85" s="62"/>
      <c r="BE85" s="62"/>
      <c r="BF85" s="62"/>
      <c r="BG85" s="62"/>
      <c r="BH85" s="62"/>
      <c r="BI85" s="62"/>
      <c r="BJ85" s="62"/>
      <c r="BK85" s="62"/>
      <c r="BL85" s="62"/>
      <c r="BM85" s="62"/>
      <c r="BN85" s="62"/>
      <c r="BO85" s="62"/>
      <c r="BP85" s="62"/>
      <c r="BQ85" s="62"/>
      <c r="BR85" s="62"/>
      <c r="BS85" s="62"/>
      <c r="BT85" s="62"/>
      <c r="BU85" s="62"/>
      <c r="BV85" s="62"/>
      <c r="BW85" s="62"/>
      <c r="BX85" s="62"/>
      <c r="BY85" s="62"/>
      <c r="BZ85" s="62"/>
      <c r="CA85" s="62"/>
      <c r="CB85" s="62"/>
      <c r="CC85" s="62"/>
      <c r="CF85" s="4">
        <v>1</v>
      </c>
      <c r="CG85" s="4">
        <v>0.2</v>
      </c>
      <c r="CH85" s="62">
        <f>CF85*CG85</f>
        <v>0.2</v>
      </c>
      <c r="DM85" s="59">
        <f>CH85+CM85+CR85+CW85+DB85+DG85+DK85</f>
        <v>0.2</v>
      </c>
      <c r="DN85" s="9">
        <v>1.2500000000000001E-2</v>
      </c>
      <c r="DO85" s="4">
        <v>0</v>
      </c>
      <c r="DP85" s="62">
        <f>DM85+DO85</f>
        <v>0.2</v>
      </c>
      <c r="DQ85" s="62"/>
      <c r="DR85" s="62"/>
      <c r="DS85" s="62"/>
      <c r="DT85" s="62"/>
      <c r="DU85" s="62"/>
      <c r="DV85" s="62"/>
      <c r="DW85" s="62"/>
      <c r="DX85" s="62"/>
      <c r="DY85" s="62"/>
      <c r="DZ85" s="62"/>
      <c r="EA85" s="62"/>
      <c r="EB85" s="62"/>
      <c r="EC85" s="62"/>
      <c r="ED85" s="62"/>
      <c r="EE85" s="62"/>
      <c r="EF85">
        <v>160</v>
      </c>
      <c r="EG85" s="4">
        <v>1600</v>
      </c>
      <c r="EH85" s="4">
        <v>8</v>
      </c>
      <c r="EI85" s="8">
        <v>0.95</v>
      </c>
      <c r="EJ85" s="4">
        <v>2</v>
      </c>
      <c r="EK85" s="4">
        <v>60</v>
      </c>
      <c r="EL85" s="4">
        <f t="shared" si="192"/>
        <v>912</v>
      </c>
      <c r="EM85" s="4"/>
      <c r="EN85" s="4"/>
      <c r="EO85" s="4"/>
      <c r="EP85" s="4"/>
      <c r="EQ85" s="4"/>
      <c r="EU85" s="4">
        <f t="shared" si="193"/>
        <v>1.7543859649122806</v>
      </c>
      <c r="EV85" s="4"/>
      <c r="EW85" s="4"/>
      <c r="GR85" s="8">
        <v>0.11</v>
      </c>
      <c r="GS85" s="4">
        <f t="shared" si="194"/>
        <v>0.68708540614035096</v>
      </c>
      <c r="GT85" s="9">
        <v>1.2500000000000001E-2</v>
      </c>
      <c r="GU85" s="4">
        <f t="shared" si="195"/>
        <v>7.807788706140352E-2</v>
      </c>
      <c r="GV85" s="8">
        <v>0.02</v>
      </c>
      <c r="GW85" s="4">
        <f t="shared" si="196"/>
        <v>3.5087719298245612E-2</v>
      </c>
      <c r="GX85" s="4">
        <f t="shared" si="197"/>
        <v>0.80025101250000008</v>
      </c>
      <c r="GY85" s="4" t="s">
        <v>43</v>
      </c>
      <c r="GZ85" s="4" t="s">
        <v>551</v>
      </c>
      <c r="HA85" s="4">
        <v>650</v>
      </c>
      <c r="HB85" s="4">
        <v>450</v>
      </c>
      <c r="HC85" s="4">
        <v>315</v>
      </c>
      <c r="HD85" s="4">
        <v>100</v>
      </c>
      <c r="HE85" s="4">
        <v>400</v>
      </c>
      <c r="HF85" s="4">
        <f t="shared" si="198"/>
        <v>4</v>
      </c>
      <c r="HG85" s="4">
        <v>5</v>
      </c>
      <c r="HH85" s="4">
        <f t="shared" si="199"/>
        <v>20</v>
      </c>
      <c r="HI85" s="4">
        <v>650</v>
      </c>
      <c r="HJ85" s="4">
        <f t="shared" si="200"/>
        <v>13000</v>
      </c>
      <c r="HK85" s="4"/>
      <c r="HL85" s="4"/>
      <c r="HM85" s="4">
        <v>2</v>
      </c>
      <c r="HN85" s="4">
        <f t="shared" si="201"/>
        <v>240000</v>
      </c>
      <c r="HO85" s="4">
        <f t="shared" si="202"/>
        <v>5.4166666666666669E-2</v>
      </c>
      <c r="HP85" s="4">
        <v>160</v>
      </c>
      <c r="HQ85" s="4">
        <v>0</v>
      </c>
      <c r="HR85" s="4">
        <v>1</v>
      </c>
      <c r="HS85" s="4">
        <v>1</v>
      </c>
      <c r="HT85" s="4">
        <f>HR85/HS85</f>
        <v>1</v>
      </c>
      <c r="HU85" s="4"/>
      <c r="HV85" s="62">
        <f>HO85+HT85-HO85</f>
        <v>1</v>
      </c>
      <c r="HW85" s="62"/>
      <c r="HX85">
        <v>5016</v>
      </c>
      <c r="HY85">
        <v>1976</v>
      </c>
      <c r="HZ85">
        <v>2280</v>
      </c>
      <c r="IA85" s="4">
        <f t="shared" si="203"/>
        <v>7</v>
      </c>
      <c r="IB85" s="4">
        <f t="shared" si="203"/>
        <v>4</v>
      </c>
      <c r="IC85" s="4">
        <f t="shared" si="203"/>
        <v>7</v>
      </c>
      <c r="ID85" s="8">
        <v>1</v>
      </c>
      <c r="IE85" s="4">
        <f>ROUND(PRODUCT(IA85:ID85),0)-146</f>
        <v>50</v>
      </c>
      <c r="IF85" s="4">
        <v>500</v>
      </c>
      <c r="IG85" s="4">
        <f t="shared" si="204"/>
        <v>0.1</v>
      </c>
      <c r="IH85" s="4"/>
    </row>
    <row r="86" spans="1:245">
      <c r="A86">
        <v>88</v>
      </c>
      <c r="B86" t="s">
        <v>468</v>
      </c>
      <c r="C86" t="s">
        <v>559</v>
      </c>
      <c r="D86" s="28" t="s">
        <v>214</v>
      </c>
      <c r="E86" s="27" t="s">
        <v>215</v>
      </c>
      <c r="F86" s="5" t="s">
        <v>2182</v>
      </c>
      <c r="G86" s="27" t="s">
        <v>108</v>
      </c>
      <c r="H86" s="27"/>
      <c r="I86" s="27" t="s">
        <v>121</v>
      </c>
      <c r="J86" s="28">
        <v>21677</v>
      </c>
      <c r="K86" s="27" t="s">
        <v>228</v>
      </c>
      <c r="L86" s="28"/>
      <c r="M86" s="28"/>
      <c r="N86" s="28"/>
      <c r="O86" s="28"/>
      <c r="P86" s="28"/>
      <c r="Q86" s="28" t="s">
        <v>1841</v>
      </c>
      <c r="R86" s="28" t="s">
        <v>1194</v>
      </c>
      <c r="S86" s="27"/>
      <c r="T86" s="27"/>
      <c r="U86" s="27"/>
      <c r="V86" s="29" t="s">
        <v>79</v>
      </c>
      <c r="W86" s="5"/>
      <c r="X86" s="5"/>
      <c r="Y86" s="5"/>
      <c r="Z86" s="5"/>
      <c r="AA86" t="s">
        <v>309</v>
      </c>
      <c r="AB86" s="66">
        <v>193.27</v>
      </c>
      <c r="AC86">
        <v>20</v>
      </c>
      <c r="AD86" t="s">
        <v>558</v>
      </c>
      <c r="AE86" s="7">
        <f t="shared" si="182"/>
        <v>6.038005000000001</v>
      </c>
      <c r="AF86" s="7"/>
      <c r="AG86" s="7">
        <f>EU86+FA86</f>
        <v>3.0701754385964914</v>
      </c>
      <c r="AH86" s="6">
        <f>DM86</f>
        <v>0.2</v>
      </c>
      <c r="AI86" s="6">
        <f t="shared" si="183"/>
        <v>0</v>
      </c>
      <c r="AJ86" s="7">
        <f t="shared" si="184"/>
        <v>6.1403508771929828E-2</v>
      </c>
      <c r="AK86" s="7">
        <f t="shared" si="185"/>
        <v>0.11385225548245614</v>
      </c>
      <c r="AL86" s="7">
        <f t="shared" si="186"/>
        <v>1.0018998482456141</v>
      </c>
      <c r="AM86" s="6">
        <f t="shared" si="187"/>
        <v>1</v>
      </c>
      <c r="AN86" s="7">
        <f t="shared" si="188"/>
        <v>0.16666666666666666</v>
      </c>
      <c r="AO86" s="6">
        <f>EY86</f>
        <v>0</v>
      </c>
      <c r="AP86" s="6"/>
      <c r="AQ86" s="7">
        <f t="shared" si="189"/>
        <v>11.652002717763157</v>
      </c>
      <c r="AR86" s="7"/>
      <c r="AS86" s="7"/>
      <c r="AT86" s="7"/>
      <c r="AU86" s="6"/>
      <c r="AV86" s="7">
        <f>AQ86+AU86</f>
        <v>11.652002717763157</v>
      </c>
      <c r="AW86">
        <v>3.15E-2</v>
      </c>
      <c r="AX86">
        <v>2.9000000000000001E-2</v>
      </c>
      <c r="AY86" s="77">
        <v>1</v>
      </c>
      <c r="AZ86" s="4">
        <f t="shared" si="190"/>
        <v>2.4999999999999988E-3</v>
      </c>
      <c r="BA86" s="4">
        <f t="shared" si="191"/>
        <v>6.038005000000001</v>
      </c>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E86">
        <v>0</v>
      </c>
      <c r="CF86">
        <v>1</v>
      </c>
      <c r="CG86">
        <v>0.2</v>
      </c>
      <c r="CH86">
        <f>CF86*CG86</f>
        <v>0.2</v>
      </c>
      <c r="DM86">
        <f>CH86+CM86+CR86+CW86+DB86+DG86+DK86</f>
        <v>0.2</v>
      </c>
      <c r="DN86" s="9">
        <v>1.2500000000000001E-2</v>
      </c>
      <c r="DO86">
        <v>0</v>
      </c>
      <c r="DP86">
        <f>DM86+DO86</f>
        <v>0.2</v>
      </c>
      <c r="EF86">
        <v>280</v>
      </c>
      <c r="EG86">
        <v>2800</v>
      </c>
      <c r="EH86">
        <v>8</v>
      </c>
      <c r="EI86" s="77">
        <v>0.95</v>
      </c>
      <c r="EJ86">
        <v>2</v>
      </c>
      <c r="EK86">
        <v>60</v>
      </c>
      <c r="EL86">
        <f t="shared" si="192"/>
        <v>912</v>
      </c>
      <c r="EU86" s="4">
        <f t="shared" si="193"/>
        <v>3.0701754385964914</v>
      </c>
      <c r="EV86" s="4"/>
      <c r="EW86" s="4"/>
      <c r="GR86" s="8">
        <v>0.11</v>
      </c>
      <c r="GS86" s="4">
        <f t="shared" si="194"/>
        <v>1.0018998482456141</v>
      </c>
      <c r="GT86" s="9">
        <v>1.2500000000000001E-2</v>
      </c>
      <c r="GU86" s="4">
        <f t="shared" si="195"/>
        <v>0.11385225548245614</v>
      </c>
      <c r="GV86" s="8">
        <v>0.02</v>
      </c>
      <c r="GW86" s="4">
        <f t="shared" si="196"/>
        <v>6.1403508771929828E-2</v>
      </c>
      <c r="GX86" s="4">
        <f t="shared" si="197"/>
        <v>1.1771556125</v>
      </c>
      <c r="GY86" t="s">
        <v>43</v>
      </c>
      <c r="GZ86" t="s">
        <v>551</v>
      </c>
      <c r="HA86">
        <v>650</v>
      </c>
      <c r="HB86">
        <v>450</v>
      </c>
      <c r="HC86">
        <v>315</v>
      </c>
      <c r="HD86">
        <v>60</v>
      </c>
      <c r="HE86">
        <v>400</v>
      </c>
      <c r="HF86">
        <f t="shared" si="198"/>
        <v>7</v>
      </c>
      <c r="HG86">
        <v>5</v>
      </c>
      <c r="HH86">
        <f t="shared" si="199"/>
        <v>35</v>
      </c>
      <c r="HI86">
        <v>650</v>
      </c>
      <c r="HJ86">
        <f t="shared" si="200"/>
        <v>22750</v>
      </c>
      <c r="HM86">
        <v>2</v>
      </c>
      <c r="HN86">
        <f t="shared" si="201"/>
        <v>240000</v>
      </c>
      <c r="HO86" s="4">
        <f t="shared" si="202"/>
        <v>9.4791666666666663E-2</v>
      </c>
      <c r="HP86">
        <v>160</v>
      </c>
      <c r="HQ86">
        <v>0</v>
      </c>
      <c r="HR86">
        <v>1</v>
      </c>
      <c r="HS86">
        <v>1</v>
      </c>
      <c r="HT86">
        <f>HR86/HS86</f>
        <v>1</v>
      </c>
      <c r="HV86">
        <f>HO86+HT86-HO86</f>
        <v>1</v>
      </c>
      <c r="HX86">
        <v>5016</v>
      </c>
      <c r="HY86">
        <v>1976</v>
      </c>
      <c r="HZ86">
        <v>2280</v>
      </c>
      <c r="IA86">
        <f t="shared" si="203"/>
        <v>7</v>
      </c>
      <c r="IB86">
        <f t="shared" si="203"/>
        <v>4</v>
      </c>
      <c r="IC86">
        <f t="shared" si="203"/>
        <v>7</v>
      </c>
      <c r="ID86" s="8">
        <v>1</v>
      </c>
      <c r="IE86" s="35">
        <f>PRODUCT(IA86:ID86)-146</f>
        <v>50</v>
      </c>
      <c r="IF86">
        <v>500</v>
      </c>
      <c r="IG86" s="4">
        <f t="shared" si="204"/>
        <v>0.16666666666666666</v>
      </c>
      <c r="IH86" s="4"/>
    </row>
    <row r="87" spans="1:245">
      <c r="A87">
        <v>469</v>
      </c>
      <c r="B87" t="s">
        <v>4929</v>
      </c>
      <c r="D87" s="28" t="s">
        <v>1331</v>
      </c>
      <c r="E87" s="28" t="s">
        <v>1332</v>
      </c>
      <c r="F87" t="s">
        <v>4929</v>
      </c>
      <c r="G87" s="27" t="s">
        <v>90</v>
      </c>
      <c r="I87" s="27" t="s">
        <v>226</v>
      </c>
      <c r="J87" s="28">
        <v>21599</v>
      </c>
      <c r="K87" s="27" t="s">
        <v>1240</v>
      </c>
    </row>
    <row r="88" spans="1:245">
      <c r="A88">
        <v>471</v>
      </c>
      <c r="B88" t="s">
        <v>4929</v>
      </c>
      <c r="D88" s="28" t="s">
        <v>1333</v>
      </c>
      <c r="E88" s="28" t="s">
        <v>1334</v>
      </c>
      <c r="F88" t="s">
        <v>4929</v>
      </c>
      <c r="G88" s="27" t="s">
        <v>90</v>
      </c>
      <c r="I88" s="27" t="s">
        <v>226</v>
      </c>
      <c r="J88" s="28">
        <v>21599</v>
      </c>
      <c r="K88" s="27" t="s">
        <v>1240</v>
      </c>
    </row>
    <row r="89" spans="1:245">
      <c r="A89">
        <v>91</v>
      </c>
      <c r="B89" t="s">
        <v>468</v>
      </c>
      <c r="C89" s="165" t="s">
        <v>561</v>
      </c>
      <c r="D89" s="28" t="s">
        <v>220</v>
      </c>
      <c r="E89" s="27" t="s">
        <v>221</v>
      </c>
      <c r="F89" s="5" t="s">
        <v>2182</v>
      </c>
      <c r="G89" s="27" t="s">
        <v>108</v>
      </c>
      <c r="H89" s="27"/>
      <c r="I89" s="27" t="s">
        <v>121</v>
      </c>
      <c r="J89" s="28">
        <v>21480</v>
      </c>
      <c r="K89" s="27" t="s">
        <v>97</v>
      </c>
      <c r="L89" s="28"/>
      <c r="M89" s="28"/>
      <c r="N89" s="28"/>
      <c r="O89" s="28"/>
      <c r="P89" s="28"/>
      <c r="Q89" s="28" t="s">
        <v>1035</v>
      </c>
      <c r="R89" s="28" t="s">
        <v>1194</v>
      </c>
      <c r="S89" s="27"/>
      <c r="T89" s="27"/>
      <c r="U89" s="27"/>
      <c r="V89" s="29" t="s">
        <v>79</v>
      </c>
      <c r="W89" s="80" t="s">
        <v>951</v>
      </c>
      <c r="X89" s="80"/>
      <c r="Y89" s="80"/>
      <c r="Z89" s="80"/>
      <c r="AA89" s="90" t="s">
        <v>560</v>
      </c>
      <c r="AB89" s="347">
        <v>188.63</v>
      </c>
      <c r="AC89" s="59">
        <v>20</v>
      </c>
      <c r="AD89" s="59" t="s">
        <v>310</v>
      </c>
      <c r="AE89" s="42">
        <f>BA89</f>
        <v>63.279679999999999</v>
      </c>
      <c r="AF89" s="42"/>
      <c r="AG89" s="42">
        <f>EU89</f>
        <v>10.688836104513063</v>
      </c>
      <c r="AH89" s="42">
        <f>DM89</f>
        <v>5.7</v>
      </c>
      <c r="AI89" s="42">
        <f>DO89</f>
        <v>0.17099999999999999</v>
      </c>
      <c r="AJ89" s="42">
        <f>GW89</f>
        <v>0.21377672209026127</v>
      </c>
      <c r="AK89" s="42">
        <f>GU89</f>
        <v>0.92460645130641328</v>
      </c>
      <c r="AL89" s="42">
        <f>GS89</f>
        <v>8.1365367714964361</v>
      </c>
      <c r="AM89" s="42">
        <f>HV89</f>
        <v>0.88541666666666663</v>
      </c>
      <c r="AN89" s="42">
        <f>IG89</f>
        <v>0.63131313131313127</v>
      </c>
      <c r="AO89" s="60">
        <v>0</v>
      </c>
      <c r="AP89" s="60"/>
      <c r="AQ89" s="42">
        <f>SUM(AE89:AO89)</f>
        <v>90.631165847385986</v>
      </c>
      <c r="AR89" s="42"/>
      <c r="AS89" s="42"/>
      <c r="AT89" s="42"/>
      <c r="AU89" s="42">
        <v>0.22</v>
      </c>
      <c r="AV89" s="42">
        <f>AQ89+AU89</f>
        <v>90.851165847385985</v>
      </c>
      <c r="AW89" s="59">
        <v>0.33600000000000002</v>
      </c>
      <c r="AX89" s="82">
        <v>0.33100000000000002</v>
      </c>
      <c r="AY89" s="61">
        <v>1</v>
      </c>
      <c r="AZ89" s="59">
        <f>(AW89-AX89)*AY89</f>
        <v>5.0000000000000044E-3</v>
      </c>
      <c r="BA89" s="40">
        <f>AW89*AB89-(AZ89*AC89)*AY89</f>
        <v>63.279679999999999</v>
      </c>
      <c r="BB89" s="40"/>
      <c r="BC89" s="40"/>
      <c r="BD89" s="40"/>
      <c r="BE89" s="40"/>
      <c r="BF89" s="40"/>
      <c r="BG89" s="40"/>
      <c r="BH89" s="40"/>
      <c r="BI89" s="40"/>
      <c r="BJ89" s="40"/>
      <c r="BK89" s="40"/>
      <c r="BL89" s="40"/>
      <c r="BM89" s="40"/>
      <c r="BN89" s="40"/>
      <c r="BO89" s="40"/>
      <c r="BP89" s="40"/>
      <c r="BQ89" s="40"/>
      <c r="BR89" s="40"/>
      <c r="BS89" s="40"/>
      <c r="BT89" s="40"/>
      <c r="BU89" s="40"/>
      <c r="BV89" s="40"/>
      <c r="BW89" s="40"/>
      <c r="BX89" s="40"/>
      <c r="BY89" s="40"/>
      <c r="BZ89" s="40"/>
      <c r="CA89" s="40"/>
      <c r="CB89" s="40"/>
      <c r="CC89" s="40"/>
      <c r="CD89" s="59"/>
      <c r="CE89" s="59">
        <v>0</v>
      </c>
      <c r="CF89" s="59">
        <v>2</v>
      </c>
      <c r="CG89" s="81">
        <f>2.75+0.1</f>
        <v>2.85</v>
      </c>
      <c r="CH89" s="62">
        <f>CF89*CG89</f>
        <v>5.7</v>
      </c>
      <c r="CI89" s="67"/>
      <c r="CJ89" s="67"/>
      <c r="CK89" s="67"/>
      <c r="CL89" s="67"/>
      <c r="CM89" s="67"/>
      <c r="CN89" s="67"/>
      <c r="CO89" s="67"/>
      <c r="CP89" s="67"/>
      <c r="CQ89" s="67"/>
      <c r="CR89" s="67"/>
      <c r="CS89" s="67"/>
      <c r="CT89" s="67"/>
      <c r="CU89" s="67"/>
      <c r="CV89" s="67"/>
      <c r="CW89" s="67"/>
      <c r="CX89" s="67"/>
      <c r="CY89" s="67"/>
      <c r="CZ89" s="67"/>
      <c r="DA89" s="67"/>
      <c r="DB89" s="67"/>
      <c r="DC89" s="67"/>
      <c r="DD89" s="67"/>
      <c r="DE89" s="67"/>
      <c r="DF89" s="67"/>
      <c r="DG89" s="67"/>
      <c r="DH89" s="67"/>
      <c r="DI89" s="67"/>
      <c r="DJ89" s="67"/>
      <c r="DK89" s="67"/>
      <c r="DL89" s="67"/>
      <c r="DM89" s="62">
        <f>CH89+CM89+CR89+CW89+DB89+DG89+DK89</f>
        <v>5.7</v>
      </c>
      <c r="DN89" s="64">
        <v>0.03</v>
      </c>
      <c r="DO89" s="62">
        <f>DN89*DM89</f>
        <v>0.17099999999999999</v>
      </c>
      <c r="DP89" s="62">
        <f>DM89+DO89</f>
        <v>5.8710000000000004</v>
      </c>
      <c r="DQ89" s="62"/>
      <c r="DR89" s="62"/>
      <c r="DS89" s="62"/>
      <c r="DT89" s="62"/>
      <c r="DU89" s="62"/>
      <c r="DV89" s="62"/>
      <c r="DW89" s="62"/>
      <c r="DX89" s="62"/>
      <c r="DY89" s="62"/>
      <c r="DZ89" s="62"/>
      <c r="EA89" s="62"/>
      <c r="EB89" s="62"/>
      <c r="EC89" s="62"/>
      <c r="ED89" s="62"/>
      <c r="EE89" s="62"/>
      <c r="EF89" s="59">
        <v>450</v>
      </c>
      <c r="EG89" s="59">
        <v>4500</v>
      </c>
      <c r="EH89" s="59">
        <v>8</v>
      </c>
      <c r="EI89" s="61">
        <v>0.95</v>
      </c>
      <c r="EJ89" s="59">
        <v>1</v>
      </c>
      <c r="EK89" s="59">
        <v>65</v>
      </c>
      <c r="EL89" s="65">
        <f>ROUND(3600/EK89*EH89*EJ89*EI89,0)</f>
        <v>421</v>
      </c>
      <c r="EM89" s="65"/>
      <c r="EN89" s="65"/>
      <c r="EO89" s="65"/>
      <c r="EP89" s="65"/>
      <c r="EQ89" s="65"/>
      <c r="ER89" s="65"/>
      <c r="ES89" s="65"/>
      <c r="ET89" s="65"/>
      <c r="EU89" s="62">
        <f>EG89/EL89</f>
        <v>10.688836104513063</v>
      </c>
      <c r="EV89" s="62"/>
      <c r="EW89" s="62"/>
      <c r="EX89" s="59"/>
      <c r="EY89" s="59"/>
      <c r="EZ89" s="59"/>
      <c r="FA89" s="62"/>
      <c r="FB89" s="62"/>
      <c r="FC89" s="62"/>
      <c r="FD89" s="62"/>
      <c r="FE89" s="62"/>
      <c r="FF89" s="62"/>
      <c r="FG89" s="62"/>
      <c r="FH89" s="62"/>
      <c r="FI89" s="62"/>
      <c r="FJ89" s="62"/>
      <c r="FK89" s="62"/>
      <c r="FL89" s="62"/>
      <c r="FM89" s="62"/>
      <c r="FN89" s="62"/>
      <c r="FO89" s="62"/>
      <c r="FP89" s="62"/>
      <c r="FQ89" s="62"/>
      <c r="FR89" s="62"/>
      <c r="FS89" s="62"/>
      <c r="FT89" s="62"/>
      <c r="FU89" s="62"/>
      <c r="FV89" s="62"/>
      <c r="FW89" s="62"/>
      <c r="FX89" s="62"/>
      <c r="FY89" s="62"/>
      <c r="FZ89" s="62"/>
      <c r="GA89" s="62"/>
      <c r="GB89" s="62"/>
      <c r="GC89" s="62"/>
      <c r="GD89" s="62"/>
      <c r="GE89" s="62"/>
      <c r="GF89" s="62"/>
      <c r="GG89" s="62"/>
      <c r="GH89" s="62"/>
      <c r="GI89" s="62"/>
      <c r="GJ89" s="62"/>
      <c r="GK89" s="62"/>
      <c r="GL89" s="62"/>
      <c r="GM89" s="62"/>
      <c r="GN89" s="62"/>
      <c r="GO89" s="62"/>
      <c r="GP89" s="62"/>
      <c r="GQ89" s="62"/>
      <c r="GR89" s="61">
        <v>0.11</v>
      </c>
      <c r="GS89" s="62">
        <f>GR89*(BA89+EU89)</f>
        <v>8.1365367714964361</v>
      </c>
      <c r="GT89" s="64">
        <v>1.2500000000000001E-2</v>
      </c>
      <c r="GU89" s="62">
        <f>GT89*(BA89+EU89)</f>
        <v>0.92460645130641328</v>
      </c>
      <c r="GV89" s="61">
        <v>0.02</v>
      </c>
      <c r="GW89" s="62">
        <f>GV89*EU89</f>
        <v>0.21377672209026127</v>
      </c>
      <c r="GX89" s="62">
        <f>GS89+GU89+GW89</f>
        <v>9.2749199448931101</v>
      </c>
      <c r="GY89" s="59" t="s">
        <v>130</v>
      </c>
      <c r="GZ89" s="59" t="s">
        <v>130</v>
      </c>
      <c r="HA89" s="62">
        <v>1350</v>
      </c>
      <c r="HB89" s="62">
        <v>950</v>
      </c>
      <c r="HC89" s="59">
        <v>1800</v>
      </c>
      <c r="HD89" s="59">
        <v>132</v>
      </c>
      <c r="HE89" s="59">
        <v>320</v>
      </c>
      <c r="HF89" s="62">
        <f>ROUNDUP(HE89/HD89,0)</f>
        <v>3</v>
      </c>
      <c r="HG89" s="59">
        <v>5</v>
      </c>
      <c r="HH89" s="62">
        <f>HF89*HG89</f>
        <v>15</v>
      </c>
      <c r="HI89" s="59">
        <v>17000</v>
      </c>
      <c r="HJ89" s="62">
        <f>HH89*HI89</f>
        <v>255000</v>
      </c>
      <c r="HK89" s="62"/>
      <c r="HL89" s="62"/>
      <c r="HM89" s="62">
        <v>3</v>
      </c>
      <c r="HN89" s="65">
        <f>HM89*12*25*HE89</f>
        <v>288000</v>
      </c>
      <c r="HO89" s="62">
        <f>IF(GY89="carton box",HI89/HD89,HJ89/HN89)</f>
        <v>0.88541666666666663</v>
      </c>
      <c r="HP89" s="62">
        <v>160</v>
      </c>
      <c r="HQ89" s="59">
        <v>0</v>
      </c>
      <c r="HR89" s="62">
        <f>HP89*HQ89</f>
        <v>0</v>
      </c>
      <c r="HS89" s="62">
        <v>0</v>
      </c>
      <c r="HT89" s="62">
        <v>0</v>
      </c>
      <c r="HU89" s="62"/>
      <c r="HV89" s="62">
        <f>HO89+HT89</f>
        <v>0.88541666666666663</v>
      </c>
      <c r="HW89" s="62"/>
      <c r="HX89" s="83">
        <v>4200</v>
      </c>
      <c r="HY89" s="83">
        <v>1900</v>
      </c>
      <c r="HZ89" s="83">
        <v>1975</v>
      </c>
      <c r="IA89" s="62">
        <f>ROUNDDOWN(HX89/HA89,0)</f>
        <v>3</v>
      </c>
      <c r="IB89" s="62">
        <f>ROUNDDOWN(HY89/HB89,0)</f>
        <v>2</v>
      </c>
      <c r="IC89" s="62">
        <f>ROUNDDOWN(HZ89/HC89,0)</f>
        <v>1</v>
      </c>
      <c r="ID89" s="61">
        <v>1</v>
      </c>
      <c r="IE89" s="62">
        <f>PRODUCT(IA89:ID89)</f>
        <v>6</v>
      </c>
      <c r="IF89" s="62">
        <v>500</v>
      </c>
      <c r="IG89" s="62">
        <f>IF89/(IE89*HD89)</f>
        <v>0.63131313131313127</v>
      </c>
      <c r="IH89" s="62"/>
      <c r="II89" s="59"/>
      <c r="IJ89" s="59"/>
      <c r="IK89" s="59"/>
    </row>
    <row r="90" spans="1:245">
      <c r="A90">
        <v>92</v>
      </c>
      <c r="B90" t="s">
        <v>468</v>
      </c>
      <c r="C90" s="165" t="s">
        <v>563</v>
      </c>
      <c r="D90" s="28" t="s">
        <v>222</v>
      </c>
      <c r="E90" s="27" t="s">
        <v>223</v>
      </c>
      <c r="F90" s="5" t="s">
        <v>2182</v>
      </c>
      <c r="G90" s="27" t="s">
        <v>108</v>
      </c>
      <c r="H90" s="27"/>
      <c r="I90" s="27" t="s">
        <v>121</v>
      </c>
      <c r="J90" s="28">
        <v>21480</v>
      </c>
      <c r="K90" s="27" t="s">
        <v>97</v>
      </c>
      <c r="L90" s="28"/>
      <c r="M90" s="28"/>
      <c r="N90" s="28"/>
      <c r="O90" s="28"/>
      <c r="P90" s="28"/>
      <c r="Q90" s="28" t="s">
        <v>1035</v>
      </c>
      <c r="R90" s="28" t="s">
        <v>1194</v>
      </c>
      <c r="S90" s="27"/>
      <c r="T90" s="27"/>
      <c r="U90" s="27"/>
      <c r="V90" s="29" t="s">
        <v>79</v>
      </c>
      <c r="W90" s="80" t="s">
        <v>950</v>
      </c>
      <c r="X90" s="80"/>
      <c r="Y90" s="80"/>
      <c r="Z90" s="80"/>
      <c r="AA90" t="s">
        <v>562</v>
      </c>
      <c r="AB90" s="66">
        <v>452</v>
      </c>
      <c r="AC90">
        <v>20</v>
      </c>
      <c r="AD90"/>
      <c r="AE90" s="7">
        <f>BA90</f>
        <v>46.024000000000008</v>
      </c>
      <c r="AF90" s="7"/>
      <c r="AG90" s="7">
        <f>EU90</f>
        <v>4.3859649122807021</v>
      </c>
      <c r="AH90" s="7">
        <f>DP90</f>
        <v>0.2</v>
      </c>
      <c r="AI90" s="7">
        <f>DO90</f>
        <v>0</v>
      </c>
      <c r="AJ90" s="7">
        <f>GW90</f>
        <v>8.7719298245614044E-2</v>
      </c>
      <c r="AK90" s="7">
        <f>GU90</f>
        <v>0.63012456140350892</v>
      </c>
      <c r="AL90" s="7">
        <f>GS90</f>
        <v>5.5450961403508785</v>
      </c>
      <c r="AM90" s="7">
        <f>HV90</f>
        <v>0.72916666666666663</v>
      </c>
      <c r="AN90" s="7">
        <f>IG90</f>
        <v>0.1736111111111111</v>
      </c>
      <c r="AO90" s="7">
        <v>0</v>
      </c>
      <c r="AP90" s="7"/>
      <c r="AQ90" s="7">
        <f>SUM(AE90:AO90)</f>
        <v>57.775682690058495</v>
      </c>
      <c r="AR90" s="7"/>
      <c r="AS90" s="7"/>
      <c r="AT90" s="7"/>
      <c r="AU90" s="7">
        <v>0.18</v>
      </c>
      <c r="AV90" s="42">
        <f>AQ90+AU90</f>
        <v>57.955682690058495</v>
      </c>
      <c r="AW90" s="4">
        <v>0.10200000000000001</v>
      </c>
      <c r="AX90" s="4">
        <v>9.8000000000000004E-2</v>
      </c>
      <c r="AY90" s="8">
        <v>1</v>
      </c>
      <c r="AZ90" s="4">
        <f>AW90-AX90</f>
        <v>4.0000000000000036E-3</v>
      </c>
      <c r="BA90" s="40">
        <f>AW90*AB90-(AZ90*AC90)*AY90</f>
        <v>46.024000000000008</v>
      </c>
      <c r="BB90" s="40"/>
      <c r="BC90" s="40"/>
      <c r="BD90" s="40"/>
      <c r="BE90" s="40"/>
      <c r="BF90" s="40"/>
      <c r="BG90" s="40"/>
      <c r="BH90" s="40"/>
      <c r="BI90" s="40"/>
      <c r="BJ90" s="40"/>
      <c r="BK90" s="40"/>
      <c r="BL90" s="40"/>
      <c r="BM90" s="40"/>
      <c r="BN90" s="40"/>
      <c r="BO90" s="40"/>
      <c r="BP90" s="40"/>
      <c r="BQ90" s="40"/>
      <c r="BR90" s="40"/>
      <c r="BS90" s="40"/>
      <c r="BT90" s="40"/>
      <c r="BU90" s="40"/>
      <c r="BV90" s="40"/>
      <c r="BW90" s="40"/>
      <c r="BX90" s="40"/>
      <c r="BY90" s="40"/>
      <c r="BZ90" s="40"/>
      <c r="CA90" s="40"/>
      <c r="CB90" s="40"/>
      <c r="CC90" s="40"/>
      <c r="CD90" s="4"/>
      <c r="CE90" s="4">
        <v>0</v>
      </c>
      <c r="CF90" s="4">
        <v>1</v>
      </c>
      <c r="CG90" s="4">
        <v>0.2</v>
      </c>
      <c r="CH90" s="62">
        <f>CF90*CG90</f>
        <v>0.2</v>
      </c>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9">
        <v>0</v>
      </c>
      <c r="DO90" s="4">
        <v>0</v>
      </c>
      <c r="DP90" s="4">
        <f>CG90*CF90</f>
        <v>0.2</v>
      </c>
      <c r="DQ90" s="4"/>
      <c r="DR90" s="4"/>
      <c r="DS90" s="4"/>
      <c r="DT90" s="4"/>
      <c r="DU90" s="4"/>
      <c r="DV90" s="4"/>
      <c r="DW90" s="4"/>
      <c r="DX90" s="4"/>
      <c r="DY90" s="4"/>
      <c r="DZ90" s="4"/>
      <c r="EA90" s="4"/>
      <c r="EB90" s="4"/>
      <c r="EC90" s="4"/>
      <c r="ED90" s="4"/>
      <c r="EE90" s="4"/>
      <c r="EF90" s="4">
        <v>200</v>
      </c>
      <c r="EG90" s="4">
        <v>2000</v>
      </c>
      <c r="EH90" s="4">
        <v>8</v>
      </c>
      <c r="EI90" s="77">
        <v>0.95</v>
      </c>
      <c r="EJ90" s="4">
        <v>1</v>
      </c>
      <c r="EK90" s="4">
        <v>60</v>
      </c>
      <c r="EL90" s="4">
        <f>ROUND(3600/EK90*EH90*EJ90*EI90,0)</f>
        <v>456</v>
      </c>
      <c r="EM90" s="4"/>
      <c r="EN90" s="4"/>
      <c r="EO90" s="4"/>
      <c r="EP90" s="4"/>
      <c r="EQ90" s="4"/>
      <c r="ER90" s="4"/>
      <c r="ES90" s="4"/>
      <c r="ET90" s="4"/>
      <c r="EU90" s="4">
        <f>EG90/EL90</f>
        <v>4.3859649122807021</v>
      </c>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8">
        <v>0.11</v>
      </c>
      <c r="GS90" s="4">
        <f>GR90*(BA90+EU90)</f>
        <v>5.5450961403508785</v>
      </c>
      <c r="GT90" s="9">
        <v>1.2500000000000001E-2</v>
      </c>
      <c r="GU90" s="4">
        <f>GT90*(BA90+EU90)</f>
        <v>0.63012456140350892</v>
      </c>
      <c r="GV90" s="8">
        <v>0.02</v>
      </c>
      <c r="GW90" s="4">
        <f>GV90*EU90</f>
        <v>8.7719298245614044E-2</v>
      </c>
      <c r="GX90" s="4">
        <f>GS90+GU90+GW90</f>
        <v>6.2629400000000013</v>
      </c>
      <c r="GY90" s="4" t="s">
        <v>130</v>
      </c>
      <c r="GZ90" s="4" t="s">
        <v>130</v>
      </c>
      <c r="HA90" s="4">
        <v>650</v>
      </c>
      <c r="HB90" s="4">
        <v>450</v>
      </c>
      <c r="HC90" s="4">
        <v>315</v>
      </c>
      <c r="HD90" s="4">
        <v>20</v>
      </c>
      <c r="HE90" s="4">
        <v>320</v>
      </c>
      <c r="HF90" s="4">
        <f>ROUNDUP(HE90/HD90,0)</f>
        <v>16</v>
      </c>
      <c r="HG90" s="4">
        <v>5</v>
      </c>
      <c r="HH90" s="4">
        <f>HF90*HG90</f>
        <v>80</v>
      </c>
      <c r="HI90" s="4">
        <v>550</v>
      </c>
      <c r="HJ90" s="4">
        <f>HH90*HI90</f>
        <v>44000</v>
      </c>
      <c r="HK90" s="4"/>
      <c r="HL90" s="4"/>
      <c r="HM90" s="4">
        <v>2</v>
      </c>
      <c r="HN90" s="4">
        <f>HM90*12*25*HE90</f>
        <v>192000</v>
      </c>
      <c r="HO90" s="4">
        <f>IF(GY90="carton box",HI90/HD90,HJ90/HN90)</f>
        <v>0.22916666666666666</v>
      </c>
      <c r="HP90" s="4">
        <v>160</v>
      </c>
      <c r="HQ90" s="4">
        <v>0</v>
      </c>
      <c r="HR90" s="4">
        <v>0.5</v>
      </c>
      <c r="HS90" s="4">
        <v>1</v>
      </c>
      <c r="HT90" s="4">
        <f>HR90/HS90</f>
        <v>0.5</v>
      </c>
      <c r="HU90" s="4"/>
      <c r="HV90" s="62">
        <f>HO90+HT90</f>
        <v>0.72916666666666663</v>
      </c>
      <c r="HW90" s="62"/>
      <c r="HX90" s="4">
        <v>4200</v>
      </c>
      <c r="HY90" s="4">
        <v>1900</v>
      </c>
      <c r="HZ90" s="4">
        <v>1975</v>
      </c>
      <c r="IA90" s="4">
        <v>6</v>
      </c>
      <c r="IB90" s="4">
        <v>4</v>
      </c>
      <c r="IC90" s="4">
        <v>6</v>
      </c>
      <c r="ID90" s="8">
        <v>1</v>
      </c>
      <c r="IE90" s="4">
        <f>PRODUCT(IA90:ID90)</f>
        <v>144</v>
      </c>
      <c r="IF90" s="4">
        <v>500</v>
      </c>
      <c r="IG90" s="4">
        <f>IF90/(IE90*HD90)</f>
        <v>0.1736111111111111</v>
      </c>
      <c r="IH90" s="4"/>
    </row>
    <row r="91" spans="1:245">
      <c r="A91">
        <v>93</v>
      </c>
      <c r="B91" t="s">
        <v>468</v>
      </c>
      <c r="C91" t="s">
        <v>565</v>
      </c>
      <c r="D91" s="28" t="s">
        <v>224</v>
      </c>
      <c r="E91" s="27" t="s">
        <v>225</v>
      </c>
      <c r="F91" s="5" t="s">
        <v>2182</v>
      </c>
      <c r="G91" s="27" t="s">
        <v>108</v>
      </c>
      <c r="H91" s="27"/>
      <c r="I91" s="27" t="s">
        <v>121</v>
      </c>
      <c r="J91" s="28">
        <v>21480</v>
      </c>
      <c r="K91" s="27" t="s">
        <v>97</v>
      </c>
      <c r="L91" s="28"/>
      <c r="M91" s="28"/>
      <c r="N91" s="28"/>
      <c r="O91" s="28"/>
      <c r="P91" s="28"/>
      <c r="Q91" s="28" t="s">
        <v>1035</v>
      </c>
      <c r="R91" s="28" t="s">
        <v>1193</v>
      </c>
      <c r="S91" s="27"/>
      <c r="T91" s="27"/>
      <c r="U91" s="27"/>
      <c r="V91" s="29" t="s">
        <v>79</v>
      </c>
      <c r="W91" s="5"/>
      <c r="X91" s="5"/>
      <c r="Y91" s="5"/>
      <c r="Z91" s="5"/>
      <c r="AA91" s="91" t="s">
        <v>564</v>
      </c>
      <c r="AB91" s="66">
        <v>111.78</v>
      </c>
      <c r="AC91">
        <v>20</v>
      </c>
      <c r="AD91"/>
      <c r="AE91" s="42">
        <f>BA91</f>
        <v>6.8903600000000003</v>
      </c>
      <c r="AF91" s="42"/>
      <c r="AG91" s="42">
        <f>EU91+FA91</f>
        <v>7.042253521126761</v>
      </c>
      <c r="AH91" s="60">
        <f>DM91</f>
        <v>0.22</v>
      </c>
      <c r="AI91" s="60">
        <f>DO91</f>
        <v>0</v>
      </c>
      <c r="AJ91" s="42">
        <f>GW91</f>
        <v>0.14084507042253522</v>
      </c>
      <c r="AK91" s="42">
        <f>GU91</f>
        <v>0.17415766901408453</v>
      </c>
      <c r="AL91" s="42">
        <f>GS91</f>
        <v>1.5325874873239438</v>
      </c>
      <c r="AM91" s="42">
        <f>HV91</f>
        <v>0.15755208333333334</v>
      </c>
      <c r="AN91" s="7">
        <f>IG91</f>
        <v>0.11574074074074074</v>
      </c>
      <c r="AO91" s="60">
        <f>EY91</f>
        <v>0</v>
      </c>
      <c r="AP91" s="60"/>
      <c r="AQ91" s="42">
        <f>SUM(AE91:AO91)</f>
        <v>16.273496571961399</v>
      </c>
      <c r="AR91" s="42"/>
      <c r="AS91" s="42"/>
      <c r="AT91" s="42"/>
      <c r="AU91" s="6"/>
      <c r="AV91" s="42">
        <f>AQ91+AU91</f>
        <v>16.273496571961399</v>
      </c>
      <c r="AW91">
        <v>6.2E-2</v>
      </c>
      <c r="AX91">
        <v>0.06</v>
      </c>
      <c r="AY91" s="8">
        <v>1</v>
      </c>
      <c r="AZ91" s="59">
        <f>AW91-AX91</f>
        <v>2.0000000000000018E-3</v>
      </c>
      <c r="BA91" s="62">
        <f>AW91*AB91-(AZ91*AC91)*AY91</f>
        <v>6.8903600000000003</v>
      </c>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F91" s="4">
        <v>1</v>
      </c>
      <c r="CG91" s="4">
        <v>0.22</v>
      </c>
      <c r="CH91" s="59">
        <f>CF91*CG91</f>
        <v>0.22</v>
      </c>
      <c r="DM91" s="59">
        <f>CH91+CM91+CR91+CW91+DB91+DG91+DK91</f>
        <v>0.22</v>
      </c>
      <c r="DN91" s="9">
        <v>0.03</v>
      </c>
      <c r="DO91" s="4">
        <v>0</v>
      </c>
      <c r="DP91" s="59">
        <f>DM91+DO91</f>
        <v>0.22</v>
      </c>
      <c r="DQ91" s="59"/>
      <c r="DR91" s="59"/>
      <c r="DS91" s="59"/>
      <c r="DT91" s="59"/>
      <c r="DU91" s="59"/>
      <c r="DV91" s="59"/>
      <c r="DW91" s="59"/>
      <c r="DX91" s="59"/>
      <c r="DY91" s="59"/>
      <c r="DZ91" s="59"/>
      <c r="EA91" s="59"/>
      <c r="EB91" s="59"/>
      <c r="EC91" s="59"/>
      <c r="ED91" s="59"/>
      <c r="EE91" s="59"/>
      <c r="EF91" s="4">
        <v>350</v>
      </c>
      <c r="EG91" s="4">
        <v>3500</v>
      </c>
      <c r="EH91" s="4">
        <v>8</v>
      </c>
      <c r="EI91" s="77">
        <v>0.95</v>
      </c>
      <c r="EJ91" s="4">
        <v>1</v>
      </c>
      <c r="EK91" s="4">
        <v>55</v>
      </c>
      <c r="EL91" s="4">
        <f>ROUND(3600/EK91*EH91*EJ91*EI91,0)</f>
        <v>497</v>
      </c>
      <c r="EM91" s="4"/>
      <c r="EN91" s="4"/>
      <c r="EO91" s="4"/>
      <c r="EP91" s="4"/>
      <c r="EQ91" s="4"/>
      <c r="ER91" s="4"/>
      <c r="ES91" s="4"/>
      <c r="ET91" s="4"/>
      <c r="EU91" s="4">
        <f>EG91/EL91</f>
        <v>7.042253521126761</v>
      </c>
      <c r="EV91" s="4"/>
      <c r="EW91" s="4"/>
      <c r="GR91" s="8">
        <v>0.11</v>
      </c>
      <c r="GS91" s="4">
        <f>GR91*(BA91+EU91)</f>
        <v>1.5325874873239438</v>
      </c>
      <c r="GT91" s="9">
        <v>1.2500000000000001E-2</v>
      </c>
      <c r="GU91" s="4">
        <f>GT91*(BA91+EU91)</f>
        <v>0.17415766901408453</v>
      </c>
      <c r="GV91" s="8">
        <v>0.02</v>
      </c>
      <c r="GW91" s="4">
        <f>GV91*EU91</f>
        <v>0.14084507042253522</v>
      </c>
      <c r="GX91" s="4">
        <f>GS91+GU91+GW91</f>
        <v>1.8475902267605635</v>
      </c>
      <c r="GY91" s="4" t="s">
        <v>43</v>
      </c>
      <c r="GZ91" s="4" t="s">
        <v>551</v>
      </c>
      <c r="HA91" s="4">
        <v>650</v>
      </c>
      <c r="HB91" s="4">
        <v>450</v>
      </c>
      <c r="HC91" s="4">
        <v>315</v>
      </c>
      <c r="HD91" s="4">
        <v>30</v>
      </c>
      <c r="HE91" s="4">
        <v>320</v>
      </c>
      <c r="HF91" s="4">
        <f>ROUNDUP(HE91/HD91,0)</f>
        <v>11</v>
      </c>
      <c r="HG91" s="4">
        <v>5</v>
      </c>
      <c r="HH91" s="4">
        <f>HF91*HG91</f>
        <v>55</v>
      </c>
      <c r="HI91" s="4">
        <v>550</v>
      </c>
      <c r="HJ91" s="4">
        <f>HH91*HI91</f>
        <v>30250</v>
      </c>
      <c r="HK91" s="4"/>
      <c r="HL91" s="4"/>
      <c r="HM91" s="4">
        <v>2</v>
      </c>
      <c r="HN91" s="4">
        <f>HM91*12*25*HE91</f>
        <v>192000</v>
      </c>
      <c r="HO91" s="4">
        <f>IF(GY91="carton box",HI91/HD91,HJ91/HN91)</f>
        <v>0.15755208333333334</v>
      </c>
      <c r="HP91" s="4">
        <v>160</v>
      </c>
      <c r="HQ91" s="4">
        <v>0</v>
      </c>
      <c r="HR91" s="4">
        <v>0</v>
      </c>
      <c r="HS91" s="4">
        <v>0</v>
      </c>
      <c r="HT91" s="4">
        <v>0</v>
      </c>
      <c r="HU91" s="4"/>
      <c r="HV91" s="62">
        <f>HO91+HT91</f>
        <v>0.15755208333333334</v>
      </c>
      <c r="HW91" s="62"/>
      <c r="HX91" s="4">
        <v>4200</v>
      </c>
      <c r="HY91" s="4">
        <v>1900</v>
      </c>
      <c r="HZ91" s="4">
        <v>1975</v>
      </c>
      <c r="IA91" s="4">
        <f>ROUNDDOWN(HX91/HA91,0)</f>
        <v>6</v>
      </c>
      <c r="IB91" s="4">
        <f>ROUNDDOWN(HY91/HB91,0)</f>
        <v>4</v>
      </c>
      <c r="IC91" s="4">
        <f>ROUNDDOWN(HZ91/HC91,0)</f>
        <v>6</v>
      </c>
      <c r="ID91" s="8">
        <v>1</v>
      </c>
      <c r="IE91" s="4">
        <f>PRODUCT(IA91:ID91)</f>
        <v>144</v>
      </c>
      <c r="IF91" s="4">
        <v>500</v>
      </c>
      <c r="IG91" s="4">
        <f>IF91/(IE91*HD91)</f>
        <v>0.11574074074074074</v>
      </c>
      <c r="IH91" s="4"/>
    </row>
    <row r="92" spans="1:245">
      <c r="A92">
        <v>473</v>
      </c>
      <c r="B92" t="s">
        <v>4929</v>
      </c>
      <c r="D92" s="28" t="s">
        <v>1335</v>
      </c>
      <c r="E92" s="28" t="s">
        <v>1336</v>
      </c>
      <c r="F92" t="s">
        <v>4929</v>
      </c>
      <c r="G92" s="27" t="s">
        <v>90</v>
      </c>
      <c r="I92" s="27" t="s">
        <v>226</v>
      </c>
      <c r="J92" s="28">
        <v>21599</v>
      </c>
      <c r="K92" s="27" t="s">
        <v>1240</v>
      </c>
    </row>
    <row r="93" spans="1:245">
      <c r="A93">
        <v>171</v>
      </c>
      <c r="B93" t="s">
        <v>468</v>
      </c>
      <c r="C93" t="s">
        <v>621</v>
      </c>
      <c r="D93" s="28" t="s">
        <v>372</v>
      </c>
      <c r="E93" s="27" t="s">
        <v>373</v>
      </c>
      <c r="F93" s="27" t="s">
        <v>2210</v>
      </c>
      <c r="G93" t="s">
        <v>102</v>
      </c>
      <c r="H93" t="s">
        <v>2239</v>
      </c>
      <c r="I93" s="27" t="s">
        <v>121</v>
      </c>
      <c r="J93" s="28">
        <v>21710</v>
      </c>
      <c r="K93" s="27" t="s">
        <v>407</v>
      </c>
      <c r="L93" s="28"/>
      <c r="M93" s="28"/>
      <c r="N93" s="28"/>
      <c r="O93" s="28"/>
      <c r="P93" s="28"/>
      <c r="Q93" s="28" t="s">
        <v>1035</v>
      </c>
      <c r="R93" s="28" t="s">
        <v>1194</v>
      </c>
      <c r="S93" s="27"/>
      <c r="T93" s="27"/>
      <c r="U93" s="27"/>
      <c r="V93" s="29" t="s">
        <v>79</v>
      </c>
      <c r="W93"/>
      <c r="X93"/>
      <c r="Y93"/>
      <c r="Z93"/>
      <c r="AA93" s="21"/>
    </row>
    <row r="94" spans="1:245">
      <c r="A94">
        <v>477</v>
      </c>
      <c r="B94" t="s">
        <v>4929</v>
      </c>
      <c r="D94" s="28" t="s">
        <v>1339</v>
      </c>
      <c r="E94" s="28" t="s">
        <v>339</v>
      </c>
      <c r="F94" t="s">
        <v>4929</v>
      </c>
      <c r="G94" s="27" t="s">
        <v>90</v>
      </c>
      <c r="I94" s="27" t="s">
        <v>226</v>
      </c>
      <c r="J94" s="28">
        <v>21599</v>
      </c>
      <c r="K94" s="27" t="s">
        <v>1240</v>
      </c>
    </row>
    <row r="95" spans="1:245" ht="45">
      <c r="A95">
        <v>98</v>
      </c>
      <c r="D95" s="28" t="s">
        <v>77</v>
      </c>
      <c r="E95" s="27" t="s">
        <v>78</v>
      </c>
      <c r="F95" s="27"/>
      <c r="G95" t="s">
        <v>101</v>
      </c>
      <c r="I95" s="27" t="s">
        <v>121</v>
      </c>
      <c r="J95" s="28">
        <v>21697</v>
      </c>
      <c r="K95" s="27" t="s">
        <v>227</v>
      </c>
      <c r="L95" s="28"/>
      <c r="M95" s="28"/>
      <c r="N95" s="28" t="s">
        <v>1767</v>
      </c>
      <c r="O95" s="28" t="s">
        <v>1877</v>
      </c>
      <c r="P95" s="331">
        <v>44950</v>
      </c>
      <c r="Q95" s="28"/>
      <c r="R95" s="28"/>
      <c r="S95" s="27"/>
      <c r="T95" s="27"/>
      <c r="U95" s="27"/>
      <c r="V95" s="29" t="s">
        <v>79</v>
      </c>
      <c r="W95" s="72" t="s">
        <v>1900</v>
      </c>
      <c r="X95" s="72"/>
      <c r="Y95" s="72"/>
      <c r="Z95" s="72"/>
    </row>
    <row r="96" spans="1:245">
      <c r="A96">
        <v>99</v>
      </c>
      <c r="D96" s="28" t="s">
        <v>77</v>
      </c>
      <c r="E96" s="27" t="s">
        <v>78</v>
      </c>
      <c r="F96" s="27"/>
      <c r="G96" t="s">
        <v>101</v>
      </c>
      <c r="I96" s="27" t="s">
        <v>94</v>
      </c>
      <c r="J96" s="28">
        <v>21697</v>
      </c>
      <c r="K96" s="27" t="s">
        <v>227</v>
      </c>
      <c r="L96" s="28"/>
      <c r="M96" s="28"/>
      <c r="N96" s="28" t="s">
        <v>1897</v>
      </c>
      <c r="O96" s="28" t="s">
        <v>1038</v>
      </c>
      <c r="P96" s="331">
        <v>44095</v>
      </c>
      <c r="Q96" s="28"/>
      <c r="R96" s="28"/>
      <c r="S96" s="27"/>
      <c r="T96" s="27"/>
      <c r="U96" s="27"/>
      <c r="V96" s="29" t="s">
        <v>79</v>
      </c>
      <c r="W96" t="s">
        <v>1899</v>
      </c>
      <c r="X96"/>
      <c r="Y96"/>
      <c r="Z96"/>
    </row>
    <row r="97" spans="1:242" ht="45">
      <c r="A97">
        <v>100</v>
      </c>
      <c r="D97" s="28" t="s">
        <v>77</v>
      </c>
      <c r="E97" s="27" t="s">
        <v>78</v>
      </c>
      <c r="F97" s="27"/>
      <c r="G97" t="s">
        <v>101</v>
      </c>
      <c r="I97" s="27" t="s">
        <v>226</v>
      </c>
      <c r="J97" s="28">
        <v>21590</v>
      </c>
      <c r="K97" s="27" t="s">
        <v>397</v>
      </c>
      <c r="L97" s="28"/>
      <c r="M97" s="28"/>
      <c r="N97" s="28" t="s">
        <v>1767</v>
      </c>
      <c r="O97" s="28" t="s">
        <v>1038</v>
      </c>
      <c r="P97" s="331">
        <v>44096</v>
      </c>
      <c r="Q97" s="28"/>
      <c r="R97" s="28"/>
      <c r="S97" s="27"/>
      <c r="T97" s="27"/>
      <c r="U97" s="27"/>
      <c r="V97" s="29" t="s">
        <v>79</v>
      </c>
      <c r="W97" s="72" t="s">
        <v>1900</v>
      </c>
      <c r="X97" s="72"/>
      <c r="Y97" s="72"/>
      <c r="Z97" s="72"/>
    </row>
    <row r="98" spans="1:242">
      <c r="A98">
        <v>101</v>
      </c>
      <c r="D98" s="28" t="s">
        <v>318</v>
      </c>
      <c r="E98" s="27" t="s">
        <v>319</v>
      </c>
      <c r="F98" s="27"/>
      <c r="G98" t="s">
        <v>101</v>
      </c>
      <c r="I98" s="27" t="s">
        <v>94</v>
      </c>
      <c r="J98" s="28">
        <v>21590</v>
      </c>
      <c r="K98" s="27" t="s">
        <v>397</v>
      </c>
      <c r="L98" s="28"/>
      <c r="M98" s="28"/>
      <c r="N98" s="28" t="s">
        <v>1901</v>
      </c>
      <c r="O98" s="28" t="s">
        <v>1902</v>
      </c>
      <c r="P98" s="331">
        <v>45167</v>
      </c>
      <c r="Q98" s="28"/>
      <c r="R98" s="28"/>
      <c r="S98" s="27"/>
      <c r="T98" s="27"/>
      <c r="U98" s="27"/>
      <c r="V98" s="29" t="s">
        <v>79</v>
      </c>
      <c r="W98" t="s">
        <v>1903</v>
      </c>
      <c r="X98"/>
      <c r="Y98"/>
      <c r="Z98"/>
    </row>
    <row r="99" spans="1:242">
      <c r="A99">
        <v>102</v>
      </c>
      <c r="B99" t="s">
        <v>468</v>
      </c>
      <c r="C99" t="s">
        <v>443</v>
      </c>
      <c r="D99" s="28" t="s">
        <v>318</v>
      </c>
      <c r="E99" s="27" t="s">
        <v>319</v>
      </c>
      <c r="F99" s="5" t="s">
        <v>2182</v>
      </c>
      <c r="G99" t="s">
        <v>101</v>
      </c>
      <c r="I99" s="27" t="s">
        <v>226</v>
      </c>
      <c r="J99" s="28">
        <v>21590</v>
      </c>
      <c r="K99" s="27" t="s">
        <v>397</v>
      </c>
      <c r="L99" s="28"/>
      <c r="M99" s="28"/>
      <c r="N99" s="28"/>
      <c r="O99" s="28"/>
      <c r="P99" s="28"/>
      <c r="Q99" s="28" t="s">
        <v>1035</v>
      </c>
      <c r="R99" s="28" t="s">
        <v>1194</v>
      </c>
      <c r="S99" s="27"/>
      <c r="T99" s="27"/>
      <c r="U99" s="27"/>
      <c r="V99" s="29" t="s">
        <v>79</v>
      </c>
      <c r="W99"/>
      <c r="X99"/>
      <c r="Y99"/>
      <c r="Z99"/>
      <c r="AA99" s="51" t="s">
        <v>440</v>
      </c>
      <c r="AB99" s="339">
        <v>110.86</v>
      </c>
      <c r="AC99" s="11">
        <v>20</v>
      </c>
      <c r="AD99" t="s">
        <v>441</v>
      </c>
      <c r="AE99" s="7">
        <f>BA99</f>
        <v>0.54864400000000002</v>
      </c>
      <c r="AF99" s="7"/>
      <c r="AG99" s="42">
        <f>EU99</f>
        <v>0.66889632107023411</v>
      </c>
      <c r="AH99" s="7">
        <f>DP99</f>
        <v>0</v>
      </c>
      <c r="AI99" s="7">
        <f>DO99</f>
        <v>0</v>
      </c>
      <c r="AJ99" s="7">
        <f>GW99</f>
        <v>1.3377926421404682E-2</v>
      </c>
      <c r="AK99" s="7">
        <f>GU99</f>
        <v>1.5219254013377925E-2</v>
      </c>
      <c r="AL99" s="7">
        <f>GS99</f>
        <v>0.13392943531772575</v>
      </c>
      <c r="AM99" s="7">
        <f>HV99</f>
        <v>3.7916666666666668E-2</v>
      </c>
      <c r="AN99" s="7">
        <f>IG99</f>
        <v>0.01</v>
      </c>
      <c r="AO99" s="6">
        <v>0</v>
      </c>
      <c r="AP99" s="6"/>
      <c r="AQ99" s="42">
        <f>SUM(AE99:AO99)</f>
        <v>1.4279836034894091</v>
      </c>
      <c r="AR99" s="42"/>
      <c r="AS99" s="42"/>
      <c r="AT99" s="6">
        <v>0</v>
      </c>
      <c r="AU99" s="7"/>
      <c r="AV99" s="7">
        <f>AQ99+AT99+AU99</f>
        <v>1.4279836034894091</v>
      </c>
      <c r="AW99">
        <v>5.4000000000000003E-3</v>
      </c>
      <c r="AX99">
        <v>2.8999999999999998E-3</v>
      </c>
      <c r="AY99" s="8">
        <v>1</v>
      </c>
      <c r="AZ99">
        <f>(AW99-AX99)*AY99</f>
        <v>2.5000000000000005E-3</v>
      </c>
      <c r="BA99" s="4">
        <f>AW99*AB99-AZ99*AC99</f>
        <v>0.54864400000000002</v>
      </c>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E99">
        <v>0</v>
      </c>
      <c r="CF99">
        <v>0</v>
      </c>
      <c r="CG99">
        <v>0</v>
      </c>
      <c r="DN99" s="9">
        <v>1.2500000000000001E-2</v>
      </c>
      <c r="DO99" s="4">
        <f>DN99*CG99*CF99</f>
        <v>0</v>
      </c>
      <c r="DP99" s="4">
        <f>CG99*CF99</f>
        <v>0</v>
      </c>
      <c r="DQ99" s="4"/>
      <c r="DR99" s="4"/>
      <c r="DS99" s="4"/>
      <c r="DT99" s="4"/>
      <c r="DU99" s="4"/>
      <c r="DV99" s="4"/>
      <c r="DW99" s="4"/>
      <c r="DX99" s="4"/>
      <c r="DY99" s="4"/>
      <c r="DZ99" s="4"/>
      <c r="EA99" s="4"/>
      <c r="EB99" s="4"/>
      <c r="EC99" s="4"/>
      <c r="ED99" s="4"/>
      <c r="EE99" s="4"/>
      <c r="EF99">
        <v>60</v>
      </c>
      <c r="EG99">
        <v>1000</v>
      </c>
      <c r="EH99">
        <v>7.5</v>
      </c>
      <c r="EI99" s="8">
        <v>0.9</v>
      </c>
      <c r="EJ99">
        <v>4</v>
      </c>
      <c r="EK99">
        <v>65</v>
      </c>
      <c r="EL99" s="10">
        <f>ROUND(3600/EK99*EH99*EJ99*EI99,0)</f>
        <v>1495</v>
      </c>
      <c r="EM99" s="10"/>
      <c r="EN99" s="10"/>
      <c r="EO99" s="10"/>
      <c r="EP99" s="4"/>
      <c r="EQ99" s="4"/>
      <c r="ER99" s="4"/>
      <c r="ES99" s="4"/>
      <c r="ET99" s="4"/>
      <c r="EU99" s="4">
        <f>EG99/EL99</f>
        <v>0.66889632107023411</v>
      </c>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8">
        <v>0.11</v>
      </c>
      <c r="GS99" s="4">
        <f>GR99*(BA99+EU99)</f>
        <v>0.13392943531772575</v>
      </c>
      <c r="GT99" s="9">
        <v>1.2500000000000001E-2</v>
      </c>
      <c r="GU99" s="4">
        <f>GT99*(BA99+EU99)</f>
        <v>1.5219254013377925E-2</v>
      </c>
      <c r="GV99" s="8">
        <v>0.02</v>
      </c>
      <c r="GW99" s="4">
        <f>GV99*EU99</f>
        <v>1.3377926421404682E-2</v>
      </c>
      <c r="GX99" s="4">
        <f>GS99+GU99+GW99</f>
        <v>0.16252661575250835</v>
      </c>
      <c r="GY99" t="s">
        <v>43</v>
      </c>
      <c r="GZ99" t="s">
        <v>87</v>
      </c>
      <c r="HA99" s="4">
        <v>650</v>
      </c>
      <c r="HB99" s="4">
        <v>450</v>
      </c>
      <c r="HC99">
        <v>330</v>
      </c>
      <c r="HD99">
        <v>2500</v>
      </c>
      <c r="HE99">
        <v>200</v>
      </c>
      <c r="HF99" s="4">
        <f>ROUNDUP(HE99/HD99,0)</f>
        <v>1</v>
      </c>
      <c r="HG99">
        <v>5</v>
      </c>
      <c r="HH99" s="4">
        <v>7</v>
      </c>
      <c r="HI99">
        <v>650</v>
      </c>
      <c r="HJ99" s="4">
        <f>HH99*HI99</f>
        <v>4550</v>
      </c>
      <c r="HK99" s="4"/>
      <c r="HL99" s="4"/>
      <c r="HM99" s="4">
        <v>2</v>
      </c>
      <c r="HN99" s="10">
        <f>HM99*12*25*HE99</f>
        <v>120000</v>
      </c>
      <c r="HO99" s="4">
        <f>IF(GY99="carton box",HI99/HD99,HJ99/HN99)</f>
        <v>3.7916666666666668E-2</v>
      </c>
      <c r="HP99" s="4">
        <v>160</v>
      </c>
      <c r="HQ99">
        <v>0</v>
      </c>
      <c r="HR99" s="4">
        <v>0</v>
      </c>
      <c r="HS99" s="4">
        <v>0</v>
      </c>
      <c r="HT99" s="4">
        <v>0</v>
      </c>
      <c r="HU99" s="4"/>
      <c r="HV99" s="4">
        <f>HO99+HT99</f>
        <v>3.7916666666666668E-2</v>
      </c>
      <c r="HW99" s="4"/>
      <c r="HX99" s="4">
        <v>4200</v>
      </c>
      <c r="HY99" s="4">
        <v>1900</v>
      </c>
      <c r="HZ99" s="4">
        <v>1975</v>
      </c>
      <c r="IA99" s="4">
        <f>ROUNDDOWN(HX99/HA99,0)</f>
        <v>6</v>
      </c>
      <c r="IB99" s="4">
        <f>ROUNDDOWN(HY99/HB99,0)</f>
        <v>4</v>
      </c>
      <c r="IC99" s="4">
        <f>ROUNDDOWN(HZ99/HC99,0)</f>
        <v>5</v>
      </c>
      <c r="ID99" s="8">
        <v>0.95</v>
      </c>
      <c r="IE99" s="4">
        <f>PRODUCT(IA99:ID99)</f>
        <v>114</v>
      </c>
      <c r="IF99" s="4">
        <v>500</v>
      </c>
      <c r="IG99" s="4">
        <f>ROUNDUP(IF99/(IE99*HD99),2)</f>
        <v>0.01</v>
      </c>
      <c r="IH99" s="4"/>
    </row>
    <row r="100" spans="1:242">
      <c r="A100">
        <v>479</v>
      </c>
      <c r="B100" t="s">
        <v>4929</v>
      </c>
      <c r="D100" s="28" t="s">
        <v>1340</v>
      </c>
      <c r="E100" s="28" t="s">
        <v>1341</v>
      </c>
      <c r="F100" t="s">
        <v>4929</v>
      </c>
      <c r="G100" s="27" t="s">
        <v>90</v>
      </c>
      <c r="I100" s="27" t="s">
        <v>226</v>
      </c>
      <c r="J100" s="28">
        <v>21599</v>
      </c>
      <c r="K100" s="27" t="s">
        <v>1240</v>
      </c>
    </row>
    <row r="101" spans="1:242">
      <c r="A101">
        <v>481</v>
      </c>
      <c r="B101" t="s">
        <v>4929</v>
      </c>
      <c r="D101" s="28" t="s">
        <v>1342</v>
      </c>
      <c r="E101" s="28" t="s">
        <v>1343</v>
      </c>
      <c r="F101" t="s">
        <v>4929</v>
      </c>
      <c r="G101" s="27" t="s">
        <v>90</v>
      </c>
      <c r="I101" s="27" t="s">
        <v>226</v>
      </c>
      <c r="J101" s="28">
        <v>21599</v>
      </c>
      <c r="K101" s="27" t="s">
        <v>1240</v>
      </c>
    </row>
    <row r="102" spans="1:242">
      <c r="A102">
        <v>483</v>
      </c>
      <c r="B102" t="s">
        <v>4929</v>
      </c>
      <c r="D102" s="28" t="s">
        <v>1344</v>
      </c>
      <c r="E102" s="28" t="s">
        <v>1346</v>
      </c>
      <c r="F102" t="s">
        <v>4929</v>
      </c>
      <c r="G102" s="27" t="s">
        <v>90</v>
      </c>
      <c r="I102" s="27" t="s">
        <v>226</v>
      </c>
      <c r="J102" s="28">
        <v>21599</v>
      </c>
      <c r="K102" s="27" t="s">
        <v>1240</v>
      </c>
    </row>
    <row r="103" spans="1:242">
      <c r="A103">
        <v>485</v>
      </c>
      <c r="B103" t="s">
        <v>4929</v>
      </c>
      <c r="D103" s="28" t="s">
        <v>1347</v>
      </c>
      <c r="E103" s="28" t="s">
        <v>1348</v>
      </c>
      <c r="F103" t="s">
        <v>4929</v>
      </c>
      <c r="G103" s="27" t="s">
        <v>90</v>
      </c>
      <c r="I103" s="27" t="s">
        <v>226</v>
      </c>
      <c r="J103" s="28">
        <v>21599</v>
      </c>
      <c r="K103" s="27" t="s">
        <v>1240</v>
      </c>
    </row>
    <row r="104" spans="1:242">
      <c r="A104">
        <v>487</v>
      </c>
      <c r="B104" t="s">
        <v>4929</v>
      </c>
      <c r="D104" s="28" t="s">
        <v>1349</v>
      </c>
      <c r="E104" s="28" t="s">
        <v>1270</v>
      </c>
      <c r="F104" t="s">
        <v>4929</v>
      </c>
      <c r="G104" s="27" t="s">
        <v>90</v>
      </c>
      <c r="I104" s="27" t="s">
        <v>226</v>
      </c>
      <c r="J104" s="28">
        <v>21599</v>
      </c>
      <c r="K104" s="27" t="s">
        <v>1240</v>
      </c>
    </row>
    <row r="105" spans="1:242">
      <c r="A105">
        <v>488</v>
      </c>
      <c r="B105" t="s">
        <v>468</v>
      </c>
      <c r="C105" s="456" t="s">
        <v>4930</v>
      </c>
      <c r="D105" s="28" t="s">
        <v>1351</v>
      </c>
      <c r="E105" s="28" t="s">
        <v>154</v>
      </c>
      <c r="F105" s="28" t="s">
        <v>2182</v>
      </c>
      <c r="G105" s="27" t="s">
        <v>90</v>
      </c>
      <c r="H105" s="28" t="s">
        <v>4931</v>
      </c>
      <c r="I105" s="27" t="s">
        <v>121</v>
      </c>
      <c r="J105" s="28">
        <v>21554</v>
      </c>
      <c r="K105" s="27" t="s">
        <v>228</v>
      </c>
    </row>
    <row r="106" spans="1:242" ht="30">
      <c r="A106">
        <v>109</v>
      </c>
      <c r="B106" t="s">
        <v>468</v>
      </c>
      <c r="C106" t="s">
        <v>567</v>
      </c>
      <c r="D106" s="28" t="s">
        <v>322</v>
      </c>
      <c r="E106" s="27" t="s">
        <v>323</v>
      </c>
      <c r="F106" s="27"/>
      <c r="G106" t="s">
        <v>108</v>
      </c>
      <c r="I106" s="27" t="s">
        <v>121</v>
      </c>
      <c r="J106" s="28">
        <v>21697</v>
      </c>
      <c r="K106" s="27" t="s">
        <v>227</v>
      </c>
      <c r="L106" s="28"/>
      <c r="M106" s="28"/>
      <c r="N106" s="28" t="s">
        <v>1767</v>
      </c>
      <c r="O106" s="28" t="s">
        <v>1877</v>
      </c>
      <c r="P106" s="331">
        <v>44950</v>
      </c>
      <c r="Q106" s="28"/>
      <c r="R106" s="28"/>
      <c r="S106" s="27"/>
      <c r="T106" s="27"/>
      <c r="U106" s="27"/>
      <c r="V106" s="29" t="s">
        <v>79</v>
      </c>
      <c r="W106" s="72" t="s">
        <v>1911</v>
      </c>
      <c r="X106" s="72"/>
      <c r="Y106" s="72"/>
      <c r="Z106" s="72"/>
      <c r="AA106" s="21"/>
    </row>
    <row r="107" spans="1:242" ht="45">
      <c r="A107">
        <v>110</v>
      </c>
      <c r="B107" t="s">
        <v>468</v>
      </c>
      <c r="C107" t="s">
        <v>567</v>
      </c>
      <c r="D107" s="257" t="s">
        <v>322</v>
      </c>
      <c r="E107" s="258" t="s">
        <v>323</v>
      </c>
      <c r="F107" s="258"/>
      <c r="G107" t="s">
        <v>108</v>
      </c>
      <c r="I107" s="27" t="s">
        <v>94</v>
      </c>
      <c r="J107" s="28">
        <v>21697</v>
      </c>
      <c r="K107" s="27" t="s">
        <v>227</v>
      </c>
      <c r="L107" s="28"/>
      <c r="M107" s="28"/>
      <c r="N107" s="28" t="s">
        <v>1912</v>
      </c>
      <c r="O107" s="28" t="s">
        <v>1038</v>
      </c>
      <c r="P107" s="331">
        <v>44095</v>
      </c>
      <c r="Q107" s="28"/>
      <c r="R107" s="28"/>
      <c r="S107" s="27"/>
      <c r="T107" s="27"/>
      <c r="U107" s="27"/>
      <c r="V107" s="29" t="s">
        <v>79</v>
      </c>
      <c r="W107" s="72" t="s">
        <v>1914</v>
      </c>
      <c r="X107" s="72"/>
      <c r="Y107" s="72"/>
      <c r="Z107" s="72"/>
      <c r="AA107" s="21"/>
    </row>
    <row r="108" spans="1:242">
      <c r="A108">
        <v>110.1</v>
      </c>
      <c r="B108" t="s">
        <v>433</v>
      </c>
      <c r="C108" t="s">
        <v>566</v>
      </c>
      <c r="D108" s="28" t="s">
        <v>322</v>
      </c>
      <c r="E108" s="27" t="s">
        <v>323</v>
      </c>
      <c r="F108" s="5" t="s">
        <v>2182</v>
      </c>
      <c r="G108" t="s">
        <v>108</v>
      </c>
      <c r="I108" s="27" t="s">
        <v>94</v>
      </c>
      <c r="J108" s="28">
        <v>21591</v>
      </c>
      <c r="K108" s="27" t="s">
        <v>97</v>
      </c>
      <c r="L108" s="28"/>
      <c r="M108" s="28"/>
      <c r="N108" s="28"/>
      <c r="O108" s="28"/>
      <c r="P108" s="28"/>
      <c r="Q108" s="28" t="s">
        <v>1857</v>
      </c>
      <c r="R108" s="28" t="s">
        <v>1193</v>
      </c>
      <c r="S108" s="27"/>
      <c r="T108" s="27"/>
      <c r="U108" s="27"/>
      <c r="V108" s="29" t="s">
        <v>79</v>
      </c>
      <c r="W108"/>
      <c r="X108"/>
      <c r="Y108"/>
      <c r="Z108"/>
      <c r="AA108" s="91" t="s">
        <v>499</v>
      </c>
      <c r="AB108" s="66">
        <v>226.33</v>
      </c>
      <c r="AC108">
        <v>20</v>
      </c>
      <c r="AD108"/>
      <c r="AE108" s="42">
        <f>BA108</f>
        <v>5.3919200000000007</v>
      </c>
      <c r="AF108" s="42"/>
      <c r="AG108" s="79">
        <f>EU108+FA108</f>
        <v>1.0054844606946984</v>
      </c>
      <c r="AH108" s="60">
        <f>DM108</f>
        <v>0.2</v>
      </c>
      <c r="AI108" s="60">
        <f>DO108</f>
        <v>0</v>
      </c>
      <c r="AJ108" s="7">
        <f>GW108</f>
        <v>2.0109689213893969E-2</v>
      </c>
      <c r="AK108" s="7">
        <f>GU108</f>
        <v>7.996755575868375E-2</v>
      </c>
      <c r="AL108" s="7">
        <f>GS108</f>
        <v>0.57576640146252289</v>
      </c>
      <c r="AM108" s="42">
        <f>HV108</f>
        <v>2.2916666666666665E-2</v>
      </c>
      <c r="AN108" s="7">
        <f>IG108</f>
        <v>2.8935185185185185E-2</v>
      </c>
      <c r="AO108" s="60">
        <f>EY108</f>
        <v>0</v>
      </c>
      <c r="AP108" s="60"/>
      <c r="AQ108" s="42">
        <f>SUM(AE108:AO108)</f>
        <v>7.3250999589816503</v>
      </c>
      <c r="AR108" s="42"/>
      <c r="AS108" s="42"/>
      <c r="AT108" s="42"/>
      <c r="AV108" s="42">
        <f>AQ108+AU108</f>
        <v>7.3250999589816503</v>
      </c>
      <c r="AW108">
        <v>2.4E-2</v>
      </c>
      <c r="AX108">
        <v>2.1999999999999999E-2</v>
      </c>
      <c r="AY108" s="8">
        <v>1</v>
      </c>
      <c r="AZ108" s="59">
        <f>AW108-AX108</f>
        <v>2.0000000000000018E-3</v>
      </c>
      <c r="BA108" s="62">
        <f>AW108*AB108-(AZ108*AC108)*AY108</f>
        <v>5.3919200000000007</v>
      </c>
      <c r="BB108" s="62"/>
      <c r="BC108" s="62"/>
      <c r="BD108" s="62"/>
      <c r="BE108" s="62"/>
      <c r="BF108" s="62"/>
      <c r="BG108" s="62"/>
      <c r="BH108" s="62"/>
      <c r="BI108" s="62"/>
      <c r="BJ108" s="62"/>
      <c r="BK108" s="62"/>
      <c r="BL108" s="62"/>
      <c r="BM108" s="62"/>
      <c r="BN108" s="62"/>
      <c r="BO108" s="62"/>
      <c r="BP108" s="62"/>
      <c r="BQ108" s="62"/>
      <c r="BR108" s="62"/>
      <c r="BS108" s="62"/>
      <c r="BT108" s="62"/>
      <c r="BU108" s="62"/>
      <c r="BV108" s="62"/>
      <c r="BW108" s="62"/>
      <c r="BX108" s="62"/>
      <c r="BY108" s="62"/>
      <c r="BZ108" s="62"/>
      <c r="CA108" s="62"/>
      <c r="CB108" s="62"/>
      <c r="CC108" s="62"/>
      <c r="CF108" s="4">
        <v>1</v>
      </c>
      <c r="CG108" s="4">
        <v>0.2</v>
      </c>
      <c r="CH108" s="59">
        <f>CF108*CG108</f>
        <v>0.2</v>
      </c>
      <c r="DM108" s="59">
        <f>CH108+CM108+CR108+CW108+DB108+DG108+DK108</f>
        <v>0.2</v>
      </c>
      <c r="DN108" s="9">
        <v>0.03</v>
      </c>
      <c r="DO108" s="4">
        <v>0</v>
      </c>
      <c r="DP108" s="59">
        <f>DM108+DO108</f>
        <v>0.2</v>
      </c>
      <c r="DQ108" s="59"/>
      <c r="DR108" s="59"/>
      <c r="DS108" s="59"/>
      <c r="DT108" s="59"/>
      <c r="DU108" s="59"/>
      <c r="DV108" s="59"/>
      <c r="DW108" s="59"/>
      <c r="DX108" s="59"/>
      <c r="DY108" s="59"/>
      <c r="DZ108" s="59"/>
      <c r="EA108" s="59"/>
      <c r="EB108" s="59"/>
      <c r="EC108" s="59"/>
      <c r="ED108" s="59"/>
      <c r="EE108" s="59"/>
      <c r="EF108" s="4">
        <v>110</v>
      </c>
      <c r="EG108" s="4">
        <v>1100</v>
      </c>
      <c r="EH108" s="4">
        <v>8</v>
      </c>
      <c r="EI108" s="8">
        <v>0.95</v>
      </c>
      <c r="EJ108" s="4">
        <v>2</v>
      </c>
      <c r="EK108" s="4">
        <v>50</v>
      </c>
      <c r="EL108" s="4">
        <f>ROUND(3600/EK108*EH108*EJ108*EI108,0)</f>
        <v>1094</v>
      </c>
      <c r="EM108" s="4"/>
      <c r="EN108" s="4"/>
      <c r="EO108" s="4"/>
      <c r="EP108" s="4"/>
      <c r="EQ108" s="4"/>
      <c r="ER108" s="4"/>
      <c r="ES108" s="4"/>
      <c r="ET108" s="4"/>
      <c r="EU108" s="4">
        <f>EG108/EL108</f>
        <v>1.0054844606946984</v>
      </c>
      <c r="EV108" s="4"/>
      <c r="EW108" s="4"/>
      <c r="GR108" s="8">
        <v>0.09</v>
      </c>
      <c r="GS108" s="4">
        <f>GR108*(BA108+EU108)</f>
        <v>0.57576640146252289</v>
      </c>
      <c r="GT108" s="9">
        <v>1.2500000000000001E-2</v>
      </c>
      <c r="GU108" s="4">
        <f>GT108*(BA108+EU108)</f>
        <v>7.996755575868375E-2</v>
      </c>
      <c r="GV108" s="8">
        <v>0.02</v>
      </c>
      <c r="GW108" s="4">
        <f>GV108*EU108</f>
        <v>2.0109689213893969E-2</v>
      </c>
      <c r="GX108" s="4">
        <f>GS108+GU108+GW108</f>
        <v>0.67584364643510064</v>
      </c>
      <c r="GY108" s="4" t="s">
        <v>43</v>
      </c>
      <c r="GZ108" s="4" t="s">
        <v>551</v>
      </c>
      <c r="HA108" s="4">
        <v>650</v>
      </c>
      <c r="HB108" s="4">
        <v>450</v>
      </c>
      <c r="HC108" s="4">
        <v>480</v>
      </c>
      <c r="HD108" s="4">
        <v>200</v>
      </c>
      <c r="HE108" s="4">
        <v>600</v>
      </c>
      <c r="HF108" s="4">
        <f>ROUNDUP(HE108/HD108,0)</f>
        <v>3</v>
      </c>
      <c r="HG108" s="4">
        <v>5</v>
      </c>
      <c r="HH108" s="4">
        <f>HF108*HG108</f>
        <v>15</v>
      </c>
      <c r="HI108" s="4">
        <v>550</v>
      </c>
      <c r="HJ108" s="4">
        <f>HH108*HI108</f>
        <v>8250</v>
      </c>
      <c r="HK108" s="4"/>
      <c r="HL108" s="4"/>
      <c r="HM108" s="4">
        <v>2</v>
      </c>
      <c r="HN108" s="4">
        <f>HM108*12*25*HE108</f>
        <v>360000</v>
      </c>
      <c r="HO108" s="4">
        <f>IF(GY108="carton box",HI108/HD108,HJ108/HN108)</f>
        <v>2.2916666666666665E-2</v>
      </c>
      <c r="HP108" s="4">
        <v>160</v>
      </c>
      <c r="HQ108" s="4">
        <v>0</v>
      </c>
      <c r="HR108" s="4">
        <v>0</v>
      </c>
      <c r="HS108" s="4">
        <v>0</v>
      </c>
      <c r="HT108" s="4">
        <v>0</v>
      </c>
      <c r="HU108" s="4"/>
      <c r="HV108" s="62">
        <f>HO108+HT108</f>
        <v>2.2916666666666665E-2</v>
      </c>
      <c r="HW108" s="62"/>
      <c r="HX108" s="4">
        <v>4200</v>
      </c>
      <c r="HY108" s="4">
        <v>1900</v>
      </c>
      <c r="HZ108" s="4">
        <v>1975</v>
      </c>
      <c r="IA108" s="4">
        <f>ROUNDDOWN(HX108/HA108,0)</f>
        <v>6</v>
      </c>
      <c r="IB108" s="4">
        <f>ROUNDDOWN(HY108/HB108,0)</f>
        <v>4</v>
      </c>
      <c r="IC108" s="4">
        <f>ROUNDDOWN(HZ108/HC108,0)</f>
        <v>4</v>
      </c>
      <c r="ID108" s="8">
        <v>0.9</v>
      </c>
      <c r="IE108" s="4">
        <f>PRODUCT(IA108:ID108)</f>
        <v>86.4</v>
      </c>
      <c r="IF108" s="4">
        <v>500</v>
      </c>
      <c r="IG108" s="4">
        <f>IF108/(IE108*HD108)</f>
        <v>2.8935185185185185E-2</v>
      </c>
      <c r="IH108" s="4"/>
    </row>
    <row r="109" spans="1:242">
      <c r="A109">
        <v>489</v>
      </c>
      <c r="B109" t="s">
        <v>468</v>
      </c>
      <c r="C109" s="456" t="s">
        <v>4932</v>
      </c>
      <c r="D109" s="28" t="s">
        <v>1351</v>
      </c>
      <c r="E109" s="28" t="s">
        <v>154</v>
      </c>
      <c r="F109" s="28" t="s">
        <v>2182</v>
      </c>
      <c r="G109" s="27" t="s">
        <v>90</v>
      </c>
      <c r="H109" s="28" t="s">
        <v>4933</v>
      </c>
      <c r="I109" s="27" t="s">
        <v>121</v>
      </c>
      <c r="J109" s="28">
        <v>29010</v>
      </c>
      <c r="K109" s="27" t="s">
        <v>229</v>
      </c>
    </row>
    <row r="110" spans="1:242">
      <c r="A110">
        <v>112</v>
      </c>
      <c r="B110" t="s">
        <v>468</v>
      </c>
      <c r="C110" t="s">
        <v>567</v>
      </c>
      <c r="D110" s="28" t="s">
        <v>324</v>
      </c>
      <c r="E110" s="27" t="s">
        <v>325</v>
      </c>
      <c r="F110" s="27"/>
      <c r="G110" t="s">
        <v>108</v>
      </c>
      <c r="I110" s="27" t="s">
        <v>121</v>
      </c>
      <c r="J110" s="28">
        <v>21160</v>
      </c>
      <c r="K110" s="27" t="s">
        <v>401</v>
      </c>
      <c r="L110" s="28"/>
      <c r="M110" s="28"/>
      <c r="N110" s="28" t="s">
        <v>1764</v>
      </c>
      <c r="O110" s="28" t="s">
        <v>1929</v>
      </c>
      <c r="P110" s="331">
        <v>43105</v>
      </c>
      <c r="Q110" s="28"/>
      <c r="R110" s="28"/>
      <c r="S110" s="27"/>
      <c r="T110" s="27"/>
      <c r="U110" s="27"/>
      <c r="V110" s="29" t="s">
        <v>79</v>
      </c>
      <c r="W110" t="s">
        <v>1108</v>
      </c>
      <c r="X110"/>
      <c r="Y110"/>
      <c r="Z110"/>
      <c r="AA110" s="21"/>
    </row>
    <row r="111" spans="1:242">
      <c r="A111">
        <v>113</v>
      </c>
      <c r="B111" t="s">
        <v>468</v>
      </c>
      <c r="C111" t="s">
        <v>567</v>
      </c>
      <c r="D111" s="28" t="s">
        <v>324</v>
      </c>
      <c r="E111" s="27" t="s">
        <v>325</v>
      </c>
      <c r="F111" s="27"/>
      <c r="G111" t="s">
        <v>108</v>
      </c>
      <c r="I111" s="27" t="s">
        <v>121</v>
      </c>
      <c r="J111" s="28">
        <v>20945</v>
      </c>
      <c r="K111" s="27" t="s">
        <v>402</v>
      </c>
      <c r="L111" s="28"/>
      <c r="M111" s="28"/>
      <c r="N111" s="28" t="s">
        <v>1764</v>
      </c>
      <c r="O111" s="28" t="s">
        <v>1929</v>
      </c>
      <c r="P111" s="331">
        <v>43104</v>
      </c>
      <c r="Q111" s="28"/>
      <c r="R111" s="28"/>
      <c r="S111" s="27"/>
      <c r="T111" s="27"/>
      <c r="U111" s="27"/>
      <c r="V111" s="29" t="s">
        <v>79</v>
      </c>
      <c r="W111" t="s">
        <v>1109</v>
      </c>
      <c r="X111"/>
      <c r="Y111"/>
      <c r="Z111"/>
      <c r="AA111" s="21"/>
    </row>
    <row r="112" spans="1:242">
      <c r="A112">
        <v>114</v>
      </c>
      <c r="B112" t="s">
        <v>468</v>
      </c>
      <c r="C112" t="s">
        <v>567</v>
      </c>
      <c r="D112" s="28" t="s">
        <v>324</v>
      </c>
      <c r="E112" s="27" t="s">
        <v>325</v>
      </c>
      <c r="F112" s="27"/>
      <c r="G112" t="s">
        <v>108</v>
      </c>
      <c r="I112" s="27" t="s">
        <v>94</v>
      </c>
      <c r="J112" s="28">
        <v>20945</v>
      </c>
      <c r="K112" s="27" t="s">
        <v>402</v>
      </c>
      <c r="L112" s="28"/>
      <c r="M112" s="28"/>
      <c r="N112" s="28" t="s">
        <v>1889</v>
      </c>
      <c r="O112" s="28" t="s">
        <v>1805</v>
      </c>
      <c r="P112" s="331">
        <v>43752</v>
      </c>
      <c r="Q112" s="28"/>
      <c r="R112" s="28"/>
      <c r="S112" s="27"/>
      <c r="T112" s="27"/>
      <c r="U112" s="27"/>
      <c r="V112" s="29" t="s">
        <v>79</v>
      </c>
      <c r="W112" t="s">
        <v>1110</v>
      </c>
      <c r="X112"/>
      <c r="Y112"/>
      <c r="Z112"/>
      <c r="AA112" s="21"/>
    </row>
    <row r="113" spans="1:27" ht="60">
      <c r="A113">
        <v>115</v>
      </c>
      <c r="B113" t="s">
        <v>468</v>
      </c>
      <c r="C113" t="s">
        <v>567</v>
      </c>
      <c r="D113" s="28" t="s">
        <v>324</v>
      </c>
      <c r="E113" s="27" t="s">
        <v>325</v>
      </c>
      <c r="F113" s="27"/>
      <c r="G113" t="s">
        <v>108</v>
      </c>
      <c r="I113" s="27" t="s">
        <v>226</v>
      </c>
      <c r="J113" s="28">
        <v>21595</v>
      </c>
      <c r="K113" s="27" t="s">
        <v>403</v>
      </c>
      <c r="L113" s="28"/>
      <c r="M113" s="28"/>
      <c r="N113" s="28" t="s">
        <v>2184</v>
      </c>
      <c r="O113" s="28" t="s">
        <v>1805</v>
      </c>
      <c r="P113" s="331">
        <v>44293</v>
      </c>
      <c r="Q113" s="28"/>
      <c r="R113" s="28"/>
      <c r="S113" s="27"/>
      <c r="T113" s="27"/>
      <c r="U113" s="27"/>
      <c r="V113" s="29" t="s">
        <v>79</v>
      </c>
      <c r="W113" s="72" t="s">
        <v>2185</v>
      </c>
      <c r="X113"/>
      <c r="Y113"/>
      <c r="Z113"/>
      <c r="AA113" s="21"/>
    </row>
    <row r="114" spans="1:27">
      <c r="A114">
        <v>490</v>
      </c>
      <c r="B114" t="s">
        <v>1947</v>
      </c>
      <c r="D114" s="251" t="s">
        <v>1351</v>
      </c>
      <c r="E114" s="28" t="s">
        <v>154</v>
      </c>
      <c r="F114" s="28" t="s">
        <v>1947</v>
      </c>
      <c r="G114" s="27" t="s">
        <v>90</v>
      </c>
      <c r="I114" s="27" t="s">
        <v>121</v>
      </c>
      <c r="J114" s="28">
        <v>21540</v>
      </c>
      <c r="K114" s="27" t="s">
        <v>1241</v>
      </c>
    </row>
    <row r="115" spans="1:27">
      <c r="A115">
        <v>117</v>
      </c>
      <c r="B115" t="s">
        <v>468</v>
      </c>
      <c r="C115" t="s">
        <v>567</v>
      </c>
      <c r="D115" s="28" t="s">
        <v>326</v>
      </c>
      <c r="E115" s="27" t="s">
        <v>327</v>
      </c>
      <c r="F115" s="27"/>
      <c r="G115" t="s">
        <v>102</v>
      </c>
      <c r="I115" s="27" t="s">
        <v>121</v>
      </c>
      <c r="J115" s="28">
        <v>21160</v>
      </c>
      <c r="K115" s="27" t="s">
        <v>401</v>
      </c>
      <c r="L115" s="28"/>
      <c r="M115" s="28"/>
      <c r="N115" s="28" t="s">
        <v>1764</v>
      </c>
      <c r="O115" s="28" t="s">
        <v>1929</v>
      </c>
      <c r="P115" s="331">
        <v>43105</v>
      </c>
      <c r="Q115" s="28"/>
      <c r="R115" s="28"/>
      <c r="S115" s="27"/>
      <c r="T115" s="27"/>
      <c r="U115" s="27"/>
      <c r="V115" s="29" t="s">
        <v>79</v>
      </c>
      <c r="W115" t="s">
        <v>624</v>
      </c>
      <c r="X115"/>
      <c r="Y115"/>
      <c r="Z115"/>
      <c r="AA115" s="21"/>
    </row>
    <row r="116" spans="1:27">
      <c r="A116">
        <v>118</v>
      </c>
      <c r="B116" t="s">
        <v>468</v>
      </c>
      <c r="C116" t="s">
        <v>567</v>
      </c>
      <c r="D116" s="28" t="s">
        <v>326</v>
      </c>
      <c r="E116" s="27" t="s">
        <v>327</v>
      </c>
      <c r="F116" s="27"/>
      <c r="G116" t="s">
        <v>102</v>
      </c>
      <c r="I116" s="27" t="s">
        <v>121</v>
      </c>
      <c r="J116" s="28">
        <v>20945</v>
      </c>
      <c r="K116" s="27" t="s">
        <v>402</v>
      </c>
      <c r="L116" s="28"/>
      <c r="M116" s="28"/>
      <c r="N116" s="28" t="s">
        <v>1764</v>
      </c>
      <c r="O116" s="28" t="s">
        <v>1929</v>
      </c>
      <c r="P116" s="331">
        <v>43104</v>
      </c>
      <c r="Q116" s="28"/>
      <c r="R116" s="28"/>
      <c r="S116" s="27"/>
      <c r="T116" s="27"/>
      <c r="U116" s="27"/>
      <c r="V116" s="29" t="s">
        <v>79</v>
      </c>
      <c r="W116" t="s">
        <v>624</v>
      </c>
      <c r="X116"/>
      <c r="Y116"/>
      <c r="Z116"/>
      <c r="AA116" s="21"/>
    </row>
    <row r="117" spans="1:27" ht="60">
      <c r="A117">
        <v>119</v>
      </c>
      <c r="B117" t="s">
        <v>468</v>
      </c>
      <c r="C117" t="s">
        <v>567</v>
      </c>
      <c r="D117" s="28" t="s">
        <v>326</v>
      </c>
      <c r="E117" s="27" t="s">
        <v>327</v>
      </c>
      <c r="F117" s="27"/>
      <c r="G117" t="s">
        <v>102</v>
      </c>
      <c r="I117" s="27" t="s">
        <v>226</v>
      </c>
      <c r="J117" s="28">
        <v>21595</v>
      </c>
      <c r="K117" s="27" t="s">
        <v>403</v>
      </c>
      <c r="L117" s="28"/>
      <c r="M117" s="28"/>
      <c r="N117" s="28" t="s">
        <v>2184</v>
      </c>
      <c r="O117" s="28" t="s">
        <v>1805</v>
      </c>
      <c r="P117" s="331">
        <v>44293</v>
      </c>
      <c r="Q117" s="28"/>
      <c r="R117" s="28"/>
      <c r="S117" s="27"/>
      <c r="T117" s="27"/>
      <c r="U117" s="27"/>
      <c r="V117" s="29" t="s">
        <v>79</v>
      </c>
      <c r="W117" s="72" t="s">
        <v>2186</v>
      </c>
      <c r="X117"/>
      <c r="Y117"/>
      <c r="Z117"/>
      <c r="AA117" s="21"/>
    </row>
    <row r="118" spans="1:27">
      <c r="A118">
        <v>120</v>
      </c>
      <c r="B118" t="s">
        <v>468</v>
      </c>
      <c r="C118" t="s">
        <v>567</v>
      </c>
      <c r="D118" s="28" t="s">
        <v>326</v>
      </c>
      <c r="E118" s="27" t="s">
        <v>327</v>
      </c>
      <c r="F118" s="27"/>
      <c r="G118" t="s">
        <v>102</v>
      </c>
      <c r="I118" s="27" t="s">
        <v>226</v>
      </c>
      <c r="J118" s="28">
        <v>21761</v>
      </c>
      <c r="K118" s="27" t="s">
        <v>400</v>
      </c>
      <c r="L118" s="28"/>
      <c r="M118" s="28"/>
      <c r="N118" s="28" t="s">
        <v>1767</v>
      </c>
      <c r="O118" s="28" t="s">
        <v>1805</v>
      </c>
      <c r="P118" s="331">
        <v>44588</v>
      </c>
      <c r="Q118" s="28"/>
      <c r="R118" s="28"/>
      <c r="S118" s="27"/>
      <c r="T118" s="27"/>
      <c r="U118" s="27"/>
      <c r="V118" s="29" t="s">
        <v>79</v>
      </c>
      <c r="W118" t="s">
        <v>624</v>
      </c>
      <c r="X118"/>
      <c r="Y118"/>
      <c r="Z118"/>
      <c r="AA118" s="21"/>
    </row>
    <row r="119" spans="1:27">
      <c r="A119">
        <v>331</v>
      </c>
      <c r="B119" t="s">
        <v>2235</v>
      </c>
      <c r="C119" t="s">
        <v>1169</v>
      </c>
      <c r="D119" s="28" t="s">
        <v>833</v>
      </c>
      <c r="E119" s="27" t="s">
        <v>834</v>
      </c>
      <c r="F119" s="27" t="s">
        <v>2182</v>
      </c>
      <c r="G119" s="27" t="s">
        <v>108</v>
      </c>
      <c r="I119" s="27" t="s">
        <v>94</v>
      </c>
      <c r="J119" s="28">
        <v>21591</v>
      </c>
      <c r="K119" s="27" t="s">
        <v>97</v>
      </c>
      <c r="N119" s="28"/>
      <c r="O119" s="28"/>
      <c r="P119" s="28"/>
      <c r="Q119" s="28"/>
      <c r="R119" s="28"/>
      <c r="S119" s="27"/>
      <c r="T119" s="27"/>
      <c r="U119" s="27"/>
    </row>
    <row r="120" spans="1:27">
      <c r="A120">
        <v>131</v>
      </c>
      <c r="B120" t="s">
        <v>468</v>
      </c>
      <c r="C120" t="s">
        <v>1921</v>
      </c>
      <c r="D120" s="28" t="s">
        <v>334</v>
      </c>
      <c r="E120" s="27" t="s">
        <v>335</v>
      </c>
      <c r="F120" s="27" t="s">
        <v>2192</v>
      </c>
      <c r="G120" t="s">
        <v>101</v>
      </c>
      <c r="H120" t="s">
        <v>2204</v>
      </c>
      <c r="I120" s="27" t="s">
        <v>121</v>
      </c>
      <c r="J120" s="28">
        <v>21205</v>
      </c>
      <c r="K120" s="27" t="s">
        <v>395</v>
      </c>
      <c r="L120" s="28"/>
      <c r="M120" s="28"/>
      <c r="N120" s="28"/>
      <c r="O120" s="28"/>
      <c r="P120" s="28"/>
      <c r="Q120" s="28" t="s">
        <v>1841</v>
      </c>
      <c r="R120" s="28" t="s">
        <v>1037</v>
      </c>
      <c r="S120" s="27"/>
      <c r="T120" s="27"/>
      <c r="U120" s="27"/>
      <c r="V120" s="29" t="s">
        <v>79</v>
      </c>
      <c r="W120"/>
      <c r="X120"/>
      <c r="Y120"/>
      <c r="Z120"/>
    </row>
    <row r="121" spans="1:27">
      <c r="A121">
        <v>132</v>
      </c>
      <c r="B121" t="s">
        <v>468</v>
      </c>
      <c r="C121" t="s">
        <v>1922</v>
      </c>
      <c r="D121" s="28" t="s">
        <v>334</v>
      </c>
      <c r="E121" s="27" t="s">
        <v>335</v>
      </c>
      <c r="F121" s="27" t="s">
        <v>2192</v>
      </c>
      <c r="G121" t="s">
        <v>101</v>
      </c>
      <c r="H121" t="s">
        <v>2205</v>
      </c>
      <c r="I121" s="27" t="s">
        <v>121</v>
      </c>
      <c r="J121" s="28">
        <v>21160</v>
      </c>
      <c r="K121" s="27" t="s">
        <v>401</v>
      </c>
      <c r="L121" s="28"/>
      <c r="M121" s="28"/>
      <c r="N121" s="28"/>
      <c r="O121" s="28"/>
      <c r="P121" s="28"/>
      <c r="Q121" s="28" t="s">
        <v>1841</v>
      </c>
      <c r="R121" s="28" t="s">
        <v>1037</v>
      </c>
      <c r="S121" s="27"/>
      <c r="T121" s="27"/>
      <c r="U121" s="27"/>
      <c r="V121" s="29" t="s">
        <v>79</v>
      </c>
      <c r="W121"/>
      <c r="X121"/>
      <c r="Y121"/>
      <c r="Z121"/>
    </row>
    <row r="122" spans="1:27">
      <c r="A122">
        <v>121</v>
      </c>
      <c r="B122" t="s">
        <v>468</v>
      </c>
      <c r="C122" t="s">
        <v>567</v>
      </c>
      <c r="D122" s="28" t="s">
        <v>328</v>
      </c>
      <c r="E122" s="27" t="s">
        <v>329</v>
      </c>
      <c r="F122" s="27"/>
      <c r="G122" t="s">
        <v>101</v>
      </c>
      <c r="I122" s="27" t="s">
        <v>121</v>
      </c>
      <c r="J122" s="28">
        <v>20945</v>
      </c>
      <c r="K122" s="27" t="s">
        <v>402</v>
      </c>
      <c r="L122" s="28"/>
      <c r="M122" s="28"/>
      <c r="N122" s="28" t="s">
        <v>1913</v>
      </c>
      <c r="O122" s="28" t="s">
        <v>1038</v>
      </c>
      <c r="P122" s="331">
        <v>44048</v>
      </c>
      <c r="Q122" s="28"/>
      <c r="R122" s="28"/>
      <c r="S122" s="27"/>
      <c r="T122" s="27"/>
      <c r="U122" s="27"/>
      <c r="V122" s="29" t="s">
        <v>79</v>
      </c>
      <c r="W122" t="s">
        <v>1898</v>
      </c>
      <c r="X122"/>
      <c r="Y122"/>
      <c r="Z122"/>
    </row>
    <row r="123" spans="1:27">
      <c r="A123">
        <v>122</v>
      </c>
      <c r="B123" t="s">
        <v>468</v>
      </c>
      <c r="C123" t="s">
        <v>567</v>
      </c>
      <c r="D123" s="28" t="s">
        <v>330</v>
      </c>
      <c r="E123" s="27" t="s">
        <v>331</v>
      </c>
      <c r="F123" s="27"/>
      <c r="G123" t="s">
        <v>102</v>
      </c>
      <c r="I123" s="27" t="s">
        <v>121</v>
      </c>
      <c r="J123" s="28">
        <v>21205</v>
      </c>
      <c r="K123" s="27" t="s">
        <v>395</v>
      </c>
      <c r="L123" s="28"/>
      <c r="M123" s="28"/>
      <c r="N123" s="28" t="s">
        <v>1767</v>
      </c>
      <c r="O123" s="28" t="s">
        <v>1877</v>
      </c>
      <c r="P123" s="331">
        <v>44956</v>
      </c>
      <c r="Q123" s="28"/>
      <c r="R123" s="28"/>
      <c r="S123" s="27"/>
      <c r="T123" s="27"/>
      <c r="U123" s="27"/>
      <c r="V123" s="29" t="s">
        <v>79</v>
      </c>
      <c r="W123" t="s">
        <v>439</v>
      </c>
      <c r="X123"/>
      <c r="Y123"/>
      <c r="Z123"/>
      <c r="AA123" s="21"/>
    </row>
    <row r="124" spans="1:27">
      <c r="A124">
        <v>133</v>
      </c>
      <c r="B124" t="s">
        <v>468</v>
      </c>
      <c r="C124" t="s">
        <v>1921</v>
      </c>
      <c r="D124" s="28" t="s">
        <v>334</v>
      </c>
      <c r="E124" s="27" t="s">
        <v>335</v>
      </c>
      <c r="F124" s="27" t="s">
        <v>2192</v>
      </c>
      <c r="G124" t="s">
        <v>101</v>
      </c>
      <c r="H124" t="s">
        <v>2206</v>
      </c>
      <c r="I124" s="27" t="s">
        <v>94</v>
      </c>
      <c r="J124" s="28">
        <v>21205</v>
      </c>
      <c r="K124" s="27" t="s">
        <v>395</v>
      </c>
      <c r="L124" s="28"/>
      <c r="M124" s="28"/>
      <c r="N124" s="28"/>
      <c r="O124" s="28"/>
      <c r="P124" s="28"/>
      <c r="Q124" s="28" t="s">
        <v>1841</v>
      </c>
      <c r="R124" s="28" t="s">
        <v>1037</v>
      </c>
      <c r="S124" s="27"/>
      <c r="T124" s="27"/>
      <c r="U124" s="27"/>
      <c r="V124" s="29" t="s">
        <v>79</v>
      </c>
      <c r="W124"/>
      <c r="X124"/>
      <c r="Y124"/>
      <c r="Z124"/>
    </row>
    <row r="125" spans="1:27">
      <c r="A125">
        <v>134</v>
      </c>
      <c r="B125" t="s">
        <v>468</v>
      </c>
      <c r="C125" t="s">
        <v>1922</v>
      </c>
      <c r="D125" s="28" t="s">
        <v>334</v>
      </c>
      <c r="E125" s="27" t="s">
        <v>335</v>
      </c>
      <c r="F125" s="27" t="s">
        <v>2192</v>
      </c>
      <c r="G125" t="s">
        <v>101</v>
      </c>
      <c r="H125" t="s">
        <v>2207</v>
      </c>
      <c r="I125" s="27" t="s">
        <v>94</v>
      </c>
      <c r="J125" s="28">
        <v>21160</v>
      </c>
      <c r="K125" s="27" t="s">
        <v>401</v>
      </c>
      <c r="L125" s="28"/>
      <c r="M125" s="28"/>
      <c r="N125" s="28"/>
      <c r="O125" s="28"/>
      <c r="P125" s="28"/>
      <c r="Q125" s="28" t="s">
        <v>1841</v>
      </c>
      <c r="R125" s="28" t="s">
        <v>1037</v>
      </c>
      <c r="S125" s="27"/>
      <c r="T125" s="27"/>
      <c r="U125" s="27"/>
      <c r="V125" s="29" t="s">
        <v>79</v>
      </c>
      <c r="W125"/>
      <c r="X125"/>
      <c r="Y125"/>
      <c r="Z125"/>
    </row>
    <row r="126" spans="1:27" ht="26.25">
      <c r="A126">
        <v>135</v>
      </c>
      <c r="B126" t="s">
        <v>468</v>
      </c>
      <c r="C126" t="s">
        <v>1922</v>
      </c>
      <c r="D126" s="28" t="s">
        <v>334</v>
      </c>
      <c r="E126" s="27" t="s">
        <v>335</v>
      </c>
      <c r="F126" s="27"/>
      <c r="G126" t="s">
        <v>101</v>
      </c>
      <c r="H126" t="s">
        <v>2208</v>
      </c>
      <c r="I126" s="27" t="s">
        <v>226</v>
      </c>
      <c r="J126" s="28">
        <v>21425</v>
      </c>
      <c r="K126" s="27" t="s">
        <v>406</v>
      </c>
      <c r="L126" s="28">
        <v>21160</v>
      </c>
      <c r="M126" s="28" t="s">
        <v>464</v>
      </c>
      <c r="N126" s="28" t="s">
        <v>2195</v>
      </c>
      <c r="O126" s="28" t="s">
        <v>1805</v>
      </c>
      <c r="P126" s="331">
        <v>43833</v>
      </c>
      <c r="Q126" s="28" t="s">
        <v>1841</v>
      </c>
      <c r="R126" s="28" t="s">
        <v>1037</v>
      </c>
      <c r="S126" s="27"/>
      <c r="T126" s="27"/>
      <c r="U126" s="27"/>
      <c r="V126" s="29" t="s">
        <v>79</v>
      </c>
      <c r="W126" s="52" t="s">
        <v>492</v>
      </c>
      <c r="X126" s="52"/>
      <c r="Y126" s="52"/>
      <c r="Z126" s="52"/>
    </row>
    <row r="127" spans="1:27">
      <c r="A127">
        <v>124</v>
      </c>
      <c r="B127" t="s">
        <v>468</v>
      </c>
      <c r="C127" t="s">
        <v>567</v>
      </c>
      <c r="D127" s="28" t="s">
        <v>330</v>
      </c>
      <c r="E127" s="27" t="s">
        <v>331</v>
      </c>
      <c r="F127" s="27"/>
      <c r="G127" t="s">
        <v>102</v>
      </c>
      <c r="I127" s="27" t="s">
        <v>226</v>
      </c>
      <c r="J127" s="28">
        <v>21557</v>
      </c>
      <c r="K127" s="27" t="s">
        <v>396</v>
      </c>
      <c r="L127" s="28"/>
      <c r="M127" s="28"/>
      <c r="N127" s="28" t="s">
        <v>1767</v>
      </c>
      <c r="O127" s="28" t="s">
        <v>1915</v>
      </c>
      <c r="P127" s="331">
        <v>43671</v>
      </c>
      <c r="V127" s="29" t="s">
        <v>79</v>
      </c>
      <c r="W127" t="s">
        <v>439</v>
      </c>
      <c r="X127"/>
      <c r="Y127"/>
      <c r="Z127"/>
      <c r="AA127" s="21"/>
    </row>
    <row r="128" spans="1:27">
      <c r="A128">
        <v>125</v>
      </c>
      <c r="B128" t="s">
        <v>468</v>
      </c>
      <c r="C128" t="s">
        <v>567</v>
      </c>
      <c r="D128" s="28" t="s">
        <v>330</v>
      </c>
      <c r="E128" s="27" t="s">
        <v>331</v>
      </c>
      <c r="F128" s="27"/>
      <c r="G128" t="s">
        <v>102</v>
      </c>
      <c r="I128" s="27" t="s">
        <v>226</v>
      </c>
      <c r="J128" s="28">
        <v>21761</v>
      </c>
      <c r="K128" s="27" t="s">
        <v>400</v>
      </c>
      <c r="L128" s="28"/>
      <c r="M128" s="28"/>
      <c r="N128" s="28" t="s">
        <v>1916</v>
      </c>
      <c r="O128" s="28" t="s">
        <v>1034</v>
      </c>
      <c r="P128" s="331">
        <v>45070</v>
      </c>
      <c r="Q128" s="28"/>
      <c r="R128" s="28"/>
      <c r="S128" s="27"/>
      <c r="T128" s="27"/>
      <c r="U128" s="27"/>
      <c r="V128" s="29" t="s">
        <v>79</v>
      </c>
      <c r="W128" t="s">
        <v>439</v>
      </c>
      <c r="X128"/>
      <c r="Y128"/>
      <c r="Z128"/>
      <c r="AA128" s="21"/>
    </row>
    <row r="129" spans="1:244">
      <c r="A129">
        <v>126</v>
      </c>
      <c r="C129" s="96"/>
      <c r="D129" s="28" t="s">
        <v>131</v>
      </c>
      <c r="E129" s="27" t="s">
        <v>132</v>
      </c>
      <c r="F129" s="27"/>
      <c r="G129" t="s">
        <v>101</v>
      </c>
      <c r="I129" s="27" t="s">
        <v>226</v>
      </c>
      <c r="J129" s="28">
        <v>21691</v>
      </c>
      <c r="K129" s="27" t="s">
        <v>404</v>
      </c>
      <c r="L129" s="28"/>
      <c r="M129" s="28"/>
      <c r="N129" s="28"/>
      <c r="O129" s="28"/>
      <c r="P129" s="28"/>
      <c r="Q129" s="28"/>
      <c r="R129" s="28"/>
      <c r="S129" s="27"/>
      <c r="T129" s="27"/>
      <c r="U129" s="27"/>
      <c r="V129" s="29" t="s">
        <v>79</v>
      </c>
      <c r="W129" t="s">
        <v>1917</v>
      </c>
      <c r="X129"/>
      <c r="Y129"/>
      <c r="Z129"/>
    </row>
    <row r="130" spans="1:244">
      <c r="A130">
        <v>127</v>
      </c>
      <c r="B130" t="s">
        <v>468</v>
      </c>
      <c r="C130" s="96" t="s">
        <v>567</v>
      </c>
      <c r="D130" s="28" t="s">
        <v>332</v>
      </c>
      <c r="E130" s="27" t="s">
        <v>333</v>
      </c>
      <c r="F130" s="27"/>
      <c r="G130" t="s">
        <v>101</v>
      </c>
      <c r="I130" s="27" t="s">
        <v>121</v>
      </c>
      <c r="J130" s="28">
        <v>21160</v>
      </c>
      <c r="K130" s="27" t="s">
        <v>401</v>
      </c>
      <c r="L130" s="28"/>
      <c r="M130" s="28"/>
      <c r="N130" s="28" t="s">
        <v>1918</v>
      </c>
      <c r="O130" s="28" t="s">
        <v>1877</v>
      </c>
      <c r="P130" s="331">
        <v>44426</v>
      </c>
      <c r="Q130" s="28"/>
      <c r="R130" s="28"/>
      <c r="S130" s="27"/>
      <c r="T130" s="27"/>
      <c r="U130" s="27"/>
      <c r="V130" s="29" t="s">
        <v>79</v>
      </c>
      <c r="W130" t="s">
        <v>439</v>
      </c>
      <c r="X130"/>
      <c r="Y130"/>
      <c r="Z130"/>
    </row>
    <row r="131" spans="1:244" ht="26.25">
      <c r="A131">
        <v>192</v>
      </c>
      <c r="B131" t="s">
        <v>468</v>
      </c>
      <c r="C131" t="s">
        <v>1885</v>
      </c>
      <c r="D131" s="28" t="s">
        <v>387</v>
      </c>
      <c r="E131" s="27" t="s">
        <v>388</v>
      </c>
      <c r="F131" s="27" t="s">
        <v>2192</v>
      </c>
      <c r="G131" t="s">
        <v>101</v>
      </c>
      <c r="H131" t="s">
        <v>2232</v>
      </c>
      <c r="I131" s="27" t="s">
        <v>121</v>
      </c>
      <c r="J131" s="28">
        <v>21589</v>
      </c>
      <c r="K131" s="27" t="s">
        <v>405</v>
      </c>
      <c r="L131" s="28"/>
      <c r="M131" s="28"/>
      <c r="N131" s="28"/>
      <c r="O131" s="28"/>
      <c r="P131" s="28"/>
      <c r="Q131" s="28" t="s">
        <v>1841</v>
      </c>
      <c r="R131" s="28" t="s">
        <v>1194</v>
      </c>
      <c r="S131" s="27"/>
      <c r="T131" s="27"/>
      <c r="U131" s="27"/>
      <c r="V131" s="29" t="s">
        <v>79</v>
      </c>
      <c r="W131" s="52" t="s">
        <v>2230</v>
      </c>
      <c r="X131"/>
      <c r="Y131"/>
      <c r="Z131"/>
    </row>
    <row r="132" spans="1:244">
      <c r="A132">
        <v>129</v>
      </c>
      <c r="B132" t="s">
        <v>468</v>
      </c>
      <c r="C132" t="s">
        <v>491</v>
      </c>
      <c r="D132" s="28" t="s">
        <v>332</v>
      </c>
      <c r="E132" s="27" t="s">
        <v>333</v>
      </c>
      <c r="F132" s="27"/>
      <c r="G132" t="s">
        <v>101</v>
      </c>
      <c r="I132" s="27" t="s">
        <v>94</v>
      </c>
      <c r="J132" s="28">
        <v>21160</v>
      </c>
      <c r="K132" s="27" t="s">
        <v>401</v>
      </c>
      <c r="L132" s="28">
        <v>21160</v>
      </c>
      <c r="M132" s="28" t="s">
        <v>464</v>
      </c>
      <c r="N132" s="28" t="s">
        <v>1920</v>
      </c>
      <c r="O132" s="28" t="s">
        <v>1038</v>
      </c>
      <c r="P132" s="331">
        <v>44365</v>
      </c>
      <c r="Q132" s="28"/>
      <c r="R132" s="28"/>
      <c r="S132" s="27"/>
      <c r="T132" s="27"/>
      <c r="U132" s="27"/>
      <c r="V132" s="29" t="s">
        <v>79</v>
      </c>
      <c r="W132" t="s">
        <v>1919</v>
      </c>
      <c r="X132"/>
      <c r="Y132"/>
      <c r="Z132"/>
    </row>
    <row r="133" spans="1:244" ht="26.25">
      <c r="A133">
        <v>194</v>
      </c>
      <c r="B133" t="s">
        <v>468</v>
      </c>
      <c r="C133" t="s">
        <v>1885</v>
      </c>
      <c r="D133" s="28" t="s">
        <v>387</v>
      </c>
      <c r="E133" s="27" t="s">
        <v>388</v>
      </c>
      <c r="F133" s="27" t="s">
        <v>2192</v>
      </c>
      <c r="G133" t="s">
        <v>101</v>
      </c>
      <c r="H133" t="s">
        <v>2233</v>
      </c>
      <c r="I133" s="27" t="s">
        <v>94</v>
      </c>
      <c r="J133" s="28">
        <v>21589</v>
      </c>
      <c r="K133" s="27" t="s">
        <v>405</v>
      </c>
      <c r="L133" s="28"/>
      <c r="M133" s="28"/>
      <c r="N133" s="28"/>
      <c r="O133" s="28"/>
      <c r="P133" s="28"/>
      <c r="Q133" s="28" t="s">
        <v>1841</v>
      </c>
      <c r="R133" s="28" t="s">
        <v>1194</v>
      </c>
      <c r="S133" s="27"/>
      <c r="T133" s="27"/>
      <c r="U133" s="27"/>
      <c r="V133" s="29" t="s">
        <v>79</v>
      </c>
      <c r="W133" s="52" t="s">
        <v>2230</v>
      </c>
      <c r="X133"/>
      <c r="Y133"/>
      <c r="Z133"/>
    </row>
    <row r="134" spans="1:244">
      <c r="A134">
        <v>210</v>
      </c>
      <c r="B134" t="s">
        <v>433</v>
      </c>
      <c r="C134" t="s">
        <v>1891</v>
      </c>
      <c r="D134" s="28" t="s">
        <v>383</v>
      </c>
      <c r="E134" s="27" t="s">
        <v>384</v>
      </c>
      <c r="F134" s="27" t="s">
        <v>2192</v>
      </c>
      <c r="G134" t="s">
        <v>122</v>
      </c>
      <c r="H134" t="s">
        <v>2236</v>
      </c>
      <c r="I134" s="27" t="s">
        <v>94</v>
      </c>
      <c r="J134" s="28">
        <v>21712</v>
      </c>
      <c r="K134" s="27" t="s">
        <v>400</v>
      </c>
      <c r="L134" s="28"/>
      <c r="N134" s="28"/>
      <c r="O134" s="28"/>
      <c r="P134" s="28"/>
      <c r="Q134" s="28" t="s">
        <v>1858</v>
      </c>
      <c r="R134" s="28" t="s">
        <v>1193</v>
      </c>
      <c r="S134" s="27"/>
      <c r="T134" s="27"/>
      <c r="U134" s="27"/>
      <c r="V134" s="29" t="s">
        <v>79</v>
      </c>
      <c r="W134" s="73" t="s">
        <v>539</v>
      </c>
      <c r="X134"/>
      <c r="Y134"/>
      <c r="Z134"/>
    </row>
    <row r="135" spans="1:244" ht="15.75">
      <c r="A135">
        <v>162</v>
      </c>
      <c r="B135" t="s">
        <v>468</v>
      </c>
      <c r="C135" t="s">
        <v>1880</v>
      </c>
      <c r="D135" s="28" t="s">
        <v>356</v>
      </c>
      <c r="E135" s="27" t="s">
        <v>357</v>
      </c>
      <c r="F135" s="27" t="s">
        <v>2192</v>
      </c>
      <c r="G135" t="s">
        <v>108</v>
      </c>
      <c r="H135" t="s">
        <v>2222</v>
      </c>
      <c r="I135" s="27" t="s">
        <v>121</v>
      </c>
      <c r="J135" s="28">
        <v>21589</v>
      </c>
      <c r="K135" s="27" t="s">
        <v>405</v>
      </c>
      <c r="L135" s="28"/>
      <c r="M135" s="28"/>
      <c r="N135" s="28"/>
      <c r="O135" s="28"/>
      <c r="P135" s="28"/>
      <c r="Q135" s="28" t="s">
        <v>1035</v>
      </c>
      <c r="R135" s="28" t="s">
        <v>1194</v>
      </c>
      <c r="S135" s="27"/>
      <c r="T135" s="27"/>
      <c r="U135" s="27"/>
      <c r="V135" s="29" t="s">
        <v>79</v>
      </c>
      <c r="W135" s="92"/>
      <c r="X135" s="92"/>
      <c r="Y135" s="92"/>
      <c r="Z135" s="92"/>
      <c r="AA135" s="59"/>
      <c r="AB135" s="63"/>
      <c r="AC135" s="292"/>
      <c r="AD135" s="93"/>
      <c r="AE135" s="93"/>
      <c r="AF135" s="93"/>
      <c r="AG135" s="94"/>
      <c r="AH135" s="94"/>
      <c r="AI135" s="93"/>
      <c r="AJ135" s="93"/>
      <c r="AK135" s="93"/>
      <c r="AL135" s="93"/>
      <c r="AM135" s="60"/>
      <c r="AN135" s="93"/>
      <c r="AO135" s="93"/>
      <c r="AP135" s="93"/>
      <c r="AQ135" s="60"/>
      <c r="AR135" s="93"/>
      <c r="AS135" s="62"/>
      <c r="AT135" s="69"/>
      <c r="AU135" s="59"/>
      <c r="AV135" s="59"/>
      <c r="AW135" s="95"/>
      <c r="AX135" s="59"/>
      <c r="AY135" s="59"/>
      <c r="AZ135" s="59"/>
      <c r="BA135" s="59"/>
      <c r="BB135" s="59"/>
      <c r="BC135" s="59"/>
      <c r="BD135" s="59"/>
      <c r="BE135" s="59"/>
      <c r="BF135" s="59"/>
      <c r="BG135" s="59"/>
      <c r="BH135" s="59"/>
      <c r="BI135" s="59"/>
      <c r="BJ135" s="59"/>
      <c r="BK135" s="59"/>
      <c r="BL135" s="59"/>
      <c r="BM135" s="59"/>
      <c r="BN135" s="59"/>
      <c r="BO135" s="59"/>
      <c r="BP135" s="59"/>
      <c r="BQ135" s="59"/>
      <c r="BR135" s="59"/>
      <c r="BS135" s="59"/>
      <c r="BT135" s="59"/>
      <c r="BU135" s="59"/>
      <c r="BV135" s="59"/>
      <c r="BW135" s="59"/>
      <c r="BX135" s="59"/>
      <c r="BY135" s="59"/>
      <c r="BZ135" s="59"/>
      <c r="CA135" s="59"/>
      <c r="CB135" s="59"/>
      <c r="CC135" s="59"/>
      <c r="CD135" s="59"/>
      <c r="CE135" s="59"/>
      <c r="CF135" s="59"/>
      <c r="CG135" s="59"/>
      <c r="CH135" s="59"/>
      <c r="CI135" s="59"/>
      <c r="CJ135" s="59"/>
      <c r="CK135" s="59"/>
      <c r="CL135" s="59"/>
      <c r="CM135" s="59"/>
      <c r="CN135" s="59"/>
      <c r="CO135" s="96"/>
      <c r="CP135" s="61"/>
      <c r="CQ135" s="59"/>
      <c r="CR135" s="96"/>
      <c r="CS135" s="59"/>
      <c r="CT135" s="95"/>
      <c r="CU135" s="59"/>
      <c r="CV135" s="59"/>
      <c r="CW135" s="59"/>
      <c r="CX135" s="61"/>
      <c r="CY135" s="59"/>
      <c r="CZ135" s="59"/>
      <c r="DA135" s="96"/>
      <c r="DB135" s="95"/>
      <c r="DC135" s="59"/>
      <c r="DD135" s="59"/>
      <c r="DE135" s="59"/>
      <c r="DF135" s="59"/>
      <c r="DG135" s="59"/>
      <c r="DH135" s="59"/>
      <c r="DI135" s="59"/>
      <c r="DJ135" s="95"/>
      <c r="DK135" s="95"/>
      <c r="DL135" s="95"/>
      <c r="DM135" s="95"/>
      <c r="DN135" s="95"/>
      <c r="DO135" s="59"/>
      <c r="DP135" s="59"/>
      <c r="DQ135" s="59"/>
      <c r="DR135" s="59"/>
      <c r="DS135" s="59"/>
      <c r="DT135" s="59"/>
      <c r="DU135" s="59"/>
      <c r="DV135" s="59"/>
      <c r="DW135" s="59"/>
      <c r="DX135" s="59"/>
      <c r="DY135" s="59"/>
      <c r="DZ135" s="59"/>
      <c r="EA135" s="59"/>
      <c r="EB135" s="59"/>
      <c r="EC135" s="59"/>
      <c r="ED135" s="59"/>
      <c r="EE135" s="59"/>
      <c r="EF135" s="95"/>
      <c r="EG135" s="59"/>
      <c r="EH135" s="95"/>
      <c r="EI135" s="61"/>
      <c r="EJ135" s="95"/>
      <c r="EK135" s="61"/>
      <c r="EL135" s="97"/>
      <c r="EM135" s="97"/>
      <c r="EN135" s="97"/>
      <c r="EO135" s="97"/>
      <c r="EP135" s="97"/>
      <c r="EQ135" s="97"/>
      <c r="ER135" s="97"/>
      <c r="ES135" s="97"/>
      <c r="ET135" s="97"/>
      <c r="EU135" s="97"/>
      <c r="EV135" s="97"/>
      <c r="EW135" s="97"/>
      <c r="EX135" s="97"/>
      <c r="EY135" s="97"/>
      <c r="EZ135" s="97"/>
      <c r="FA135" s="97"/>
      <c r="FB135" s="97"/>
      <c r="FC135" s="97"/>
      <c r="FD135" s="97"/>
      <c r="FE135" s="97"/>
      <c r="FF135" s="97"/>
      <c r="FG135" s="97"/>
      <c r="FH135" s="97"/>
      <c r="FI135" s="97"/>
      <c r="FJ135" s="97"/>
      <c r="FK135" s="97"/>
      <c r="FL135" s="97"/>
      <c r="FM135" s="97"/>
      <c r="FN135" s="97"/>
      <c r="FO135" s="97"/>
      <c r="FP135" s="97"/>
      <c r="FQ135" s="97"/>
      <c r="FR135" s="97"/>
      <c r="FS135" s="97"/>
      <c r="FT135" s="97"/>
      <c r="FU135" s="97"/>
      <c r="FV135" s="97"/>
      <c r="FW135" s="97"/>
      <c r="FX135" s="97"/>
      <c r="FY135" s="97"/>
      <c r="FZ135" s="97"/>
      <c r="GA135" s="97"/>
      <c r="GB135" s="97"/>
      <c r="GC135" s="97"/>
      <c r="GD135" s="97"/>
      <c r="GE135" s="97"/>
      <c r="GF135" s="97"/>
      <c r="GG135" s="97"/>
      <c r="GH135" s="97"/>
      <c r="GI135" s="97"/>
      <c r="GJ135" s="97"/>
      <c r="GK135" s="97"/>
      <c r="GL135" s="97"/>
      <c r="GM135" s="97"/>
      <c r="GN135" s="97"/>
      <c r="GO135" s="97"/>
      <c r="GP135" s="97"/>
      <c r="GQ135" s="97"/>
      <c r="GR135" s="97"/>
      <c r="GS135" s="97"/>
      <c r="GT135" s="97"/>
      <c r="GU135" s="97"/>
      <c r="GV135" s="97"/>
      <c r="GW135" s="97"/>
      <c r="GX135" s="97"/>
      <c r="GY135" s="97"/>
      <c r="GZ135" s="97"/>
      <c r="HA135" s="97"/>
      <c r="HB135" s="97"/>
      <c r="HC135" s="97"/>
      <c r="HD135" s="61"/>
      <c r="HE135" s="95"/>
      <c r="HF135" s="95"/>
      <c r="HG135" s="95"/>
      <c r="HH135" s="95"/>
      <c r="HI135" s="95"/>
      <c r="HJ135" s="95"/>
      <c r="HK135" s="95"/>
      <c r="HL135" s="95"/>
      <c r="HM135" s="95"/>
      <c r="HN135" s="95"/>
      <c r="HO135" s="59"/>
      <c r="HP135" s="62"/>
      <c r="HQ135" s="59"/>
      <c r="HR135" s="59"/>
      <c r="HS135" s="59"/>
    </row>
    <row r="136" spans="1:244">
      <c r="A136">
        <v>209</v>
      </c>
      <c r="B136" t="s">
        <v>433</v>
      </c>
      <c r="C136" t="s">
        <v>495</v>
      </c>
      <c r="D136" s="28" t="s">
        <v>382</v>
      </c>
      <c r="E136" s="27" t="s">
        <v>357</v>
      </c>
      <c r="F136" s="27" t="s">
        <v>2192</v>
      </c>
      <c r="G136" t="s">
        <v>101</v>
      </c>
      <c r="H136" t="s">
        <v>2234</v>
      </c>
      <c r="I136" s="27" t="s">
        <v>94</v>
      </c>
      <c r="J136" s="28">
        <v>21712</v>
      </c>
      <c r="K136" s="27" t="s">
        <v>400</v>
      </c>
      <c r="L136" s="28"/>
      <c r="M136" s="28"/>
      <c r="N136" s="28"/>
      <c r="O136" s="28"/>
      <c r="P136" s="28"/>
      <c r="Q136" s="28" t="s">
        <v>1858</v>
      </c>
      <c r="R136" s="28" t="s">
        <v>1193</v>
      </c>
      <c r="S136" s="27"/>
      <c r="T136" s="27"/>
      <c r="U136" s="27"/>
      <c r="V136" s="29" t="s">
        <v>79</v>
      </c>
      <c r="W136"/>
      <c r="X136"/>
      <c r="Y136"/>
      <c r="Z136"/>
    </row>
    <row r="137" spans="1:244">
      <c r="A137">
        <v>123</v>
      </c>
      <c r="B137" t="s">
        <v>433</v>
      </c>
      <c r="C137" s="96" t="s">
        <v>623</v>
      </c>
      <c r="D137" s="28" t="s">
        <v>330</v>
      </c>
      <c r="E137" s="27" t="s">
        <v>331</v>
      </c>
      <c r="F137" s="27" t="s">
        <v>2192</v>
      </c>
      <c r="G137" t="s">
        <v>102</v>
      </c>
      <c r="H137" s="27" t="s">
        <v>2201</v>
      </c>
      <c r="I137" s="27" t="s">
        <v>94</v>
      </c>
      <c r="J137" s="28">
        <v>21712</v>
      </c>
      <c r="K137" s="27" t="s">
        <v>400</v>
      </c>
      <c r="L137" s="28"/>
      <c r="M137" s="28"/>
      <c r="N137" s="28"/>
      <c r="O137" s="28"/>
      <c r="P137" s="28"/>
      <c r="Q137" s="28" t="s">
        <v>1841</v>
      </c>
      <c r="R137" s="28" t="s">
        <v>1038</v>
      </c>
      <c r="S137" s="27"/>
      <c r="T137" s="27"/>
      <c r="U137" s="27"/>
      <c r="V137" s="29" t="s">
        <v>79</v>
      </c>
      <c r="W137"/>
      <c r="X137"/>
      <c r="Y137"/>
      <c r="Z137"/>
      <c r="AA137" s="21"/>
    </row>
    <row r="138" spans="1:244">
      <c r="A138">
        <v>123.1</v>
      </c>
      <c r="B138" t="s">
        <v>468</v>
      </c>
      <c r="C138" s="96" t="s">
        <v>623</v>
      </c>
      <c r="D138" s="28" t="s">
        <v>330</v>
      </c>
      <c r="E138" s="27" t="s">
        <v>331</v>
      </c>
      <c r="F138" s="27" t="s">
        <v>2192</v>
      </c>
      <c r="G138" t="s">
        <v>102</v>
      </c>
      <c r="H138" s="27" t="s">
        <v>2199</v>
      </c>
      <c r="I138" s="27" t="s">
        <v>121</v>
      </c>
      <c r="J138" s="28">
        <v>21712</v>
      </c>
      <c r="K138" s="27" t="s">
        <v>400</v>
      </c>
      <c r="L138" s="28"/>
      <c r="M138" s="28"/>
      <c r="N138" s="28"/>
      <c r="O138" s="28"/>
      <c r="P138" s="28"/>
      <c r="Q138" s="28" t="s">
        <v>1841</v>
      </c>
      <c r="R138" s="28" t="s">
        <v>1038</v>
      </c>
      <c r="S138" s="27"/>
      <c r="T138" s="27"/>
      <c r="U138" s="27"/>
      <c r="V138" s="29" t="s">
        <v>79</v>
      </c>
      <c r="W138"/>
      <c r="X138"/>
      <c r="Y138"/>
      <c r="Z138"/>
      <c r="AA138" s="21"/>
    </row>
    <row r="139" spans="1:244" ht="30">
      <c r="A139">
        <v>136</v>
      </c>
      <c r="B139" t="s">
        <v>468</v>
      </c>
      <c r="C139" t="s">
        <v>567</v>
      </c>
      <c r="D139" s="28" t="s">
        <v>106</v>
      </c>
      <c r="E139" s="27" t="s">
        <v>107</v>
      </c>
      <c r="F139" s="27"/>
      <c r="G139" t="s">
        <v>102</v>
      </c>
      <c r="I139" s="27" t="s">
        <v>121</v>
      </c>
      <c r="J139" s="28">
        <v>21697</v>
      </c>
      <c r="K139" s="27" t="s">
        <v>227</v>
      </c>
      <c r="L139" s="28"/>
      <c r="M139" s="28"/>
      <c r="N139" s="28" t="s">
        <v>1884</v>
      </c>
      <c r="O139" s="28" t="s">
        <v>1038</v>
      </c>
      <c r="P139" s="331">
        <v>44095</v>
      </c>
      <c r="Q139" s="28"/>
      <c r="R139" s="28"/>
      <c r="S139" s="27"/>
      <c r="T139" s="27"/>
      <c r="U139" s="27"/>
      <c r="V139" s="29" t="s">
        <v>79</v>
      </c>
      <c r="W139" s="72" t="s">
        <v>1923</v>
      </c>
      <c r="X139" s="72"/>
      <c r="Y139" s="72"/>
      <c r="Z139" s="72"/>
      <c r="AA139" s="21"/>
    </row>
    <row r="140" spans="1:244" ht="30">
      <c r="A140">
        <v>137</v>
      </c>
      <c r="B140" t="s">
        <v>468</v>
      </c>
      <c r="C140" t="s">
        <v>567</v>
      </c>
      <c r="D140" s="28" t="s">
        <v>106</v>
      </c>
      <c r="E140" s="27" t="s">
        <v>107</v>
      </c>
      <c r="F140" s="27"/>
      <c r="G140" t="s">
        <v>102</v>
      </c>
      <c r="I140" s="27" t="s">
        <v>94</v>
      </c>
      <c r="J140" s="28">
        <v>21697</v>
      </c>
      <c r="K140" s="27" t="s">
        <v>227</v>
      </c>
      <c r="L140" s="28"/>
      <c r="M140" s="28"/>
      <c r="N140" s="28" t="s">
        <v>1912</v>
      </c>
      <c r="O140" s="28" t="s">
        <v>1038</v>
      </c>
      <c r="P140" s="331">
        <v>44095</v>
      </c>
      <c r="Q140" s="28"/>
      <c r="R140" s="28"/>
      <c r="S140" s="27"/>
      <c r="T140" s="27"/>
      <c r="U140" s="27"/>
      <c r="V140" s="29" t="s">
        <v>79</v>
      </c>
      <c r="W140" s="72" t="s">
        <v>1924</v>
      </c>
      <c r="X140" s="72"/>
      <c r="Y140" s="72"/>
      <c r="Z140" s="72"/>
      <c r="AA140" s="21"/>
    </row>
    <row r="141" spans="1:244">
      <c r="A141">
        <v>138</v>
      </c>
      <c r="B141" t="s">
        <v>468</v>
      </c>
      <c r="C141" t="s">
        <v>567</v>
      </c>
      <c r="D141" s="28" t="s">
        <v>106</v>
      </c>
      <c r="E141" s="27" t="s">
        <v>107</v>
      </c>
      <c r="F141" s="27"/>
      <c r="G141" t="s">
        <v>102</v>
      </c>
      <c r="I141" s="27" t="s">
        <v>226</v>
      </c>
      <c r="J141" s="28">
        <v>21590</v>
      </c>
      <c r="K141" s="27" t="s">
        <v>397</v>
      </c>
      <c r="L141" s="28"/>
      <c r="M141" s="28"/>
      <c r="N141" s="28" t="s">
        <v>1767</v>
      </c>
      <c r="O141" s="28" t="s">
        <v>1038</v>
      </c>
      <c r="P141" s="331">
        <v>44096</v>
      </c>
      <c r="Q141" s="28"/>
      <c r="R141" s="28"/>
      <c r="S141" s="27"/>
      <c r="T141" s="27"/>
      <c r="U141" s="27"/>
      <c r="V141" s="29" t="s">
        <v>79</v>
      </c>
      <c r="W141" t="s">
        <v>439</v>
      </c>
      <c r="X141"/>
      <c r="Y141"/>
      <c r="Z141"/>
      <c r="AA141" s="21"/>
    </row>
    <row r="142" spans="1:244" ht="15.75">
      <c r="A142">
        <v>139</v>
      </c>
      <c r="B142" t="s">
        <v>468</v>
      </c>
      <c r="C142" t="s">
        <v>617</v>
      </c>
      <c r="D142" s="28" t="s">
        <v>113</v>
      </c>
      <c r="E142" s="27" t="s">
        <v>114</v>
      </c>
      <c r="F142" s="5" t="s">
        <v>2182</v>
      </c>
      <c r="G142" t="s">
        <v>102</v>
      </c>
      <c r="I142" s="27" t="s">
        <v>121</v>
      </c>
      <c r="J142" s="28">
        <v>21697</v>
      </c>
      <c r="K142" s="27" t="s">
        <v>227</v>
      </c>
      <c r="L142" s="28">
        <v>20089</v>
      </c>
      <c r="M142" s="28" t="s">
        <v>121</v>
      </c>
      <c r="N142" s="28"/>
      <c r="O142" s="28"/>
      <c r="P142" s="28"/>
      <c r="Q142" s="28" t="s">
        <v>1841</v>
      </c>
      <c r="R142" s="28" t="s">
        <v>1769</v>
      </c>
      <c r="S142" s="27"/>
      <c r="T142" s="27"/>
      <c r="U142" s="27"/>
      <c r="V142" s="29" t="s">
        <v>79</v>
      </c>
      <c r="W142" s="139" t="s">
        <v>614</v>
      </c>
      <c r="X142" s="139"/>
      <c r="Y142" s="139"/>
      <c r="Z142" s="139"/>
      <c r="AA142" s="156" t="s">
        <v>613</v>
      </c>
      <c r="AB142" s="137">
        <v>93.62</v>
      </c>
      <c r="AC142" s="105">
        <v>20</v>
      </c>
      <c r="AD142" s="105" t="s">
        <v>431</v>
      </c>
      <c r="AE142" s="106">
        <f t="shared" ref="AE142:AE147" si="205">BA142</f>
        <v>10.235010000000001</v>
      </c>
      <c r="AF142" s="106"/>
      <c r="AG142" s="106">
        <f t="shared" ref="AG142:AG147" si="206">EU142+EM142+EV142+EX142</f>
        <v>7.2016460905349788</v>
      </c>
      <c r="AH142" s="106">
        <f t="shared" ref="AH142:AH147" si="207">DM142</f>
        <v>0</v>
      </c>
      <c r="AI142" s="106">
        <f t="shared" ref="AI142:AI147" si="208">DO142</f>
        <v>0</v>
      </c>
      <c r="AJ142" s="106">
        <f t="shared" ref="AJ142:AJ147" si="209">GW142</f>
        <v>0.14403292181069957</v>
      </c>
      <c r="AK142" s="106">
        <f t="shared" ref="AK142:AK147" si="210">GU142</f>
        <v>0.21795820113168729</v>
      </c>
      <c r="AL142" s="106">
        <f t="shared" ref="AL142:AL147" si="211">GS142</f>
        <v>1.9180321699588481</v>
      </c>
      <c r="AM142" s="106">
        <f t="shared" ref="AM142:AM147" si="212">HV142</f>
        <v>0.03</v>
      </c>
      <c r="AN142" s="106">
        <f t="shared" ref="AN142:AN147" si="213">IG142</f>
        <v>1.7361111111111112E-2</v>
      </c>
      <c r="AO142" s="107">
        <v>0</v>
      </c>
      <c r="AP142" s="107"/>
      <c r="AQ142" s="106">
        <f t="shared" ref="AQ142:AQ147" si="214">SUM(AE142:AO142)</f>
        <v>19.764040494547327</v>
      </c>
      <c r="AR142" s="106"/>
      <c r="AS142" s="106"/>
      <c r="AT142" s="107">
        <v>0</v>
      </c>
      <c r="AU142" s="105"/>
      <c r="AV142" s="106">
        <f>AQ142+AT142</f>
        <v>19.764040494547327</v>
      </c>
      <c r="AW142" s="138">
        <v>0.1105</v>
      </c>
      <c r="AX142" s="105">
        <v>0.105</v>
      </c>
      <c r="AY142" s="108">
        <v>1</v>
      </c>
      <c r="AZ142" s="105">
        <f>AW142-AX142</f>
        <v>5.5000000000000049E-3</v>
      </c>
      <c r="BA142" s="109">
        <f t="shared" ref="BA142:BA147" si="215">AW142*AB142-AZ142*AC142</f>
        <v>10.235010000000001</v>
      </c>
      <c r="BB142" s="109"/>
      <c r="BC142" s="109"/>
      <c r="BD142" s="109"/>
      <c r="BE142" s="109"/>
      <c r="BF142" s="109"/>
      <c r="BG142" s="109"/>
      <c r="BH142" s="109"/>
      <c r="BI142" s="109"/>
      <c r="BJ142" s="109"/>
      <c r="BK142" s="109"/>
      <c r="BL142" s="109"/>
      <c r="BM142" s="109"/>
      <c r="BN142" s="109"/>
      <c r="BO142" s="109"/>
      <c r="BP142" s="109"/>
      <c r="BQ142" s="109"/>
      <c r="BR142" s="109"/>
      <c r="BS142" s="109"/>
      <c r="BT142" s="109"/>
      <c r="BU142" s="109"/>
      <c r="BV142" s="109"/>
      <c r="BW142" s="109"/>
      <c r="BX142" s="109"/>
      <c r="BY142" s="109"/>
      <c r="BZ142" s="109"/>
      <c r="CA142" s="109"/>
      <c r="CB142" s="109"/>
      <c r="CC142" s="109"/>
      <c r="CD142" s="105"/>
      <c r="CE142" s="105">
        <v>0</v>
      </c>
      <c r="CF142" s="105">
        <v>0</v>
      </c>
      <c r="CG142" s="105">
        <v>0</v>
      </c>
      <c r="CH142" s="105">
        <v>0</v>
      </c>
      <c r="CI142" s="105"/>
      <c r="CJ142" s="105"/>
      <c r="CK142" s="105"/>
      <c r="CL142" s="105"/>
      <c r="CM142" s="105"/>
      <c r="CN142" s="105"/>
      <c r="CO142" s="105"/>
      <c r="CP142" s="105"/>
      <c r="CQ142" s="105"/>
      <c r="CR142" s="105"/>
      <c r="CS142" s="105"/>
      <c r="CT142" s="105"/>
      <c r="CU142" s="105"/>
      <c r="CV142" s="105"/>
      <c r="CW142" s="105"/>
      <c r="CX142" s="105"/>
      <c r="CY142" s="105"/>
      <c r="CZ142" s="105"/>
      <c r="DA142" s="105"/>
      <c r="DB142" s="105"/>
      <c r="DC142" s="105"/>
      <c r="DD142" s="105"/>
      <c r="DE142" s="105"/>
      <c r="DF142" s="105"/>
      <c r="DG142" s="105"/>
      <c r="DH142" s="105"/>
      <c r="DI142" s="105"/>
      <c r="DJ142" s="105"/>
      <c r="DK142" s="105"/>
      <c r="DL142" s="105"/>
      <c r="DM142" s="105">
        <f t="shared" ref="DM142:DM147" si="216">CM142+CR142+CW142+DB142+DG142+DL142+CH142</f>
        <v>0</v>
      </c>
      <c r="DN142" s="110">
        <v>1.2500000000000001E-2</v>
      </c>
      <c r="DO142" s="109">
        <f t="shared" ref="DO142:DO147" si="217">DN142*CG142*CF142</f>
        <v>0</v>
      </c>
      <c r="DP142" s="109">
        <f t="shared" ref="DP142:DP147" si="218">CG142*CF142</f>
        <v>0</v>
      </c>
      <c r="DQ142" s="109"/>
      <c r="DR142" s="109"/>
      <c r="DS142" s="109"/>
      <c r="DT142" s="109"/>
      <c r="DU142" s="109"/>
      <c r="DV142" s="109"/>
      <c r="DW142" s="109"/>
      <c r="DX142" s="109"/>
      <c r="DY142" s="109"/>
      <c r="DZ142" s="109"/>
      <c r="EA142" s="109"/>
      <c r="EB142" s="109"/>
      <c r="EC142" s="109"/>
      <c r="ED142" s="109"/>
      <c r="EE142" s="109"/>
      <c r="EF142" s="105">
        <v>250</v>
      </c>
      <c r="EG142" s="105">
        <v>2500</v>
      </c>
      <c r="EH142" s="105">
        <v>7.5</v>
      </c>
      <c r="EI142" s="108">
        <v>0.9</v>
      </c>
      <c r="EJ142" s="105">
        <v>1</v>
      </c>
      <c r="EK142" s="105">
        <v>70</v>
      </c>
      <c r="EL142" s="111">
        <f>3600/EK142*EH142*EJ142*EI142</f>
        <v>347.14285714285717</v>
      </c>
      <c r="EM142" s="105"/>
      <c r="EN142" s="105"/>
      <c r="EO142" s="105"/>
      <c r="EP142" s="111"/>
      <c r="EQ142" s="111"/>
      <c r="ER142" s="111"/>
      <c r="ES142" s="111"/>
      <c r="ET142" s="111"/>
      <c r="EU142" s="109">
        <f t="shared" ref="EU142:EU147" si="219">EG142/EL142</f>
        <v>7.2016460905349788</v>
      </c>
      <c r="EV142" s="105"/>
      <c r="EW142" s="105"/>
      <c r="EX142" s="105"/>
      <c r="EY142" s="105"/>
      <c r="EZ142" s="105"/>
      <c r="FA142" s="105"/>
      <c r="FB142" s="105"/>
      <c r="FC142" s="105"/>
      <c r="FD142" s="105"/>
      <c r="FE142" s="105"/>
      <c r="FF142" s="105"/>
      <c r="FG142" s="105"/>
      <c r="FH142" s="105"/>
      <c r="FI142" s="105"/>
      <c r="FJ142" s="105"/>
      <c r="FK142" s="105"/>
      <c r="FL142" s="105"/>
      <c r="FM142" s="105"/>
      <c r="FN142" s="105"/>
      <c r="FO142" s="105"/>
      <c r="FP142" s="105"/>
      <c r="FQ142" s="105"/>
      <c r="FR142" s="105"/>
      <c r="FS142" s="105"/>
      <c r="FT142" s="105"/>
      <c r="FU142" s="105"/>
      <c r="FV142" s="105"/>
      <c r="FW142" s="105"/>
      <c r="FX142" s="105"/>
      <c r="FY142" s="105"/>
      <c r="FZ142" s="105"/>
      <c r="GA142" s="105"/>
      <c r="GB142" s="105"/>
      <c r="GC142" s="105"/>
      <c r="GD142" s="105"/>
      <c r="GE142" s="105"/>
      <c r="GF142" s="105"/>
      <c r="GG142" s="105"/>
      <c r="GH142" s="105"/>
      <c r="GI142" s="105"/>
      <c r="GJ142" s="105"/>
      <c r="GK142" s="105"/>
      <c r="GL142" s="105"/>
      <c r="GM142" s="105"/>
      <c r="GN142" s="105"/>
      <c r="GO142" s="105"/>
      <c r="GP142" s="105"/>
      <c r="GQ142" s="105"/>
      <c r="GR142" s="108">
        <v>0.11</v>
      </c>
      <c r="GS142" s="109">
        <f t="shared" ref="GS142:GS147" si="220">GR142*(BA142+EU142)</f>
        <v>1.9180321699588481</v>
      </c>
      <c r="GT142" s="110">
        <v>1.2500000000000001E-2</v>
      </c>
      <c r="GU142" s="109">
        <f>GT142*(BA142+EU142)</f>
        <v>0.21795820113168729</v>
      </c>
      <c r="GV142" s="108">
        <v>0.02</v>
      </c>
      <c r="GW142" s="109">
        <f t="shared" ref="GW142:GW147" si="221">GV142*EU142</f>
        <v>0.14403292181069957</v>
      </c>
      <c r="GX142" s="109">
        <f t="shared" ref="GX142:GX147" si="222">GS142+GU142+GW142</f>
        <v>2.2800232929012347</v>
      </c>
      <c r="GY142" s="105" t="s">
        <v>43</v>
      </c>
      <c r="GZ142" s="105" t="s">
        <v>87</v>
      </c>
      <c r="HA142" s="109">
        <v>650</v>
      </c>
      <c r="HB142" s="109">
        <v>450</v>
      </c>
      <c r="HC142" s="105">
        <v>330</v>
      </c>
      <c r="HD142" s="105">
        <v>240</v>
      </c>
      <c r="HE142" s="105">
        <v>2200</v>
      </c>
      <c r="HF142" s="109">
        <f t="shared" ref="HF142:HF147" si="223">ROUNDUP(HE142/HD142,0)</f>
        <v>10</v>
      </c>
      <c r="HG142" s="105">
        <v>5</v>
      </c>
      <c r="HH142" s="118">
        <f t="shared" ref="HH142:HH147" si="224">HF142*HG142</f>
        <v>50</v>
      </c>
      <c r="HI142" s="105">
        <v>650</v>
      </c>
      <c r="HJ142" s="109">
        <f t="shared" ref="HJ142:HJ147" si="225">HH142*HI142</f>
        <v>32500</v>
      </c>
      <c r="HK142" s="109"/>
      <c r="HL142" s="109"/>
      <c r="HM142" s="109">
        <v>2</v>
      </c>
      <c r="HN142" s="111">
        <f t="shared" ref="HN142:HN147" si="226">HM142*12*25*HE142</f>
        <v>1320000</v>
      </c>
      <c r="HO142" s="109">
        <f t="shared" ref="HO142:HO147" si="227">IF(GY142="carton box",HI142/HD142,HJ142/HN142)</f>
        <v>2.462121212121212E-2</v>
      </c>
      <c r="HP142" s="109">
        <v>160</v>
      </c>
      <c r="HQ142" s="105">
        <v>0</v>
      </c>
      <c r="HR142" s="105">
        <v>0</v>
      </c>
      <c r="HS142" s="109">
        <v>0</v>
      </c>
      <c r="HT142" s="105">
        <v>0</v>
      </c>
      <c r="HU142" s="105"/>
      <c r="HV142" s="109">
        <f>ROUNDUP(HO142+HT142,2)</f>
        <v>0.03</v>
      </c>
      <c r="HW142" s="109"/>
      <c r="HX142" s="109">
        <v>4200</v>
      </c>
      <c r="HY142" s="109">
        <v>1900</v>
      </c>
      <c r="HZ142" s="109">
        <v>1975</v>
      </c>
      <c r="IA142" s="109">
        <f t="shared" ref="IA142:IC147" si="228">ROUNDDOWN(HX142/HA142,0)</f>
        <v>6</v>
      </c>
      <c r="IB142" s="109">
        <f t="shared" si="228"/>
        <v>4</v>
      </c>
      <c r="IC142" s="109">
        <f t="shared" si="228"/>
        <v>5</v>
      </c>
      <c r="ID142" s="108">
        <v>1</v>
      </c>
      <c r="IE142" s="109">
        <f t="shared" ref="IE142:IE147" si="229">ROUND(PRODUCT(IA142:ID142),0)</f>
        <v>120</v>
      </c>
      <c r="IF142" s="109">
        <v>500</v>
      </c>
      <c r="IG142" s="109">
        <f t="shared" ref="IG142:IG147" si="230">IF142/(IE142*HD142)</f>
        <v>1.7361111111111112E-2</v>
      </c>
      <c r="IH142" s="62"/>
    </row>
    <row r="143" spans="1:244" ht="15.75">
      <c r="A143">
        <v>140</v>
      </c>
      <c r="B143" t="s">
        <v>468</v>
      </c>
      <c r="C143" t="s">
        <v>617</v>
      </c>
      <c r="D143" s="28" t="s">
        <v>113</v>
      </c>
      <c r="E143" s="27" t="s">
        <v>114</v>
      </c>
      <c r="F143" s="5" t="s">
        <v>2182</v>
      </c>
      <c r="G143" t="s">
        <v>102</v>
      </c>
      <c r="I143" s="27" t="s">
        <v>226</v>
      </c>
      <c r="J143" s="28">
        <v>21590</v>
      </c>
      <c r="K143" s="27" t="s">
        <v>397</v>
      </c>
      <c r="L143" s="28"/>
      <c r="M143" s="28"/>
      <c r="N143" s="28" t="s">
        <v>1925</v>
      </c>
      <c r="O143" s="28" t="s">
        <v>1038</v>
      </c>
      <c r="P143" s="331">
        <v>44069</v>
      </c>
      <c r="Q143" s="28" t="s">
        <v>1841</v>
      </c>
      <c r="R143" s="28" t="s">
        <v>1769</v>
      </c>
      <c r="S143" s="27"/>
      <c r="T143" s="27"/>
      <c r="U143" s="27"/>
      <c r="V143" s="29" t="s">
        <v>79</v>
      </c>
      <c r="W143" s="139" t="s">
        <v>1926</v>
      </c>
      <c r="X143" s="139"/>
      <c r="Y143" s="139"/>
      <c r="Z143" s="139"/>
      <c r="AA143" s="156" t="s">
        <v>613</v>
      </c>
      <c r="AB143" s="137">
        <v>93.62</v>
      </c>
      <c r="AC143" s="105">
        <v>20</v>
      </c>
      <c r="AD143" s="105" t="s">
        <v>431</v>
      </c>
      <c r="AE143" s="106">
        <f t="shared" si="205"/>
        <v>10.235010000000001</v>
      </c>
      <c r="AF143" s="106"/>
      <c r="AG143" s="106">
        <f t="shared" si="206"/>
        <v>7.2016460905349788</v>
      </c>
      <c r="AH143" s="106">
        <f t="shared" si="207"/>
        <v>0</v>
      </c>
      <c r="AI143" s="106">
        <f t="shared" si="208"/>
        <v>0</v>
      </c>
      <c r="AJ143" s="106">
        <f t="shared" si="209"/>
        <v>0.14403292181069957</v>
      </c>
      <c r="AK143" s="106">
        <f t="shared" si="210"/>
        <v>0.21795820113168729</v>
      </c>
      <c r="AL143" s="106">
        <f t="shared" si="211"/>
        <v>1.9180321699588481</v>
      </c>
      <c r="AM143" s="106">
        <f t="shared" si="212"/>
        <v>0.03</v>
      </c>
      <c r="AN143" s="106">
        <f t="shared" si="213"/>
        <v>1.7361111111111112E-2</v>
      </c>
      <c r="AO143" s="107">
        <v>0</v>
      </c>
      <c r="AP143" s="107"/>
      <c r="AQ143" s="106">
        <f t="shared" si="214"/>
        <v>19.764040494547327</v>
      </c>
      <c r="AR143" s="106"/>
      <c r="AS143" s="106"/>
      <c r="AT143" s="107">
        <v>0</v>
      </c>
      <c r="AU143" s="105"/>
      <c r="AV143" s="106">
        <f>AQ143+AT143</f>
        <v>19.764040494547327</v>
      </c>
      <c r="AW143" s="138">
        <v>0.1105</v>
      </c>
      <c r="AX143" s="105">
        <v>0.105</v>
      </c>
      <c r="AY143" s="108">
        <v>1</v>
      </c>
      <c r="AZ143" s="105">
        <f>AW143-AX143</f>
        <v>5.5000000000000049E-3</v>
      </c>
      <c r="BA143" s="109">
        <f t="shared" si="215"/>
        <v>10.235010000000001</v>
      </c>
      <c r="BB143" s="109"/>
      <c r="BC143" s="109"/>
      <c r="BD143" s="109"/>
      <c r="BE143" s="109"/>
      <c r="BF143" s="109"/>
      <c r="BG143" s="109"/>
      <c r="BH143" s="109"/>
      <c r="BI143" s="109"/>
      <c r="BJ143" s="109"/>
      <c r="BK143" s="109"/>
      <c r="BL143" s="109"/>
      <c r="BM143" s="109"/>
      <c r="BN143" s="109"/>
      <c r="BO143" s="109"/>
      <c r="BP143" s="109"/>
      <c r="BQ143" s="109"/>
      <c r="BR143" s="109"/>
      <c r="BS143" s="109"/>
      <c r="BT143" s="109"/>
      <c r="BU143" s="109"/>
      <c r="BV143" s="109"/>
      <c r="BW143" s="109"/>
      <c r="BX143" s="109"/>
      <c r="BY143" s="109"/>
      <c r="BZ143" s="109"/>
      <c r="CA143" s="109"/>
      <c r="CB143" s="109"/>
      <c r="CC143" s="109"/>
      <c r="CD143" s="105"/>
      <c r="CE143" s="105">
        <v>0</v>
      </c>
      <c r="CF143" s="105">
        <v>0</v>
      </c>
      <c r="CG143" s="105">
        <v>0</v>
      </c>
      <c r="CH143" s="105">
        <v>0</v>
      </c>
      <c r="CI143" s="105"/>
      <c r="CJ143" s="105"/>
      <c r="CK143" s="105"/>
      <c r="CL143" s="105"/>
      <c r="CM143" s="105"/>
      <c r="CN143" s="105"/>
      <c r="CO143" s="105"/>
      <c r="CP143" s="105"/>
      <c r="CQ143" s="105"/>
      <c r="CR143" s="105"/>
      <c r="CS143" s="105"/>
      <c r="CT143" s="105"/>
      <c r="CU143" s="105"/>
      <c r="CV143" s="105"/>
      <c r="CW143" s="105"/>
      <c r="CX143" s="105"/>
      <c r="CY143" s="105"/>
      <c r="CZ143" s="105"/>
      <c r="DA143" s="105"/>
      <c r="DB143" s="105"/>
      <c r="DC143" s="105"/>
      <c r="DD143" s="105"/>
      <c r="DE143" s="105"/>
      <c r="DF143" s="105"/>
      <c r="DG143" s="105"/>
      <c r="DH143" s="105"/>
      <c r="DI143" s="105"/>
      <c r="DJ143" s="105"/>
      <c r="DK143" s="105"/>
      <c r="DL143" s="105"/>
      <c r="DM143" s="105">
        <f t="shared" si="216"/>
        <v>0</v>
      </c>
      <c r="DN143" s="110">
        <v>1.2500000000000001E-2</v>
      </c>
      <c r="DO143" s="109">
        <f t="shared" si="217"/>
        <v>0</v>
      </c>
      <c r="DP143" s="109">
        <f t="shared" si="218"/>
        <v>0</v>
      </c>
      <c r="DQ143" s="109"/>
      <c r="DR143" s="109"/>
      <c r="DS143" s="109"/>
      <c r="DT143" s="109"/>
      <c r="DU143" s="109"/>
      <c r="DV143" s="109"/>
      <c r="DW143" s="109"/>
      <c r="DX143" s="109"/>
      <c r="DY143" s="109"/>
      <c r="DZ143" s="109"/>
      <c r="EA143" s="109"/>
      <c r="EB143" s="109"/>
      <c r="EC143" s="109"/>
      <c r="ED143" s="109"/>
      <c r="EE143" s="109"/>
      <c r="EF143" s="105">
        <v>250</v>
      </c>
      <c r="EG143" s="105">
        <v>2500</v>
      </c>
      <c r="EH143" s="105">
        <v>7.5</v>
      </c>
      <c r="EI143" s="108">
        <v>0.9</v>
      </c>
      <c r="EJ143" s="105">
        <v>1</v>
      </c>
      <c r="EK143" s="105">
        <v>70</v>
      </c>
      <c r="EL143" s="111">
        <f>3600/EK143*EH143*EJ143*EI143</f>
        <v>347.14285714285717</v>
      </c>
      <c r="EM143" s="105"/>
      <c r="EN143" s="105"/>
      <c r="EO143" s="105"/>
      <c r="EP143" s="111"/>
      <c r="EQ143" s="111"/>
      <c r="ER143" s="111"/>
      <c r="ES143" s="111"/>
      <c r="ET143" s="111"/>
      <c r="EU143" s="109">
        <f t="shared" si="219"/>
        <v>7.2016460905349788</v>
      </c>
      <c r="EV143" s="105"/>
      <c r="EW143" s="105"/>
      <c r="EX143" s="105"/>
      <c r="EY143" s="105"/>
      <c r="EZ143" s="105"/>
      <c r="FA143" s="105"/>
      <c r="FB143" s="105"/>
      <c r="FC143" s="105"/>
      <c r="FD143" s="105"/>
      <c r="FE143" s="105"/>
      <c r="FF143" s="105"/>
      <c r="FG143" s="105"/>
      <c r="FH143" s="105"/>
      <c r="FI143" s="105"/>
      <c r="FJ143" s="105"/>
      <c r="FK143" s="105"/>
      <c r="FL143" s="105"/>
      <c r="FM143" s="105"/>
      <c r="FN143" s="105"/>
      <c r="FO143" s="105"/>
      <c r="FP143" s="105"/>
      <c r="FQ143" s="105"/>
      <c r="FR143" s="105"/>
      <c r="FS143" s="105"/>
      <c r="FT143" s="105"/>
      <c r="FU143" s="105"/>
      <c r="FV143" s="105"/>
      <c r="FW143" s="105"/>
      <c r="FX143" s="105"/>
      <c r="FY143" s="105"/>
      <c r="FZ143" s="105"/>
      <c r="GA143" s="105"/>
      <c r="GB143" s="105"/>
      <c r="GC143" s="105"/>
      <c r="GD143" s="105"/>
      <c r="GE143" s="105"/>
      <c r="GF143" s="105"/>
      <c r="GG143" s="105"/>
      <c r="GH143" s="105"/>
      <c r="GI143" s="105"/>
      <c r="GJ143" s="105"/>
      <c r="GK143" s="105"/>
      <c r="GL143" s="105"/>
      <c r="GM143" s="105"/>
      <c r="GN143" s="105"/>
      <c r="GO143" s="105"/>
      <c r="GP143" s="105"/>
      <c r="GQ143" s="105"/>
      <c r="GR143" s="108">
        <v>0.11</v>
      </c>
      <c r="GS143" s="109">
        <f t="shared" si="220"/>
        <v>1.9180321699588481</v>
      </c>
      <c r="GT143" s="110">
        <v>1.2500000000000001E-2</v>
      </c>
      <c r="GU143" s="109">
        <f>GT143*(BA143+EU143)</f>
        <v>0.21795820113168729</v>
      </c>
      <c r="GV143" s="108">
        <v>0.02</v>
      </c>
      <c r="GW143" s="109">
        <f t="shared" si="221"/>
        <v>0.14403292181069957</v>
      </c>
      <c r="GX143" s="109">
        <f t="shared" si="222"/>
        <v>2.2800232929012347</v>
      </c>
      <c r="GY143" s="105" t="s">
        <v>43</v>
      </c>
      <c r="GZ143" s="105" t="s">
        <v>87</v>
      </c>
      <c r="HA143" s="109">
        <v>650</v>
      </c>
      <c r="HB143" s="109">
        <v>450</v>
      </c>
      <c r="HC143" s="105">
        <v>330</v>
      </c>
      <c r="HD143" s="105">
        <v>240</v>
      </c>
      <c r="HE143" s="105">
        <v>2200</v>
      </c>
      <c r="HF143" s="109">
        <f t="shared" si="223"/>
        <v>10</v>
      </c>
      <c r="HG143" s="105">
        <v>5</v>
      </c>
      <c r="HH143" s="118">
        <f t="shared" si="224"/>
        <v>50</v>
      </c>
      <c r="HI143" s="105">
        <v>650</v>
      </c>
      <c r="HJ143" s="109">
        <f t="shared" si="225"/>
        <v>32500</v>
      </c>
      <c r="HK143" s="109"/>
      <c r="HL143" s="109"/>
      <c r="HM143" s="109">
        <v>2</v>
      </c>
      <c r="HN143" s="111">
        <f t="shared" si="226"/>
        <v>1320000</v>
      </c>
      <c r="HO143" s="109">
        <f t="shared" si="227"/>
        <v>2.462121212121212E-2</v>
      </c>
      <c r="HP143" s="109">
        <v>160</v>
      </c>
      <c r="HQ143" s="105">
        <v>0</v>
      </c>
      <c r="HR143" s="105">
        <v>0</v>
      </c>
      <c r="HS143" s="109">
        <v>0</v>
      </c>
      <c r="HT143" s="105">
        <v>0</v>
      </c>
      <c r="HU143" s="105"/>
      <c r="HV143" s="109">
        <f>ROUNDUP(HO143+HT143,2)</f>
        <v>0.03</v>
      </c>
      <c r="HW143" s="109"/>
      <c r="HX143" s="109">
        <v>4200</v>
      </c>
      <c r="HY143" s="109">
        <v>1900</v>
      </c>
      <c r="HZ143" s="109">
        <v>1975</v>
      </c>
      <c r="IA143" s="109">
        <f t="shared" si="228"/>
        <v>6</v>
      </c>
      <c r="IB143" s="109">
        <f t="shared" si="228"/>
        <v>4</v>
      </c>
      <c r="IC143" s="109">
        <f t="shared" si="228"/>
        <v>5</v>
      </c>
      <c r="ID143" s="108">
        <v>1</v>
      </c>
      <c r="IE143" s="109">
        <f t="shared" si="229"/>
        <v>120</v>
      </c>
      <c r="IF143" s="109">
        <v>500</v>
      </c>
      <c r="IG143" s="109">
        <f t="shared" si="230"/>
        <v>1.7361111111111112E-2</v>
      </c>
      <c r="IH143" s="62"/>
    </row>
    <row r="144" spans="1:244" ht="30">
      <c r="A144">
        <v>140.1</v>
      </c>
      <c r="B144" t="s">
        <v>433</v>
      </c>
      <c r="C144" t="s">
        <v>617</v>
      </c>
      <c r="D144" s="28" t="s">
        <v>113</v>
      </c>
      <c r="E144" s="27" t="s">
        <v>114</v>
      </c>
      <c r="F144" s="5" t="s">
        <v>2182</v>
      </c>
      <c r="G144" t="s">
        <v>102</v>
      </c>
      <c r="I144" s="27" t="s">
        <v>94</v>
      </c>
      <c r="J144" s="28">
        <v>20089</v>
      </c>
      <c r="K144" s="27" t="s">
        <v>616</v>
      </c>
      <c r="L144" s="28"/>
      <c r="M144" s="28"/>
      <c r="N144" s="28"/>
      <c r="O144" s="28"/>
      <c r="P144" s="28"/>
      <c r="Q144" s="28" t="s">
        <v>1841</v>
      </c>
      <c r="R144" s="28" t="s">
        <v>1769</v>
      </c>
      <c r="S144" s="27"/>
      <c r="T144" s="27"/>
      <c r="U144" s="27"/>
      <c r="V144" s="29" t="s">
        <v>79</v>
      </c>
      <c r="W144" s="140" t="s">
        <v>615</v>
      </c>
      <c r="X144" s="140"/>
      <c r="Y144" s="140"/>
      <c r="Z144" s="140"/>
      <c r="AA144" s="156" t="s">
        <v>613</v>
      </c>
      <c r="AB144" s="137">
        <v>93.62</v>
      </c>
      <c r="AC144" s="105">
        <v>20</v>
      </c>
      <c r="AD144" s="105" t="s">
        <v>431</v>
      </c>
      <c r="AE144" s="106">
        <f t="shared" si="205"/>
        <v>10.235010000000001</v>
      </c>
      <c r="AF144" s="106"/>
      <c r="AG144" s="106">
        <f t="shared" si="206"/>
        <v>7.2046109510086458</v>
      </c>
      <c r="AH144" s="106">
        <f t="shared" si="207"/>
        <v>0</v>
      </c>
      <c r="AI144" s="106">
        <f t="shared" si="208"/>
        <v>0</v>
      </c>
      <c r="AJ144" s="106">
        <f t="shared" si="209"/>
        <v>0.14409221902017291</v>
      </c>
      <c r="AK144" s="106">
        <f t="shared" si="210"/>
        <v>0.21799526188760809</v>
      </c>
      <c r="AL144" s="106">
        <f t="shared" si="211"/>
        <v>1.9183583046109511</v>
      </c>
      <c r="AM144" s="119">
        <f t="shared" si="212"/>
        <v>0.30075757575757578</v>
      </c>
      <c r="AN144" s="106">
        <f t="shared" si="213"/>
        <v>3.1565656565656568E-2</v>
      </c>
      <c r="AO144" s="107">
        <v>0</v>
      </c>
      <c r="AP144" s="107"/>
      <c r="AQ144" s="106">
        <f t="shared" si="214"/>
        <v>20.052389968850612</v>
      </c>
      <c r="AR144" s="106"/>
      <c r="AS144" s="106"/>
      <c r="AT144" s="107">
        <v>0</v>
      </c>
      <c r="AU144" s="105">
        <v>-0.03</v>
      </c>
      <c r="AV144" s="106">
        <f>AQ144+AT144+AU144</f>
        <v>20.022389968850611</v>
      </c>
      <c r="AW144" s="138">
        <v>0.1105</v>
      </c>
      <c r="AX144" s="105">
        <v>0.105</v>
      </c>
      <c r="AY144" s="108">
        <v>1</v>
      </c>
      <c r="AZ144" s="105">
        <f>AW144-AX144</f>
        <v>5.5000000000000049E-3</v>
      </c>
      <c r="BA144" s="109">
        <f t="shared" si="215"/>
        <v>10.235010000000001</v>
      </c>
      <c r="BB144" s="109"/>
      <c r="BC144" s="109"/>
      <c r="BD144" s="109"/>
      <c r="BE144" s="109"/>
      <c r="BF144" s="109"/>
      <c r="BG144" s="109"/>
      <c r="BH144" s="109"/>
      <c r="BI144" s="109"/>
      <c r="BJ144" s="109"/>
      <c r="BK144" s="109"/>
      <c r="BL144" s="109"/>
      <c r="BM144" s="109"/>
      <c r="BN144" s="109"/>
      <c r="BO144" s="109"/>
      <c r="BP144" s="109"/>
      <c r="BQ144" s="109"/>
      <c r="BR144" s="109"/>
      <c r="BS144" s="109"/>
      <c r="BT144" s="109"/>
      <c r="BU144" s="109"/>
      <c r="BV144" s="109"/>
      <c r="BW144" s="109"/>
      <c r="BX144" s="109"/>
      <c r="BY144" s="109"/>
      <c r="BZ144" s="109"/>
      <c r="CA144" s="109"/>
      <c r="CB144" s="109"/>
      <c r="CC144" s="109"/>
      <c r="CD144" s="105"/>
      <c r="CE144" s="105">
        <v>0</v>
      </c>
      <c r="CF144" s="105">
        <v>0</v>
      </c>
      <c r="CG144" s="105">
        <v>0</v>
      </c>
      <c r="CH144" s="105">
        <v>0</v>
      </c>
      <c r="CI144" s="105"/>
      <c r="CJ144" s="105"/>
      <c r="CK144" s="105"/>
      <c r="CL144" s="105"/>
      <c r="CM144" s="105"/>
      <c r="CN144" s="105"/>
      <c r="CO144" s="105"/>
      <c r="CP144" s="105"/>
      <c r="CQ144" s="105"/>
      <c r="CR144" s="105"/>
      <c r="CS144" s="105"/>
      <c r="CT144" s="105"/>
      <c r="CU144" s="105"/>
      <c r="CV144" s="105"/>
      <c r="CW144" s="105"/>
      <c r="CX144" s="105"/>
      <c r="CY144" s="105"/>
      <c r="CZ144" s="105"/>
      <c r="DA144" s="105"/>
      <c r="DB144" s="105"/>
      <c r="DC144" s="105"/>
      <c r="DD144" s="105"/>
      <c r="DE144" s="105"/>
      <c r="DF144" s="105"/>
      <c r="DG144" s="105"/>
      <c r="DH144" s="105"/>
      <c r="DI144" s="105"/>
      <c r="DJ144" s="105"/>
      <c r="DK144" s="105"/>
      <c r="DL144" s="105"/>
      <c r="DM144" s="105">
        <f t="shared" si="216"/>
        <v>0</v>
      </c>
      <c r="DN144" s="110">
        <v>1.2500000000000001E-2</v>
      </c>
      <c r="DO144" s="109">
        <f t="shared" si="217"/>
        <v>0</v>
      </c>
      <c r="DP144" s="109">
        <f t="shared" si="218"/>
        <v>0</v>
      </c>
      <c r="DQ144" s="109"/>
      <c r="DR144" s="109"/>
      <c r="DS144" s="109"/>
      <c r="DT144" s="109"/>
      <c r="DU144" s="109"/>
      <c r="DV144" s="109"/>
      <c r="DW144" s="109"/>
      <c r="DX144" s="109"/>
      <c r="DY144" s="109"/>
      <c r="DZ144" s="109"/>
      <c r="EA144" s="109"/>
      <c r="EB144" s="109"/>
      <c r="EC144" s="109"/>
      <c r="ED144" s="109"/>
      <c r="EE144" s="109"/>
      <c r="EF144" s="105">
        <v>250</v>
      </c>
      <c r="EG144" s="105">
        <v>2500</v>
      </c>
      <c r="EH144" s="105">
        <v>7.5</v>
      </c>
      <c r="EI144" s="108">
        <v>0.9</v>
      </c>
      <c r="EJ144" s="105">
        <v>1</v>
      </c>
      <c r="EK144" s="105">
        <v>70</v>
      </c>
      <c r="EL144" s="111">
        <f>ROUND(3600/EK144*EH144*EJ144*EI144,0)</f>
        <v>347</v>
      </c>
      <c r="EM144" s="105"/>
      <c r="EN144" s="105"/>
      <c r="EO144" s="105"/>
      <c r="EP144" s="111"/>
      <c r="EQ144" s="111"/>
      <c r="ER144" s="111"/>
      <c r="ES144" s="111"/>
      <c r="ET144" s="111"/>
      <c r="EU144" s="109">
        <f t="shared" si="219"/>
        <v>7.2046109510086458</v>
      </c>
      <c r="EV144" s="105"/>
      <c r="EW144" s="105"/>
      <c r="EX144" s="105"/>
      <c r="EY144" s="105"/>
      <c r="EZ144" s="105"/>
      <c r="FA144" s="105"/>
      <c r="FB144" s="105"/>
      <c r="FC144" s="105"/>
      <c r="FD144" s="105"/>
      <c r="FE144" s="105"/>
      <c r="FF144" s="105"/>
      <c r="FG144" s="105"/>
      <c r="FH144" s="105"/>
      <c r="FI144" s="105"/>
      <c r="FJ144" s="105"/>
      <c r="FK144" s="105"/>
      <c r="FL144" s="105"/>
      <c r="FM144" s="105"/>
      <c r="FN144" s="105"/>
      <c r="FO144" s="105"/>
      <c r="FP144" s="105"/>
      <c r="FQ144" s="105"/>
      <c r="FR144" s="105"/>
      <c r="FS144" s="105"/>
      <c r="FT144" s="105"/>
      <c r="FU144" s="105"/>
      <c r="FV144" s="105"/>
      <c r="FW144" s="105"/>
      <c r="FX144" s="105"/>
      <c r="FY144" s="105"/>
      <c r="FZ144" s="105"/>
      <c r="GA144" s="105"/>
      <c r="GB144" s="105"/>
      <c r="GC144" s="105"/>
      <c r="GD144" s="105"/>
      <c r="GE144" s="105"/>
      <c r="GF144" s="105"/>
      <c r="GG144" s="105"/>
      <c r="GH144" s="105"/>
      <c r="GI144" s="105"/>
      <c r="GJ144" s="105"/>
      <c r="GK144" s="105"/>
      <c r="GL144" s="105"/>
      <c r="GM144" s="105"/>
      <c r="GN144" s="105"/>
      <c r="GO144" s="105"/>
      <c r="GP144" s="105"/>
      <c r="GQ144" s="105"/>
      <c r="GR144" s="108">
        <v>0.11</v>
      </c>
      <c r="GS144" s="109">
        <f t="shared" si="220"/>
        <v>1.9183583046109511</v>
      </c>
      <c r="GT144" s="110">
        <v>1.2500000000000001E-2</v>
      </c>
      <c r="GU144" s="109">
        <f>GT144*(BA144+EU144)</f>
        <v>0.21799526188760809</v>
      </c>
      <c r="GV144" s="108">
        <v>0.02</v>
      </c>
      <c r="GW144" s="109">
        <f t="shared" si="221"/>
        <v>0.14409221902017291</v>
      </c>
      <c r="GX144" s="109">
        <f t="shared" si="222"/>
        <v>2.2804457855187321</v>
      </c>
      <c r="GY144" s="105" t="s">
        <v>125</v>
      </c>
      <c r="GZ144" s="105" t="s">
        <v>87</v>
      </c>
      <c r="HA144" s="109">
        <v>650</v>
      </c>
      <c r="HB144" s="109">
        <v>450</v>
      </c>
      <c r="HC144" s="105">
        <v>330</v>
      </c>
      <c r="HD144" s="105">
        <v>132</v>
      </c>
      <c r="HE144" s="105">
        <v>800</v>
      </c>
      <c r="HF144" s="109">
        <f t="shared" si="223"/>
        <v>7</v>
      </c>
      <c r="HG144" s="105">
        <v>5</v>
      </c>
      <c r="HH144" s="118">
        <f t="shared" si="224"/>
        <v>35</v>
      </c>
      <c r="HI144" s="105">
        <v>39.700000000000003</v>
      </c>
      <c r="HJ144" s="109">
        <f t="shared" si="225"/>
        <v>1389.5</v>
      </c>
      <c r="HK144" s="109"/>
      <c r="HL144" s="109"/>
      <c r="HM144" s="109">
        <v>2</v>
      </c>
      <c r="HN144" s="111">
        <f t="shared" si="226"/>
        <v>480000</v>
      </c>
      <c r="HO144" s="109">
        <f t="shared" si="227"/>
        <v>0.30075757575757578</v>
      </c>
      <c r="HP144" s="109">
        <v>160</v>
      </c>
      <c r="HQ144" s="105">
        <v>0</v>
      </c>
      <c r="HR144" s="105">
        <v>0</v>
      </c>
      <c r="HS144" s="109">
        <v>0</v>
      </c>
      <c r="HT144" s="105">
        <v>0</v>
      </c>
      <c r="HU144" s="105"/>
      <c r="HV144" s="109">
        <f>HO144+HT144</f>
        <v>0.30075757575757578</v>
      </c>
      <c r="HW144" s="109"/>
      <c r="HX144" s="109">
        <v>4200</v>
      </c>
      <c r="HY144" s="109">
        <v>1900</v>
      </c>
      <c r="HZ144" s="109">
        <v>1975</v>
      </c>
      <c r="IA144" s="109">
        <f t="shared" si="228"/>
        <v>6</v>
      </c>
      <c r="IB144" s="109">
        <f t="shared" si="228"/>
        <v>4</v>
      </c>
      <c r="IC144" s="109">
        <f t="shared" si="228"/>
        <v>5</v>
      </c>
      <c r="ID144" s="108">
        <v>1</v>
      </c>
      <c r="IE144" s="109">
        <f t="shared" si="229"/>
        <v>120</v>
      </c>
      <c r="IF144" s="109">
        <v>500</v>
      </c>
      <c r="IG144" s="109">
        <f t="shared" si="230"/>
        <v>3.1565656565656568E-2</v>
      </c>
      <c r="IH144" s="109"/>
      <c r="II144" s="114"/>
      <c r="IJ144" s="114"/>
    </row>
    <row r="145" spans="1:244" ht="15.75">
      <c r="A145">
        <v>141</v>
      </c>
      <c r="B145" t="s">
        <v>468</v>
      </c>
      <c r="C145" t="s">
        <v>1870</v>
      </c>
      <c r="D145" s="28" t="s">
        <v>115</v>
      </c>
      <c r="E145" s="27" t="s">
        <v>116</v>
      </c>
      <c r="F145" s="5" t="s">
        <v>2182</v>
      </c>
      <c r="G145" t="s">
        <v>102</v>
      </c>
      <c r="I145" s="27" t="s">
        <v>121</v>
      </c>
      <c r="J145" s="28">
        <v>21697</v>
      </c>
      <c r="K145" s="27" t="s">
        <v>227</v>
      </c>
      <c r="L145" s="28">
        <v>20089</v>
      </c>
      <c r="M145" s="28" t="s">
        <v>121</v>
      </c>
      <c r="N145" s="28"/>
      <c r="O145" s="28"/>
      <c r="P145" s="28"/>
      <c r="Q145" s="28" t="s">
        <v>1841</v>
      </c>
      <c r="R145" s="28" t="s">
        <v>1769</v>
      </c>
      <c r="S145" s="27"/>
      <c r="T145" s="27"/>
      <c r="U145" s="27"/>
      <c r="V145" s="29" t="s">
        <v>79</v>
      </c>
      <c r="W145" s="139" t="s">
        <v>614</v>
      </c>
      <c r="X145" s="139"/>
      <c r="Y145" s="139"/>
      <c r="Z145" s="139"/>
      <c r="AA145" s="156" t="s">
        <v>613</v>
      </c>
      <c r="AB145" s="121">
        <v>93.62</v>
      </c>
      <c r="AC145" s="114">
        <v>20</v>
      </c>
      <c r="AD145" s="141" t="s">
        <v>431</v>
      </c>
      <c r="AE145" s="119">
        <f t="shared" si="205"/>
        <v>7.7072700000000003</v>
      </c>
      <c r="AF145" s="119"/>
      <c r="AG145" s="119">
        <f t="shared" si="206"/>
        <v>4.4444444444444446</v>
      </c>
      <c r="AH145" s="119">
        <f t="shared" si="207"/>
        <v>6.69</v>
      </c>
      <c r="AI145" s="119">
        <f t="shared" si="208"/>
        <v>0</v>
      </c>
      <c r="AJ145" s="119">
        <f t="shared" si="209"/>
        <v>8.8888888888888892E-2</v>
      </c>
      <c r="AK145" s="119">
        <f t="shared" si="210"/>
        <v>0.24189643055555557</v>
      </c>
      <c r="AL145" s="119">
        <f t="shared" si="211"/>
        <v>1.3366885888888889</v>
      </c>
      <c r="AM145" s="119">
        <f t="shared" si="212"/>
        <v>0.03</v>
      </c>
      <c r="AN145" s="119">
        <f t="shared" si="213"/>
        <v>1.7361111111111112E-2</v>
      </c>
      <c r="AO145" s="123">
        <v>0</v>
      </c>
      <c r="AP145" s="123"/>
      <c r="AQ145" s="119">
        <f t="shared" si="214"/>
        <v>20.556549463888892</v>
      </c>
      <c r="AR145" s="119"/>
      <c r="AS145" s="119"/>
      <c r="AT145" s="123">
        <v>0</v>
      </c>
      <c r="AU145" s="114"/>
      <c r="AV145" s="119">
        <f>AQ145+AT145</f>
        <v>20.556549463888892</v>
      </c>
      <c r="AW145" s="124">
        <v>8.3500000000000005E-2</v>
      </c>
      <c r="AX145" s="114">
        <v>7.8E-2</v>
      </c>
      <c r="AY145" s="120">
        <v>1</v>
      </c>
      <c r="AZ145" s="114">
        <f>(AW145-AX145)*AY145</f>
        <v>5.5000000000000049E-3</v>
      </c>
      <c r="BA145" s="118">
        <f t="shared" si="215"/>
        <v>7.7072700000000003</v>
      </c>
      <c r="BB145" s="118"/>
      <c r="BC145" s="118"/>
      <c r="BD145" s="118"/>
      <c r="BE145" s="118"/>
      <c r="BF145" s="118"/>
      <c r="BG145" s="118"/>
      <c r="BH145" s="118"/>
      <c r="BI145" s="118"/>
      <c r="BJ145" s="118"/>
      <c r="BK145" s="118"/>
      <c r="BL145" s="118"/>
      <c r="BM145" s="118"/>
      <c r="BN145" s="118"/>
      <c r="BO145" s="118"/>
      <c r="BP145" s="118"/>
      <c r="BQ145" s="118"/>
      <c r="BR145" s="118"/>
      <c r="BS145" s="118"/>
      <c r="BT145" s="118"/>
      <c r="BU145" s="118"/>
      <c r="BV145" s="118"/>
      <c r="BW145" s="118"/>
      <c r="BX145" s="118"/>
      <c r="BY145" s="118"/>
      <c r="BZ145" s="118"/>
      <c r="CA145" s="118"/>
      <c r="CB145" s="118"/>
      <c r="CC145" s="118"/>
      <c r="CD145" s="114"/>
      <c r="CE145" s="114">
        <v>0</v>
      </c>
      <c r="CF145" s="114">
        <v>1</v>
      </c>
      <c r="CG145" s="114">
        <v>6.69</v>
      </c>
      <c r="CH145" s="114">
        <f>CG145*CF145</f>
        <v>6.69</v>
      </c>
      <c r="CI145" s="114"/>
      <c r="CJ145" s="114"/>
      <c r="CK145" s="114"/>
      <c r="CL145" s="114"/>
      <c r="CM145" s="114"/>
      <c r="CN145" s="114"/>
      <c r="CO145" s="114"/>
      <c r="CP145" s="114"/>
      <c r="CQ145" s="114"/>
      <c r="CR145" s="114"/>
      <c r="CS145" s="114"/>
      <c r="CT145" s="114"/>
      <c r="CU145" s="114"/>
      <c r="CV145" s="114"/>
      <c r="CW145" s="114"/>
      <c r="CX145" s="114"/>
      <c r="CY145" s="114"/>
      <c r="CZ145" s="114"/>
      <c r="DA145" s="114"/>
      <c r="DB145" s="114"/>
      <c r="DC145" s="114"/>
      <c r="DD145" s="114"/>
      <c r="DE145" s="114"/>
      <c r="DF145" s="114"/>
      <c r="DG145" s="114"/>
      <c r="DH145" s="114"/>
      <c r="DI145" s="114"/>
      <c r="DJ145" s="114"/>
      <c r="DK145" s="114"/>
      <c r="DL145" s="114"/>
      <c r="DM145" s="114">
        <f t="shared" si="216"/>
        <v>6.69</v>
      </c>
      <c r="DN145" s="125">
        <v>0</v>
      </c>
      <c r="DO145" s="109">
        <f t="shared" si="217"/>
        <v>0</v>
      </c>
      <c r="DP145" s="118">
        <f t="shared" si="218"/>
        <v>6.69</v>
      </c>
      <c r="DQ145" s="118"/>
      <c r="DR145" s="118"/>
      <c r="DS145" s="118"/>
      <c r="DT145" s="118"/>
      <c r="DU145" s="118"/>
      <c r="DV145" s="118"/>
      <c r="DW145" s="118"/>
      <c r="DX145" s="118"/>
      <c r="DY145" s="118"/>
      <c r="DZ145" s="118"/>
      <c r="EA145" s="118"/>
      <c r="EB145" s="118"/>
      <c r="EC145" s="118"/>
      <c r="ED145" s="118"/>
      <c r="EE145" s="118"/>
      <c r="EF145" s="114">
        <v>180</v>
      </c>
      <c r="EG145" s="114">
        <v>1800</v>
      </c>
      <c r="EH145" s="114">
        <v>7.5</v>
      </c>
      <c r="EI145" s="120">
        <v>0.9</v>
      </c>
      <c r="EJ145" s="114">
        <v>1</v>
      </c>
      <c r="EK145" s="114">
        <v>60</v>
      </c>
      <c r="EL145" s="114">
        <f>3600/EK145*EH145*EJ145*EI145</f>
        <v>405</v>
      </c>
      <c r="EM145" s="114"/>
      <c r="EN145" s="114"/>
      <c r="EO145" s="114"/>
      <c r="EP145" s="114"/>
      <c r="EQ145" s="114"/>
      <c r="ER145" s="114"/>
      <c r="ES145" s="114"/>
      <c r="ET145" s="114"/>
      <c r="EU145" s="118">
        <f t="shared" si="219"/>
        <v>4.4444444444444446</v>
      </c>
      <c r="EV145" s="114"/>
      <c r="EW145" s="114"/>
      <c r="EX145" s="114"/>
      <c r="EY145" s="114"/>
      <c r="EZ145" s="114"/>
      <c r="FA145" s="114"/>
      <c r="FB145" s="114"/>
      <c r="FC145" s="114"/>
      <c r="FD145" s="114"/>
      <c r="FE145" s="114"/>
      <c r="FF145" s="114"/>
      <c r="FG145" s="114"/>
      <c r="FH145" s="114"/>
      <c r="FI145" s="114"/>
      <c r="FJ145" s="114"/>
      <c r="FK145" s="114"/>
      <c r="FL145" s="114"/>
      <c r="FM145" s="114"/>
      <c r="FN145" s="114"/>
      <c r="FO145" s="114"/>
      <c r="FP145" s="114"/>
      <c r="FQ145" s="114"/>
      <c r="FR145" s="114"/>
      <c r="FS145" s="114"/>
      <c r="FT145" s="114"/>
      <c r="FU145" s="114"/>
      <c r="FV145" s="114"/>
      <c r="FW145" s="114"/>
      <c r="FX145" s="114"/>
      <c r="FY145" s="114"/>
      <c r="FZ145" s="114"/>
      <c r="GA145" s="114"/>
      <c r="GB145" s="114"/>
      <c r="GC145" s="114"/>
      <c r="GD145" s="114"/>
      <c r="GE145" s="114"/>
      <c r="GF145" s="114"/>
      <c r="GG145" s="114"/>
      <c r="GH145" s="114"/>
      <c r="GI145" s="114"/>
      <c r="GJ145" s="114"/>
      <c r="GK145" s="114"/>
      <c r="GL145" s="114"/>
      <c r="GM145" s="114"/>
      <c r="GN145" s="114"/>
      <c r="GO145" s="114"/>
      <c r="GP145" s="114"/>
      <c r="GQ145" s="114"/>
      <c r="GR145" s="120">
        <v>0.11</v>
      </c>
      <c r="GS145" s="118">
        <f t="shared" si="220"/>
        <v>1.3366885888888889</v>
      </c>
      <c r="GT145" s="125">
        <v>1.2500000000000001E-2</v>
      </c>
      <c r="GU145" s="118">
        <f>GT145*(BA145+EU145)+0.09</f>
        <v>0.24189643055555557</v>
      </c>
      <c r="GV145" s="120">
        <v>0.02</v>
      </c>
      <c r="GW145" s="118">
        <f t="shared" si="221"/>
        <v>8.8888888888888892E-2</v>
      </c>
      <c r="GX145" s="118">
        <f t="shared" si="222"/>
        <v>1.6674739083333332</v>
      </c>
      <c r="GY145" s="114" t="s">
        <v>43</v>
      </c>
      <c r="GZ145" s="114" t="s">
        <v>87</v>
      </c>
      <c r="HA145" s="118">
        <v>650</v>
      </c>
      <c r="HB145" s="118">
        <v>450</v>
      </c>
      <c r="HC145" s="114">
        <v>330</v>
      </c>
      <c r="HD145" s="114">
        <v>240</v>
      </c>
      <c r="HE145" s="114">
        <v>2200</v>
      </c>
      <c r="HF145" s="118">
        <f t="shared" si="223"/>
        <v>10</v>
      </c>
      <c r="HG145" s="114">
        <v>5</v>
      </c>
      <c r="HH145" s="118">
        <f t="shared" si="224"/>
        <v>50</v>
      </c>
      <c r="HI145" s="114">
        <v>650</v>
      </c>
      <c r="HJ145" s="118">
        <f t="shared" si="225"/>
        <v>32500</v>
      </c>
      <c r="HK145" s="118"/>
      <c r="HL145" s="118"/>
      <c r="HM145" s="118">
        <v>2</v>
      </c>
      <c r="HN145" s="126">
        <f t="shared" si="226"/>
        <v>1320000</v>
      </c>
      <c r="HO145" s="118">
        <f t="shared" si="227"/>
        <v>2.462121212121212E-2</v>
      </c>
      <c r="HP145" s="118">
        <v>160</v>
      </c>
      <c r="HQ145" s="114">
        <v>0</v>
      </c>
      <c r="HR145" s="114">
        <v>0</v>
      </c>
      <c r="HS145" s="118">
        <v>0</v>
      </c>
      <c r="HT145" s="118">
        <v>0</v>
      </c>
      <c r="HU145" s="118"/>
      <c r="HV145" s="118">
        <f>ROUNDUP(HO145+HT145,2)</f>
        <v>0.03</v>
      </c>
      <c r="HW145" s="118"/>
      <c r="HX145" s="118">
        <v>4200</v>
      </c>
      <c r="HY145" s="118">
        <v>1900</v>
      </c>
      <c r="HZ145" s="118">
        <v>1975</v>
      </c>
      <c r="IA145" s="118">
        <f t="shared" si="228"/>
        <v>6</v>
      </c>
      <c r="IB145" s="118">
        <f t="shared" si="228"/>
        <v>4</v>
      </c>
      <c r="IC145" s="118">
        <f t="shared" si="228"/>
        <v>5</v>
      </c>
      <c r="ID145" s="120">
        <v>1</v>
      </c>
      <c r="IE145" s="118">
        <f t="shared" si="229"/>
        <v>120</v>
      </c>
      <c r="IF145" s="118">
        <v>500</v>
      </c>
      <c r="IG145" s="118">
        <f t="shared" si="230"/>
        <v>1.7361111111111112E-2</v>
      </c>
      <c r="IH145" s="118"/>
      <c r="II145" s="114"/>
      <c r="IJ145" s="114"/>
    </row>
    <row r="146" spans="1:244" ht="15.75">
      <c r="A146">
        <v>141.1</v>
      </c>
      <c r="B146" t="s">
        <v>433</v>
      </c>
      <c r="C146" t="s">
        <v>1870</v>
      </c>
      <c r="D146" s="28" t="s">
        <v>115</v>
      </c>
      <c r="E146" s="27" t="s">
        <v>116</v>
      </c>
      <c r="F146" s="5" t="s">
        <v>2182</v>
      </c>
      <c r="G146" t="s">
        <v>102</v>
      </c>
      <c r="I146" s="27" t="s">
        <v>94</v>
      </c>
      <c r="J146" s="28">
        <v>20089</v>
      </c>
      <c r="K146" s="27" t="s">
        <v>616</v>
      </c>
      <c r="L146" s="28"/>
      <c r="M146" s="28"/>
      <c r="N146" s="28"/>
      <c r="O146" s="28"/>
      <c r="P146" s="28"/>
      <c r="Q146" s="28" t="s">
        <v>1841</v>
      </c>
      <c r="R146" s="28" t="s">
        <v>1769</v>
      </c>
      <c r="S146" s="27"/>
      <c r="T146" s="27"/>
      <c r="U146" s="27"/>
      <c r="V146" s="29"/>
      <c r="W146" s="139"/>
      <c r="X146" s="139"/>
      <c r="Y146" s="139"/>
      <c r="Z146" s="139"/>
      <c r="AA146" s="156" t="s">
        <v>613</v>
      </c>
      <c r="AB146" s="137">
        <v>93.62</v>
      </c>
      <c r="AC146" s="105">
        <v>20</v>
      </c>
      <c r="AD146" s="142" t="s">
        <v>431</v>
      </c>
      <c r="AE146" s="106">
        <f t="shared" si="205"/>
        <v>7.7072700000000003</v>
      </c>
      <c r="AF146" s="106"/>
      <c r="AG146" s="106">
        <f t="shared" si="206"/>
        <v>4.4444444444444446</v>
      </c>
      <c r="AH146" s="106">
        <f t="shared" si="207"/>
        <v>6.69</v>
      </c>
      <c r="AI146" s="106">
        <f t="shared" si="208"/>
        <v>0</v>
      </c>
      <c r="AJ146" s="106">
        <f t="shared" si="209"/>
        <v>8.8888888888888892E-2</v>
      </c>
      <c r="AK146" s="106">
        <f t="shared" si="210"/>
        <v>0.24189643055555557</v>
      </c>
      <c r="AL146" s="106">
        <f t="shared" si="211"/>
        <v>1.3366885888888889</v>
      </c>
      <c r="AM146" s="106">
        <f t="shared" si="212"/>
        <v>0.30075757575757578</v>
      </c>
      <c r="AN146" s="106">
        <f t="shared" si="213"/>
        <v>3.1565656565656568E-2</v>
      </c>
      <c r="AO146" s="107">
        <v>0</v>
      </c>
      <c r="AP146" s="107"/>
      <c r="AQ146" s="106">
        <f t="shared" si="214"/>
        <v>20.841511585101014</v>
      </c>
      <c r="AR146" s="106"/>
      <c r="AS146" s="106"/>
      <c r="AT146" s="107">
        <v>0</v>
      </c>
      <c r="AU146" s="105">
        <v>-0.03</v>
      </c>
      <c r="AV146" s="106">
        <f>AQ146+AT146+AU146</f>
        <v>20.811511585101012</v>
      </c>
      <c r="AW146" s="138">
        <v>8.3500000000000005E-2</v>
      </c>
      <c r="AX146" s="105">
        <v>7.8E-2</v>
      </c>
      <c r="AY146" s="108">
        <v>1</v>
      </c>
      <c r="AZ146" s="105">
        <f>AW146-AX146</f>
        <v>5.5000000000000049E-3</v>
      </c>
      <c r="BA146" s="118">
        <f t="shared" si="215"/>
        <v>7.7072700000000003</v>
      </c>
      <c r="BB146" s="118"/>
      <c r="BC146" s="118"/>
      <c r="BD146" s="118"/>
      <c r="BE146" s="118"/>
      <c r="BF146" s="118"/>
      <c r="BG146" s="118"/>
      <c r="BH146" s="118"/>
      <c r="BI146" s="118"/>
      <c r="BJ146" s="118"/>
      <c r="BK146" s="118"/>
      <c r="BL146" s="118"/>
      <c r="BM146" s="118"/>
      <c r="BN146" s="118"/>
      <c r="BO146" s="118"/>
      <c r="BP146" s="118"/>
      <c r="BQ146" s="118"/>
      <c r="BR146" s="118"/>
      <c r="BS146" s="118"/>
      <c r="BT146" s="118"/>
      <c r="BU146" s="118"/>
      <c r="BV146" s="118"/>
      <c r="BW146" s="118"/>
      <c r="BX146" s="118"/>
      <c r="BY146" s="118"/>
      <c r="BZ146" s="118"/>
      <c r="CA146" s="118"/>
      <c r="CB146" s="118"/>
      <c r="CC146" s="118"/>
      <c r="CD146" s="105"/>
      <c r="CE146" s="105">
        <v>0</v>
      </c>
      <c r="CF146" s="105">
        <v>1</v>
      </c>
      <c r="CG146" s="105">
        <v>6.69</v>
      </c>
      <c r="CH146" s="105">
        <f>CG146*CF146</f>
        <v>6.69</v>
      </c>
      <c r="CI146" s="105"/>
      <c r="CJ146" s="105"/>
      <c r="CK146" s="105"/>
      <c r="CL146" s="105"/>
      <c r="CM146" s="105"/>
      <c r="CN146" s="105"/>
      <c r="CO146" s="105"/>
      <c r="CP146" s="105"/>
      <c r="CQ146" s="105"/>
      <c r="CR146" s="105"/>
      <c r="CS146" s="105"/>
      <c r="CT146" s="105"/>
      <c r="CU146" s="105"/>
      <c r="CV146" s="105"/>
      <c r="CW146" s="105"/>
      <c r="CX146" s="105"/>
      <c r="CY146" s="105"/>
      <c r="CZ146" s="105"/>
      <c r="DA146" s="105"/>
      <c r="DB146" s="105"/>
      <c r="DC146" s="105"/>
      <c r="DD146" s="105"/>
      <c r="DE146" s="105"/>
      <c r="DF146" s="105"/>
      <c r="DG146" s="105"/>
      <c r="DH146" s="105"/>
      <c r="DI146" s="105"/>
      <c r="DJ146" s="105"/>
      <c r="DK146" s="105"/>
      <c r="DL146" s="105"/>
      <c r="DM146" s="105">
        <f t="shared" si="216"/>
        <v>6.69</v>
      </c>
      <c r="DN146" s="125">
        <v>0</v>
      </c>
      <c r="DO146" s="109">
        <f t="shared" si="217"/>
        <v>0</v>
      </c>
      <c r="DP146" s="109">
        <f t="shared" si="218"/>
        <v>6.69</v>
      </c>
      <c r="DQ146" s="109"/>
      <c r="DR146" s="109"/>
      <c r="DS146" s="109"/>
      <c r="DT146" s="109"/>
      <c r="DU146" s="109"/>
      <c r="DV146" s="109"/>
      <c r="DW146" s="109"/>
      <c r="DX146" s="109"/>
      <c r="DY146" s="109"/>
      <c r="DZ146" s="109"/>
      <c r="EA146" s="109"/>
      <c r="EB146" s="109"/>
      <c r="EC146" s="109"/>
      <c r="ED146" s="109"/>
      <c r="EE146" s="109"/>
      <c r="EF146" s="105">
        <v>180</v>
      </c>
      <c r="EG146" s="105">
        <v>1800</v>
      </c>
      <c r="EH146" s="105">
        <v>7.5</v>
      </c>
      <c r="EI146" s="108">
        <v>0.9</v>
      </c>
      <c r="EJ146" s="105">
        <v>1</v>
      </c>
      <c r="EK146" s="105">
        <v>60</v>
      </c>
      <c r="EL146" s="111">
        <f>ROUND(3600/EK146*EH146*EJ146*EI146,0)</f>
        <v>405</v>
      </c>
      <c r="EM146" s="105"/>
      <c r="EN146" s="105"/>
      <c r="EO146" s="105"/>
      <c r="EP146" s="111"/>
      <c r="EQ146" s="111"/>
      <c r="ER146" s="111"/>
      <c r="ES146" s="111"/>
      <c r="ET146" s="111"/>
      <c r="EU146" s="109">
        <f t="shared" si="219"/>
        <v>4.4444444444444446</v>
      </c>
      <c r="EV146" s="105"/>
      <c r="EW146" s="105"/>
      <c r="EX146" s="105"/>
      <c r="EY146" s="105"/>
      <c r="EZ146" s="105"/>
      <c r="FA146" s="105"/>
      <c r="FB146" s="105"/>
      <c r="FC146" s="105"/>
      <c r="FD146" s="105"/>
      <c r="FE146" s="105"/>
      <c r="FF146" s="105"/>
      <c r="FG146" s="105"/>
      <c r="FH146" s="105"/>
      <c r="FI146" s="105"/>
      <c r="FJ146" s="105"/>
      <c r="FK146" s="105"/>
      <c r="FL146" s="105"/>
      <c r="FM146" s="105"/>
      <c r="FN146" s="105"/>
      <c r="FO146" s="105"/>
      <c r="FP146" s="105"/>
      <c r="FQ146" s="105"/>
      <c r="FR146" s="105"/>
      <c r="FS146" s="105"/>
      <c r="FT146" s="105"/>
      <c r="FU146" s="105"/>
      <c r="FV146" s="105"/>
      <c r="FW146" s="105"/>
      <c r="FX146" s="105"/>
      <c r="FY146" s="105"/>
      <c r="FZ146" s="105"/>
      <c r="GA146" s="105"/>
      <c r="GB146" s="105"/>
      <c r="GC146" s="105"/>
      <c r="GD146" s="105"/>
      <c r="GE146" s="105"/>
      <c r="GF146" s="105"/>
      <c r="GG146" s="105"/>
      <c r="GH146" s="105"/>
      <c r="GI146" s="105"/>
      <c r="GJ146" s="105"/>
      <c r="GK146" s="105"/>
      <c r="GL146" s="105"/>
      <c r="GM146" s="105"/>
      <c r="GN146" s="105"/>
      <c r="GO146" s="105"/>
      <c r="GP146" s="105"/>
      <c r="GQ146" s="105"/>
      <c r="GR146" s="108">
        <v>0.11</v>
      </c>
      <c r="GS146" s="109">
        <f t="shared" si="220"/>
        <v>1.3366885888888889</v>
      </c>
      <c r="GT146" s="110">
        <v>1.2500000000000001E-2</v>
      </c>
      <c r="GU146" s="118">
        <f>GT146*(BA146+EU146)+0.09</f>
        <v>0.24189643055555557</v>
      </c>
      <c r="GV146" s="108">
        <v>0.02</v>
      </c>
      <c r="GW146" s="109">
        <f t="shared" si="221"/>
        <v>8.8888888888888892E-2</v>
      </c>
      <c r="GX146" s="109">
        <f t="shared" si="222"/>
        <v>1.6674739083333332</v>
      </c>
      <c r="GY146" s="105" t="s">
        <v>125</v>
      </c>
      <c r="GZ146" s="105" t="s">
        <v>87</v>
      </c>
      <c r="HA146" s="109">
        <v>650</v>
      </c>
      <c r="HB146" s="109">
        <v>450</v>
      </c>
      <c r="HC146" s="105">
        <v>330</v>
      </c>
      <c r="HD146" s="105">
        <v>132</v>
      </c>
      <c r="HE146" s="105">
        <v>800</v>
      </c>
      <c r="HF146" s="109">
        <f t="shared" si="223"/>
        <v>7</v>
      </c>
      <c r="HG146" s="105">
        <v>5</v>
      </c>
      <c r="HH146" s="118">
        <f t="shared" si="224"/>
        <v>35</v>
      </c>
      <c r="HI146" s="105">
        <v>39.700000000000003</v>
      </c>
      <c r="HJ146" s="109">
        <f t="shared" si="225"/>
        <v>1389.5</v>
      </c>
      <c r="HK146" s="109"/>
      <c r="HL146" s="109"/>
      <c r="HM146" s="109">
        <v>2</v>
      </c>
      <c r="HN146" s="111">
        <f t="shared" si="226"/>
        <v>480000</v>
      </c>
      <c r="HO146" s="109">
        <f t="shared" si="227"/>
        <v>0.30075757575757578</v>
      </c>
      <c r="HP146" s="109">
        <v>160</v>
      </c>
      <c r="HQ146" s="105">
        <v>0</v>
      </c>
      <c r="HR146" s="105">
        <v>0</v>
      </c>
      <c r="HS146" s="109">
        <v>0</v>
      </c>
      <c r="HT146" s="105">
        <v>0</v>
      </c>
      <c r="HU146" s="105"/>
      <c r="HV146" s="109">
        <f>HO146+HT146</f>
        <v>0.30075757575757578</v>
      </c>
      <c r="HW146" s="109"/>
      <c r="HX146" s="109">
        <v>4200</v>
      </c>
      <c r="HY146" s="109">
        <v>1900</v>
      </c>
      <c r="HZ146" s="109">
        <v>1975</v>
      </c>
      <c r="IA146" s="109">
        <f t="shared" si="228"/>
        <v>6</v>
      </c>
      <c r="IB146" s="109">
        <f t="shared" si="228"/>
        <v>4</v>
      </c>
      <c r="IC146" s="109">
        <f t="shared" si="228"/>
        <v>5</v>
      </c>
      <c r="ID146" s="108">
        <v>1</v>
      </c>
      <c r="IE146" s="109">
        <f t="shared" si="229"/>
        <v>120</v>
      </c>
      <c r="IF146" s="109">
        <v>500</v>
      </c>
      <c r="IG146" s="109">
        <f t="shared" si="230"/>
        <v>3.1565656565656568E-2</v>
      </c>
      <c r="IH146" s="109"/>
      <c r="II146" s="114"/>
      <c r="IJ146" s="114"/>
    </row>
    <row r="147" spans="1:244" ht="15.75">
      <c r="A147">
        <v>142</v>
      </c>
      <c r="B147" t="s">
        <v>468</v>
      </c>
      <c r="C147" t="s">
        <v>1870</v>
      </c>
      <c r="D147" s="28" t="s">
        <v>115</v>
      </c>
      <c r="E147" s="27" t="s">
        <v>116</v>
      </c>
      <c r="F147" s="5" t="s">
        <v>2182</v>
      </c>
      <c r="G147" t="s">
        <v>102</v>
      </c>
      <c r="I147" s="27" t="s">
        <v>226</v>
      </c>
      <c r="J147" s="28">
        <v>21590</v>
      </c>
      <c r="K147" s="27" t="s">
        <v>397</v>
      </c>
      <c r="L147" s="28"/>
      <c r="M147" s="28"/>
      <c r="N147" s="28" t="s">
        <v>1925</v>
      </c>
      <c r="O147" s="28" t="s">
        <v>1038</v>
      </c>
      <c r="P147" s="331">
        <v>44069</v>
      </c>
      <c r="Q147" s="28" t="s">
        <v>1841</v>
      </c>
      <c r="R147" s="28" t="s">
        <v>1769</v>
      </c>
      <c r="S147" s="27"/>
      <c r="T147" s="27"/>
      <c r="U147" s="27"/>
      <c r="V147" s="29" t="s">
        <v>79</v>
      </c>
      <c r="W147" s="139" t="s">
        <v>614</v>
      </c>
      <c r="X147" s="139"/>
      <c r="Y147" s="139"/>
      <c r="Z147" s="139"/>
      <c r="AA147" s="156" t="s">
        <v>613</v>
      </c>
      <c r="AB147" s="121">
        <v>93.62</v>
      </c>
      <c r="AC147" s="114">
        <v>20</v>
      </c>
      <c r="AD147" s="141" t="s">
        <v>431</v>
      </c>
      <c r="AE147" s="119">
        <f t="shared" si="205"/>
        <v>7.7072700000000003</v>
      </c>
      <c r="AF147" s="119"/>
      <c r="AG147" s="119">
        <f t="shared" si="206"/>
        <v>4.4444444444444446</v>
      </c>
      <c r="AH147" s="119">
        <f t="shared" si="207"/>
        <v>6.69</v>
      </c>
      <c r="AI147" s="119">
        <f t="shared" si="208"/>
        <v>0</v>
      </c>
      <c r="AJ147" s="119">
        <f t="shared" si="209"/>
        <v>8.8888888888888892E-2</v>
      </c>
      <c r="AK147" s="119">
        <f t="shared" si="210"/>
        <v>0.24189643055555557</v>
      </c>
      <c r="AL147" s="119">
        <f t="shared" si="211"/>
        <v>1.3366885888888889</v>
      </c>
      <c r="AM147" s="119">
        <f t="shared" si="212"/>
        <v>0.03</v>
      </c>
      <c r="AN147" s="119">
        <f t="shared" si="213"/>
        <v>1.7361111111111112E-2</v>
      </c>
      <c r="AO147" s="123">
        <v>0</v>
      </c>
      <c r="AP147" s="123"/>
      <c r="AQ147" s="119">
        <f t="shared" si="214"/>
        <v>20.556549463888892</v>
      </c>
      <c r="AR147" s="119"/>
      <c r="AS147" s="119"/>
      <c r="AT147" s="123">
        <v>0</v>
      </c>
      <c r="AU147" s="114"/>
      <c r="AV147" s="119">
        <f>AQ147+AT147</f>
        <v>20.556549463888892</v>
      </c>
      <c r="AW147" s="124">
        <v>8.3500000000000005E-2</v>
      </c>
      <c r="AX147" s="114">
        <v>7.8E-2</v>
      </c>
      <c r="AY147" s="120">
        <v>1</v>
      </c>
      <c r="AZ147" s="114">
        <f>(AW147-AX147)*AY147</f>
        <v>5.5000000000000049E-3</v>
      </c>
      <c r="BA147" s="118">
        <f t="shared" si="215"/>
        <v>7.7072700000000003</v>
      </c>
      <c r="BB147" s="118"/>
      <c r="BC147" s="118"/>
      <c r="BD147" s="118"/>
      <c r="BE147" s="118"/>
      <c r="BF147" s="118"/>
      <c r="BG147" s="118"/>
      <c r="BH147" s="118"/>
      <c r="BI147" s="118"/>
      <c r="BJ147" s="118"/>
      <c r="BK147" s="118"/>
      <c r="BL147" s="118"/>
      <c r="BM147" s="118"/>
      <c r="BN147" s="118"/>
      <c r="BO147" s="118"/>
      <c r="BP147" s="118"/>
      <c r="BQ147" s="118"/>
      <c r="BR147" s="118"/>
      <c r="BS147" s="118"/>
      <c r="BT147" s="118"/>
      <c r="BU147" s="118"/>
      <c r="BV147" s="118"/>
      <c r="BW147" s="118"/>
      <c r="BX147" s="118"/>
      <c r="BY147" s="118"/>
      <c r="BZ147" s="118"/>
      <c r="CA147" s="118"/>
      <c r="CB147" s="118"/>
      <c r="CC147" s="118"/>
      <c r="CD147" s="114"/>
      <c r="CE147" s="114">
        <v>0</v>
      </c>
      <c r="CF147" s="114">
        <v>1</v>
      </c>
      <c r="CG147" s="114">
        <v>6.69</v>
      </c>
      <c r="CH147" s="114">
        <f>CG147*CF147</f>
        <v>6.69</v>
      </c>
      <c r="CI147" s="114"/>
      <c r="CJ147" s="114"/>
      <c r="CK147" s="114"/>
      <c r="CL147" s="114"/>
      <c r="CM147" s="114"/>
      <c r="CN147" s="114"/>
      <c r="CO147" s="114"/>
      <c r="CP147" s="114"/>
      <c r="CQ147" s="114"/>
      <c r="CR147" s="114"/>
      <c r="CS147" s="114"/>
      <c r="CT147" s="114"/>
      <c r="CU147" s="114"/>
      <c r="CV147" s="114"/>
      <c r="CW147" s="114"/>
      <c r="CX147" s="114"/>
      <c r="CY147" s="114"/>
      <c r="CZ147" s="114"/>
      <c r="DA147" s="114"/>
      <c r="DB147" s="114"/>
      <c r="DC147" s="114"/>
      <c r="DD147" s="114"/>
      <c r="DE147" s="114"/>
      <c r="DF147" s="114"/>
      <c r="DG147" s="114"/>
      <c r="DH147" s="114"/>
      <c r="DI147" s="114"/>
      <c r="DJ147" s="114"/>
      <c r="DK147" s="114"/>
      <c r="DL147" s="114"/>
      <c r="DM147" s="114">
        <f t="shared" si="216"/>
        <v>6.69</v>
      </c>
      <c r="DN147" s="125">
        <v>0</v>
      </c>
      <c r="DO147" s="109">
        <f t="shared" si="217"/>
        <v>0</v>
      </c>
      <c r="DP147" s="118">
        <f t="shared" si="218"/>
        <v>6.69</v>
      </c>
      <c r="DQ147" s="118"/>
      <c r="DR147" s="118"/>
      <c r="DS147" s="118"/>
      <c r="DT147" s="118"/>
      <c r="DU147" s="118"/>
      <c r="DV147" s="118"/>
      <c r="DW147" s="118"/>
      <c r="DX147" s="118"/>
      <c r="DY147" s="118"/>
      <c r="DZ147" s="118"/>
      <c r="EA147" s="118"/>
      <c r="EB147" s="118"/>
      <c r="EC147" s="118"/>
      <c r="ED147" s="118"/>
      <c r="EE147" s="118"/>
      <c r="EF147" s="114">
        <v>180</v>
      </c>
      <c r="EG147" s="114">
        <v>1800</v>
      </c>
      <c r="EH147" s="114">
        <v>7.5</v>
      </c>
      <c r="EI147" s="120">
        <v>0.9</v>
      </c>
      <c r="EJ147" s="114">
        <v>1</v>
      </c>
      <c r="EK147" s="114">
        <v>60</v>
      </c>
      <c r="EL147" s="114">
        <f>3600/EK147*EH147*EJ147*EI147</f>
        <v>405</v>
      </c>
      <c r="EM147" s="114"/>
      <c r="EN147" s="114"/>
      <c r="EO147" s="114"/>
      <c r="EP147" s="114"/>
      <c r="EQ147" s="114"/>
      <c r="ER147" s="114"/>
      <c r="ES147" s="114"/>
      <c r="ET147" s="114"/>
      <c r="EU147" s="118">
        <f t="shared" si="219"/>
        <v>4.4444444444444446</v>
      </c>
      <c r="EV147" s="114"/>
      <c r="EW147" s="114"/>
      <c r="EX147" s="114"/>
      <c r="EY147" s="114"/>
      <c r="EZ147" s="114"/>
      <c r="FA147" s="114"/>
      <c r="FB147" s="114"/>
      <c r="FC147" s="114"/>
      <c r="FD147" s="114"/>
      <c r="FE147" s="114"/>
      <c r="FF147" s="114"/>
      <c r="FG147" s="114"/>
      <c r="FH147" s="114"/>
      <c r="FI147" s="114"/>
      <c r="FJ147" s="114"/>
      <c r="FK147" s="114"/>
      <c r="FL147" s="114"/>
      <c r="FM147" s="114"/>
      <c r="FN147" s="114"/>
      <c r="FO147" s="114"/>
      <c r="FP147" s="114"/>
      <c r="FQ147" s="114"/>
      <c r="FR147" s="114"/>
      <c r="FS147" s="114"/>
      <c r="FT147" s="114"/>
      <c r="FU147" s="114"/>
      <c r="FV147" s="114"/>
      <c r="FW147" s="114"/>
      <c r="FX147" s="114"/>
      <c r="FY147" s="114"/>
      <c r="FZ147" s="114"/>
      <c r="GA147" s="114"/>
      <c r="GB147" s="114"/>
      <c r="GC147" s="114"/>
      <c r="GD147" s="114"/>
      <c r="GE147" s="114"/>
      <c r="GF147" s="114"/>
      <c r="GG147" s="114"/>
      <c r="GH147" s="114"/>
      <c r="GI147" s="114"/>
      <c r="GJ147" s="114"/>
      <c r="GK147" s="114"/>
      <c r="GL147" s="114"/>
      <c r="GM147" s="114"/>
      <c r="GN147" s="114"/>
      <c r="GO147" s="114"/>
      <c r="GP147" s="114"/>
      <c r="GQ147" s="114"/>
      <c r="GR147" s="120">
        <v>0.11</v>
      </c>
      <c r="GS147" s="118">
        <f t="shared" si="220"/>
        <v>1.3366885888888889</v>
      </c>
      <c r="GT147" s="125">
        <v>1.2500000000000001E-2</v>
      </c>
      <c r="GU147" s="118">
        <f>GT147*(BA147+EU147)+0.09</f>
        <v>0.24189643055555557</v>
      </c>
      <c r="GV147" s="120">
        <v>0.02</v>
      </c>
      <c r="GW147" s="118">
        <f t="shared" si="221"/>
        <v>8.8888888888888892E-2</v>
      </c>
      <c r="GX147" s="118">
        <f t="shared" si="222"/>
        <v>1.6674739083333332</v>
      </c>
      <c r="GY147" s="114" t="s">
        <v>43</v>
      </c>
      <c r="GZ147" s="114" t="s">
        <v>87</v>
      </c>
      <c r="HA147" s="118">
        <v>650</v>
      </c>
      <c r="HB147" s="118">
        <v>450</v>
      </c>
      <c r="HC147" s="114">
        <v>330</v>
      </c>
      <c r="HD147" s="114">
        <v>240</v>
      </c>
      <c r="HE147" s="114">
        <v>2200</v>
      </c>
      <c r="HF147" s="118">
        <f t="shared" si="223"/>
        <v>10</v>
      </c>
      <c r="HG147" s="114">
        <v>5</v>
      </c>
      <c r="HH147" s="118">
        <f t="shared" si="224"/>
        <v>50</v>
      </c>
      <c r="HI147" s="114">
        <v>650</v>
      </c>
      <c r="HJ147" s="118">
        <f t="shared" si="225"/>
        <v>32500</v>
      </c>
      <c r="HK147" s="118"/>
      <c r="HL147" s="118"/>
      <c r="HM147" s="118">
        <v>2</v>
      </c>
      <c r="HN147" s="126">
        <f t="shared" si="226"/>
        <v>1320000</v>
      </c>
      <c r="HO147" s="118">
        <f t="shared" si="227"/>
        <v>2.462121212121212E-2</v>
      </c>
      <c r="HP147" s="118">
        <v>160</v>
      </c>
      <c r="HQ147" s="114">
        <v>0</v>
      </c>
      <c r="HR147" s="114">
        <v>0</v>
      </c>
      <c r="HS147" s="118">
        <v>0</v>
      </c>
      <c r="HT147" s="118">
        <v>0</v>
      </c>
      <c r="HU147" s="118"/>
      <c r="HV147" s="118">
        <f>ROUNDUP(HO147+HT147,2)</f>
        <v>0.03</v>
      </c>
      <c r="HW147" s="118"/>
      <c r="HX147" s="118">
        <v>4200</v>
      </c>
      <c r="HY147" s="118">
        <v>1900</v>
      </c>
      <c r="HZ147" s="118">
        <v>1975</v>
      </c>
      <c r="IA147" s="118">
        <f t="shared" si="228"/>
        <v>6</v>
      </c>
      <c r="IB147" s="118">
        <f t="shared" si="228"/>
        <v>4</v>
      </c>
      <c r="IC147" s="118">
        <f t="shared" si="228"/>
        <v>5</v>
      </c>
      <c r="ID147" s="120">
        <v>1</v>
      </c>
      <c r="IE147" s="118">
        <f t="shared" si="229"/>
        <v>120</v>
      </c>
      <c r="IF147" s="118">
        <v>500</v>
      </c>
      <c r="IG147" s="118">
        <f t="shared" si="230"/>
        <v>1.7361111111111112E-2</v>
      </c>
      <c r="IH147" s="4"/>
    </row>
    <row r="148" spans="1:244">
      <c r="A148">
        <v>491</v>
      </c>
      <c r="B148" t="s">
        <v>468</v>
      </c>
      <c r="C148" s="456" t="s">
        <v>4934</v>
      </c>
      <c r="D148" s="28" t="s">
        <v>1352</v>
      </c>
      <c r="E148" s="28" t="s">
        <v>1353</v>
      </c>
      <c r="F148" s="28" t="s">
        <v>2182</v>
      </c>
      <c r="G148" s="27" t="s">
        <v>90</v>
      </c>
      <c r="I148" s="27" t="s">
        <v>121</v>
      </c>
      <c r="J148" s="28">
        <v>21554</v>
      </c>
      <c r="K148" s="27" t="s">
        <v>228</v>
      </c>
    </row>
    <row r="149" spans="1:244">
      <c r="A149">
        <v>123.2</v>
      </c>
      <c r="B149" t="s">
        <v>468</v>
      </c>
      <c r="C149" s="96" t="s">
        <v>623</v>
      </c>
      <c r="D149" s="28" t="s">
        <v>330</v>
      </c>
      <c r="E149" s="27" t="s">
        <v>331</v>
      </c>
      <c r="F149" s="27" t="s">
        <v>2192</v>
      </c>
      <c r="G149" t="s">
        <v>102</v>
      </c>
      <c r="H149" s="27" t="s">
        <v>2200</v>
      </c>
      <c r="I149" s="27" t="s">
        <v>226</v>
      </c>
      <c r="J149" s="28">
        <v>21712</v>
      </c>
      <c r="K149" s="27" t="s">
        <v>400</v>
      </c>
      <c r="L149" s="28"/>
      <c r="M149" s="28"/>
      <c r="N149" s="28"/>
      <c r="O149" s="28"/>
      <c r="P149" s="28"/>
      <c r="Q149" s="28" t="s">
        <v>1841</v>
      </c>
      <c r="R149" s="28" t="s">
        <v>1038</v>
      </c>
      <c r="S149" s="27"/>
      <c r="T149" s="27"/>
      <c r="U149" s="27"/>
      <c r="V149" s="29" t="s">
        <v>79</v>
      </c>
      <c r="W149"/>
      <c r="X149"/>
      <c r="Y149"/>
      <c r="Z149"/>
      <c r="AA149" s="21"/>
    </row>
    <row r="150" spans="1:244">
      <c r="A150">
        <v>493</v>
      </c>
      <c r="B150" t="s">
        <v>1947</v>
      </c>
      <c r="D150" s="251" t="s">
        <v>660</v>
      </c>
      <c r="E150" s="28" t="s">
        <v>156</v>
      </c>
      <c r="F150" s="28" t="s">
        <v>1947</v>
      </c>
      <c r="G150" s="27" t="s">
        <v>90</v>
      </c>
      <c r="I150" s="27" t="s">
        <v>121</v>
      </c>
      <c r="J150" s="28">
        <v>20895</v>
      </c>
      <c r="K150" s="27" t="s">
        <v>1242</v>
      </c>
    </row>
    <row r="151" spans="1:244">
      <c r="A151">
        <v>35</v>
      </c>
      <c r="B151" t="s">
        <v>468</v>
      </c>
      <c r="C151" s="5" t="s">
        <v>445</v>
      </c>
      <c r="D151" s="28" t="s">
        <v>147</v>
      </c>
      <c r="E151" s="27" t="s">
        <v>148</v>
      </c>
      <c r="F151" s="27" t="s">
        <v>2191</v>
      </c>
      <c r="G151" s="27" t="s">
        <v>101</v>
      </c>
      <c r="H151" s="27"/>
      <c r="I151" s="27" t="s">
        <v>121</v>
      </c>
      <c r="J151" s="28">
        <v>29010</v>
      </c>
      <c r="K151" s="27" t="s">
        <v>229</v>
      </c>
      <c r="L151" s="28"/>
      <c r="M151" s="28"/>
      <c r="N151" s="28"/>
      <c r="O151" s="28"/>
      <c r="P151" s="28"/>
      <c r="Q151" s="28" t="s">
        <v>1843</v>
      </c>
      <c r="R151" s="28" t="s">
        <v>1769</v>
      </c>
      <c r="S151" s="27"/>
      <c r="T151" s="27"/>
      <c r="U151" s="27"/>
      <c r="V151" s="29" t="s">
        <v>79</v>
      </c>
      <c r="W151" s="30"/>
      <c r="X151" s="30"/>
      <c r="Y151" s="30"/>
      <c r="Z151" s="30"/>
      <c r="AA151" s="5"/>
      <c r="AB151" s="339"/>
      <c r="AC151" s="11"/>
      <c r="AD151"/>
      <c r="AE151" s="7"/>
      <c r="AF151" s="7"/>
      <c r="AG151" s="7"/>
      <c r="AH151" s="7"/>
      <c r="AI151" s="7"/>
      <c r="AJ151" s="7"/>
      <c r="AK151" s="7"/>
      <c r="AL151" s="7"/>
      <c r="AM151" s="42"/>
      <c r="AN151" s="7"/>
      <c r="AO151" s="6"/>
      <c r="AP151" s="6"/>
      <c r="AQ151" s="43"/>
      <c r="AR151" s="43"/>
      <c r="AS151" s="43"/>
      <c r="AT151" s="6"/>
      <c r="AU151" s="7"/>
      <c r="AV151" s="43"/>
      <c r="AY151" s="8"/>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DN151" s="9"/>
      <c r="DO151" s="4"/>
      <c r="DP151" s="4"/>
      <c r="DQ151" s="4"/>
      <c r="DR151" s="4"/>
      <c r="DS151" s="4"/>
      <c r="DT151" s="4"/>
      <c r="DU151" s="4"/>
      <c r="DV151" s="4"/>
      <c r="DW151" s="4"/>
      <c r="DX151" s="4"/>
      <c r="DY151" s="4"/>
      <c r="DZ151" s="4"/>
      <c r="EA151" s="4"/>
      <c r="EB151" s="4"/>
      <c r="EC151" s="4"/>
      <c r="ED151" s="4"/>
      <c r="EE151" s="4"/>
      <c r="EI151" s="8"/>
      <c r="EL151" s="10"/>
      <c r="EM151" s="10"/>
      <c r="EN151" s="10"/>
      <c r="EO151" s="10"/>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8"/>
      <c r="GS151" s="4"/>
      <c r="GT151" s="9"/>
      <c r="GU151" s="4"/>
      <c r="GV151" s="8"/>
      <c r="GW151" s="4"/>
      <c r="GX151" s="4"/>
      <c r="HA151" s="4"/>
      <c r="HB151" s="4"/>
      <c r="HF151" s="4"/>
      <c r="HH151" s="4"/>
      <c r="HJ151" s="4"/>
      <c r="HK151" s="4"/>
      <c r="HL151" s="4"/>
      <c r="HM151" s="4"/>
      <c r="HN151" s="10"/>
      <c r="HO151" s="4"/>
      <c r="HP151" s="4"/>
      <c r="HR151" s="4"/>
      <c r="HS151" s="4"/>
      <c r="HT151" s="4"/>
      <c r="HU151" s="4"/>
      <c r="HV151" s="4"/>
      <c r="HW151" s="4"/>
      <c r="HX151" s="4"/>
      <c r="HY151" s="4"/>
      <c r="HZ151" s="4"/>
      <c r="IA151" s="4"/>
      <c r="IB151" s="4"/>
      <c r="IC151" s="4"/>
      <c r="ID151" s="8"/>
      <c r="IE151" s="44"/>
      <c r="IF151" s="4"/>
      <c r="IG151" s="4"/>
      <c r="IH151" s="4"/>
    </row>
    <row r="152" spans="1:244">
      <c r="A152">
        <v>190</v>
      </c>
      <c r="B152" t="s">
        <v>468</v>
      </c>
      <c r="C152" t="s">
        <v>427</v>
      </c>
      <c r="D152" s="28" t="s">
        <v>385</v>
      </c>
      <c r="E152" s="27" t="s">
        <v>386</v>
      </c>
      <c r="F152" s="27" t="s">
        <v>2182</v>
      </c>
      <c r="G152" s="259" t="s">
        <v>101</v>
      </c>
      <c r="H152" s="259"/>
      <c r="I152" s="27" t="s">
        <v>226</v>
      </c>
      <c r="J152" s="28">
        <v>21590</v>
      </c>
      <c r="K152" s="27" t="s">
        <v>397</v>
      </c>
      <c r="L152">
        <v>20089</v>
      </c>
      <c r="M152" t="s">
        <v>464</v>
      </c>
      <c r="N152" s="28"/>
      <c r="O152" s="28"/>
      <c r="P152" s="331"/>
      <c r="Q152" s="13" t="s">
        <v>1035</v>
      </c>
      <c r="R152" s="13" t="s">
        <v>1769</v>
      </c>
      <c r="T152" s="5"/>
      <c r="U152" s="5"/>
      <c r="V152" s="29" t="s">
        <v>79</v>
      </c>
      <c r="W152" s="5" t="s">
        <v>2229</v>
      </c>
      <c r="X152" s="5"/>
      <c r="Y152" s="5"/>
      <c r="Z152" s="5"/>
      <c r="AA152" s="51" t="s">
        <v>126</v>
      </c>
      <c r="AB152" s="66">
        <v>93.62</v>
      </c>
      <c r="AC152">
        <v>20</v>
      </c>
      <c r="AD152" t="s">
        <v>431</v>
      </c>
      <c r="AE152" s="7">
        <f>BA152</f>
        <v>9.6732900000000015</v>
      </c>
      <c r="AF152" s="7"/>
      <c r="AG152" s="7">
        <f>EU152</f>
        <v>2.4499999999999997</v>
      </c>
      <c r="AH152" s="7">
        <f>DM152</f>
        <v>0</v>
      </c>
      <c r="AI152" s="7">
        <f>DO152</f>
        <v>0</v>
      </c>
      <c r="AJ152" s="7">
        <f>GW152</f>
        <v>0.05</v>
      </c>
      <c r="AK152" s="7">
        <f>GU152</f>
        <v>0.16</v>
      </c>
      <c r="AL152" s="7">
        <f>GS152</f>
        <v>1.34</v>
      </c>
      <c r="AM152" s="7">
        <f>HV152</f>
        <v>0.03</v>
      </c>
      <c r="AN152" s="7">
        <f>IG152</f>
        <v>0.19</v>
      </c>
      <c r="AO152" s="6">
        <v>0</v>
      </c>
      <c r="AP152" s="6"/>
      <c r="AQ152" s="7">
        <f>SUM(AE152:AP152)</f>
        <v>13.89329</v>
      </c>
      <c r="AR152" s="7"/>
      <c r="AS152" s="7"/>
      <c r="AT152" s="6">
        <v>0</v>
      </c>
      <c r="AV152" s="7">
        <f>AQ152+AT152+AU152</f>
        <v>13.89329</v>
      </c>
      <c r="AW152" s="14">
        <v>0.10450000000000001</v>
      </c>
      <c r="AX152">
        <v>9.9000000000000005E-2</v>
      </c>
      <c r="AY152" s="8">
        <v>1</v>
      </c>
      <c r="AZ152">
        <f>(AW152-AX152)*AY152</f>
        <v>5.5000000000000049E-3</v>
      </c>
      <c r="BA152" s="4">
        <f>AW152*AB152-AZ152*AC152</f>
        <v>9.6732900000000015</v>
      </c>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DM152">
        <f>CH152+CM152+CR152+DB152+DG152+DL152</f>
        <v>0</v>
      </c>
      <c r="DN152" s="9">
        <v>1.2500000000000001E-2</v>
      </c>
      <c r="DO152" s="4">
        <f>DN152*CG152*CF152</f>
        <v>0</v>
      </c>
      <c r="DP152" s="4">
        <f>DM152+DO152</f>
        <v>0</v>
      </c>
      <c r="DQ152" s="4"/>
      <c r="DR152" s="4"/>
      <c r="DS152" s="4"/>
      <c r="DT152" s="4"/>
      <c r="DU152" s="4"/>
      <c r="DV152" s="4"/>
      <c r="DW152" s="4"/>
      <c r="DX152" s="4"/>
      <c r="DY152" s="4"/>
      <c r="DZ152" s="4"/>
      <c r="EA152" s="4"/>
      <c r="EB152" s="4"/>
      <c r="EC152" s="4"/>
      <c r="ED152" s="4"/>
      <c r="EE152" s="4"/>
      <c r="EF152">
        <v>250</v>
      </c>
      <c r="EG152">
        <v>2500</v>
      </c>
      <c r="EH152">
        <v>7.5</v>
      </c>
      <c r="EI152" s="8">
        <v>0.9</v>
      </c>
      <c r="EJ152">
        <v>4</v>
      </c>
      <c r="EK152">
        <v>95</v>
      </c>
      <c r="EL152" s="10">
        <f>ROUND(3600/EK152*EH152*EJ152*EI152,0)</f>
        <v>1023</v>
      </c>
      <c r="EU152" s="4">
        <f>ROUNDUP((EG152/EL152),2)</f>
        <v>2.4499999999999997</v>
      </c>
      <c r="EV152" s="4"/>
      <c r="EW152" s="4"/>
      <c r="GR152" s="8">
        <v>0.11</v>
      </c>
      <c r="GS152" s="4">
        <f>ROUNDUP(GR152*(BA152+EU152),2)</f>
        <v>1.34</v>
      </c>
      <c r="GT152" s="9">
        <v>1.2500000000000001E-2</v>
      </c>
      <c r="GU152" s="4">
        <f>ROUNDUP(GT152*(BA152+EU152),2)</f>
        <v>0.16</v>
      </c>
      <c r="GV152" s="8">
        <v>0.02</v>
      </c>
      <c r="GW152" s="4">
        <f>ROUNDUP(GV152*EU152,2)</f>
        <v>0.05</v>
      </c>
      <c r="GX152" s="4">
        <f>GS152+GU152+GW152</f>
        <v>1.55</v>
      </c>
      <c r="GY152" t="s">
        <v>418</v>
      </c>
      <c r="GZ152" t="s">
        <v>87</v>
      </c>
      <c r="HA152">
        <v>650</v>
      </c>
      <c r="HB152">
        <v>450</v>
      </c>
      <c r="HC152">
        <v>330</v>
      </c>
      <c r="HD152">
        <v>240</v>
      </c>
      <c r="HE152">
        <v>1200</v>
      </c>
      <c r="HF152" s="4">
        <f>ROUNDUP(HE152/HD152,0)</f>
        <v>5</v>
      </c>
      <c r="HG152">
        <v>5</v>
      </c>
      <c r="HH152" s="4">
        <f>HF152*HG152</f>
        <v>25</v>
      </c>
      <c r="HI152">
        <v>650</v>
      </c>
      <c r="HJ152" s="4">
        <f>HH152*HI152</f>
        <v>16250</v>
      </c>
      <c r="HM152" s="4">
        <v>2</v>
      </c>
      <c r="HN152" s="10">
        <f>HM152*12*25*HE152</f>
        <v>720000</v>
      </c>
      <c r="HO152" s="4">
        <f>IF(GY152="carton box",HI152/HD152,HJ152/HN152)</f>
        <v>2.2569444444444444E-2</v>
      </c>
      <c r="HP152" s="4">
        <v>160</v>
      </c>
      <c r="HQ152">
        <v>0</v>
      </c>
      <c r="HR152" s="4">
        <v>0</v>
      </c>
      <c r="HS152" s="4">
        <v>0</v>
      </c>
      <c r="HT152" s="4">
        <v>0</v>
      </c>
      <c r="HU152" s="4"/>
      <c r="HV152" s="4">
        <f>ROUNDUP(HO152+HT152,2)</f>
        <v>0.03</v>
      </c>
      <c r="HW152" s="4"/>
      <c r="HX152" s="4">
        <v>4200</v>
      </c>
      <c r="HY152" s="4">
        <v>1900</v>
      </c>
      <c r="HZ152" s="4">
        <v>1975</v>
      </c>
      <c r="IA152" s="4">
        <f>ROUNDDOWN(HX152/HA152,0)</f>
        <v>6</v>
      </c>
      <c r="IB152" s="4">
        <f>ROUNDDOWN(HY152/HB152,0)</f>
        <v>4</v>
      </c>
      <c r="IC152" s="4">
        <f>ROUNDDOWN(HZ152/HC152,0)</f>
        <v>5</v>
      </c>
      <c r="ID152" s="8">
        <v>0.95</v>
      </c>
      <c r="IE152" s="4">
        <f>ROUND(PRODUCT(IA152:ID152),0)</f>
        <v>114</v>
      </c>
      <c r="IF152" s="4">
        <v>5000</v>
      </c>
      <c r="IG152" s="4">
        <f>ROUNDUP(IF152/(IE152*HD152),2)</f>
        <v>0.19</v>
      </c>
      <c r="IH152" s="4"/>
    </row>
    <row r="153" spans="1:244">
      <c r="A153">
        <v>495</v>
      </c>
      <c r="B153" t="s">
        <v>1947</v>
      </c>
      <c r="D153" s="251" t="s">
        <v>661</v>
      </c>
      <c r="E153" s="28" t="s">
        <v>158</v>
      </c>
      <c r="F153" s="28" t="s">
        <v>1947</v>
      </c>
      <c r="G153" s="27" t="s">
        <v>90</v>
      </c>
      <c r="I153" s="27" t="s">
        <v>121</v>
      </c>
      <c r="J153" s="28">
        <v>20895</v>
      </c>
      <c r="K153" s="27" t="s">
        <v>1242</v>
      </c>
    </row>
    <row r="154" spans="1:244">
      <c r="A154">
        <v>160</v>
      </c>
      <c r="B154" t="s">
        <v>468</v>
      </c>
      <c r="C154" t="s">
        <v>1879</v>
      </c>
      <c r="D154" s="28" t="s">
        <v>354</v>
      </c>
      <c r="E154" s="27" t="s">
        <v>355</v>
      </c>
      <c r="F154" s="27" t="s">
        <v>2221</v>
      </c>
      <c r="G154" t="s">
        <v>108</v>
      </c>
      <c r="H154" t="s">
        <v>2224</v>
      </c>
      <c r="I154" s="27" t="s">
        <v>121</v>
      </c>
      <c r="J154" s="28">
        <v>21592</v>
      </c>
      <c r="K154" s="27" t="s">
        <v>410</v>
      </c>
      <c r="L154" s="28"/>
      <c r="M154" s="28"/>
      <c r="N154" s="28"/>
      <c r="O154" s="28"/>
      <c r="P154" s="28"/>
      <c r="Q154" s="28" t="s">
        <v>1035</v>
      </c>
      <c r="R154" s="28" t="s">
        <v>1194</v>
      </c>
      <c r="S154" s="27"/>
      <c r="T154" s="27"/>
      <c r="U154" s="27"/>
      <c r="V154" s="29" t="s">
        <v>79</v>
      </c>
      <c r="W154"/>
      <c r="X154"/>
      <c r="Y154"/>
      <c r="Z154"/>
      <c r="AA154" s="21"/>
    </row>
    <row r="155" spans="1:244">
      <c r="A155">
        <v>500</v>
      </c>
      <c r="B155" t="s">
        <v>1947</v>
      </c>
      <c r="D155" s="251" t="s">
        <v>663</v>
      </c>
      <c r="E155" s="28" t="s">
        <v>664</v>
      </c>
      <c r="F155" s="28" t="s">
        <v>1947</v>
      </c>
      <c r="G155" s="27" t="s">
        <v>90</v>
      </c>
      <c r="I155" s="27" t="s">
        <v>121</v>
      </c>
      <c r="J155" s="28">
        <v>21697</v>
      </c>
      <c r="K155" s="27" t="s">
        <v>227</v>
      </c>
    </row>
    <row r="156" spans="1:244">
      <c r="A156">
        <v>161</v>
      </c>
      <c r="B156" t="s">
        <v>468</v>
      </c>
      <c r="C156" t="s">
        <v>1878</v>
      </c>
      <c r="D156" s="28" t="s">
        <v>354</v>
      </c>
      <c r="E156" s="27" t="s">
        <v>355</v>
      </c>
      <c r="F156" s="27" t="s">
        <v>2221</v>
      </c>
      <c r="G156" t="s">
        <v>108</v>
      </c>
      <c r="H156" t="s">
        <v>2225</v>
      </c>
      <c r="I156" s="27" t="s">
        <v>121</v>
      </c>
      <c r="J156" s="28">
        <v>21523</v>
      </c>
      <c r="K156" s="27" t="s">
        <v>411</v>
      </c>
      <c r="L156" s="28"/>
      <c r="M156" s="28"/>
      <c r="N156" s="28"/>
      <c r="O156" s="28"/>
      <c r="P156" s="28"/>
      <c r="Q156" s="28" t="s">
        <v>1782</v>
      </c>
      <c r="R156" s="28" t="s">
        <v>1193</v>
      </c>
      <c r="S156" s="27"/>
      <c r="T156" s="27"/>
      <c r="U156" s="27"/>
      <c r="V156" s="29" t="s">
        <v>79</v>
      </c>
      <c r="W156"/>
      <c r="X156"/>
      <c r="Y156"/>
      <c r="Z156"/>
      <c r="AA156" s="21"/>
    </row>
    <row r="157" spans="1:244">
      <c r="A157">
        <v>180</v>
      </c>
      <c r="B157" t="s">
        <v>468</v>
      </c>
      <c r="C157" t="s">
        <v>1883</v>
      </c>
      <c r="D157" s="28" t="s">
        <v>380</v>
      </c>
      <c r="E157" s="27" t="s">
        <v>381</v>
      </c>
      <c r="F157" s="27" t="s">
        <v>2191</v>
      </c>
      <c r="G157" t="s">
        <v>101</v>
      </c>
      <c r="I157" s="27" t="s">
        <v>121</v>
      </c>
      <c r="J157" s="28">
        <v>21231</v>
      </c>
      <c r="K157" s="27" t="s">
        <v>413</v>
      </c>
      <c r="L157" s="28"/>
      <c r="M157" s="28"/>
      <c r="N157" s="28"/>
      <c r="O157" s="28"/>
      <c r="P157" s="28"/>
      <c r="Q157" s="28"/>
      <c r="R157" s="28"/>
      <c r="S157" s="27"/>
      <c r="T157" s="27"/>
      <c r="U157" s="27"/>
      <c r="V157" s="29" t="s">
        <v>79</v>
      </c>
      <c r="W157" t="s">
        <v>1933</v>
      </c>
      <c r="X157"/>
      <c r="Y157"/>
      <c r="Z157"/>
    </row>
    <row r="158" spans="1:244">
      <c r="A158">
        <v>937</v>
      </c>
      <c r="C158" t="s">
        <v>567</v>
      </c>
      <c r="D158" s="28">
        <v>248010</v>
      </c>
      <c r="E158" s="27" t="s">
        <v>2974</v>
      </c>
      <c r="F158" s="28" t="s">
        <v>2444</v>
      </c>
      <c r="G158" s="27" t="s">
        <v>90</v>
      </c>
      <c r="I158" s="27" t="s">
        <v>4501</v>
      </c>
      <c r="J158" s="28">
        <v>21160</v>
      </c>
      <c r="K158" s="27" t="s">
        <v>401</v>
      </c>
      <c r="N158" s="370" t="s">
        <v>1764</v>
      </c>
      <c r="O158" s="370" t="s">
        <v>1763</v>
      </c>
      <c r="P158" s="370">
        <v>43105</v>
      </c>
      <c r="W158" s="13" t="s">
        <v>439</v>
      </c>
    </row>
    <row r="159" spans="1:244">
      <c r="A159">
        <v>208</v>
      </c>
      <c r="B159" t="s">
        <v>433</v>
      </c>
      <c r="C159" t="s">
        <v>486</v>
      </c>
      <c r="D159" s="28" t="s">
        <v>352</v>
      </c>
      <c r="E159" s="27" t="s">
        <v>353</v>
      </c>
      <c r="F159" s="27" t="s">
        <v>2219</v>
      </c>
      <c r="G159" t="s">
        <v>90</v>
      </c>
      <c r="H159" t="s">
        <v>2217</v>
      </c>
      <c r="I159" s="27" t="s">
        <v>94</v>
      </c>
      <c r="J159" s="28">
        <v>29148</v>
      </c>
      <c r="K159" s="27" t="s">
        <v>229</v>
      </c>
      <c r="L159" s="28"/>
      <c r="M159" s="28"/>
      <c r="N159" s="28"/>
      <c r="O159" s="28"/>
      <c r="P159" s="28"/>
      <c r="Q159" s="28" t="s">
        <v>1890</v>
      </c>
      <c r="R159" s="28" t="s">
        <v>1193</v>
      </c>
      <c r="S159" s="27"/>
      <c r="T159" s="27"/>
      <c r="U159" s="27"/>
      <c r="V159" s="29" t="s">
        <v>79</v>
      </c>
      <c r="W159"/>
      <c r="X159"/>
      <c r="Y159"/>
      <c r="Z159"/>
      <c r="AA159" s="21"/>
    </row>
    <row r="160" spans="1:244" ht="39">
      <c r="A160">
        <v>207</v>
      </c>
      <c r="B160" t="s">
        <v>433</v>
      </c>
      <c r="C160" t="s">
        <v>1868</v>
      </c>
      <c r="D160" s="28" t="s">
        <v>320</v>
      </c>
      <c r="E160" s="27" t="s">
        <v>321</v>
      </c>
      <c r="F160" s="27" t="s">
        <v>2192</v>
      </c>
      <c r="G160" s="27" t="s">
        <v>90</v>
      </c>
      <c r="H160" t="s">
        <v>2231</v>
      </c>
      <c r="I160" s="27" t="s">
        <v>94</v>
      </c>
      <c r="J160" s="28">
        <v>21712</v>
      </c>
      <c r="K160" s="27" t="s">
        <v>400</v>
      </c>
      <c r="L160" s="28"/>
      <c r="M160" s="28"/>
      <c r="N160" s="28"/>
      <c r="O160" s="28"/>
      <c r="P160" s="28"/>
      <c r="Q160" s="28" t="s">
        <v>1858</v>
      </c>
      <c r="R160" s="28" t="s">
        <v>1193</v>
      </c>
      <c r="S160" s="27"/>
      <c r="T160" s="27"/>
      <c r="U160" s="27"/>
      <c r="V160" s="29" t="s">
        <v>79</v>
      </c>
      <c r="W160" s="52" t="s">
        <v>467</v>
      </c>
      <c r="X160" s="52"/>
      <c r="Y160" s="52"/>
      <c r="Z160" s="52"/>
      <c r="AA160" s="21"/>
    </row>
    <row r="161" spans="1:245">
      <c r="A161">
        <v>3</v>
      </c>
      <c r="B161" t="s">
        <v>468</v>
      </c>
      <c r="C161" t="s">
        <v>1830</v>
      </c>
      <c r="D161" s="5" t="s">
        <v>91</v>
      </c>
      <c r="E161" s="5" t="s">
        <v>92</v>
      </c>
      <c r="F161" s="5" t="s">
        <v>2182</v>
      </c>
      <c r="G161" s="5" t="s">
        <v>90</v>
      </c>
      <c r="H161" s="5"/>
      <c r="I161" s="5" t="s">
        <v>94</v>
      </c>
      <c r="J161" s="5">
        <v>21591</v>
      </c>
      <c r="K161" s="5" t="s">
        <v>97</v>
      </c>
      <c r="L161" s="5"/>
      <c r="M161" s="5"/>
      <c r="N161" s="5"/>
      <c r="O161" s="5"/>
      <c r="P161" s="5"/>
      <c r="Q161" s="5" t="s">
        <v>1777</v>
      </c>
      <c r="R161" s="5" t="s">
        <v>1831</v>
      </c>
      <c r="S161" s="5"/>
      <c r="T161" s="5"/>
      <c r="U161" s="5"/>
      <c r="V161" s="29" t="s">
        <v>79</v>
      </c>
      <c r="W161" s="5"/>
      <c r="X161" s="5"/>
      <c r="Y161" s="5"/>
      <c r="Z161" s="5"/>
      <c r="AA161" s="84" t="s">
        <v>80</v>
      </c>
      <c r="AB161" s="340">
        <v>200</v>
      </c>
      <c r="AC161" s="1">
        <v>20</v>
      </c>
      <c r="AD161" s="48" t="s">
        <v>24</v>
      </c>
      <c r="AE161" s="7">
        <f>BA161</f>
        <v>1.1439999999999999</v>
      </c>
      <c r="AF161" s="7"/>
      <c r="AG161" s="7">
        <f>EU161</f>
        <v>0.25125628140703515</v>
      </c>
      <c r="AH161" s="7">
        <f>DM161</f>
        <v>0</v>
      </c>
      <c r="AI161" s="7">
        <f>DO161</f>
        <v>0</v>
      </c>
      <c r="AJ161" s="7">
        <f>GW161</f>
        <v>5.0251256281407036E-3</v>
      </c>
      <c r="AK161" s="7">
        <f>GU161</f>
        <v>1.744070351758794E-2</v>
      </c>
      <c r="AL161" s="7">
        <f>GS161</f>
        <v>0.15347819095477386</v>
      </c>
      <c r="AM161" s="7">
        <f>HV161</f>
        <v>1.4102564102564103E-2</v>
      </c>
      <c r="AN161" s="7">
        <f>IG161</f>
        <v>1.8518518518518517E-2</v>
      </c>
      <c r="AO161" s="6">
        <v>0</v>
      </c>
      <c r="AP161" s="6"/>
      <c r="AQ161" s="7">
        <f>SUM(AE161:AO161)</f>
        <v>1.60382138412862</v>
      </c>
      <c r="AR161" s="7"/>
      <c r="AS161" s="7"/>
      <c r="AT161" s="6">
        <v>0</v>
      </c>
      <c r="AU161" s="6"/>
      <c r="AV161" s="7">
        <f>AQ161+AT161</f>
        <v>1.60382138412862</v>
      </c>
      <c r="AW161">
        <v>5.7999999999999996E-3</v>
      </c>
      <c r="AX161">
        <v>5.0000000000000001E-3</v>
      </c>
      <c r="AY161" s="8">
        <v>1</v>
      </c>
      <c r="AZ161" s="14">
        <f>(AW161-AX161)*AY161</f>
        <v>7.999999999999995E-4</v>
      </c>
      <c r="BA161" s="4">
        <f>AW161*AB161-AZ161*AC161</f>
        <v>1.1439999999999999</v>
      </c>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E161">
        <v>0</v>
      </c>
      <c r="CF161">
        <v>0</v>
      </c>
      <c r="CG161">
        <v>0</v>
      </c>
      <c r="CH161">
        <f>CF161*CG161</f>
        <v>0</v>
      </c>
      <c r="DM161">
        <f>CH161+CM161+CR161+CW161+DB161+DG161+DG161+DL161</f>
        <v>0</v>
      </c>
      <c r="DN161" s="9">
        <v>1.2500000000000001E-2</v>
      </c>
      <c r="DO161" s="4">
        <f>DN161*DM161</f>
        <v>0</v>
      </c>
      <c r="DP161" s="4">
        <f>DM161+DO161</f>
        <v>0</v>
      </c>
      <c r="DQ161" s="4"/>
      <c r="DR161" s="4"/>
      <c r="DS161" s="4"/>
      <c r="DT161" s="4"/>
      <c r="DU161" s="4"/>
      <c r="DV161" s="4"/>
      <c r="DW161" s="4"/>
      <c r="DX161" s="4"/>
      <c r="DY161" s="4"/>
      <c r="DZ161" s="4"/>
      <c r="EA161" s="4"/>
      <c r="EB161" s="4"/>
      <c r="EC161" s="4"/>
      <c r="ED161" s="4"/>
      <c r="EE161" s="4"/>
      <c r="EF161">
        <v>100</v>
      </c>
      <c r="EG161">
        <v>1000</v>
      </c>
      <c r="EH161">
        <v>8</v>
      </c>
      <c r="EI161" s="8">
        <v>0.95</v>
      </c>
      <c r="EJ161">
        <v>8</v>
      </c>
      <c r="EK161">
        <v>55</v>
      </c>
      <c r="EL161" s="10">
        <f>ROUND(3600/EK161*EH161*EJ161*EI161,0)</f>
        <v>3980</v>
      </c>
      <c r="EM161" s="4"/>
      <c r="EN161" s="4"/>
      <c r="EO161" s="4"/>
      <c r="EP161" s="4"/>
      <c r="EQ161" s="4"/>
      <c r="ER161" s="4"/>
      <c r="ES161" s="4"/>
      <c r="ET161" s="4"/>
      <c r="EU161" s="4">
        <f>EG161/EL161</f>
        <v>0.25125628140703515</v>
      </c>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8">
        <v>0.11</v>
      </c>
      <c r="GS161" s="4">
        <f>GR161*(BA161+EU161)</f>
        <v>0.15347819095477386</v>
      </c>
      <c r="GT161" s="9">
        <v>1.2500000000000001E-2</v>
      </c>
      <c r="GU161" s="4">
        <f>GT161*(BA161+EU161)</f>
        <v>1.744070351758794E-2</v>
      </c>
      <c r="GV161" s="8">
        <v>0.02</v>
      </c>
      <c r="GW161" s="4">
        <f>GV161*EU161</f>
        <v>5.0251256281407036E-3</v>
      </c>
      <c r="GX161" s="4">
        <f>GS161+GU161+GW161</f>
        <v>0.1759440201005025</v>
      </c>
      <c r="GY161" s="13" t="s">
        <v>43</v>
      </c>
      <c r="GZ161" s="13" t="s">
        <v>87</v>
      </c>
      <c r="HA161" s="4">
        <v>650</v>
      </c>
      <c r="HB161" s="4">
        <v>450</v>
      </c>
      <c r="HC161">
        <v>320</v>
      </c>
      <c r="HD161">
        <v>500</v>
      </c>
      <c r="HE161">
        <v>650</v>
      </c>
      <c r="HF161" s="4">
        <f>ROUNDUP(HE161/HD161,0)</f>
        <v>2</v>
      </c>
      <c r="HG161">
        <v>5</v>
      </c>
      <c r="HH161" s="4">
        <f>HF161*HG161</f>
        <v>10</v>
      </c>
      <c r="HI161">
        <v>550</v>
      </c>
      <c r="HJ161" s="4">
        <f>HH161*HI161</f>
        <v>5500</v>
      </c>
      <c r="HK161" s="4"/>
      <c r="HL161" s="4"/>
      <c r="HM161" s="4">
        <v>2</v>
      </c>
      <c r="HN161" s="10">
        <f>HM161*12*25*HE161</f>
        <v>390000</v>
      </c>
      <c r="HO161" s="4">
        <f>IF(GY161="carton box",HI161/HD161,HJ161/HN161)</f>
        <v>1.4102564102564103E-2</v>
      </c>
      <c r="HP161" s="4">
        <v>160</v>
      </c>
      <c r="HQ161">
        <v>0</v>
      </c>
      <c r="HR161" s="4">
        <v>0</v>
      </c>
      <c r="HS161" s="4">
        <v>0</v>
      </c>
      <c r="HT161" s="4">
        <v>0</v>
      </c>
      <c r="HU161" s="4"/>
      <c r="HV161" s="4">
        <f>HO161+HT161</f>
        <v>1.4102564102564103E-2</v>
      </c>
      <c r="HW161" s="4"/>
      <c r="HX161" s="4">
        <v>2917</v>
      </c>
      <c r="HY161" s="4">
        <v>1689</v>
      </c>
      <c r="HZ161" s="4">
        <v>1842</v>
      </c>
      <c r="IA161" s="4">
        <f>ROUNDDOWN(HX161/HA161,0)</f>
        <v>4</v>
      </c>
      <c r="IB161" s="4">
        <f>ROUNDDOWN(HY161/HB161,0)</f>
        <v>3</v>
      </c>
      <c r="IC161" s="4">
        <f>ROUNDDOWN(HZ161/HC161,0)</f>
        <v>5</v>
      </c>
      <c r="ID161" s="8">
        <v>0.9</v>
      </c>
      <c r="IE161" s="4">
        <f>ROUND(PRODUCT(IA161:ID161),0)</f>
        <v>54</v>
      </c>
      <c r="IF161" s="4">
        <v>500</v>
      </c>
      <c r="IG161" s="4">
        <f>IF161/(IE161*HD161)</f>
        <v>1.8518518518518517E-2</v>
      </c>
      <c r="IH161" s="4"/>
    </row>
    <row r="162" spans="1:245">
      <c r="A162">
        <v>157</v>
      </c>
      <c r="B162" t="s">
        <v>468</v>
      </c>
      <c r="C162" t="s">
        <v>537</v>
      </c>
      <c r="D162" s="28" t="s">
        <v>350</v>
      </c>
      <c r="E162" s="27" t="s">
        <v>351</v>
      </c>
      <c r="F162" s="5" t="s">
        <v>2182</v>
      </c>
      <c r="G162" t="s">
        <v>122</v>
      </c>
      <c r="I162" s="27" t="s">
        <v>121</v>
      </c>
      <c r="J162" s="28">
        <v>21205</v>
      </c>
      <c r="K162" s="27" t="s">
        <v>395</v>
      </c>
      <c r="L162" s="28"/>
      <c r="M162" s="28"/>
      <c r="N162" s="28"/>
      <c r="O162" s="28"/>
      <c r="P162" s="28"/>
      <c r="Q162" s="28" t="s">
        <v>1035</v>
      </c>
      <c r="R162" s="28" t="s">
        <v>1831</v>
      </c>
      <c r="S162" s="27"/>
      <c r="T162" s="27"/>
      <c r="U162" s="27"/>
      <c r="V162" s="29" t="s">
        <v>79</v>
      </c>
      <c r="W162"/>
      <c r="X162"/>
      <c r="Y162"/>
      <c r="Z162"/>
      <c r="AA162" s="56" t="s">
        <v>519</v>
      </c>
      <c r="AB162" s="340">
        <v>119.66</v>
      </c>
      <c r="AC162" s="4">
        <v>20</v>
      </c>
      <c r="AD162" t="s">
        <v>24</v>
      </c>
      <c r="AE162" s="7">
        <f>BA162</f>
        <v>7.4785799999999991</v>
      </c>
      <c r="AF162" s="7"/>
      <c r="AG162" s="7">
        <f>EU162+EV162+EM162</f>
        <v>2.2533333333333334</v>
      </c>
      <c r="AH162" s="7">
        <f>DM162</f>
        <v>5.24</v>
      </c>
      <c r="AI162" s="7">
        <f>DO162</f>
        <v>0</v>
      </c>
      <c r="AJ162" s="7">
        <f>GW162</f>
        <v>4.1666666666666671E-2</v>
      </c>
      <c r="AK162" s="7">
        <f>GU162</f>
        <v>0.18766975</v>
      </c>
      <c r="AL162" s="7">
        <f>GS162</f>
        <v>1.7217700333333334</v>
      </c>
      <c r="AM162" s="7">
        <f>HV162</f>
        <v>4.7395833333333331E-2</v>
      </c>
      <c r="AN162" s="7">
        <f>IG162</f>
        <v>6.9444444444444448E-2</v>
      </c>
      <c r="AO162" s="7">
        <f>EY162</f>
        <v>0</v>
      </c>
      <c r="AP162" s="7"/>
      <c r="AQ162" s="7">
        <f>SUM(AE162:AO162)</f>
        <v>17.039860061111106</v>
      </c>
      <c r="AR162" s="7">
        <f>IJ162</f>
        <v>0.21385596917979449</v>
      </c>
      <c r="AS162" s="7"/>
      <c r="AT162" s="7"/>
      <c r="AU162" s="7">
        <v>0</v>
      </c>
      <c r="AV162" s="7">
        <f>AQ162+AT162+AU162</f>
        <v>17.039860061111106</v>
      </c>
      <c r="AW162" s="24">
        <f>0.063</f>
        <v>6.3E-2</v>
      </c>
      <c r="AX162" s="4">
        <f>0.06</f>
        <v>0.06</v>
      </c>
      <c r="AY162" s="8">
        <v>1</v>
      </c>
      <c r="AZ162">
        <f>(AW162-AX162)*AY162</f>
        <v>3.0000000000000027E-3</v>
      </c>
      <c r="BA162" s="4">
        <f>AW162*AB162-AZ162*AC162</f>
        <v>7.4785799999999991</v>
      </c>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E162">
        <v>0</v>
      </c>
      <c r="CF162">
        <v>0</v>
      </c>
      <c r="CG162">
        <v>0</v>
      </c>
      <c r="CH162" s="4">
        <f>CF162*CG162</f>
        <v>0</v>
      </c>
      <c r="CI162" t="s">
        <v>520</v>
      </c>
      <c r="CJ162" s="70" t="s">
        <v>521</v>
      </c>
      <c r="CK162" s="71">
        <v>2</v>
      </c>
      <c r="CL162">
        <v>2.62</v>
      </c>
      <c r="CM162">
        <f>CK162*CL162</f>
        <v>5.24</v>
      </c>
      <c r="CN162" s="71"/>
      <c r="CP162" s="71"/>
      <c r="CR162" s="71"/>
      <c r="CS162" s="71"/>
      <c r="CU162" s="71"/>
      <c r="CV162" s="71"/>
      <c r="CW162" s="71"/>
      <c r="DK162" s="9"/>
      <c r="DL162" s="4"/>
      <c r="DM162" s="4">
        <f>CH162+CM162+CR162+CW162+DB162+DG162+DL162</f>
        <v>5.24</v>
      </c>
      <c r="DN162" s="9">
        <v>0</v>
      </c>
      <c r="DO162" s="4">
        <f>DN162*DM162</f>
        <v>0</v>
      </c>
      <c r="DP162" s="4">
        <f>DM162+DO162</f>
        <v>5.24</v>
      </c>
      <c r="DQ162" s="4"/>
      <c r="DR162" s="4"/>
      <c r="DS162" s="4"/>
      <c r="DT162" s="4"/>
      <c r="DU162" s="4"/>
      <c r="DV162" s="4"/>
      <c r="DW162" s="4"/>
      <c r="DX162" s="4"/>
      <c r="DY162" s="4"/>
      <c r="DZ162" s="4"/>
      <c r="EA162" s="4"/>
      <c r="EB162" s="4"/>
      <c r="EC162" s="4"/>
      <c r="ED162" s="4"/>
      <c r="EE162" s="4"/>
      <c r="EF162">
        <v>120</v>
      </c>
      <c r="EG162" s="4">
        <v>1200</v>
      </c>
      <c r="EH162" s="4">
        <v>8</v>
      </c>
      <c r="EI162" s="8">
        <v>0.9</v>
      </c>
      <c r="EJ162" s="4">
        <v>2</v>
      </c>
      <c r="EK162" s="4">
        <v>90</v>
      </c>
      <c r="EL162" s="10">
        <f>ROUND(3600/EK162*EH162*EJ162*EI162,0)</f>
        <v>576</v>
      </c>
      <c r="EM162" s="4">
        <v>0.12</v>
      </c>
      <c r="EN162" s="4"/>
      <c r="EO162" s="4"/>
      <c r="EP162" s="10"/>
      <c r="EQ162" s="10"/>
      <c r="ER162" s="10"/>
      <c r="ES162" s="10"/>
      <c r="ET162" s="10"/>
      <c r="EU162" s="4">
        <f>EG162/EL162</f>
        <v>2.0833333333333335</v>
      </c>
      <c r="EV162" s="4">
        <v>0.05</v>
      </c>
      <c r="EW162" s="4"/>
      <c r="EX162" s="4"/>
      <c r="EY162" s="4"/>
      <c r="EZ162" s="4"/>
      <c r="FA162" s="9"/>
      <c r="FB162" s="9"/>
      <c r="FC162" s="9"/>
      <c r="FD162" s="9"/>
      <c r="FE162" s="9"/>
      <c r="FF162" s="9"/>
      <c r="FG162" s="9"/>
      <c r="FH162" s="9"/>
      <c r="FI162" s="9"/>
      <c r="FJ162" s="9"/>
      <c r="FK162" s="9"/>
      <c r="FL162" s="9"/>
      <c r="FM162" s="9"/>
      <c r="FN162" s="9"/>
      <c r="FO162" s="9"/>
      <c r="FP162" s="9"/>
      <c r="FQ162" s="9"/>
      <c r="FR162" s="9"/>
      <c r="FS162" s="9"/>
      <c r="FT162" s="9"/>
      <c r="FU162" s="9"/>
      <c r="FV162" s="9"/>
      <c r="FW162" s="9"/>
      <c r="FX162" s="9"/>
      <c r="FY162" s="9"/>
      <c r="FZ162" s="9"/>
      <c r="GA162" s="9"/>
      <c r="GB162" s="9"/>
      <c r="GC162" s="9"/>
      <c r="GD162" s="9"/>
      <c r="GE162" s="9"/>
      <c r="GF162" s="9"/>
      <c r="GG162" s="9"/>
      <c r="GH162" s="9"/>
      <c r="GI162" s="9"/>
      <c r="GJ162" s="9"/>
      <c r="GK162" s="9"/>
      <c r="GL162" s="9"/>
      <c r="GM162" s="9"/>
      <c r="GN162" s="9"/>
      <c r="GO162" s="9"/>
      <c r="GP162" s="9"/>
      <c r="GQ162" s="9"/>
      <c r="GR162" s="8">
        <v>0.115</v>
      </c>
      <c r="GS162" s="4">
        <f>GR162*(BA162+EU162+EV162+EM162+DM162)</f>
        <v>1.7217700333333334</v>
      </c>
      <c r="GT162" s="9">
        <v>1.2500000000000001E-2</v>
      </c>
      <c r="GU162" s="4">
        <f>GT162*(BA162+EU162+EV162+EM162+GW162+DM162)</f>
        <v>0.18766975</v>
      </c>
      <c r="GV162" s="8">
        <v>0.02</v>
      </c>
      <c r="GW162" s="4">
        <f>GV162*EU162</f>
        <v>4.1666666666666671E-2</v>
      </c>
      <c r="GX162" s="4">
        <f>GS162+GU162+GW162</f>
        <v>1.9511064500000002</v>
      </c>
      <c r="GY162" t="s">
        <v>43</v>
      </c>
      <c r="GZ162" t="s">
        <v>87</v>
      </c>
      <c r="HA162" s="4">
        <v>650</v>
      </c>
      <c r="HB162" s="4">
        <v>450</v>
      </c>
      <c r="HC162">
        <v>315</v>
      </c>
      <c r="HD162">
        <v>120</v>
      </c>
      <c r="HE162">
        <v>800</v>
      </c>
      <c r="HF162" s="4">
        <f>ROUNDUP(HE162/HD162,0)</f>
        <v>7</v>
      </c>
      <c r="HG162">
        <v>5</v>
      </c>
      <c r="HH162" s="4">
        <f>HF162*HG162</f>
        <v>35</v>
      </c>
      <c r="HI162">
        <v>650</v>
      </c>
      <c r="HJ162" s="4">
        <f>HH162*HI162</f>
        <v>22750</v>
      </c>
      <c r="HK162" s="4"/>
      <c r="HL162" s="4"/>
      <c r="HM162" s="4">
        <v>2</v>
      </c>
      <c r="HN162" s="10">
        <f>HM162*12*25*HE162</f>
        <v>480000</v>
      </c>
      <c r="HO162" s="4">
        <f>IF(GY162="carton box",HI162/HD162,HJ162/HN162)</f>
        <v>4.7395833333333331E-2</v>
      </c>
      <c r="HP162" s="4">
        <v>160</v>
      </c>
      <c r="HQ162">
        <v>0</v>
      </c>
      <c r="HR162" s="4">
        <v>0</v>
      </c>
      <c r="HS162" s="4">
        <v>0</v>
      </c>
      <c r="HT162" s="4">
        <f>IF(ISERROR(HR162/HS162),0,HR162/HS162)</f>
        <v>0</v>
      </c>
      <c r="HU162" s="4"/>
      <c r="HV162" s="4">
        <f>HO162+HT162</f>
        <v>4.7395833333333331E-2</v>
      </c>
      <c r="HW162" s="4"/>
      <c r="HX162" s="4">
        <v>2800</v>
      </c>
      <c r="HY162" s="4">
        <v>1890</v>
      </c>
      <c r="HZ162" s="4">
        <v>1950</v>
      </c>
      <c r="IA162" s="4">
        <v>5</v>
      </c>
      <c r="IB162" s="4">
        <v>3</v>
      </c>
      <c r="IC162" s="4">
        <v>4</v>
      </c>
      <c r="ID162" s="8">
        <v>1</v>
      </c>
      <c r="IE162" s="4">
        <v>60</v>
      </c>
      <c r="IF162" s="4">
        <v>500</v>
      </c>
      <c r="IG162" s="4">
        <f>IF162/(IE162*HD162)</f>
        <v>6.9444444444444448E-2</v>
      </c>
      <c r="IH162" s="4"/>
      <c r="II162" s="9">
        <v>0.10249999999999999</v>
      </c>
      <c r="IJ162" s="4">
        <f>(BA162+DM162+GW162+EU162+EV162+EM162+GS162+GU162)*II162*45/365</f>
        <v>0.21385596917979449</v>
      </c>
      <c r="IK162" s="4"/>
    </row>
    <row r="163" spans="1:245">
      <c r="A163">
        <v>164</v>
      </c>
      <c r="B163" t="s">
        <v>468</v>
      </c>
      <c r="C163" t="s">
        <v>1882</v>
      </c>
      <c r="D163" s="28" t="s">
        <v>360</v>
      </c>
      <c r="E163" s="27" t="s">
        <v>361</v>
      </c>
      <c r="F163" s="27" t="s">
        <v>2226</v>
      </c>
      <c r="G163" t="s">
        <v>108</v>
      </c>
      <c r="H163" t="s">
        <v>2220</v>
      </c>
      <c r="I163" s="27" t="s">
        <v>121</v>
      </c>
      <c r="J163" s="28">
        <v>21160</v>
      </c>
      <c r="K163" s="27" t="s">
        <v>401</v>
      </c>
      <c r="L163" s="28"/>
      <c r="M163" s="28"/>
      <c r="N163" s="28"/>
      <c r="O163" s="28"/>
      <c r="P163" s="28"/>
      <c r="Q163" s="28" t="s">
        <v>1035</v>
      </c>
      <c r="R163" s="28" t="s">
        <v>1194</v>
      </c>
      <c r="S163" s="27"/>
      <c r="T163" s="27"/>
      <c r="U163" s="27"/>
      <c r="V163" s="29" t="s">
        <v>79</v>
      </c>
      <c r="W163"/>
      <c r="X163"/>
      <c r="Y163"/>
      <c r="Z163"/>
      <c r="AA163" s="21"/>
    </row>
    <row r="164" spans="1:245">
      <c r="A164">
        <v>159</v>
      </c>
      <c r="D164" s="28" t="s">
        <v>352</v>
      </c>
      <c r="E164" s="27" t="s">
        <v>353</v>
      </c>
      <c r="F164" s="27"/>
      <c r="G164" t="s">
        <v>101</v>
      </c>
      <c r="I164" s="27" t="s">
        <v>121</v>
      </c>
      <c r="J164" s="28">
        <v>21828</v>
      </c>
      <c r="K164" s="27" t="s">
        <v>409</v>
      </c>
      <c r="L164" s="28"/>
      <c r="M164" s="28"/>
      <c r="N164" s="28"/>
      <c r="O164" s="28"/>
      <c r="P164" s="28"/>
      <c r="Q164" s="28"/>
      <c r="R164" s="28"/>
      <c r="S164" s="27"/>
      <c r="T164" s="27"/>
      <c r="U164" s="27"/>
      <c r="V164" s="29" t="s">
        <v>79</v>
      </c>
      <c r="W164"/>
      <c r="X164"/>
      <c r="Y164"/>
      <c r="Z164"/>
    </row>
    <row r="165" spans="1:245">
      <c r="A165">
        <v>163</v>
      </c>
      <c r="B165" t="s">
        <v>468</v>
      </c>
      <c r="C165" t="s">
        <v>1881</v>
      </c>
      <c r="D165" s="28" t="s">
        <v>358</v>
      </c>
      <c r="E165" s="27" t="s">
        <v>359</v>
      </c>
      <c r="F165" s="27" t="s">
        <v>2226</v>
      </c>
      <c r="G165" t="s">
        <v>108</v>
      </c>
      <c r="H165" t="s">
        <v>2223</v>
      </c>
      <c r="I165" s="27" t="s">
        <v>121</v>
      </c>
      <c r="J165" s="28">
        <v>21160</v>
      </c>
      <c r="K165" s="27" t="s">
        <v>401</v>
      </c>
      <c r="L165" s="28"/>
      <c r="M165" s="28"/>
      <c r="N165" s="28"/>
      <c r="O165" s="28"/>
      <c r="P165" s="28"/>
      <c r="Q165" s="28" t="s">
        <v>1035</v>
      </c>
      <c r="R165" s="28" t="s">
        <v>1831</v>
      </c>
      <c r="S165" s="27"/>
      <c r="T165" s="27"/>
      <c r="U165" s="27"/>
      <c r="V165" s="29" t="s">
        <v>79</v>
      </c>
      <c r="W165"/>
      <c r="X165"/>
      <c r="Y165"/>
      <c r="Z165"/>
      <c r="AA165" s="21"/>
    </row>
    <row r="166" spans="1:245">
      <c r="A166">
        <v>166</v>
      </c>
      <c r="B166" t="s">
        <v>468</v>
      </c>
      <c r="C166" t="s">
        <v>620</v>
      </c>
      <c r="D166" s="28" t="s">
        <v>364</v>
      </c>
      <c r="E166" s="27" t="s">
        <v>365</v>
      </c>
      <c r="F166" s="27" t="s">
        <v>2226</v>
      </c>
      <c r="G166" t="s">
        <v>102</v>
      </c>
      <c r="H166" t="s">
        <v>2228</v>
      </c>
      <c r="I166" s="27" t="s">
        <v>121</v>
      </c>
      <c r="J166" s="28">
        <v>21592</v>
      </c>
      <c r="K166" s="27" t="s">
        <v>410</v>
      </c>
      <c r="L166" s="28"/>
      <c r="M166" s="28"/>
      <c r="N166" s="28"/>
      <c r="O166" s="28"/>
      <c r="P166" s="28"/>
      <c r="Q166" s="28" t="s">
        <v>1033</v>
      </c>
      <c r="R166" s="28" t="s">
        <v>1194</v>
      </c>
      <c r="S166" s="27"/>
      <c r="T166" s="27"/>
      <c r="U166" s="27"/>
      <c r="V166" s="29" t="s">
        <v>79</v>
      </c>
      <c r="W166"/>
      <c r="X166"/>
      <c r="Y166"/>
      <c r="Z166"/>
      <c r="AA166" s="21"/>
    </row>
    <row r="167" spans="1:245">
      <c r="A167">
        <v>167</v>
      </c>
      <c r="B167" t="s">
        <v>468</v>
      </c>
      <c r="C167" t="s">
        <v>619</v>
      </c>
      <c r="D167" s="28" t="s">
        <v>364</v>
      </c>
      <c r="E167" s="27" t="s">
        <v>365</v>
      </c>
      <c r="F167" s="27" t="s">
        <v>2226</v>
      </c>
      <c r="G167" t="s">
        <v>102</v>
      </c>
      <c r="H167" t="s">
        <v>2227</v>
      </c>
      <c r="I167" s="27" t="s">
        <v>121</v>
      </c>
      <c r="J167" s="28">
        <v>21160</v>
      </c>
      <c r="K167" s="27" t="s">
        <v>401</v>
      </c>
      <c r="L167" s="28"/>
      <c r="M167" s="28"/>
      <c r="N167" s="28"/>
      <c r="O167" s="28"/>
      <c r="P167" s="28"/>
      <c r="Q167" s="28" t="s">
        <v>1841</v>
      </c>
      <c r="R167" s="28" t="s">
        <v>1194</v>
      </c>
      <c r="S167" s="27"/>
      <c r="T167" s="27"/>
      <c r="U167" s="27"/>
      <c r="V167" s="29" t="s">
        <v>79</v>
      </c>
      <c r="W167"/>
      <c r="X167"/>
      <c r="Y167"/>
      <c r="Z167"/>
      <c r="AA167" s="21"/>
      <c r="AC167" s="293"/>
    </row>
    <row r="168" spans="1:245">
      <c r="A168">
        <v>128</v>
      </c>
      <c r="B168" t="s">
        <v>468</v>
      </c>
      <c r="C168" t="s">
        <v>490</v>
      </c>
      <c r="D168" s="28" t="s">
        <v>332</v>
      </c>
      <c r="E168" s="27" t="s">
        <v>333</v>
      </c>
      <c r="F168" s="27" t="s">
        <v>2192</v>
      </c>
      <c r="G168" t="s">
        <v>101</v>
      </c>
      <c r="H168" t="s">
        <v>2202</v>
      </c>
      <c r="I168" s="27" t="s">
        <v>121</v>
      </c>
      <c r="J168" s="28">
        <v>21589</v>
      </c>
      <c r="K168" s="27" t="s">
        <v>405</v>
      </c>
      <c r="L168" s="28"/>
      <c r="M168" s="28"/>
      <c r="N168" s="28"/>
      <c r="O168" s="28"/>
      <c r="P168" s="28"/>
      <c r="Q168" s="28" t="s">
        <v>1035</v>
      </c>
      <c r="R168" s="28" t="s">
        <v>1037</v>
      </c>
      <c r="S168" s="27"/>
      <c r="T168" s="27"/>
      <c r="U168" s="27"/>
      <c r="V168" s="29" t="s">
        <v>79</v>
      </c>
      <c r="W168"/>
      <c r="X168"/>
      <c r="Y168"/>
      <c r="Z168"/>
    </row>
    <row r="169" spans="1:245">
      <c r="A169">
        <v>130</v>
      </c>
      <c r="B169" t="s">
        <v>468</v>
      </c>
      <c r="C169" t="s">
        <v>491</v>
      </c>
      <c r="D169" s="28" t="s">
        <v>332</v>
      </c>
      <c r="E169" s="27" t="s">
        <v>333</v>
      </c>
      <c r="F169" s="27" t="s">
        <v>2192</v>
      </c>
      <c r="G169" t="s">
        <v>101</v>
      </c>
      <c r="H169" s="27" t="s">
        <v>2203</v>
      </c>
      <c r="I169" s="27" t="s">
        <v>226</v>
      </c>
      <c r="J169" s="28">
        <v>21425</v>
      </c>
      <c r="K169" s="27" t="s">
        <v>406</v>
      </c>
      <c r="L169" s="28">
        <v>21160</v>
      </c>
      <c r="M169" s="28" t="s">
        <v>464</v>
      </c>
      <c r="N169" s="28"/>
      <c r="O169" s="28"/>
      <c r="P169" s="28"/>
      <c r="Q169" s="28" t="s">
        <v>1035</v>
      </c>
      <c r="R169" s="28" t="s">
        <v>1037</v>
      </c>
      <c r="S169" s="27"/>
      <c r="T169" s="27"/>
      <c r="U169" s="27"/>
      <c r="V169" s="29" t="s">
        <v>79</v>
      </c>
      <c r="W169"/>
      <c r="X169"/>
      <c r="Y169"/>
      <c r="Z169"/>
    </row>
    <row r="170" spans="1:245">
      <c r="A170">
        <v>7</v>
      </c>
      <c r="B170" t="s">
        <v>468</v>
      </c>
      <c r="C170" t="s">
        <v>1834</v>
      </c>
      <c r="D170" s="5" t="s">
        <v>111</v>
      </c>
      <c r="E170" s="5" t="s">
        <v>112</v>
      </c>
      <c r="F170" s="5" t="s">
        <v>2182</v>
      </c>
      <c r="G170" s="5" t="s">
        <v>90</v>
      </c>
      <c r="H170" s="5"/>
      <c r="I170" s="5" t="s">
        <v>121</v>
      </c>
      <c r="J170" s="5">
        <v>21480</v>
      </c>
      <c r="K170" s="5" t="s">
        <v>97</v>
      </c>
      <c r="L170" s="5"/>
      <c r="M170" s="5"/>
      <c r="N170" s="5"/>
      <c r="O170" s="5"/>
      <c r="P170" s="5"/>
      <c r="Q170" s="5" t="s">
        <v>1033</v>
      </c>
      <c r="R170" s="5" t="s">
        <v>1194</v>
      </c>
      <c r="S170" s="5"/>
      <c r="T170" s="5"/>
      <c r="U170" s="5"/>
      <c r="V170" s="29" t="s">
        <v>79</v>
      </c>
      <c r="W170" s="5"/>
      <c r="X170" s="5"/>
      <c r="Y170" s="5"/>
      <c r="Z170" s="5"/>
      <c r="AA170" s="84" t="s">
        <v>124</v>
      </c>
      <c r="AB170" s="340">
        <v>95.23</v>
      </c>
      <c r="AC170" s="1">
        <v>20</v>
      </c>
      <c r="AD170" s="48"/>
      <c r="AE170" s="15">
        <f>BA170</f>
        <v>0.45615</v>
      </c>
      <c r="AF170" s="15"/>
      <c r="AG170" s="15">
        <f>EU170</f>
        <v>0.75376884422110557</v>
      </c>
      <c r="AH170" s="7">
        <f>DM170</f>
        <v>0</v>
      </c>
      <c r="AI170" s="7">
        <f>DO170</f>
        <v>0</v>
      </c>
      <c r="AJ170" s="15">
        <f>GW170</f>
        <v>1.5075376884422112E-2</v>
      </c>
      <c r="AK170" s="15">
        <f>GU170</f>
        <v>1.512398555276382E-2</v>
      </c>
      <c r="AL170" s="15">
        <f>GS170</f>
        <v>0.13309107286432162</v>
      </c>
      <c r="AM170" s="15">
        <f>HV170</f>
        <v>1.5277777777777777E-2</v>
      </c>
      <c r="AN170" s="15">
        <f>IG170</f>
        <v>2.7777777777777776E-2</v>
      </c>
      <c r="AO170" s="16">
        <v>0</v>
      </c>
      <c r="AP170" s="16"/>
      <c r="AQ170" s="15">
        <f>SUM(AE170:AO170)</f>
        <v>1.4162648350781684</v>
      </c>
      <c r="AR170" s="15"/>
      <c r="AS170" s="15"/>
      <c r="AT170" s="16">
        <v>0</v>
      </c>
      <c r="AU170" s="16"/>
      <c r="AV170" s="15">
        <f>AQ170+AT170</f>
        <v>1.4162648350781684</v>
      </c>
      <c r="AW170" s="17">
        <v>5.0000000000000001E-3</v>
      </c>
      <c r="AX170" s="2">
        <v>4.0000000000000001E-3</v>
      </c>
      <c r="AY170" s="18">
        <v>1</v>
      </c>
      <c r="AZ170" s="19">
        <f>(AW170-AX170)*AY170</f>
        <v>1E-3</v>
      </c>
      <c r="BA170" s="20">
        <f>AW170*AB170-AZ170*AC170</f>
        <v>0.45615</v>
      </c>
      <c r="BB170" s="20"/>
      <c r="BC170" s="20"/>
      <c r="BD170" s="20"/>
      <c r="BE170" s="20"/>
      <c r="BF170" s="20"/>
      <c r="BG170" s="20"/>
      <c r="BH170" s="20"/>
      <c r="BI170" s="20"/>
      <c r="BJ170" s="20"/>
      <c r="BK170" s="20"/>
      <c r="BL170" s="20"/>
      <c r="BM170" s="20"/>
      <c r="BN170" s="20"/>
      <c r="BO170" s="20"/>
      <c r="BP170" s="20"/>
      <c r="BQ170" s="20"/>
      <c r="BR170" s="20"/>
      <c r="BS170" s="20"/>
      <c r="BT170" s="20"/>
      <c r="BU170" s="20"/>
      <c r="BV170" s="20"/>
      <c r="BW170" s="20"/>
      <c r="BX170" s="20"/>
      <c r="BY170" s="20"/>
      <c r="BZ170" s="20"/>
      <c r="CA170" s="20"/>
      <c r="CB170" s="20"/>
      <c r="CC170" s="20"/>
      <c r="CD170" s="21"/>
      <c r="CE170" s="21">
        <v>0</v>
      </c>
      <c r="CF170" s="21">
        <v>4</v>
      </c>
      <c r="CG170" s="21">
        <v>0</v>
      </c>
      <c r="CH170">
        <f>CF170*CG170</f>
        <v>0</v>
      </c>
      <c r="CI170" s="21"/>
      <c r="CJ170" s="21"/>
      <c r="CK170" s="21"/>
      <c r="CL170" s="21"/>
      <c r="CM170" s="21"/>
      <c r="CN170" s="21"/>
      <c r="CO170" s="21"/>
      <c r="CP170" s="21"/>
      <c r="CQ170" s="21"/>
      <c r="CR170" s="21"/>
      <c r="CS170" s="21"/>
      <c r="CT170" s="21"/>
      <c r="CU170" s="21"/>
      <c r="CV170" s="21"/>
      <c r="CW170" s="21"/>
      <c r="CX170" s="21"/>
      <c r="CY170" s="21"/>
      <c r="CZ170" s="21"/>
      <c r="DA170" s="21"/>
      <c r="DB170" s="21"/>
      <c r="DC170" s="21"/>
      <c r="DD170" s="21"/>
      <c r="DE170" s="21"/>
      <c r="DF170" s="21"/>
      <c r="DG170" s="21"/>
      <c r="DH170" s="21"/>
      <c r="DI170" s="21"/>
      <c r="DJ170" s="21"/>
      <c r="DK170" s="21"/>
      <c r="DL170" s="21"/>
      <c r="DM170">
        <f>CH170+CM170+CR170+CW170+DB170+DG170+DG170+DL170</f>
        <v>0</v>
      </c>
      <c r="DN170" s="22">
        <v>1.2500000000000001E-2</v>
      </c>
      <c r="DO170" s="4">
        <f>DN170*DM170</f>
        <v>0</v>
      </c>
      <c r="DP170" s="4">
        <f>DM170+DO170</f>
        <v>0</v>
      </c>
      <c r="DQ170" s="4"/>
      <c r="DR170" s="4"/>
      <c r="DS170" s="4"/>
      <c r="DT170" s="4"/>
      <c r="DU170" s="4"/>
      <c r="DV170" s="4"/>
      <c r="DW170" s="4"/>
      <c r="DX170" s="4"/>
      <c r="DY170" s="4"/>
      <c r="DZ170" s="4"/>
      <c r="EA170" s="4"/>
      <c r="EB170" s="4"/>
      <c r="EC170" s="4"/>
      <c r="ED170" s="4"/>
      <c r="EE170" s="4"/>
      <c r="EF170" s="21">
        <v>150</v>
      </c>
      <c r="EG170" s="21">
        <v>1500</v>
      </c>
      <c r="EH170" s="21">
        <v>8</v>
      </c>
      <c r="EI170" s="18">
        <v>0.95</v>
      </c>
      <c r="EJ170" s="21">
        <v>4</v>
      </c>
      <c r="EK170" s="21">
        <v>55</v>
      </c>
      <c r="EL170" s="23">
        <f>ROUND(3600/EK170*EH170*EJ170*EI170,0)</f>
        <v>1990</v>
      </c>
      <c r="EM170" s="20"/>
      <c r="EN170" s="20"/>
      <c r="EO170" s="20"/>
      <c r="EP170" s="20"/>
      <c r="EQ170" s="20"/>
      <c r="ER170" s="20"/>
      <c r="ES170" s="20"/>
      <c r="ET170" s="20"/>
      <c r="EU170" s="20">
        <f>EG170/EL170</f>
        <v>0.75376884422110557</v>
      </c>
      <c r="EV170" s="20"/>
      <c r="EW170" s="20"/>
      <c r="EX170" s="20"/>
      <c r="EY170" s="20"/>
      <c r="EZ170" s="20"/>
      <c r="FA170" s="20"/>
      <c r="FB170" s="20"/>
      <c r="FC170" s="20"/>
      <c r="FD170" s="20"/>
      <c r="FE170" s="20"/>
      <c r="FF170" s="20"/>
      <c r="FG170" s="20"/>
      <c r="FH170" s="20"/>
      <c r="FI170" s="20"/>
      <c r="FJ170" s="20"/>
      <c r="FK170" s="20"/>
      <c r="FL170" s="20"/>
      <c r="FM170" s="20"/>
      <c r="FN170" s="20"/>
      <c r="FO170" s="20"/>
      <c r="FP170" s="20"/>
      <c r="FQ170" s="20"/>
      <c r="FR170" s="20"/>
      <c r="FS170" s="20"/>
      <c r="FT170" s="20"/>
      <c r="FU170" s="20"/>
      <c r="FV170" s="20"/>
      <c r="FW170" s="20"/>
      <c r="FX170" s="20"/>
      <c r="FY170" s="20"/>
      <c r="FZ170" s="20"/>
      <c r="GA170" s="20"/>
      <c r="GB170" s="20"/>
      <c r="GC170" s="20"/>
      <c r="GD170" s="20"/>
      <c r="GE170" s="20"/>
      <c r="GF170" s="20"/>
      <c r="GG170" s="20"/>
      <c r="GH170" s="20"/>
      <c r="GI170" s="20"/>
      <c r="GJ170" s="20"/>
      <c r="GK170" s="20"/>
      <c r="GL170" s="20"/>
      <c r="GM170" s="20"/>
      <c r="GN170" s="20"/>
      <c r="GO170" s="20"/>
      <c r="GP170" s="20"/>
      <c r="GQ170" s="20"/>
      <c r="GR170" s="18">
        <v>0.11</v>
      </c>
      <c r="GS170" s="20">
        <f>GR170*(BA170+EU170)</f>
        <v>0.13309107286432162</v>
      </c>
      <c r="GT170" s="22">
        <v>1.2500000000000001E-2</v>
      </c>
      <c r="GU170" s="20">
        <f>GT170*(BA170+EU170)</f>
        <v>1.512398555276382E-2</v>
      </c>
      <c r="GV170" s="18">
        <v>0.02</v>
      </c>
      <c r="GW170" s="20">
        <f>GV170*EU170</f>
        <v>1.5075376884422112E-2</v>
      </c>
      <c r="GX170" s="20">
        <f>GS170+GU170+GW170</f>
        <v>0.16329043530150755</v>
      </c>
      <c r="GY170" s="13" t="s">
        <v>43</v>
      </c>
      <c r="GZ170" s="13" t="s">
        <v>87</v>
      </c>
      <c r="HA170" s="20">
        <v>650</v>
      </c>
      <c r="HB170" s="20">
        <v>450</v>
      </c>
      <c r="HC170" s="21">
        <v>480</v>
      </c>
      <c r="HD170" s="21">
        <v>300</v>
      </c>
      <c r="HE170" s="21">
        <v>1200</v>
      </c>
      <c r="HF170" s="20">
        <f>ROUNDUP(HE170/HD170,0)</f>
        <v>4</v>
      </c>
      <c r="HG170" s="21">
        <v>5</v>
      </c>
      <c r="HH170" s="20">
        <f>HF170*HG170</f>
        <v>20</v>
      </c>
      <c r="HI170" s="21">
        <v>550</v>
      </c>
      <c r="HJ170" s="20">
        <f>HH170*HI170</f>
        <v>11000</v>
      </c>
      <c r="HK170" s="20"/>
      <c r="HL170" s="20"/>
      <c r="HM170" s="20">
        <v>2</v>
      </c>
      <c r="HN170" s="23">
        <f>HM170*12*25*HE170</f>
        <v>720000</v>
      </c>
      <c r="HO170" s="20">
        <f>IF(GY170="carton box",HI170/HD170,HJ170/HN170)</f>
        <v>1.5277777777777777E-2</v>
      </c>
      <c r="HP170" s="20">
        <v>160</v>
      </c>
      <c r="HQ170" s="21">
        <v>0</v>
      </c>
      <c r="HR170" s="20">
        <v>0</v>
      </c>
      <c r="HS170" s="20">
        <v>0</v>
      </c>
      <c r="HT170" s="20">
        <v>0</v>
      </c>
      <c r="HU170" s="20"/>
      <c r="HV170" s="20">
        <f>HO170+HT170</f>
        <v>1.5277777777777777E-2</v>
      </c>
      <c r="HW170" s="20"/>
      <c r="HX170" s="20">
        <v>2917</v>
      </c>
      <c r="HY170" s="20">
        <v>1689</v>
      </c>
      <c r="HZ170" s="20">
        <v>1842</v>
      </c>
      <c r="IA170" s="20">
        <v>4</v>
      </c>
      <c r="IB170" s="20">
        <v>3</v>
      </c>
      <c r="IC170" s="20">
        <v>5</v>
      </c>
      <c r="ID170" s="18">
        <v>1</v>
      </c>
      <c r="IE170" s="20">
        <f>ROUND(PRODUCT(IA170:ID170),0)</f>
        <v>60</v>
      </c>
      <c r="IF170" s="20">
        <v>500</v>
      </c>
      <c r="IG170" s="20">
        <f>IF170/(IE170*HD170)</f>
        <v>2.7777777777777776E-2</v>
      </c>
      <c r="IH170" s="20"/>
    </row>
    <row r="171" spans="1:245">
      <c r="A171">
        <v>8</v>
      </c>
      <c r="B171" t="s">
        <v>468</v>
      </c>
      <c r="C171" t="s">
        <v>1834</v>
      </c>
      <c r="D171" s="5" t="s">
        <v>111</v>
      </c>
      <c r="E171" s="5" t="s">
        <v>112</v>
      </c>
      <c r="F171" s="5" t="s">
        <v>2182</v>
      </c>
      <c r="G171" s="5" t="s">
        <v>90</v>
      </c>
      <c r="H171" s="5"/>
      <c r="I171" s="5" t="s">
        <v>94</v>
      </c>
      <c r="J171" s="5">
        <v>21591</v>
      </c>
      <c r="K171" s="5" t="s">
        <v>97</v>
      </c>
      <c r="L171" s="5">
        <v>21480</v>
      </c>
      <c r="M171" s="5" t="s">
        <v>94</v>
      </c>
      <c r="N171" s="5" t="s">
        <v>1835</v>
      </c>
      <c r="O171" s="5" t="s">
        <v>1836</v>
      </c>
      <c r="P171" s="250">
        <v>45266</v>
      </c>
      <c r="Q171" s="5" t="s">
        <v>1033</v>
      </c>
      <c r="R171" s="5" t="s">
        <v>1194</v>
      </c>
      <c r="S171" s="5"/>
      <c r="T171" s="5"/>
      <c r="U171" s="5"/>
      <c r="V171" s="29" t="s">
        <v>79</v>
      </c>
      <c r="W171" s="5"/>
      <c r="X171" s="5"/>
      <c r="Y171" s="5"/>
      <c r="Z171" s="5"/>
      <c r="AA171" s="84" t="s">
        <v>124</v>
      </c>
      <c r="AB171" s="340">
        <v>95.23</v>
      </c>
      <c r="AC171" s="1">
        <v>20</v>
      </c>
      <c r="AD171" s="48"/>
      <c r="AE171" s="15">
        <f>BA171</f>
        <v>0.45615</v>
      </c>
      <c r="AF171" s="15"/>
      <c r="AG171" s="15">
        <f>EU171</f>
        <v>0.75376884422110557</v>
      </c>
      <c r="AH171" s="7">
        <f>DM171</f>
        <v>0</v>
      </c>
      <c r="AI171" s="7">
        <f>DO171</f>
        <v>0</v>
      </c>
      <c r="AJ171" s="15">
        <f>GW171</f>
        <v>1.5075376884422112E-2</v>
      </c>
      <c r="AK171" s="15">
        <f>GU171</f>
        <v>1.512398555276382E-2</v>
      </c>
      <c r="AL171" s="15">
        <f>GS171</f>
        <v>0.13309107286432162</v>
      </c>
      <c r="AM171" s="15">
        <f>HV171</f>
        <v>1.5277777777777777E-2</v>
      </c>
      <c r="AN171" s="15">
        <f>IG171</f>
        <v>2.7777777777777776E-2</v>
      </c>
      <c r="AO171" s="16">
        <v>0</v>
      </c>
      <c r="AP171" s="16"/>
      <c r="AQ171" s="15">
        <f>SUM(AE171:AO171)</f>
        <v>1.4162648350781684</v>
      </c>
      <c r="AR171" s="15"/>
      <c r="AS171" s="15"/>
      <c r="AT171" s="16">
        <v>0</v>
      </c>
      <c r="AU171" s="16"/>
      <c r="AV171" s="15">
        <f>AQ171+AT171</f>
        <v>1.4162648350781684</v>
      </c>
      <c r="AW171" s="17">
        <v>5.0000000000000001E-3</v>
      </c>
      <c r="AX171" s="2">
        <v>4.0000000000000001E-3</v>
      </c>
      <c r="AY171" s="18">
        <v>1</v>
      </c>
      <c r="AZ171" s="19">
        <f>(AW171-AX171)*AY171</f>
        <v>1E-3</v>
      </c>
      <c r="BA171" s="20">
        <f>AW171*AB171-AZ171*AC171</f>
        <v>0.45615</v>
      </c>
      <c r="BB171" s="20"/>
      <c r="BC171" s="20"/>
      <c r="BD171" s="20"/>
      <c r="BE171" s="20"/>
      <c r="BF171" s="20"/>
      <c r="BG171" s="20"/>
      <c r="BH171" s="20"/>
      <c r="BI171" s="20"/>
      <c r="BJ171" s="20"/>
      <c r="BK171" s="20"/>
      <c r="BL171" s="20"/>
      <c r="BM171" s="20"/>
      <c r="BN171" s="20"/>
      <c r="BO171" s="20"/>
      <c r="BP171" s="20"/>
      <c r="BQ171" s="20"/>
      <c r="BR171" s="20"/>
      <c r="BS171" s="20"/>
      <c r="BT171" s="20"/>
      <c r="BU171" s="20"/>
      <c r="BV171" s="20"/>
      <c r="BW171" s="20"/>
      <c r="BX171" s="20"/>
      <c r="BY171" s="20"/>
      <c r="BZ171" s="20"/>
      <c r="CA171" s="20"/>
      <c r="CB171" s="20"/>
      <c r="CC171" s="20"/>
      <c r="CD171" s="21"/>
      <c r="CE171" s="21">
        <v>0</v>
      </c>
      <c r="CF171" s="21">
        <v>4</v>
      </c>
      <c r="CG171" s="21">
        <v>0</v>
      </c>
      <c r="CH171">
        <f>CF171*CG171</f>
        <v>0</v>
      </c>
      <c r="CI171" s="21"/>
      <c r="CJ171" s="21"/>
      <c r="CK171" s="21"/>
      <c r="CL171" s="21"/>
      <c r="CM171" s="21"/>
      <c r="CN171" s="21"/>
      <c r="CO171" s="21"/>
      <c r="CP171" s="21"/>
      <c r="CQ171" s="21"/>
      <c r="CR171" s="21"/>
      <c r="CS171" s="21"/>
      <c r="CT171" s="21"/>
      <c r="CU171" s="21"/>
      <c r="CV171" s="21"/>
      <c r="CW171" s="21"/>
      <c r="CX171" s="21"/>
      <c r="CY171" s="21"/>
      <c r="CZ171" s="21"/>
      <c r="DA171" s="21"/>
      <c r="DB171" s="21"/>
      <c r="DC171" s="21"/>
      <c r="DD171" s="21"/>
      <c r="DE171" s="21"/>
      <c r="DF171" s="21"/>
      <c r="DG171" s="21"/>
      <c r="DH171" s="21"/>
      <c r="DI171" s="21"/>
      <c r="DJ171" s="21"/>
      <c r="DK171" s="21"/>
      <c r="DL171" s="21"/>
      <c r="DM171">
        <f>CH171+CM171+CR171+CW171+DB171+DG171+DG171+DL171</f>
        <v>0</v>
      </c>
      <c r="DN171" s="22">
        <v>1.2500000000000001E-2</v>
      </c>
      <c r="DO171" s="4">
        <f>DN171*DM171</f>
        <v>0</v>
      </c>
      <c r="DP171" s="4">
        <f>DM171+DO171</f>
        <v>0</v>
      </c>
      <c r="DQ171" s="4"/>
      <c r="DR171" s="4"/>
      <c r="DS171" s="4"/>
      <c r="DT171" s="4"/>
      <c r="DU171" s="4"/>
      <c r="DV171" s="4"/>
      <c r="DW171" s="4"/>
      <c r="DX171" s="4"/>
      <c r="DY171" s="4"/>
      <c r="DZ171" s="4"/>
      <c r="EA171" s="4"/>
      <c r="EB171" s="4"/>
      <c r="EC171" s="4"/>
      <c r="ED171" s="4"/>
      <c r="EE171" s="4"/>
      <c r="EF171" s="21">
        <v>150</v>
      </c>
      <c r="EG171" s="21">
        <v>1500</v>
      </c>
      <c r="EH171" s="21">
        <v>8</v>
      </c>
      <c r="EI171" s="18">
        <v>0.95</v>
      </c>
      <c r="EJ171" s="21">
        <v>4</v>
      </c>
      <c r="EK171" s="21">
        <v>55</v>
      </c>
      <c r="EL171" s="23">
        <f>ROUND(3600/EK171*EH171*EJ171*EI171,0)</f>
        <v>1990</v>
      </c>
      <c r="EM171" s="20"/>
      <c r="EN171" s="20"/>
      <c r="EO171" s="20"/>
      <c r="EP171" s="20"/>
      <c r="EQ171" s="20"/>
      <c r="ER171" s="20"/>
      <c r="ES171" s="20"/>
      <c r="ET171" s="20"/>
      <c r="EU171" s="20">
        <f>EG171/EL171</f>
        <v>0.75376884422110557</v>
      </c>
      <c r="EV171" s="20"/>
      <c r="EW171" s="20"/>
      <c r="EX171" s="20"/>
      <c r="EY171" s="20"/>
      <c r="EZ171" s="20"/>
      <c r="FA171" s="20"/>
      <c r="FB171" s="20"/>
      <c r="FC171" s="20"/>
      <c r="FD171" s="20"/>
      <c r="FE171" s="20"/>
      <c r="FF171" s="20"/>
      <c r="FG171" s="20"/>
      <c r="FH171" s="20"/>
      <c r="FI171" s="20"/>
      <c r="FJ171" s="20"/>
      <c r="FK171" s="20"/>
      <c r="FL171" s="20"/>
      <c r="FM171" s="20"/>
      <c r="FN171" s="20"/>
      <c r="FO171" s="20"/>
      <c r="FP171" s="20"/>
      <c r="FQ171" s="20"/>
      <c r="FR171" s="20"/>
      <c r="FS171" s="20"/>
      <c r="FT171" s="20"/>
      <c r="FU171" s="20"/>
      <c r="FV171" s="20"/>
      <c r="FW171" s="20"/>
      <c r="FX171" s="20"/>
      <c r="FY171" s="20"/>
      <c r="FZ171" s="20"/>
      <c r="GA171" s="20"/>
      <c r="GB171" s="20"/>
      <c r="GC171" s="20"/>
      <c r="GD171" s="20"/>
      <c r="GE171" s="20"/>
      <c r="GF171" s="20"/>
      <c r="GG171" s="20"/>
      <c r="GH171" s="20"/>
      <c r="GI171" s="20"/>
      <c r="GJ171" s="20"/>
      <c r="GK171" s="20"/>
      <c r="GL171" s="20"/>
      <c r="GM171" s="20"/>
      <c r="GN171" s="20"/>
      <c r="GO171" s="20"/>
      <c r="GP171" s="20"/>
      <c r="GQ171" s="20"/>
      <c r="GR171" s="18">
        <v>0.11</v>
      </c>
      <c r="GS171" s="20">
        <f>GR171*(BA171+EU171)</f>
        <v>0.13309107286432162</v>
      </c>
      <c r="GT171" s="22">
        <v>1.2500000000000001E-2</v>
      </c>
      <c r="GU171" s="20">
        <f>GT171*(BA171+EU171)</f>
        <v>1.512398555276382E-2</v>
      </c>
      <c r="GV171" s="18">
        <v>0.02</v>
      </c>
      <c r="GW171" s="20">
        <f>GV171*EU171</f>
        <v>1.5075376884422112E-2</v>
      </c>
      <c r="GX171" s="20">
        <f>GS171+GU171+GW171</f>
        <v>0.16329043530150755</v>
      </c>
      <c r="GY171" s="13" t="s">
        <v>43</v>
      </c>
      <c r="GZ171" s="13" t="s">
        <v>87</v>
      </c>
      <c r="HA171" s="20">
        <v>650</v>
      </c>
      <c r="HB171" s="20">
        <v>450</v>
      </c>
      <c r="HC171" s="21">
        <v>480</v>
      </c>
      <c r="HD171" s="21">
        <v>300</v>
      </c>
      <c r="HE171" s="21">
        <v>1200</v>
      </c>
      <c r="HF171" s="20">
        <f>ROUNDUP(HE171/HD171,0)</f>
        <v>4</v>
      </c>
      <c r="HG171" s="21">
        <v>5</v>
      </c>
      <c r="HH171" s="20">
        <f>HF171*HG171</f>
        <v>20</v>
      </c>
      <c r="HI171" s="21">
        <v>550</v>
      </c>
      <c r="HJ171" s="20">
        <f>HH171*HI171</f>
        <v>11000</v>
      </c>
      <c r="HK171" s="20"/>
      <c r="HL171" s="20"/>
      <c r="HM171" s="20">
        <v>2</v>
      </c>
      <c r="HN171" s="23">
        <f>HM171*12*25*HE171</f>
        <v>720000</v>
      </c>
      <c r="HO171" s="20">
        <f>IF(GY171="carton box",HI171/HD171,HJ171/HN171)</f>
        <v>1.5277777777777777E-2</v>
      </c>
      <c r="HP171" s="20">
        <v>160</v>
      </c>
      <c r="HQ171" s="21">
        <v>0</v>
      </c>
      <c r="HR171" s="20">
        <v>0</v>
      </c>
      <c r="HS171" s="20">
        <v>0</v>
      </c>
      <c r="HT171" s="20">
        <v>0</v>
      </c>
      <c r="HU171" s="20"/>
      <c r="HV171" s="20">
        <f>HO171+HT171</f>
        <v>1.5277777777777777E-2</v>
      </c>
      <c r="HW171" s="20"/>
      <c r="HX171" s="20">
        <v>2917</v>
      </c>
      <c r="HY171" s="20">
        <v>1689</v>
      </c>
      <c r="HZ171" s="20">
        <v>1842</v>
      </c>
      <c r="IA171" s="20">
        <v>4</v>
      </c>
      <c r="IB171" s="20">
        <v>3</v>
      </c>
      <c r="IC171" s="20">
        <v>5</v>
      </c>
      <c r="ID171" s="18">
        <v>1</v>
      </c>
      <c r="IE171" s="20">
        <f>ROUND(PRODUCT(IA171:ID171),0)</f>
        <v>60</v>
      </c>
      <c r="IF171" s="20">
        <v>500</v>
      </c>
      <c r="IG171" s="20">
        <f>IF171/(IE171*HD171)</f>
        <v>2.7777777777777776E-2</v>
      </c>
      <c r="IH171" s="20"/>
    </row>
    <row r="172" spans="1:245">
      <c r="A172">
        <v>120.1</v>
      </c>
      <c r="B172" t="s">
        <v>433</v>
      </c>
      <c r="C172" t="s">
        <v>622</v>
      </c>
      <c r="D172" s="28" t="s">
        <v>326</v>
      </c>
      <c r="E172" s="27" t="s">
        <v>327</v>
      </c>
      <c r="F172" s="27" t="s">
        <v>2192</v>
      </c>
      <c r="G172" t="s">
        <v>102</v>
      </c>
      <c r="H172" s="27" t="s">
        <v>2199</v>
      </c>
      <c r="I172" s="27" t="s">
        <v>121</v>
      </c>
      <c r="J172" s="28">
        <v>21712</v>
      </c>
      <c r="K172" s="27" t="s">
        <v>400</v>
      </c>
      <c r="L172" s="28"/>
      <c r="M172" s="28"/>
      <c r="N172" s="28"/>
      <c r="O172" s="28"/>
      <c r="P172" s="28"/>
      <c r="Q172" s="28" t="s">
        <v>1841</v>
      </c>
      <c r="R172" s="28" t="s">
        <v>1038</v>
      </c>
      <c r="S172" s="27"/>
      <c r="T172" s="27"/>
      <c r="U172" s="27"/>
      <c r="V172" s="29" t="s">
        <v>79</v>
      </c>
      <c r="W172"/>
      <c r="X172"/>
      <c r="Y172"/>
      <c r="Z172"/>
      <c r="AA172" s="21"/>
    </row>
    <row r="173" spans="1:245">
      <c r="A173">
        <v>168</v>
      </c>
      <c r="D173" s="28" t="s">
        <v>366</v>
      </c>
      <c r="E173" s="27" t="s">
        <v>367</v>
      </c>
      <c r="F173" s="27"/>
      <c r="G173" t="s">
        <v>102</v>
      </c>
      <c r="I173" s="27" t="s">
        <v>121</v>
      </c>
      <c r="J173" s="28">
        <v>20024</v>
      </c>
      <c r="K173" s="27" t="s">
        <v>412</v>
      </c>
      <c r="L173" s="28"/>
      <c r="M173" s="28"/>
      <c r="N173" s="28"/>
      <c r="O173" s="28"/>
      <c r="P173" s="28"/>
      <c r="Q173" s="28"/>
      <c r="R173" s="28"/>
      <c r="S173" s="27"/>
      <c r="T173" s="27"/>
      <c r="U173" s="27"/>
      <c r="V173" s="29" t="s">
        <v>79</v>
      </c>
      <c r="W173"/>
      <c r="X173"/>
      <c r="Y173"/>
      <c r="Z173"/>
      <c r="AA173" s="21"/>
    </row>
    <row r="174" spans="1:245">
      <c r="A174">
        <v>169</v>
      </c>
      <c r="D174" s="28" t="s">
        <v>368</v>
      </c>
      <c r="E174" s="27" t="s">
        <v>369</v>
      </c>
      <c r="F174" s="27"/>
      <c r="G174" t="s">
        <v>102</v>
      </c>
      <c r="I174" s="27" t="s">
        <v>121</v>
      </c>
      <c r="J174" s="28">
        <v>21710</v>
      </c>
      <c r="K174" s="27" t="s">
        <v>407</v>
      </c>
      <c r="L174" s="28"/>
      <c r="M174" s="28"/>
      <c r="N174" s="28"/>
      <c r="O174" s="28"/>
      <c r="P174" s="28"/>
      <c r="Q174" s="28"/>
      <c r="R174" s="28"/>
      <c r="S174" s="27"/>
      <c r="T174" s="27"/>
      <c r="U174" s="27"/>
      <c r="V174" s="29" t="s">
        <v>79</v>
      </c>
      <c r="W174"/>
      <c r="X174"/>
      <c r="Y174"/>
      <c r="Z174"/>
      <c r="AA174" s="21"/>
    </row>
    <row r="175" spans="1:245">
      <c r="A175">
        <v>170</v>
      </c>
      <c r="D175" s="28" t="s">
        <v>370</v>
      </c>
      <c r="E175" s="27" t="s">
        <v>371</v>
      </c>
      <c r="F175" s="27"/>
      <c r="G175" t="s">
        <v>102</v>
      </c>
      <c r="I175" s="27" t="s">
        <v>121</v>
      </c>
      <c r="J175" s="28">
        <v>21205</v>
      </c>
      <c r="K175" s="27" t="s">
        <v>395</v>
      </c>
      <c r="L175" s="28"/>
      <c r="M175" s="28"/>
      <c r="N175" s="28"/>
      <c r="O175" s="28"/>
      <c r="P175" s="28"/>
      <c r="Q175" s="28"/>
      <c r="R175" s="28"/>
      <c r="S175" s="27"/>
      <c r="T175" s="27"/>
      <c r="U175" s="27"/>
      <c r="V175" s="29" t="s">
        <v>79</v>
      </c>
      <c r="W175"/>
      <c r="X175"/>
      <c r="Y175"/>
      <c r="Z175"/>
      <c r="AA175" s="21"/>
    </row>
    <row r="176" spans="1:245">
      <c r="A176">
        <v>120.2</v>
      </c>
      <c r="B176" t="s">
        <v>433</v>
      </c>
      <c r="C176" t="s">
        <v>622</v>
      </c>
      <c r="D176" s="28" t="s">
        <v>326</v>
      </c>
      <c r="E176" s="27" t="s">
        <v>327</v>
      </c>
      <c r="F176" s="27" t="s">
        <v>2192</v>
      </c>
      <c r="G176" t="s">
        <v>102</v>
      </c>
      <c r="H176" s="27" t="s">
        <v>2200</v>
      </c>
      <c r="I176" s="27" t="s">
        <v>226</v>
      </c>
      <c r="J176" s="28">
        <v>21712</v>
      </c>
      <c r="K176" s="27" t="s">
        <v>400</v>
      </c>
      <c r="L176" s="28"/>
      <c r="M176" s="28"/>
      <c r="N176" s="28"/>
      <c r="O176" s="28"/>
      <c r="P176" s="28"/>
      <c r="Q176" s="28" t="s">
        <v>1841</v>
      </c>
      <c r="R176" s="28" t="s">
        <v>1038</v>
      </c>
      <c r="S176" s="27"/>
      <c r="T176" s="27"/>
      <c r="U176" s="27"/>
      <c r="V176" s="29" t="s">
        <v>79</v>
      </c>
      <c r="W176"/>
      <c r="X176"/>
      <c r="Y176"/>
      <c r="Z176"/>
      <c r="AA176" s="21"/>
    </row>
    <row r="177" spans="1:27">
      <c r="A177">
        <v>172</v>
      </c>
      <c r="D177" s="28" t="s">
        <v>374</v>
      </c>
      <c r="E177" s="27" t="s">
        <v>375</v>
      </c>
      <c r="F177" s="27"/>
      <c r="G177" t="s">
        <v>102</v>
      </c>
      <c r="I177" s="27" t="s">
        <v>121</v>
      </c>
      <c r="J177" s="28">
        <v>21819</v>
      </c>
      <c r="K177" s="27" t="s">
        <v>408</v>
      </c>
      <c r="L177" s="28"/>
      <c r="M177" s="28"/>
      <c r="N177" s="28"/>
      <c r="O177" s="28"/>
      <c r="P177" s="28"/>
      <c r="Q177" s="28"/>
      <c r="R177" s="28"/>
      <c r="S177" s="27"/>
      <c r="T177" s="27"/>
      <c r="U177" s="27"/>
      <c r="V177" s="29" t="s">
        <v>79</v>
      </c>
      <c r="W177"/>
      <c r="X177"/>
      <c r="Y177"/>
      <c r="Z177"/>
      <c r="AA177" s="21"/>
    </row>
    <row r="178" spans="1:27">
      <c r="A178">
        <v>173</v>
      </c>
      <c r="B178" t="s">
        <v>468</v>
      </c>
      <c r="C178" t="s">
        <v>567</v>
      </c>
      <c r="D178" s="28" t="s">
        <v>376</v>
      </c>
      <c r="E178" s="27" t="s">
        <v>377</v>
      </c>
      <c r="F178" s="27"/>
      <c r="G178" t="s">
        <v>108</v>
      </c>
      <c r="I178" s="27" t="s">
        <v>121</v>
      </c>
      <c r="J178" s="28">
        <v>21160</v>
      </c>
      <c r="K178" s="27" t="s">
        <v>401</v>
      </c>
      <c r="L178" s="28"/>
      <c r="M178" s="28"/>
      <c r="N178" s="28" t="s">
        <v>1927</v>
      </c>
      <c r="O178" s="28" t="s">
        <v>1836</v>
      </c>
      <c r="P178" s="331">
        <v>45274</v>
      </c>
      <c r="Q178" s="28"/>
      <c r="R178" s="28"/>
      <c r="S178" s="27"/>
      <c r="T178" s="27"/>
      <c r="U178" s="27"/>
      <c r="V178" s="29" t="s">
        <v>79</v>
      </c>
      <c r="W178" t="s">
        <v>1113</v>
      </c>
      <c r="X178"/>
      <c r="Y178"/>
      <c r="Z178"/>
      <c r="AA178" s="21"/>
    </row>
    <row r="179" spans="1:27">
      <c r="A179">
        <v>174</v>
      </c>
      <c r="B179" t="s">
        <v>468</v>
      </c>
      <c r="C179" t="s">
        <v>567</v>
      </c>
      <c r="D179" s="28" t="s">
        <v>376</v>
      </c>
      <c r="E179" s="27" t="s">
        <v>377</v>
      </c>
      <c r="F179" s="27"/>
      <c r="G179" t="s">
        <v>108</v>
      </c>
      <c r="I179" s="27" t="s">
        <v>121</v>
      </c>
      <c r="J179" s="28">
        <v>21205</v>
      </c>
      <c r="K179" s="27" t="s">
        <v>395</v>
      </c>
      <c r="L179" s="28"/>
      <c r="M179" s="28"/>
      <c r="N179" s="28" t="s">
        <v>1928</v>
      </c>
      <c r="O179" s="28" t="s">
        <v>1877</v>
      </c>
      <c r="P179" s="331">
        <v>44956</v>
      </c>
      <c r="Q179" s="28"/>
      <c r="R179" s="28"/>
      <c r="S179" s="27"/>
      <c r="T179" s="27"/>
      <c r="U179" s="27"/>
      <c r="V179" s="29" t="s">
        <v>79</v>
      </c>
      <c r="W179" t="s">
        <v>1112</v>
      </c>
      <c r="X179"/>
      <c r="Y179"/>
      <c r="Z179"/>
      <c r="AA179" s="21"/>
    </row>
    <row r="180" spans="1:27">
      <c r="A180">
        <v>175</v>
      </c>
      <c r="B180" t="s">
        <v>468</v>
      </c>
      <c r="C180" t="s">
        <v>567</v>
      </c>
      <c r="D180" s="28" t="s">
        <v>376</v>
      </c>
      <c r="E180" s="27" t="s">
        <v>377</v>
      </c>
      <c r="F180" s="27"/>
      <c r="G180" t="s">
        <v>108</v>
      </c>
      <c r="I180" s="27" t="s">
        <v>94</v>
      </c>
      <c r="J180" s="28">
        <v>21160</v>
      </c>
      <c r="K180" s="27" t="s">
        <v>401</v>
      </c>
      <c r="L180" s="28"/>
      <c r="M180" s="28"/>
      <c r="N180" s="28" t="s">
        <v>1767</v>
      </c>
      <c r="O180" s="28" t="s">
        <v>1929</v>
      </c>
      <c r="P180" s="331">
        <v>43672</v>
      </c>
      <c r="Q180" s="28"/>
      <c r="R180" s="28"/>
      <c r="S180" s="27"/>
      <c r="T180" s="27"/>
      <c r="U180" s="27"/>
      <c r="V180" s="29" t="s">
        <v>79</v>
      </c>
      <c r="W180" t="s">
        <v>1114</v>
      </c>
      <c r="X180"/>
      <c r="Y180"/>
      <c r="Z180"/>
      <c r="AA180" s="21"/>
    </row>
    <row r="181" spans="1:27">
      <c r="A181">
        <v>176</v>
      </c>
      <c r="B181" t="s">
        <v>468</v>
      </c>
      <c r="C181" t="s">
        <v>567</v>
      </c>
      <c r="D181" s="28" t="s">
        <v>376</v>
      </c>
      <c r="E181" s="27" t="s">
        <v>377</v>
      </c>
      <c r="F181" s="27"/>
      <c r="G181" t="s">
        <v>108</v>
      </c>
      <c r="I181" s="27" t="s">
        <v>226</v>
      </c>
      <c r="J181" s="28">
        <v>21425</v>
      </c>
      <c r="K181" s="27" t="s">
        <v>406</v>
      </c>
      <c r="L181" s="28"/>
      <c r="M181" s="28"/>
      <c r="N181" s="28" t="s">
        <v>1767</v>
      </c>
      <c r="O181" s="28" t="s">
        <v>1805</v>
      </c>
      <c r="P181" s="331">
        <v>43473</v>
      </c>
      <c r="Q181" s="28"/>
      <c r="R181" s="28"/>
      <c r="S181" s="27"/>
      <c r="T181" s="27"/>
      <c r="U181" s="27"/>
      <c r="V181" s="29" t="s">
        <v>79</v>
      </c>
      <c r="W181" t="s">
        <v>1115</v>
      </c>
      <c r="X181"/>
      <c r="Y181"/>
      <c r="Z181"/>
      <c r="AA181" s="21"/>
    </row>
    <row r="182" spans="1:27" ht="30">
      <c r="A182">
        <v>177</v>
      </c>
      <c r="B182" t="s">
        <v>468</v>
      </c>
      <c r="C182" t="s">
        <v>567</v>
      </c>
      <c r="D182" s="28" t="s">
        <v>378</v>
      </c>
      <c r="E182" s="27" t="s">
        <v>379</v>
      </c>
      <c r="F182" s="27"/>
      <c r="G182" t="s">
        <v>122</v>
      </c>
      <c r="I182" s="27" t="s">
        <v>121</v>
      </c>
      <c r="J182" s="28">
        <v>21697</v>
      </c>
      <c r="K182" s="27" t="s">
        <v>227</v>
      </c>
      <c r="L182" s="28"/>
      <c r="M182" s="28"/>
      <c r="N182" s="28" t="s">
        <v>1767</v>
      </c>
      <c r="O182" s="28" t="s">
        <v>1877</v>
      </c>
      <c r="P182" s="331">
        <v>44950</v>
      </c>
      <c r="Q182" s="28"/>
      <c r="R182" s="28"/>
      <c r="S182" s="27"/>
      <c r="T182" s="27"/>
      <c r="U182" s="27"/>
      <c r="V182" s="29" t="s">
        <v>79</v>
      </c>
      <c r="W182" s="72" t="s">
        <v>1930</v>
      </c>
      <c r="X182" s="72"/>
      <c r="Y182" s="72"/>
      <c r="Z182" s="72"/>
      <c r="AA182" s="21"/>
    </row>
    <row r="183" spans="1:27">
      <c r="A183">
        <v>178</v>
      </c>
      <c r="B183" t="s">
        <v>468</v>
      </c>
      <c r="C183" t="s">
        <v>567</v>
      </c>
      <c r="D183" s="28" t="s">
        <v>378</v>
      </c>
      <c r="E183" s="27" t="s">
        <v>379</v>
      </c>
      <c r="F183" s="27"/>
      <c r="G183" t="s">
        <v>122</v>
      </c>
      <c r="I183" s="27" t="s">
        <v>94</v>
      </c>
      <c r="J183" s="28">
        <v>21697</v>
      </c>
      <c r="K183" s="27" t="s">
        <v>227</v>
      </c>
      <c r="L183" s="28"/>
      <c r="M183" s="28"/>
      <c r="N183" s="28" t="s">
        <v>1912</v>
      </c>
      <c r="O183" s="28" t="s">
        <v>1929</v>
      </c>
      <c r="P183" s="331">
        <v>44095</v>
      </c>
      <c r="Q183" s="28"/>
      <c r="R183" s="28"/>
      <c r="S183" s="27"/>
      <c r="T183" s="27"/>
      <c r="U183" s="27"/>
      <c r="V183" s="29" t="s">
        <v>79</v>
      </c>
      <c r="W183" t="s">
        <v>1931</v>
      </c>
      <c r="X183"/>
      <c r="Y183"/>
      <c r="Z183"/>
      <c r="AA183" s="21"/>
    </row>
    <row r="184" spans="1:27" ht="30">
      <c r="A184">
        <v>179</v>
      </c>
      <c r="B184" t="s">
        <v>468</v>
      </c>
      <c r="C184" t="s">
        <v>567</v>
      </c>
      <c r="D184" s="28" t="s">
        <v>378</v>
      </c>
      <c r="E184" s="27" t="s">
        <v>379</v>
      </c>
      <c r="F184" s="27"/>
      <c r="G184" t="s">
        <v>122</v>
      </c>
      <c r="I184" s="27" t="s">
        <v>226</v>
      </c>
      <c r="J184" s="28">
        <v>21590</v>
      </c>
      <c r="K184" s="27" t="s">
        <v>397</v>
      </c>
      <c r="L184" s="28"/>
      <c r="M184" s="28"/>
      <c r="N184" s="28" t="s">
        <v>1767</v>
      </c>
      <c r="O184" s="28" t="s">
        <v>1929</v>
      </c>
      <c r="P184" s="331">
        <v>44096</v>
      </c>
      <c r="Q184" s="28"/>
      <c r="R184" s="28"/>
      <c r="S184" s="27"/>
      <c r="T184" s="27"/>
      <c r="U184" s="27"/>
      <c r="V184" s="29" t="s">
        <v>79</v>
      </c>
      <c r="W184" s="72" t="s">
        <v>1932</v>
      </c>
      <c r="X184" s="72"/>
      <c r="Y184" s="72"/>
      <c r="Z184" s="72"/>
      <c r="AA184" s="21"/>
    </row>
    <row r="185" spans="1:27">
      <c r="A185">
        <v>120.3</v>
      </c>
      <c r="B185" t="s">
        <v>433</v>
      </c>
      <c r="C185" t="s">
        <v>622</v>
      </c>
      <c r="D185" s="28" t="s">
        <v>326</v>
      </c>
      <c r="E185" s="27" t="s">
        <v>327</v>
      </c>
      <c r="F185" s="27" t="s">
        <v>2192</v>
      </c>
      <c r="G185" t="s">
        <v>102</v>
      </c>
      <c r="H185" s="27" t="s">
        <v>2201</v>
      </c>
      <c r="I185" s="27" t="s">
        <v>94</v>
      </c>
      <c r="J185" s="28">
        <v>21712</v>
      </c>
      <c r="K185" s="27" t="s">
        <v>400</v>
      </c>
      <c r="L185" s="28"/>
      <c r="M185" s="28"/>
      <c r="N185" s="28"/>
      <c r="O185" s="28"/>
      <c r="P185" s="28"/>
      <c r="Q185" s="28" t="s">
        <v>1841</v>
      </c>
      <c r="R185" s="28" t="s">
        <v>1038</v>
      </c>
      <c r="S185" s="27"/>
      <c r="T185" s="27"/>
      <c r="U185" s="27"/>
      <c r="V185" s="29" t="s">
        <v>79</v>
      </c>
      <c r="W185"/>
      <c r="X185"/>
      <c r="Y185"/>
      <c r="Z185"/>
      <c r="AA185" s="21"/>
    </row>
    <row r="186" spans="1:27">
      <c r="A186">
        <v>181</v>
      </c>
      <c r="B186" t="s">
        <v>468</v>
      </c>
      <c r="C186" t="s">
        <v>567</v>
      </c>
      <c r="D186" s="28" t="s">
        <v>382</v>
      </c>
      <c r="E186" s="27" t="s">
        <v>357</v>
      </c>
      <c r="F186" s="27"/>
      <c r="G186" s="259" t="s">
        <v>101</v>
      </c>
      <c r="H186" s="259"/>
      <c r="I186" s="27" t="s">
        <v>121</v>
      </c>
      <c r="J186" s="28">
        <v>21160</v>
      </c>
      <c r="K186" s="27" t="s">
        <v>401</v>
      </c>
      <c r="L186" s="28"/>
      <c r="M186" s="28"/>
      <c r="N186" s="28" t="s">
        <v>1927</v>
      </c>
      <c r="O186" s="28" t="s">
        <v>1193</v>
      </c>
      <c r="P186" s="331">
        <v>45274</v>
      </c>
      <c r="Q186" s="28"/>
      <c r="R186" s="28"/>
      <c r="S186" s="27"/>
      <c r="T186" s="27"/>
      <c r="U186" s="27"/>
      <c r="V186" s="29" t="s">
        <v>79</v>
      </c>
      <c r="W186" t="s">
        <v>494</v>
      </c>
      <c r="X186"/>
      <c r="Y186"/>
      <c r="Z186"/>
    </row>
    <row r="187" spans="1:27" ht="30">
      <c r="A187">
        <v>182</v>
      </c>
      <c r="B187" t="s">
        <v>468</v>
      </c>
      <c r="C187" t="s">
        <v>567</v>
      </c>
      <c r="D187" s="28" t="s">
        <v>382</v>
      </c>
      <c r="E187" s="27" t="s">
        <v>357</v>
      </c>
      <c r="F187" s="27"/>
      <c r="G187" s="259" t="s">
        <v>122</v>
      </c>
      <c r="H187" s="259"/>
      <c r="I187" s="27" t="s">
        <v>121</v>
      </c>
      <c r="J187" s="28">
        <v>21205</v>
      </c>
      <c r="K187" s="27" t="s">
        <v>395</v>
      </c>
      <c r="L187" s="28"/>
      <c r="M187" s="28"/>
      <c r="N187" s="28" t="s">
        <v>1767</v>
      </c>
      <c r="O187" s="28" t="s">
        <v>1034</v>
      </c>
      <c r="P187" s="331">
        <v>44947</v>
      </c>
      <c r="Q187" s="28"/>
      <c r="R187" s="28"/>
      <c r="S187" s="27"/>
      <c r="T187" s="27"/>
      <c r="U187" s="27"/>
      <c r="V187" s="29" t="s">
        <v>79</v>
      </c>
      <c r="W187" s="72" t="s">
        <v>538</v>
      </c>
      <c r="X187" s="72"/>
      <c r="Y187" s="72"/>
      <c r="Z187" s="72"/>
      <c r="AA187" s="21"/>
    </row>
    <row r="188" spans="1:27" ht="30">
      <c r="A188">
        <v>183</v>
      </c>
      <c r="B188" t="s">
        <v>468</v>
      </c>
      <c r="C188" t="s">
        <v>567</v>
      </c>
      <c r="D188" s="28" t="s">
        <v>382</v>
      </c>
      <c r="E188" s="27" t="s">
        <v>357</v>
      </c>
      <c r="F188" s="27"/>
      <c r="G188" s="259" t="s">
        <v>122</v>
      </c>
      <c r="H188" s="259"/>
      <c r="I188" s="27" t="s">
        <v>94</v>
      </c>
      <c r="J188" s="28">
        <v>21205</v>
      </c>
      <c r="K188" s="27" t="s">
        <v>395</v>
      </c>
      <c r="L188" s="28"/>
      <c r="M188" s="28"/>
      <c r="N188" s="28" t="s">
        <v>1767</v>
      </c>
      <c r="O188" s="28" t="s">
        <v>1038</v>
      </c>
      <c r="P188" s="331">
        <v>43672</v>
      </c>
      <c r="Q188" s="28"/>
      <c r="R188" s="28"/>
      <c r="S188" s="27"/>
      <c r="T188" s="27"/>
      <c r="U188" s="27"/>
      <c r="V188" s="29" t="s">
        <v>79</v>
      </c>
      <c r="W188" s="72" t="s">
        <v>538</v>
      </c>
      <c r="X188" s="72"/>
      <c r="Y188" s="72"/>
      <c r="Z188" s="72"/>
      <c r="AA188" s="21"/>
    </row>
    <row r="189" spans="1:27" ht="30">
      <c r="A189">
        <v>184</v>
      </c>
      <c r="B189" t="s">
        <v>468</v>
      </c>
      <c r="C189" t="s">
        <v>567</v>
      </c>
      <c r="D189" s="28" t="s">
        <v>382</v>
      </c>
      <c r="E189" s="27" t="s">
        <v>357</v>
      </c>
      <c r="F189" s="27"/>
      <c r="G189" s="259" t="s">
        <v>122</v>
      </c>
      <c r="H189" s="259"/>
      <c r="I189" s="27" t="s">
        <v>226</v>
      </c>
      <c r="J189" s="28">
        <v>21557</v>
      </c>
      <c r="K189" s="27" t="s">
        <v>396</v>
      </c>
      <c r="L189" s="28"/>
      <c r="M189" s="28"/>
      <c r="N189" s="28" t="s">
        <v>1767</v>
      </c>
      <c r="O189" s="28" t="s">
        <v>1038</v>
      </c>
      <c r="P189" s="331">
        <v>43671</v>
      </c>
      <c r="Q189" s="28"/>
      <c r="R189" s="28"/>
      <c r="S189" s="27"/>
      <c r="T189" s="27"/>
      <c r="U189" s="27"/>
      <c r="V189" s="29" t="s">
        <v>79</v>
      </c>
      <c r="W189" s="72" t="s">
        <v>538</v>
      </c>
      <c r="X189" s="72"/>
      <c r="Y189" s="72"/>
      <c r="Z189" s="72"/>
      <c r="AA189" s="21"/>
    </row>
    <row r="190" spans="1:27">
      <c r="A190">
        <v>185</v>
      </c>
      <c r="B190" t="s">
        <v>468</v>
      </c>
      <c r="C190" t="s">
        <v>567</v>
      </c>
      <c r="D190" s="28" t="s">
        <v>383</v>
      </c>
      <c r="E190" s="27" t="s">
        <v>384</v>
      </c>
      <c r="F190" s="27"/>
      <c r="G190" s="259" t="s">
        <v>122</v>
      </c>
      <c r="H190" s="259"/>
      <c r="I190" s="27" t="s">
        <v>121</v>
      </c>
      <c r="J190" s="28">
        <v>21205</v>
      </c>
      <c r="K190" s="27" t="s">
        <v>395</v>
      </c>
      <c r="L190" s="28"/>
      <c r="M190" s="28"/>
      <c r="N190" s="28" t="s">
        <v>1767</v>
      </c>
      <c r="O190" s="28" t="s">
        <v>1034</v>
      </c>
      <c r="P190" s="331">
        <v>44947</v>
      </c>
      <c r="Q190" s="28"/>
      <c r="R190" s="28"/>
      <c r="S190" s="27"/>
      <c r="T190" s="27"/>
      <c r="U190" s="27"/>
      <c r="V190" s="29" t="s">
        <v>79</v>
      </c>
      <c r="W190" s="73" t="s">
        <v>539</v>
      </c>
      <c r="X190" s="73"/>
      <c r="Y190" s="73"/>
      <c r="Z190" s="73"/>
      <c r="AA190" s="21"/>
    </row>
    <row r="191" spans="1:27" ht="30">
      <c r="A191">
        <v>186</v>
      </c>
      <c r="B191" t="s">
        <v>468</v>
      </c>
      <c r="C191" t="s">
        <v>567</v>
      </c>
      <c r="D191" s="28" t="s">
        <v>383</v>
      </c>
      <c r="E191" s="27" t="s">
        <v>384</v>
      </c>
      <c r="F191" s="27"/>
      <c r="G191" s="259" t="s">
        <v>122</v>
      </c>
      <c r="H191" s="259"/>
      <c r="I191" s="27" t="s">
        <v>94</v>
      </c>
      <c r="J191" s="28">
        <v>21205</v>
      </c>
      <c r="K191" s="27" t="s">
        <v>395</v>
      </c>
      <c r="L191" s="28"/>
      <c r="M191" s="28"/>
      <c r="N191" s="28" t="s">
        <v>1934</v>
      </c>
      <c r="O191" s="28" t="s">
        <v>1034</v>
      </c>
      <c r="P191" s="331">
        <v>44950</v>
      </c>
      <c r="Q191" s="28"/>
      <c r="R191" s="28"/>
      <c r="S191" s="27"/>
      <c r="T191" s="27"/>
      <c r="U191" s="27"/>
      <c r="V191" s="29" t="s">
        <v>79</v>
      </c>
      <c r="W191" s="260" t="s">
        <v>1935</v>
      </c>
      <c r="X191" s="260"/>
      <c r="Y191" s="260"/>
      <c r="Z191" s="260"/>
      <c r="AA191" s="21"/>
    </row>
    <row r="192" spans="1:27" ht="30">
      <c r="A192">
        <v>187</v>
      </c>
      <c r="B192" t="s">
        <v>468</v>
      </c>
      <c r="C192" t="s">
        <v>567</v>
      </c>
      <c r="D192" s="28" t="s">
        <v>383</v>
      </c>
      <c r="E192" s="27" t="s">
        <v>384</v>
      </c>
      <c r="F192" s="27"/>
      <c r="G192" s="259" t="s">
        <v>122</v>
      </c>
      <c r="H192" s="259"/>
      <c r="I192" s="27" t="s">
        <v>226</v>
      </c>
      <c r="J192" s="28">
        <v>21557</v>
      </c>
      <c r="K192" s="27" t="s">
        <v>396</v>
      </c>
      <c r="L192" s="28"/>
      <c r="M192" s="28"/>
      <c r="N192" s="28" t="s">
        <v>1767</v>
      </c>
      <c r="O192" s="28" t="s">
        <v>1929</v>
      </c>
      <c r="P192" s="331">
        <v>43671</v>
      </c>
      <c r="Q192" s="28"/>
      <c r="R192" s="28"/>
      <c r="S192" s="27"/>
      <c r="T192" s="27"/>
      <c r="U192" s="27"/>
      <c r="V192" s="29" t="s">
        <v>79</v>
      </c>
      <c r="W192" s="260" t="s">
        <v>1936</v>
      </c>
      <c r="X192" s="260"/>
      <c r="Y192" s="260"/>
      <c r="Z192" s="260"/>
      <c r="AA192" s="21"/>
    </row>
    <row r="193" spans="1:242">
      <c r="A193">
        <v>9</v>
      </c>
      <c r="B193" t="s">
        <v>468</v>
      </c>
      <c r="C193" t="s">
        <v>1834</v>
      </c>
      <c r="D193" s="5" t="s">
        <v>111</v>
      </c>
      <c r="E193" s="5" t="s">
        <v>112</v>
      </c>
      <c r="F193" s="5" t="s">
        <v>2182</v>
      </c>
      <c r="G193" s="5" t="s">
        <v>90</v>
      </c>
      <c r="H193" s="5"/>
      <c r="I193" s="5" t="s">
        <v>123</v>
      </c>
      <c r="J193" s="5">
        <v>21480</v>
      </c>
      <c r="K193" s="5" t="s">
        <v>97</v>
      </c>
      <c r="L193" s="5"/>
      <c r="M193" s="5"/>
      <c r="N193" s="5"/>
      <c r="O193" s="5"/>
      <c r="P193" s="5"/>
      <c r="Q193" s="5" t="s">
        <v>1033</v>
      </c>
      <c r="R193" s="5" t="s">
        <v>1194</v>
      </c>
      <c r="S193" s="5"/>
      <c r="T193" s="5"/>
      <c r="U193" s="5"/>
      <c r="V193" s="29" t="s">
        <v>79</v>
      </c>
      <c r="W193" s="5"/>
      <c r="X193" s="5"/>
      <c r="Y193" s="5"/>
      <c r="Z193" s="5"/>
      <c r="AA193" s="84" t="s">
        <v>124</v>
      </c>
      <c r="AB193" s="340">
        <v>95.23</v>
      </c>
      <c r="AC193" s="1">
        <v>20</v>
      </c>
      <c r="AD193" s="48"/>
      <c r="AE193" s="15">
        <f>BA193</f>
        <v>0.45615</v>
      </c>
      <c r="AF193" s="15"/>
      <c r="AG193" s="15">
        <f>EU193</f>
        <v>0.75376884422110557</v>
      </c>
      <c r="AH193" s="7">
        <f>DM193</f>
        <v>0</v>
      </c>
      <c r="AI193" s="7">
        <f>DO193</f>
        <v>0</v>
      </c>
      <c r="AJ193" s="15">
        <f>GW193</f>
        <v>1.5075376884422112E-2</v>
      </c>
      <c r="AK193" s="15">
        <f>GU193</f>
        <v>1.512398555276382E-2</v>
      </c>
      <c r="AL193" s="15">
        <f>GS193</f>
        <v>0.13309107286432162</v>
      </c>
      <c r="AM193" s="15">
        <f>HV193</f>
        <v>0.18</v>
      </c>
      <c r="AN193" s="15">
        <f>IG193</f>
        <v>8.3333333333333329E-2</v>
      </c>
      <c r="AO193" s="16">
        <v>0</v>
      </c>
      <c r="AP193" s="16"/>
      <c r="AQ193" s="15">
        <f>SUM(AE193:AO193)</f>
        <v>1.6365426128559462</v>
      </c>
      <c r="AR193" s="15"/>
      <c r="AS193" s="15"/>
      <c r="AT193" s="16">
        <v>0</v>
      </c>
      <c r="AU193" s="16"/>
      <c r="AV193" s="15">
        <f>AQ193+AT193</f>
        <v>1.6365426128559462</v>
      </c>
      <c r="AW193" s="17">
        <v>5.0000000000000001E-3</v>
      </c>
      <c r="AX193" s="2">
        <v>4.0000000000000001E-3</v>
      </c>
      <c r="AY193" s="18">
        <v>1</v>
      </c>
      <c r="AZ193" s="19">
        <f>(AW193-AX193)*AY193</f>
        <v>1E-3</v>
      </c>
      <c r="BA193" s="20">
        <f>AW193*AB193-AZ193*AC193</f>
        <v>0.45615</v>
      </c>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1"/>
      <c r="CE193" s="21">
        <v>0</v>
      </c>
      <c r="CF193" s="21">
        <v>0</v>
      </c>
      <c r="CG193" s="21">
        <v>0</v>
      </c>
      <c r="CH193">
        <f>CF193*CG193</f>
        <v>0</v>
      </c>
      <c r="CI193" s="21"/>
      <c r="CJ193" s="21"/>
      <c r="CK193" s="21"/>
      <c r="CL193" s="21"/>
      <c r="CM193" s="21"/>
      <c r="CN193" s="21"/>
      <c r="CO193" s="21"/>
      <c r="CP193" s="21"/>
      <c r="CQ193" s="21"/>
      <c r="CR193" s="21"/>
      <c r="CS193" s="21"/>
      <c r="CT193" s="21"/>
      <c r="CU193" s="21"/>
      <c r="CV193" s="21"/>
      <c r="CW193" s="21"/>
      <c r="CX193" s="21"/>
      <c r="CY193" s="21"/>
      <c r="CZ193" s="21"/>
      <c r="DA193" s="21"/>
      <c r="DB193" s="21"/>
      <c r="DC193" s="21"/>
      <c r="DD193" s="21"/>
      <c r="DE193" s="21"/>
      <c r="DF193" s="21"/>
      <c r="DG193" s="21"/>
      <c r="DH193" s="21"/>
      <c r="DI193" s="21"/>
      <c r="DJ193" s="21"/>
      <c r="DK193" s="21"/>
      <c r="DL193" s="21"/>
      <c r="DM193">
        <f>CH193+CM193+CR193+CW193+DB193+DG193+DG193+DL193</f>
        <v>0</v>
      </c>
      <c r="DN193" s="22">
        <v>1.2500000000000001E-2</v>
      </c>
      <c r="DO193" s="4">
        <f>DN193*DM193</f>
        <v>0</v>
      </c>
      <c r="DP193" s="4">
        <f>DM193+DO193</f>
        <v>0</v>
      </c>
      <c r="DQ193" s="4"/>
      <c r="DR193" s="4"/>
      <c r="DS193" s="4"/>
      <c r="DT193" s="4"/>
      <c r="DU193" s="4"/>
      <c r="DV193" s="4"/>
      <c r="DW193" s="4"/>
      <c r="DX193" s="4"/>
      <c r="DY193" s="4"/>
      <c r="DZ193" s="4"/>
      <c r="EA193" s="4"/>
      <c r="EB193" s="4"/>
      <c r="EC193" s="4"/>
      <c r="ED193" s="4"/>
      <c r="EE193" s="4"/>
      <c r="EF193" s="21">
        <v>150</v>
      </c>
      <c r="EG193" s="21">
        <v>1500</v>
      </c>
      <c r="EH193" s="21">
        <v>8</v>
      </c>
      <c r="EI193" s="18">
        <v>0.95</v>
      </c>
      <c r="EJ193" s="21">
        <v>4</v>
      </c>
      <c r="EK193" s="21">
        <v>55</v>
      </c>
      <c r="EL193" s="23">
        <f>ROUND(3600/EK193*EH193*EJ193*EI193,0)</f>
        <v>1990</v>
      </c>
      <c r="EM193" s="20"/>
      <c r="EN193" s="20"/>
      <c r="EO193" s="20"/>
      <c r="EP193" s="20"/>
      <c r="EQ193" s="20"/>
      <c r="ER193" s="20"/>
      <c r="ES193" s="20"/>
      <c r="ET193" s="20"/>
      <c r="EU193" s="20">
        <f>EG193/EL193</f>
        <v>0.75376884422110557</v>
      </c>
      <c r="EV193" s="20"/>
      <c r="EW193" s="20"/>
      <c r="EX193" s="20"/>
      <c r="EY193" s="20"/>
      <c r="EZ193" s="20"/>
      <c r="FA193" s="20"/>
      <c r="FB193" s="20"/>
      <c r="FC193" s="20"/>
      <c r="FD193" s="20"/>
      <c r="FE193" s="20"/>
      <c r="FF193" s="20"/>
      <c r="FG193" s="20"/>
      <c r="FH193" s="20"/>
      <c r="FI193" s="20"/>
      <c r="FJ193" s="20"/>
      <c r="FK193" s="20"/>
      <c r="FL193" s="20"/>
      <c r="FM193" s="20"/>
      <c r="FN193" s="20"/>
      <c r="FO193" s="20"/>
      <c r="FP193" s="20"/>
      <c r="FQ193" s="20"/>
      <c r="FR193" s="20"/>
      <c r="FS193" s="20"/>
      <c r="FT193" s="20"/>
      <c r="FU193" s="20"/>
      <c r="FV193" s="20"/>
      <c r="FW193" s="20"/>
      <c r="FX193" s="20"/>
      <c r="FY193" s="20"/>
      <c r="FZ193" s="20"/>
      <c r="GA193" s="20"/>
      <c r="GB193" s="20"/>
      <c r="GC193" s="20"/>
      <c r="GD193" s="20"/>
      <c r="GE193" s="20"/>
      <c r="GF193" s="20"/>
      <c r="GG193" s="20"/>
      <c r="GH193" s="20"/>
      <c r="GI193" s="20"/>
      <c r="GJ193" s="20"/>
      <c r="GK193" s="20"/>
      <c r="GL193" s="20"/>
      <c r="GM193" s="20"/>
      <c r="GN193" s="20"/>
      <c r="GO193" s="20"/>
      <c r="GP193" s="20"/>
      <c r="GQ193" s="20"/>
      <c r="GR193" s="18">
        <v>0.11</v>
      </c>
      <c r="GS193" s="20">
        <f>GR193*(BA193+EU193)</f>
        <v>0.13309107286432162</v>
      </c>
      <c r="GT193" s="22">
        <v>1.2500000000000001E-2</v>
      </c>
      <c r="GU193" s="20">
        <f>GT193*(BA193+EU193)</f>
        <v>1.512398555276382E-2</v>
      </c>
      <c r="GV193" s="18">
        <v>0.02</v>
      </c>
      <c r="GW193" s="20">
        <f>GV193*EU193</f>
        <v>1.5075376884422112E-2</v>
      </c>
      <c r="GX193" s="20">
        <f>GS193+GU193+GW193</f>
        <v>0.16329043530150755</v>
      </c>
      <c r="GY193" s="13" t="s">
        <v>125</v>
      </c>
      <c r="GZ193" s="13" t="s">
        <v>87</v>
      </c>
      <c r="HA193" s="20">
        <v>360</v>
      </c>
      <c r="HB193" s="20">
        <v>270</v>
      </c>
      <c r="HC193" s="21">
        <v>200</v>
      </c>
      <c r="HD193" s="21">
        <v>100</v>
      </c>
      <c r="HE193" s="21">
        <v>140</v>
      </c>
      <c r="HF193" s="20">
        <f>ROUNDUP(HE193/HD193,0)</f>
        <v>2</v>
      </c>
      <c r="HG193" s="21">
        <v>0</v>
      </c>
      <c r="HH193" s="20">
        <f>HF193*HG193</f>
        <v>0</v>
      </c>
      <c r="HI193" s="21">
        <v>18</v>
      </c>
      <c r="HJ193" s="20">
        <f>HH193*HI193</f>
        <v>0</v>
      </c>
      <c r="HK193" s="20"/>
      <c r="HL193" s="20"/>
      <c r="HM193" s="20">
        <v>2</v>
      </c>
      <c r="HN193" s="23">
        <f>HM193*12*25*HE193</f>
        <v>84000</v>
      </c>
      <c r="HO193" s="20">
        <f>IF(GY193="carton box",HI193/HD193,HJ193/HN193)</f>
        <v>0.18</v>
      </c>
      <c r="HP193" s="20">
        <v>160</v>
      </c>
      <c r="HQ193" s="21">
        <v>0</v>
      </c>
      <c r="HR193" s="20">
        <v>0</v>
      </c>
      <c r="HS193" s="20">
        <v>0</v>
      </c>
      <c r="HT193" s="20">
        <v>0</v>
      </c>
      <c r="HU193" s="20"/>
      <c r="HV193" s="20">
        <f>HO193+HT193</f>
        <v>0.18</v>
      </c>
      <c r="HW193" s="20"/>
      <c r="HX193" s="20">
        <v>2917</v>
      </c>
      <c r="HY193" s="20">
        <v>1689</v>
      </c>
      <c r="HZ193" s="20">
        <v>1842</v>
      </c>
      <c r="IA193" s="20">
        <v>4</v>
      </c>
      <c r="IB193" s="20">
        <v>3</v>
      </c>
      <c r="IC193" s="20">
        <v>5</v>
      </c>
      <c r="ID193" s="18">
        <v>1</v>
      </c>
      <c r="IE193" s="20">
        <f>ROUND(PRODUCT(IA193:ID193),0)</f>
        <v>60</v>
      </c>
      <c r="IF193" s="20">
        <v>500</v>
      </c>
      <c r="IG193" s="20">
        <f>IF193/(IE193*HD193)</f>
        <v>8.3333333333333329E-2</v>
      </c>
      <c r="IH193" s="20"/>
    </row>
    <row r="194" spans="1:242">
      <c r="A194">
        <v>13</v>
      </c>
      <c r="B194" t="s">
        <v>468</v>
      </c>
      <c r="C194" t="s">
        <v>1838</v>
      </c>
      <c r="D194" s="5" t="s">
        <v>119</v>
      </c>
      <c r="E194" s="5" t="s">
        <v>120</v>
      </c>
      <c r="F194" s="5" t="s">
        <v>2182</v>
      </c>
      <c r="G194" s="5" t="s">
        <v>90</v>
      </c>
      <c r="H194" s="5"/>
      <c r="I194" s="5" t="s">
        <v>121</v>
      </c>
      <c r="J194" s="5">
        <v>21480</v>
      </c>
      <c r="K194" s="5" t="s">
        <v>97</v>
      </c>
      <c r="L194" s="5"/>
      <c r="M194" s="5"/>
      <c r="N194" s="5"/>
      <c r="O194" s="5"/>
      <c r="P194" s="5"/>
      <c r="Q194" s="5" t="s">
        <v>1033</v>
      </c>
      <c r="R194" s="5" t="s">
        <v>1194</v>
      </c>
      <c r="S194" s="5"/>
      <c r="T194" s="5"/>
      <c r="U194" s="5"/>
      <c r="V194" s="29" t="s">
        <v>79</v>
      </c>
      <c r="W194" s="5"/>
      <c r="X194" s="5"/>
      <c r="Y194" s="5"/>
      <c r="Z194" s="5"/>
      <c r="AA194" s="84" t="s">
        <v>271</v>
      </c>
      <c r="AB194" s="340">
        <v>138.24</v>
      </c>
      <c r="AC194" s="1">
        <f>AB194-5</f>
        <v>133.24</v>
      </c>
      <c r="AD194" s="48" t="s">
        <v>272</v>
      </c>
      <c r="AE194" s="7">
        <f>BA194</f>
        <v>89.594520000000003</v>
      </c>
      <c r="AF194" s="7"/>
      <c r="AG194" s="7">
        <f>EU194</f>
        <v>16.624040920716112</v>
      </c>
      <c r="AH194" s="7">
        <f>DM194</f>
        <v>4.41</v>
      </c>
      <c r="AI194" s="7">
        <f>DO194</f>
        <v>0.1323</v>
      </c>
      <c r="AJ194" s="7">
        <f>GW194</f>
        <v>0.33248081841432225</v>
      </c>
      <c r="AK194" s="7">
        <f>GU194</f>
        <v>1.3277320115089515</v>
      </c>
      <c r="AL194" s="7">
        <f>GS194</f>
        <v>10.711125355177462</v>
      </c>
      <c r="AM194" s="7">
        <f>HV194</f>
        <v>4.6100000000000003</v>
      </c>
      <c r="AN194" s="7">
        <f>IG194</f>
        <v>1.7857142857142858</v>
      </c>
      <c r="AO194" s="6">
        <v>0</v>
      </c>
      <c r="AP194" s="6"/>
      <c r="AQ194" s="7">
        <f>SUM(AE194:AO194)</f>
        <v>129.52791339153114</v>
      </c>
      <c r="AR194" s="7"/>
      <c r="AS194" s="7"/>
      <c r="AT194" s="6">
        <v>0</v>
      </c>
      <c r="AU194" s="6"/>
      <c r="AV194" s="7">
        <f>AQ194+AT194</f>
        <v>129.52791339153114</v>
      </c>
      <c r="AW194" s="17">
        <v>0.65100000000000002</v>
      </c>
      <c r="AX194" s="2">
        <v>0.64800000000000002</v>
      </c>
      <c r="AY194" s="8">
        <v>1</v>
      </c>
      <c r="AZ194" s="14">
        <f>(AW194-AX194)*AY194</f>
        <v>3.0000000000000027E-3</v>
      </c>
      <c r="BA194" s="4">
        <f>AW194*AB194-AZ194*AC194</f>
        <v>89.594520000000003</v>
      </c>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E194">
        <v>0</v>
      </c>
      <c r="CF194">
        <v>1</v>
      </c>
      <c r="CG194">
        <v>4.41</v>
      </c>
      <c r="CH194">
        <f>CF194*CG194</f>
        <v>4.41</v>
      </c>
      <c r="DM194">
        <f>CH194+CM194+CR194+CW194+DB194+DG194+DL194</f>
        <v>4.41</v>
      </c>
      <c r="DN194" s="9">
        <v>0.03</v>
      </c>
      <c r="DO194" s="4">
        <f>DM194*DN194</f>
        <v>0.1323</v>
      </c>
      <c r="DP194" s="4">
        <f>CG194*CF194</f>
        <v>4.41</v>
      </c>
      <c r="DQ194" s="4"/>
      <c r="DR194" s="4"/>
      <c r="DS194" s="4"/>
      <c r="DT194" s="4"/>
      <c r="DU194" s="4"/>
      <c r="DV194" s="4"/>
      <c r="DW194" s="4"/>
      <c r="DX194" s="4"/>
      <c r="DY194" s="4"/>
      <c r="DZ194" s="4"/>
      <c r="EA194" s="4"/>
      <c r="EB194" s="4"/>
      <c r="EC194" s="4"/>
      <c r="ED194" s="4"/>
      <c r="EE194" s="4"/>
      <c r="EF194">
        <v>650</v>
      </c>
      <c r="EG194">
        <v>6500</v>
      </c>
      <c r="EH194">
        <v>8</v>
      </c>
      <c r="EI194" s="8">
        <v>0.95</v>
      </c>
      <c r="EJ194">
        <v>1</v>
      </c>
      <c r="EK194">
        <v>70</v>
      </c>
      <c r="EL194" s="10">
        <f>ROUND(3600/EK194*EH194*EJ194*EI194,0)</f>
        <v>391</v>
      </c>
      <c r="EM194" s="4"/>
      <c r="EN194" s="4"/>
      <c r="EO194" s="4"/>
      <c r="EP194" s="4"/>
      <c r="EQ194" s="4"/>
      <c r="ER194" s="4"/>
      <c r="ES194" s="4"/>
      <c r="ET194" s="4"/>
      <c r="EU194" s="4">
        <f>EG194/EL194</f>
        <v>16.624040920716112</v>
      </c>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9">
        <v>0.10084042998071197</v>
      </c>
      <c r="GS194" s="4">
        <f>GR194*(BA194+EU194)</f>
        <v>10.711125355177462</v>
      </c>
      <c r="GT194" s="9">
        <v>1.2500000000000001E-2</v>
      </c>
      <c r="GU194" s="20">
        <f>GT194*(BA194+EU194)</f>
        <v>1.3277320115089515</v>
      </c>
      <c r="GV194" s="8">
        <v>0.02</v>
      </c>
      <c r="GW194" s="4">
        <f>GV194*EU194</f>
        <v>0.33248081841432225</v>
      </c>
      <c r="GX194" s="4">
        <f>GS194+GU194+GW194</f>
        <v>12.371338185100734</v>
      </c>
      <c r="GY194" t="s">
        <v>43</v>
      </c>
      <c r="GZ194" t="s">
        <v>87</v>
      </c>
      <c r="HA194" s="4">
        <v>1350</v>
      </c>
      <c r="HB194" s="4">
        <v>950</v>
      </c>
      <c r="HC194">
        <v>2400</v>
      </c>
      <c r="HD194">
        <v>56</v>
      </c>
      <c r="HE194">
        <v>800</v>
      </c>
      <c r="HF194" s="4">
        <f>ROUNDUP(HE194/HD194,0)</f>
        <v>15</v>
      </c>
      <c r="HG194">
        <v>5</v>
      </c>
      <c r="HH194" s="4">
        <f>HF194*HG194</f>
        <v>75</v>
      </c>
      <c r="HI194">
        <v>24000</v>
      </c>
      <c r="HJ194" s="4">
        <f>HH194*HI194</f>
        <v>1800000</v>
      </c>
      <c r="HK194" s="4"/>
      <c r="HL194" s="4"/>
      <c r="HM194" s="4">
        <v>2</v>
      </c>
      <c r="HN194" s="10">
        <f>HM194*12*25*HE194</f>
        <v>480000</v>
      </c>
      <c r="HO194" s="4">
        <f>IF(GY194="carton box",HI194/HD194,HJ194/HN194)</f>
        <v>3.75</v>
      </c>
      <c r="HP194" s="4">
        <v>160</v>
      </c>
      <c r="HQ194">
        <v>0</v>
      </c>
      <c r="HR194" s="4">
        <v>0.86</v>
      </c>
      <c r="HS194" s="4">
        <v>1</v>
      </c>
      <c r="HT194" s="4">
        <f>HR194/HS194</f>
        <v>0.86</v>
      </c>
      <c r="HU194" s="4"/>
      <c r="HV194" s="4">
        <f>HO194+HT194</f>
        <v>4.6100000000000003</v>
      </c>
      <c r="HW194" s="4"/>
      <c r="HX194" s="4">
        <v>2917</v>
      </c>
      <c r="HY194" s="4">
        <v>1689</v>
      </c>
      <c r="HZ194" s="4">
        <v>1842</v>
      </c>
      <c r="IA194" s="4">
        <v>2</v>
      </c>
      <c r="IB194" s="4">
        <v>1</v>
      </c>
      <c r="IC194" s="4">
        <v>0</v>
      </c>
      <c r="ID194" s="8">
        <v>1</v>
      </c>
      <c r="IE194" s="4">
        <v>5</v>
      </c>
      <c r="IF194" s="4">
        <v>500</v>
      </c>
      <c r="IG194" s="4">
        <f>IF194/(IE194*HD194)</f>
        <v>1.7857142857142858</v>
      </c>
      <c r="IH194" s="4"/>
    </row>
    <row r="195" spans="1:242">
      <c r="A195">
        <v>15</v>
      </c>
      <c r="B195" t="s">
        <v>468</v>
      </c>
      <c r="C195" t="s">
        <v>1839</v>
      </c>
      <c r="D195" s="5" t="s">
        <v>127</v>
      </c>
      <c r="E195" s="5" t="s">
        <v>128</v>
      </c>
      <c r="F195" s="5" t="s">
        <v>2182</v>
      </c>
      <c r="G195" s="5" t="s">
        <v>90</v>
      </c>
      <c r="H195" s="5"/>
      <c r="I195" s="5" t="s">
        <v>121</v>
      </c>
      <c r="J195" s="5">
        <v>21480</v>
      </c>
      <c r="K195" s="5" t="s">
        <v>97</v>
      </c>
      <c r="L195" s="5"/>
      <c r="M195" s="5"/>
      <c r="N195" s="5"/>
      <c r="O195" s="5"/>
      <c r="P195" s="5"/>
      <c r="Q195" s="5" t="s">
        <v>1033</v>
      </c>
      <c r="R195" s="5" t="s">
        <v>1194</v>
      </c>
      <c r="S195" s="5"/>
      <c r="T195" s="5"/>
      <c r="U195" s="5"/>
      <c r="V195" s="29" t="s">
        <v>79</v>
      </c>
      <c r="W195" s="5"/>
      <c r="X195" s="5"/>
      <c r="Y195" s="5"/>
      <c r="Z195" s="5"/>
      <c r="AA195" s="84" t="s">
        <v>129</v>
      </c>
      <c r="AB195" s="340">
        <v>201.45</v>
      </c>
      <c r="AC195" s="1">
        <v>20</v>
      </c>
      <c r="AD195" s="48" t="s">
        <v>272</v>
      </c>
      <c r="AE195" s="7">
        <f>BA195</f>
        <v>82.394499999999994</v>
      </c>
      <c r="AF195" s="7"/>
      <c r="AG195" s="7">
        <f>EU195</f>
        <v>16.624040920716112</v>
      </c>
      <c r="AH195" s="7">
        <f>DM195</f>
        <v>5.14</v>
      </c>
      <c r="AI195" s="7">
        <f>DO195</f>
        <v>0.15419999999999998</v>
      </c>
      <c r="AJ195" s="7">
        <f>GW195</f>
        <v>0.33248081841432225</v>
      </c>
      <c r="AK195" s="7">
        <f>GU195</f>
        <v>1.2377317615089514</v>
      </c>
      <c r="AL195" s="7">
        <f>GS195</f>
        <v>9.8622466757033234</v>
      </c>
      <c r="AM195" s="7">
        <f>HV195</f>
        <v>4.5587499999999999</v>
      </c>
      <c r="AN195" s="7">
        <f>IG195</f>
        <v>0.78125</v>
      </c>
      <c r="AO195" s="6">
        <v>0</v>
      </c>
      <c r="AP195" s="6"/>
      <c r="AQ195" s="7">
        <f>SUM(AE195:AO195)</f>
        <v>121.08520017634271</v>
      </c>
      <c r="AR195" s="7"/>
      <c r="AS195" s="7"/>
      <c r="AT195" s="6">
        <v>0</v>
      </c>
      <c r="AU195" s="6"/>
      <c r="AV195" s="7">
        <f>AQ195+AT195</f>
        <v>121.08520017634271</v>
      </c>
      <c r="AW195" s="17">
        <v>0.41000000000000003</v>
      </c>
      <c r="AX195" s="2">
        <v>0.4</v>
      </c>
      <c r="AY195" s="8">
        <v>1</v>
      </c>
      <c r="AZ195" s="14">
        <f>(AW195-AX195)*AY195</f>
        <v>1.0000000000000009E-2</v>
      </c>
      <c r="BA195" s="4">
        <f>AW195*AB195-AZ195*AC195</f>
        <v>82.394499999999994</v>
      </c>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E195">
        <v>0</v>
      </c>
      <c r="CF195">
        <v>2</v>
      </c>
      <c r="CG195">
        <v>2.57</v>
      </c>
      <c r="CH195">
        <f>CF195*CG195</f>
        <v>5.14</v>
      </c>
      <c r="DM195">
        <f>CH195+CM195+CR195+CW195+DB195+DG195+DG195+DL195</f>
        <v>5.14</v>
      </c>
      <c r="DN195" s="9">
        <v>0.03</v>
      </c>
      <c r="DO195" s="4">
        <f>DN195*DM195</f>
        <v>0.15419999999999998</v>
      </c>
      <c r="DP195" s="4">
        <f>DM195+DO195</f>
        <v>5.2942</v>
      </c>
      <c r="DQ195" s="4"/>
      <c r="DR195" s="4"/>
      <c r="DS195" s="4"/>
      <c r="DT195" s="4"/>
      <c r="DU195" s="4"/>
      <c r="DV195" s="4"/>
      <c r="DW195" s="4"/>
      <c r="DX195" s="4"/>
      <c r="DY195" s="4"/>
      <c r="DZ195" s="4"/>
      <c r="EA195" s="4"/>
      <c r="EB195" s="4"/>
      <c r="EC195" s="4"/>
      <c r="ED195" s="4"/>
      <c r="EE195" s="4"/>
      <c r="EF195">
        <v>650</v>
      </c>
      <c r="EG195">
        <v>6500</v>
      </c>
      <c r="EH195">
        <v>8</v>
      </c>
      <c r="EI195" s="8">
        <v>0.95</v>
      </c>
      <c r="EJ195">
        <v>1</v>
      </c>
      <c r="EK195">
        <v>70</v>
      </c>
      <c r="EL195" s="10">
        <f>ROUND(3600/EK195*EH195*EJ195*EI195,0)</f>
        <v>391</v>
      </c>
      <c r="EM195" s="4"/>
      <c r="EN195" s="4"/>
      <c r="EO195" s="4"/>
      <c r="EP195" s="4"/>
      <c r="EQ195" s="4"/>
      <c r="ER195" s="4"/>
      <c r="ES195" s="4"/>
      <c r="ET195" s="4"/>
      <c r="EU195" s="4">
        <f>EG195/EL195</f>
        <v>16.624040920716112</v>
      </c>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8">
        <v>9.9599999999999994E-2</v>
      </c>
      <c r="GS195" s="4">
        <f>GR195*(BA195+EU195)</f>
        <v>9.8622466757033234</v>
      </c>
      <c r="GT195" s="9">
        <v>1.2500000000000001E-2</v>
      </c>
      <c r="GU195" s="20">
        <f>GT195*(BA195+EU195)</f>
        <v>1.2377317615089514</v>
      </c>
      <c r="GV195" s="8">
        <v>0.02</v>
      </c>
      <c r="GW195" s="4">
        <f>GV195*EU195</f>
        <v>0.33248081841432225</v>
      </c>
      <c r="GX195" s="4">
        <f>GS195+GU195+GW195</f>
        <v>11.432459255626597</v>
      </c>
      <c r="GY195" t="s">
        <v>130</v>
      </c>
      <c r="GZ195" t="s">
        <v>130</v>
      </c>
      <c r="HA195" s="4">
        <v>1350</v>
      </c>
      <c r="HB195" s="4">
        <v>950</v>
      </c>
      <c r="HC195">
        <v>2400</v>
      </c>
      <c r="HD195">
        <v>128</v>
      </c>
      <c r="HE195">
        <v>800</v>
      </c>
      <c r="HF195" s="4">
        <f>ROUNDUP(HE195/HD195,0)</f>
        <v>7</v>
      </c>
      <c r="HG195">
        <v>5</v>
      </c>
      <c r="HH195" s="4">
        <f>HF195*HG195</f>
        <v>35</v>
      </c>
      <c r="HI195">
        <v>27000</v>
      </c>
      <c r="HJ195" s="4">
        <f>HH195*HI195</f>
        <v>945000</v>
      </c>
      <c r="HK195" s="4"/>
      <c r="HL195" s="4"/>
      <c r="HM195" s="4">
        <v>2</v>
      </c>
      <c r="HN195" s="10">
        <f>HM195*12*25*HE195</f>
        <v>480000</v>
      </c>
      <c r="HO195" s="4">
        <f>IF(GY195="carton box",HI195/HD195,HJ195/HN195)</f>
        <v>1.96875</v>
      </c>
      <c r="HP195" s="4">
        <v>160</v>
      </c>
      <c r="HQ195">
        <v>0</v>
      </c>
      <c r="HR195" s="4">
        <v>2.59</v>
      </c>
      <c r="HS195" s="4">
        <v>1</v>
      </c>
      <c r="HT195" s="4">
        <f>HR195/HS195</f>
        <v>2.59</v>
      </c>
      <c r="HU195" s="4"/>
      <c r="HV195" s="4">
        <f>HO195+HT195</f>
        <v>4.5587499999999999</v>
      </c>
      <c r="HW195" s="4"/>
      <c r="HX195" s="4">
        <v>2917</v>
      </c>
      <c r="HY195" s="4">
        <v>1689</v>
      </c>
      <c r="HZ195" s="4">
        <v>1842</v>
      </c>
      <c r="IA195" s="4">
        <v>2</v>
      </c>
      <c r="IB195" s="4">
        <v>1</v>
      </c>
      <c r="IC195" s="4">
        <v>0</v>
      </c>
      <c r="ID195" s="8">
        <v>1</v>
      </c>
      <c r="IE195" s="4">
        <v>5</v>
      </c>
      <c r="IF195" s="4">
        <v>500</v>
      </c>
      <c r="IG195" s="4">
        <f>IF195/(IE195*HD195)</f>
        <v>0.78125</v>
      </c>
      <c r="IH195" s="4"/>
    </row>
    <row r="196" spans="1:242">
      <c r="A196">
        <v>191</v>
      </c>
      <c r="B196" t="s">
        <v>468</v>
      </c>
      <c r="C196" t="s">
        <v>567</v>
      </c>
      <c r="D196" s="28" t="s">
        <v>387</v>
      </c>
      <c r="E196" s="27" t="s">
        <v>388</v>
      </c>
      <c r="F196" s="27"/>
      <c r="G196" t="s">
        <v>101</v>
      </c>
      <c r="I196" s="27" t="s">
        <v>121</v>
      </c>
      <c r="J196" s="28">
        <v>21205</v>
      </c>
      <c r="K196" s="27" t="s">
        <v>395</v>
      </c>
      <c r="L196" s="28"/>
      <c r="M196" s="28"/>
      <c r="N196" s="28" t="s">
        <v>1767</v>
      </c>
      <c r="O196" s="28" t="s">
        <v>1877</v>
      </c>
      <c r="P196" s="331">
        <v>44464</v>
      </c>
      <c r="Q196" s="28"/>
      <c r="R196" s="28"/>
      <c r="S196" s="27"/>
      <c r="T196" s="27"/>
      <c r="U196" s="27"/>
      <c r="V196" s="29" t="s">
        <v>79</v>
      </c>
      <c r="W196" t="s">
        <v>439</v>
      </c>
      <c r="X196"/>
      <c r="Y196"/>
      <c r="Z196"/>
    </row>
    <row r="197" spans="1:242">
      <c r="A197">
        <v>18</v>
      </c>
      <c r="B197" t="s">
        <v>468</v>
      </c>
      <c r="C197" t="s">
        <v>1840</v>
      </c>
      <c r="D197" s="28" t="s">
        <v>131</v>
      </c>
      <c r="E197" s="5" t="s">
        <v>132</v>
      </c>
      <c r="F197" s="5" t="s">
        <v>2182</v>
      </c>
      <c r="G197" s="27" t="s">
        <v>90</v>
      </c>
      <c r="H197" s="27"/>
      <c r="I197" s="27" t="s">
        <v>121</v>
      </c>
      <c r="J197" s="28">
        <v>21677</v>
      </c>
      <c r="K197" s="27" t="s">
        <v>228</v>
      </c>
      <c r="L197" s="28"/>
      <c r="M197" s="28"/>
      <c r="N197" s="28"/>
      <c r="O197" s="28"/>
      <c r="P197" s="28"/>
      <c r="Q197" s="28" t="s">
        <v>1841</v>
      </c>
      <c r="R197" s="28" t="s">
        <v>1194</v>
      </c>
      <c r="S197" s="27"/>
      <c r="T197" s="27"/>
      <c r="U197" s="27"/>
      <c r="V197" s="29" t="s">
        <v>79</v>
      </c>
      <c r="W197" s="5"/>
      <c r="X197" s="5"/>
      <c r="Y197" s="5"/>
      <c r="Z197" s="5"/>
      <c r="AA197" s="84" t="s">
        <v>273</v>
      </c>
      <c r="AB197" s="340">
        <v>122.67</v>
      </c>
      <c r="AC197" s="1">
        <v>20</v>
      </c>
      <c r="AD197" s="48" t="s">
        <v>281</v>
      </c>
      <c r="AE197" s="7">
        <f>BA197</f>
        <v>1.626045</v>
      </c>
      <c r="AF197" s="7"/>
      <c r="AG197" s="7">
        <f>EU197</f>
        <v>0.95969289827255277</v>
      </c>
      <c r="AH197" s="7">
        <f>DM197</f>
        <v>6.28</v>
      </c>
      <c r="AI197" s="7">
        <f>DO197</f>
        <v>7.8500000000000014E-2</v>
      </c>
      <c r="AJ197" s="7">
        <f>GW197</f>
        <v>1.9193857965451058E-2</v>
      </c>
      <c r="AK197" s="7">
        <f>GU197</f>
        <v>3.2321723728406908E-2</v>
      </c>
      <c r="AL197" s="7">
        <f>GS197</f>
        <v>0.28443116880998082</v>
      </c>
      <c r="AM197" s="7">
        <f>HV197</f>
        <v>7.8208333333333324E-2</v>
      </c>
      <c r="AN197" s="7">
        <f>IG197</f>
        <v>8.3333333333333332E-3</v>
      </c>
      <c r="AO197" s="6">
        <v>0</v>
      </c>
      <c r="AP197" s="6"/>
      <c r="AQ197" s="7">
        <f>SUM(AE197:AO197)</f>
        <v>9.3667263154430564</v>
      </c>
      <c r="AR197" s="7"/>
      <c r="AS197" s="7"/>
      <c r="AT197" s="6">
        <v>0</v>
      </c>
      <c r="AU197" s="7"/>
      <c r="AV197" s="7">
        <f>AQ197+AT197+AU197</f>
        <v>9.3667263154430564</v>
      </c>
      <c r="AW197">
        <v>1.35E-2</v>
      </c>
      <c r="AX197">
        <v>1.2E-2</v>
      </c>
      <c r="AY197" s="8">
        <v>1</v>
      </c>
      <c r="AZ197" s="14">
        <f>AW197-AX197</f>
        <v>1.4999999999999996E-3</v>
      </c>
      <c r="BA197" s="4">
        <f>AW197*AB197-AZ197*AC197</f>
        <v>1.626045</v>
      </c>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E197">
        <v>0</v>
      </c>
      <c r="CF197">
        <v>1</v>
      </c>
      <c r="CG197">
        <f>6.08+0.2</f>
        <v>6.28</v>
      </c>
      <c r="CH197">
        <f>CF197*CG197</f>
        <v>6.28</v>
      </c>
      <c r="DM197">
        <f>CH197+CM197+CR197+CW197+DB197+DG197+DL197</f>
        <v>6.28</v>
      </c>
      <c r="DN197" s="9">
        <v>1.2500000000000001E-2</v>
      </c>
      <c r="DO197" s="4">
        <f>DN197*CG197*CF197</f>
        <v>7.8500000000000014E-2</v>
      </c>
      <c r="DP197" s="4">
        <f>DM197+DO197</f>
        <v>6.3585000000000003</v>
      </c>
      <c r="DQ197" s="4"/>
      <c r="DR197" s="4"/>
      <c r="DS197" s="4"/>
      <c r="DT197" s="4"/>
      <c r="DU197" s="4"/>
      <c r="DV197" s="4"/>
      <c r="DW197" s="4"/>
      <c r="DX197" s="4"/>
      <c r="DY197" s="4"/>
      <c r="DZ197" s="4"/>
      <c r="EA197" s="4"/>
      <c r="EB197" s="4"/>
      <c r="EC197" s="4"/>
      <c r="ED197" s="4"/>
      <c r="EE197" s="4"/>
      <c r="EF197">
        <v>150</v>
      </c>
      <c r="EG197">
        <v>1500</v>
      </c>
      <c r="EH197">
        <v>8</v>
      </c>
      <c r="EI197" s="8">
        <v>0.95</v>
      </c>
      <c r="EJ197">
        <v>4</v>
      </c>
      <c r="EK197">
        <v>70</v>
      </c>
      <c r="EL197" s="10">
        <f>ROUND(3600/EK197*EH197*EJ197*EI197,0)</f>
        <v>1563</v>
      </c>
      <c r="EU197" s="4">
        <f>EG197/EL197</f>
        <v>0.95969289827255277</v>
      </c>
      <c r="EV197" s="4"/>
      <c r="EW197" s="4"/>
      <c r="GR197" s="8">
        <v>0.11</v>
      </c>
      <c r="GS197" s="4">
        <f>GR197*(BA197+EU197)</f>
        <v>0.28443116880998082</v>
      </c>
      <c r="GT197" s="9">
        <v>1.2500000000000001E-2</v>
      </c>
      <c r="GU197" s="20">
        <f>GT197*(BA197+EU197)</f>
        <v>3.2321723728406908E-2</v>
      </c>
      <c r="GV197" s="8">
        <v>0.02</v>
      </c>
      <c r="GW197" s="4">
        <f>GV197*EU197</f>
        <v>1.9193857965451058E-2</v>
      </c>
      <c r="GX197" s="4">
        <f>GS197+GU197+GW197</f>
        <v>0.33594675050383876</v>
      </c>
      <c r="GY197" t="s">
        <v>43</v>
      </c>
      <c r="GZ197" t="s">
        <v>87</v>
      </c>
      <c r="HA197" s="4">
        <v>605</v>
      </c>
      <c r="HB197" s="4">
        <v>415</v>
      </c>
      <c r="HC197">
        <v>315</v>
      </c>
      <c r="HD197">
        <v>400</v>
      </c>
      <c r="HE197">
        <v>1200</v>
      </c>
      <c r="HF197" s="4">
        <f>ROUNDUP(HE197/HD197,0)</f>
        <v>3</v>
      </c>
      <c r="HG197">
        <v>5</v>
      </c>
      <c r="HH197" s="4">
        <f>HF197*HG197</f>
        <v>15</v>
      </c>
      <c r="HI197">
        <v>650</v>
      </c>
      <c r="HJ197" s="4">
        <f>HH197*HI197</f>
        <v>9750</v>
      </c>
      <c r="HM197" s="4">
        <v>2</v>
      </c>
      <c r="HN197" s="10">
        <f>HM197*12*25*HE197</f>
        <v>720000</v>
      </c>
      <c r="HO197" s="4">
        <f>IF(GY197="carton box",HI197/HD197,HJ197/HN197)</f>
        <v>1.3541666666666667E-2</v>
      </c>
      <c r="HP197" s="4">
        <v>165</v>
      </c>
      <c r="HQ197">
        <v>85</v>
      </c>
      <c r="HR197" s="4">
        <v>1.94</v>
      </c>
      <c r="HS197" s="4">
        <v>30</v>
      </c>
      <c r="HT197" s="4">
        <f>HR197/HS197</f>
        <v>6.4666666666666664E-2</v>
      </c>
      <c r="HU197" s="4"/>
      <c r="HV197" s="4">
        <f>HO197+HT197</f>
        <v>7.8208333333333324E-2</v>
      </c>
      <c r="HW197" s="4"/>
      <c r="HX197" s="4">
        <v>5016</v>
      </c>
      <c r="HY197" s="4">
        <v>1976</v>
      </c>
      <c r="HZ197" s="4">
        <v>2280</v>
      </c>
      <c r="IA197" s="4">
        <v>8</v>
      </c>
      <c r="IB197" s="4">
        <v>4</v>
      </c>
      <c r="IC197" s="4">
        <v>7</v>
      </c>
      <c r="ID197" s="8">
        <v>1</v>
      </c>
      <c r="IE197" s="4">
        <f>ROUND(PRODUCT(IA197:ID197),0)-74</f>
        <v>150</v>
      </c>
      <c r="IF197" s="4">
        <v>500</v>
      </c>
      <c r="IG197" s="4">
        <f>IF197/(IE197*HD197)</f>
        <v>8.3333333333333332E-3</v>
      </c>
      <c r="IH197" s="4"/>
    </row>
    <row r="198" spans="1:242">
      <c r="A198">
        <v>193</v>
      </c>
      <c r="B198" t="s">
        <v>468</v>
      </c>
      <c r="C198" t="s">
        <v>567</v>
      </c>
      <c r="D198" s="28" t="s">
        <v>387</v>
      </c>
      <c r="E198" s="27" t="s">
        <v>388</v>
      </c>
      <c r="F198" s="27"/>
      <c r="G198" t="s">
        <v>101</v>
      </c>
      <c r="I198" s="27" t="s">
        <v>94</v>
      </c>
      <c r="J198" s="28">
        <v>21205</v>
      </c>
      <c r="K198" s="27" t="s">
        <v>395</v>
      </c>
      <c r="L198" s="28"/>
      <c r="M198" s="28"/>
      <c r="N198" s="28" t="s">
        <v>1937</v>
      </c>
      <c r="O198" s="28" t="s">
        <v>1038</v>
      </c>
      <c r="P198" s="331">
        <v>44352</v>
      </c>
      <c r="Q198" s="28"/>
      <c r="R198" s="28"/>
      <c r="S198" s="27"/>
      <c r="T198" s="27"/>
      <c r="U198" s="27"/>
      <c r="V198" s="29" t="s">
        <v>79</v>
      </c>
      <c r="W198" t="s">
        <v>439</v>
      </c>
      <c r="X198"/>
      <c r="Y198"/>
      <c r="Z198"/>
    </row>
    <row r="199" spans="1:242">
      <c r="A199">
        <v>55</v>
      </c>
      <c r="B199" t="s">
        <v>468</v>
      </c>
      <c r="C199" s="187" t="s">
        <v>1859</v>
      </c>
      <c r="D199" s="28" t="s">
        <v>167</v>
      </c>
      <c r="E199" s="27" t="s">
        <v>168</v>
      </c>
      <c r="F199" s="27" t="s">
        <v>2182</v>
      </c>
      <c r="G199" s="27" t="s">
        <v>101</v>
      </c>
      <c r="H199" s="27"/>
      <c r="I199" s="27" t="s">
        <v>121</v>
      </c>
      <c r="J199" s="28">
        <v>21480</v>
      </c>
      <c r="K199" s="27" t="s">
        <v>97</v>
      </c>
      <c r="L199" s="5"/>
      <c r="M199" s="5"/>
      <c r="N199" s="29"/>
      <c r="O199" s="29"/>
      <c r="Q199" s="13" t="s">
        <v>1035</v>
      </c>
      <c r="R199" s="13" t="s">
        <v>1194</v>
      </c>
      <c r="T199" s="5"/>
      <c r="U199" s="5"/>
      <c r="V199" s="29" t="s">
        <v>79</v>
      </c>
      <c r="W199" s="29" t="s">
        <v>2189</v>
      </c>
      <c r="X199" s="29"/>
      <c r="Y199" s="29"/>
      <c r="Z199" s="29"/>
      <c r="AA199" s="51" t="s">
        <v>416</v>
      </c>
      <c r="AB199" s="339">
        <v>196.21</v>
      </c>
      <c r="AC199" s="11">
        <v>20</v>
      </c>
      <c r="AD199" t="s">
        <v>2190</v>
      </c>
      <c r="AE199" s="7">
        <f>BA199</f>
        <v>44.732089999999999</v>
      </c>
      <c r="AF199" s="7"/>
      <c r="AG199" s="7">
        <f>EU199</f>
        <v>8.7902046783625742</v>
      </c>
      <c r="AH199" s="7">
        <f>DP199</f>
        <v>0</v>
      </c>
      <c r="AI199" s="7">
        <f>DO199</f>
        <v>0</v>
      </c>
      <c r="AJ199" s="7">
        <f>GW199</f>
        <v>0.17580409356725149</v>
      </c>
      <c r="AK199" s="7">
        <f>GU199</f>
        <v>0.66902868347953215</v>
      </c>
      <c r="AL199" s="7">
        <f>GS199</f>
        <v>5.887452414619883</v>
      </c>
      <c r="AM199" s="7">
        <f>HV199</f>
        <v>2.2864583333333335</v>
      </c>
      <c r="AN199" s="7">
        <f>IG199</f>
        <v>0.81380208333333326</v>
      </c>
      <c r="AO199" s="6">
        <v>0</v>
      </c>
      <c r="AP199" s="6"/>
      <c r="AQ199" s="7">
        <f>SUM(AE199:AP199)</f>
        <v>63.354840286695904</v>
      </c>
      <c r="AR199" s="7"/>
      <c r="AS199" s="7"/>
      <c r="AT199" s="6">
        <v>0</v>
      </c>
      <c r="AU199" s="6">
        <f>63.8-63.35</f>
        <v>0.44999999999999574</v>
      </c>
      <c r="AV199" s="7">
        <f>AQ199+AT199+AU199</f>
        <v>63.804840286695899</v>
      </c>
      <c r="AW199">
        <v>0.22900000000000001</v>
      </c>
      <c r="AX199">
        <v>0.219</v>
      </c>
      <c r="AY199" s="8">
        <v>1</v>
      </c>
      <c r="AZ199">
        <f>(AW199-AX199)*AY199</f>
        <v>1.0000000000000009E-2</v>
      </c>
      <c r="BA199" s="4">
        <f>AW199*AB199-AZ199*AC199</f>
        <v>44.732089999999999</v>
      </c>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E199">
        <v>0</v>
      </c>
      <c r="CF199">
        <v>0</v>
      </c>
      <c r="CG199">
        <v>0</v>
      </c>
      <c r="DN199" s="9">
        <v>1.2500000000000001E-2</v>
      </c>
      <c r="DO199" s="4">
        <f>DN199*CG199</f>
        <v>0</v>
      </c>
      <c r="DP199" s="4">
        <f>CG199*CF199</f>
        <v>0</v>
      </c>
      <c r="DQ199" s="4"/>
      <c r="DR199" s="4"/>
      <c r="DS199" s="4"/>
      <c r="DT199" s="4"/>
      <c r="DU199" s="4"/>
      <c r="DV199" s="4"/>
      <c r="DW199" s="4"/>
      <c r="DX199" s="4"/>
      <c r="DY199" s="4"/>
      <c r="DZ199" s="4"/>
      <c r="EA199" s="4"/>
      <c r="EB199" s="4"/>
      <c r="EC199" s="4"/>
      <c r="ED199" s="4"/>
      <c r="EE199" s="4"/>
      <c r="EF199">
        <v>650</v>
      </c>
      <c r="EG199">
        <v>6500</v>
      </c>
      <c r="EH199">
        <v>8</v>
      </c>
      <c r="EI199" s="8">
        <v>0.95</v>
      </c>
      <c r="EJ199">
        <v>2</v>
      </c>
      <c r="EK199">
        <v>74</v>
      </c>
      <c r="EL199" s="10">
        <f>3600/EK199*EH199*EJ199*EI199</f>
        <v>739.45945945945937</v>
      </c>
      <c r="EM199" s="10"/>
      <c r="EN199" s="10"/>
      <c r="EO199" s="10"/>
      <c r="EP199" s="4"/>
      <c r="EQ199" s="4"/>
      <c r="ER199" s="4"/>
      <c r="ES199" s="4"/>
      <c r="ET199" s="4"/>
      <c r="EU199" s="4">
        <f>EG199/EL199</f>
        <v>8.7902046783625742</v>
      </c>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8">
        <v>0.11</v>
      </c>
      <c r="GS199" s="4">
        <f>GR199*(BA199+EU199)</f>
        <v>5.887452414619883</v>
      </c>
      <c r="GT199" s="9">
        <v>1.2500000000000001E-2</v>
      </c>
      <c r="GU199" s="4">
        <f>GT199*(BA199+EU199)</f>
        <v>0.66902868347953215</v>
      </c>
      <c r="GV199" s="8">
        <v>0.02</v>
      </c>
      <c r="GW199" s="4">
        <f>GV199*EU199</f>
        <v>0.17580409356725149</v>
      </c>
      <c r="GX199" s="4">
        <f>GS199+GU199+GW199</f>
        <v>6.7322851916666666</v>
      </c>
      <c r="GY199" t="s">
        <v>43</v>
      </c>
      <c r="GZ199" t="s">
        <v>87</v>
      </c>
      <c r="HA199" s="4">
        <v>805</v>
      </c>
      <c r="HB199" s="4">
        <v>570</v>
      </c>
      <c r="HC199">
        <v>425</v>
      </c>
      <c r="HD199">
        <v>32</v>
      </c>
      <c r="HE199">
        <v>800</v>
      </c>
      <c r="HF199" s="4">
        <f>ROUNDUP(HE199/HD199,0)</f>
        <v>25</v>
      </c>
      <c r="HG199">
        <v>5</v>
      </c>
      <c r="HH199" s="4">
        <v>125</v>
      </c>
      <c r="HI199">
        <v>1100</v>
      </c>
      <c r="HJ199" s="4">
        <f>HH199*HI199</f>
        <v>137500</v>
      </c>
      <c r="HK199" s="4"/>
      <c r="HL199" s="4"/>
      <c r="HM199" s="4">
        <v>2</v>
      </c>
      <c r="HN199" s="10">
        <f>HM199*12*25*HE199</f>
        <v>480000</v>
      </c>
      <c r="HO199" s="4">
        <f>IF(GY199="carton box",HI199/HD199,HJ199/HN199)</f>
        <v>0.28645833333333331</v>
      </c>
      <c r="HP199" s="4">
        <v>160</v>
      </c>
      <c r="HQ199">
        <v>1.2500000000000001E-2</v>
      </c>
      <c r="HR199" s="4">
        <v>2</v>
      </c>
      <c r="HS199" s="4">
        <v>1</v>
      </c>
      <c r="HT199" s="4">
        <f>HR199/HS199</f>
        <v>2</v>
      </c>
      <c r="HU199" s="4"/>
      <c r="HV199" s="4">
        <f>HO199+HT199</f>
        <v>2.2864583333333335</v>
      </c>
      <c r="HW199" s="4"/>
      <c r="HX199">
        <v>2917</v>
      </c>
      <c r="HY199">
        <v>1689</v>
      </c>
      <c r="HZ199">
        <v>1842</v>
      </c>
      <c r="IA199" s="4">
        <f>ROUNDDOWN(HX199/HA199,0)</f>
        <v>3</v>
      </c>
      <c r="IB199" s="4">
        <f>ROUNDDOWN(HY199/HB199,0)</f>
        <v>2</v>
      </c>
      <c r="IC199" s="4">
        <f>ROUNDDOWN(HZ199/HC199,0)</f>
        <v>4</v>
      </c>
      <c r="ID199" s="8">
        <v>0.8</v>
      </c>
      <c r="IE199" s="4">
        <f>PRODUCT(IA199:ID199)</f>
        <v>19.200000000000003</v>
      </c>
      <c r="IF199" s="4">
        <v>500</v>
      </c>
      <c r="IG199" s="4">
        <f>IF199/(IE199*HD199)</f>
        <v>0.81380208333333326</v>
      </c>
      <c r="IH199" s="4"/>
    </row>
    <row r="200" spans="1:242">
      <c r="A200">
        <v>195</v>
      </c>
      <c r="B200" t="s">
        <v>468</v>
      </c>
      <c r="C200" t="s">
        <v>567</v>
      </c>
      <c r="D200" s="261" t="s">
        <v>387</v>
      </c>
      <c r="E200" s="262" t="s">
        <v>388</v>
      </c>
      <c r="F200" s="262"/>
      <c r="G200" t="s">
        <v>101</v>
      </c>
      <c r="I200" s="262" t="s">
        <v>226</v>
      </c>
      <c r="J200" s="261">
        <v>21557</v>
      </c>
      <c r="K200" s="27" t="s">
        <v>396</v>
      </c>
      <c r="L200" s="28"/>
      <c r="M200" s="28"/>
      <c r="N200" s="28" t="s">
        <v>1767</v>
      </c>
      <c r="O200" s="28" t="s">
        <v>1038</v>
      </c>
      <c r="P200" s="331">
        <v>43671</v>
      </c>
      <c r="Q200" s="28"/>
      <c r="R200" s="28"/>
      <c r="S200" s="27"/>
      <c r="T200" s="27"/>
      <c r="U200" s="27"/>
      <c r="V200" s="29" t="s">
        <v>79</v>
      </c>
      <c r="W200" t="s">
        <v>439</v>
      </c>
      <c r="X200"/>
      <c r="Y200"/>
      <c r="Z200"/>
    </row>
    <row r="201" spans="1:242">
      <c r="A201">
        <v>19</v>
      </c>
      <c r="B201" t="s">
        <v>468</v>
      </c>
      <c r="C201" t="s">
        <v>1840</v>
      </c>
      <c r="D201" s="28" t="s">
        <v>131</v>
      </c>
      <c r="E201" s="27" t="s">
        <v>132</v>
      </c>
      <c r="F201" s="5" t="s">
        <v>2182</v>
      </c>
      <c r="G201" s="27" t="s">
        <v>90</v>
      </c>
      <c r="H201" s="27"/>
      <c r="I201" s="27" t="s">
        <v>94</v>
      </c>
      <c r="J201" s="28">
        <v>21677</v>
      </c>
      <c r="K201" s="27" t="s">
        <v>228</v>
      </c>
      <c r="L201" s="28"/>
      <c r="M201" s="28"/>
      <c r="N201" s="28"/>
      <c r="O201" s="28"/>
      <c r="P201" s="28"/>
      <c r="Q201" s="28" t="s">
        <v>1841</v>
      </c>
      <c r="R201" s="28" t="s">
        <v>1194</v>
      </c>
      <c r="S201" s="27"/>
      <c r="T201" s="27"/>
      <c r="U201" s="27"/>
      <c r="V201" s="29" t="s">
        <v>79</v>
      </c>
      <c r="W201" s="5" t="s">
        <v>291</v>
      </c>
      <c r="X201" s="5"/>
      <c r="Y201" s="5"/>
      <c r="Z201" s="5"/>
      <c r="AA201" s="84" t="s">
        <v>273</v>
      </c>
      <c r="AB201" s="340">
        <v>122.67</v>
      </c>
      <c r="AC201" s="1">
        <v>20</v>
      </c>
      <c r="AD201" s="48" t="s">
        <v>281</v>
      </c>
      <c r="AE201" s="7">
        <f>BA201</f>
        <v>1.626045</v>
      </c>
      <c r="AF201" s="7"/>
      <c r="AG201" s="7">
        <f>EU201</f>
        <v>0.95969289827255277</v>
      </c>
      <c r="AH201" s="7">
        <f>DM201</f>
        <v>6.28</v>
      </c>
      <c r="AI201" s="7">
        <f>DO201</f>
        <v>7.8500000000000014E-2</v>
      </c>
      <c r="AJ201" s="7">
        <f>GW201</f>
        <v>1.9193857965451058E-2</v>
      </c>
      <c r="AK201" s="7">
        <f>GU201</f>
        <v>3.2321723728406908E-2</v>
      </c>
      <c r="AL201" s="7">
        <f>GS201</f>
        <v>0.28443116880998082</v>
      </c>
      <c r="AM201" s="7">
        <f>HV201</f>
        <v>0.25133333333333335</v>
      </c>
      <c r="AN201" s="7">
        <f>IG201</f>
        <v>0</v>
      </c>
      <c r="AO201" s="6">
        <v>0</v>
      </c>
      <c r="AP201" s="6"/>
      <c r="AQ201" s="7">
        <f>SUM(AE201:AO201)</f>
        <v>9.5315179821097242</v>
      </c>
      <c r="AR201" s="7"/>
      <c r="AS201" s="7"/>
      <c r="AT201" s="6">
        <v>0</v>
      </c>
      <c r="AU201" s="7">
        <v>0.06</v>
      </c>
      <c r="AV201" s="7">
        <f>AQ201+AT201+AU201</f>
        <v>9.5915179821097247</v>
      </c>
      <c r="AW201">
        <v>1.35E-2</v>
      </c>
      <c r="AX201">
        <v>1.2E-2</v>
      </c>
      <c r="AY201" s="8">
        <v>1</v>
      </c>
      <c r="AZ201" s="14">
        <f>AW201-AX201</f>
        <v>1.4999999999999996E-3</v>
      </c>
      <c r="BA201" s="4">
        <f>AW201*AB201-AZ201*AC201</f>
        <v>1.626045</v>
      </c>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E201">
        <v>0</v>
      </c>
      <c r="CF201">
        <v>1</v>
      </c>
      <c r="CG201">
        <f>6.08+0.2</f>
        <v>6.28</v>
      </c>
      <c r="CH201">
        <f>CF201*CG201</f>
        <v>6.28</v>
      </c>
      <c r="DM201">
        <f>CH201+CM201+CR201+CW201+DB201+DG201+DL201</f>
        <v>6.28</v>
      </c>
      <c r="DN201" s="9">
        <v>1.2500000000000001E-2</v>
      </c>
      <c r="DO201" s="4">
        <f>DN201*CG201*CF201</f>
        <v>7.8500000000000014E-2</v>
      </c>
      <c r="DP201" s="4">
        <f>DM201+DO201</f>
        <v>6.3585000000000003</v>
      </c>
      <c r="DQ201" s="4"/>
      <c r="DR201" s="4"/>
      <c r="DS201" s="4"/>
      <c r="DT201" s="4"/>
      <c r="DU201" s="4"/>
      <c r="DV201" s="4"/>
      <c r="DW201" s="4"/>
      <c r="DX201" s="4"/>
      <c r="DY201" s="4"/>
      <c r="DZ201" s="4"/>
      <c r="EA201" s="4"/>
      <c r="EB201" s="4"/>
      <c r="EC201" s="4"/>
      <c r="ED201" s="4"/>
      <c r="EE201" s="4"/>
      <c r="EF201">
        <v>150</v>
      </c>
      <c r="EG201">
        <v>1500</v>
      </c>
      <c r="EH201">
        <v>8</v>
      </c>
      <c r="EI201" s="8">
        <v>0.95</v>
      </c>
      <c r="EJ201">
        <v>4</v>
      </c>
      <c r="EK201">
        <v>70</v>
      </c>
      <c r="EL201" s="10">
        <f>ROUND(3600/EK201*EH201*EJ201*EI201,0)</f>
        <v>1563</v>
      </c>
      <c r="EU201" s="4">
        <f>EG201/EL201</f>
        <v>0.95969289827255277</v>
      </c>
      <c r="EV201" s="4"/>
      <c r="EW201" s="4"/>
      <c r="GR201" s="8">
        <v>0.11</v>
      </c>
      <c r="GS201" s="4">
        <f>GR201*(BA201+EU201)</f>
        <v>0.28443116880998082</v>
      </c>
      <c r="GT201" s="9">
        <v>1.2500000000000001E-2</v>
      </c>
      <c r="GU201" s="20">
        <f>GT201*(BA201+EU201)</f>
        <v>3.2321723728406908E-2</v>
      </c>
      <c r="GV201" s="8">
        <v>0.02</v>
      </c>
      <c r="GW201" s="4">
        <f>GV201*EU201</f>
        <v>1.9193857965451058E-2</v>
      </c>
      <c r="GX201" s="4">
        <f>GS201+GU201+GW201</f>
        <v>0.33594675050383876</v>
      </c>
      <c r="GY201" t="s">
        <v>125</v>
      </c>
      <c r="GZ201" t="s">
        <v>274</v>
      </c>
      <c r="HA201" s="4">
        <v>480</v>
      </c>
      <c r="HB201" s="4">
        <v>280</v>
      </c>
      <c r="HC201">
        <v>240</v>
      </c>
      <c r="HD201">
        <v>300</v>
      </c>
      <c r="HE201">
        <v>0</v>
      </c>
      <c r="HF201" s="4">
        <f>ROUNDUP(HE201/HD201,0)</f>
        <v>0</v>
      </c>
      <c r="HG201">
        <v>0</v>
      </c>
      <c r="HH201" s="4">
        <f>HF201*HG201</f>
        <v>0</v>
      </c>
      <c r="HI201">
        <v>56</v>
      </c>
      <c r="HJ201" s="4">
        <f>HH201*HI201</f>
        <v>0</v>
      </c>
      <c r="HM201" s="4">
        <v>2</v>
      </c>
      <c r="HN201" s="10">
        <f>HM201*12*25*HE201</f>
        <v>0</v>
      </c>
      <c r="HO201" s="4">
        <f>IF(GY201="carton box",HI201/HD201,HJ201/HN201)</f>
        <v>0.18666666666666668</v>
      </c>
      <c r="HP201" s="4">
        <v>165</v>
      </c>
      <c r="HQ201">
        <v>0</v>
      </c>
      <c r="HR201" s="4">
        <v>1.94</v>
      </c>
      <c r="HS201" s="4">
        <v>30</v>
      </c>
      <c r="HT201" s="4">
        <f>HR201/HS201</f>
        <v>6.4666666666666664E-2</v>
      </c>
      <c r="HU201" s="4"/>
      <c r="HV201" s="4">
        <f>HO201+HT201</f>
        <v>0.25133333333333335</v>
      </c>
      <c r="HW201" s="4"/>
      <c r="HX201" s="4">
        <v>0</v>
      </c>
      <c r="HY201" s="4">
        <v>0</v>
      </c>
      <c r="HZ201" s="4">
        <v>0</v>
      </c>
      <c r="IA201" s="4">
        <v>0</v>
      </c>
      <c r="IB201" s="4">
        <v>0</v>
      </c>
      <c r="IC201" s="4">
        <v>0</v>
      </c>
      <c r="ID201" s="8">
        <v>1</v>
      </c>
      <c r="IE201" s="4">
        <f>ROUND(PRODUCT(IA201:ID201),0)</f>
        <v>0</v>
      </c>
      <c r="IF201" s="4">
        <v>0</v>
      </c>
      <c r="IG201" s="4">
        <v>0</v>
      </c>
      <c r="IH201" s="4"/>
    </row>
    <row r="202" spans="1:242">
      <c r="A202">
        <v>197</v>
      </c>
      <c r="B202" t="s">
        <v>468</v>
      </c>
      <c r="C202" t="s">
        <v>567</v>
      </c>
      <c r="D202" s="261" t="s">
        <v>389</v>
      </c>
      <c r="E202" s="262" t="s">
        <v>390</v>
      </c>
      <c r="F202" s="262"/>
      <c r="G202" t="s">
        <v>108</v>
      </c>
      <c r="I202" s="262" t="s">
        <v>94</v>
      </c>
      <c r="J202" s="261">
        <v>21697</v>
      </c>
      <c r="K202" s="27" t="s">
        <v>227</v>
      </c>
      <c r="L202" s="28"/>
      <c r="M202" s="28"/>
      <c r="N202" s="28" t="s">
        <v>1767</v>
      </c>
      <c r="O202" s="28" t="s">
        <v>1877</v>
      </c>
      <c r="P202" s="331">
        <v>44639</v>
      </c>
      <c r="Q202" s="28"/>
      <c r="R202" s="28"/>
      <c r="S202" s="27"/>
      <c r="T202" s="27"/>
      <c r="U202" s="27"/>
      <c r="V202" s="29" t="s">
        <v>79</v>
      </c>
      <c r="W202" t="s">
        <v>1116</v>
      </c>
      <c r="X202"/>
      <c r="Y202"/>
      <c r="Z202"/>
      <c r="AA202" s="21"/>
    </row>
    <row r="203" spans="1:242">
      <c r="A203">
        <v>198</v>
      </c>
      <c r="B203" t="s">
        <v>468</v>
      </c>
      <c r="C203" t="s">
        <v>567</v>
      </c>
      <c r="D203" s="261" t="s">
        <v>389</v>
      </c>
      <c r="E203" s="262" t="s">
        <v>390</v>
      </c>
      <c r="F203" s="262"/>
      <c r="G203" t="s">
        <v>108</v>
      </c>
      <c r="I203" s="262" t="s">
        <v>226</v>
      </c>
      <c r="J203" s="261">
        <v>21590</v>
      </c>
      <c r="K203" s="27" t="s">
        <v>397</v>
      </c>
      <c r="L203" s="28"/>
      <c r="M203" s="28"/>
      <c r="N203" s="28" t="s">
        <v>1938</v>
      </c>
      <c r="O203" s="28" t="s">
        <v>1034</v>
      </c>
      <c r="P203" s="331">
        <v>44579</v>
      </c>
      <c r="Q203" s="28"/>
      <c r="R203" s="28"/>
      <c r="S203" s="27"/>
      <c r="T203" s="27"/>
      <c r="U203" s="27"/>
      <c r="V203" s="29" t="s">
        <v>79</v>
      </c>
      <c r="W203" t="s">
        <v>1117</v>
      </c>
      <c r="X203"/>
      <c r="Y203"/>
      <c r="Z203"/>
      <c r="AA203" s="21"/>
    </row>
    <row r="204" spans="1:242" ht="30">
      <c r="A204">
        <v>199</v>
      </c>
      <c r="B204" t="s">
        <v>468</v>
      </c>
      <c r="C204" t="s">
        <v>567</v>
      </c>
      <c r="D204" s="263" t="s">
        <v>103</v>
      </c>
      <c r="E204" s="263" t="s">
        <v>104</v>
      </c>
      <c r="F204" s="263"/>
      <c r="G204" s="264" t="s">
        <v>108</v>
      </c>
      <c r="H204" s="264"/>
      <c r="I204" s="263" t="s">
        <v>121</v>
      </c>
      <c r="J204" s="263">
        <v>21697</v>
      </c>
      <c r="K204" s="27" t="s">
        <v>227</v>
      </c>
      <c r="L204" s="28"/>
      <c r="M204" s="28"/>
      <c r="N204" s="28" t="s">
        <v>1884</v>
      </c>
      <c r="O204" s="28" t="s">
        <v>1929</v>
      </c>
      <c r="P204" s="331">
        <v>44095</v>
      </c>
      <c r="Q204" s="28"/>
      <c r="R204" s="28"/>
      <c r="S204" s="27"/>
      <c r="T204" s="27"/>
      <c r="U204" s="27"/>
      <c r="V204" s="29" t="s">
        <v>79</v>
      </c>
      <c r="W204" s="72" t="s">
        <v>1939</v>
      </c>
      <c r="X204" s="72"/>
      <c r="Y204" s="72"/>
      <c r="Z204" s="72"/>
      <c r="AA204" s="21"/>
    </row>
    <row r="205" spans="1:242" ht="30">
      <c r="A205">
        <v>200</v>
      </c>
      <c r="B205" t="s">
        <v>468</v>
      </c>
      <c r="C205" t="s">
        <v>567</v>
      </c>
      <c r="D205" s="261" t="s">
        <v>103</v>
      </c>
      <c r="E205" s="262" t="s">
        <v>104</v>
      </c>
      <c r="F205" s="262"/>
      <c r="G205" t="s">
        <v>108</v>
      </c>
      <c r="I205" s="262" t="s">
        <v>226</v>
      </c>
      <c r="J205" s="261">
        <v>21590</v>
      </c>
      <c r="K205" s="27" t="s">
        <v>397</v>
      </c>
      <c r="L205" s="28"/>
      <c r="M205" s="28"/>
      <c r="N205" s="28" t="s">
        <v>1940</v>
      </c>
      <c r="O205" s="28" t="s">
        <v>1038</v>
      </c>
      <c r="P205" s="331">
        <v>43836</v>
      </c>
      <c r="Q205" s="28"/>
      <c r="R205" s="28"/>
      <c r="S205" s="27"/>
      <c r="T205" s="27"/>
      <c r="U205" s="27"/>
      <c r="V205" s="29" t="s">
        <v>79</v>
      </c>
      <c r="W205" s="72" t="s">
        <v>1941</v>
      </c>
      <c r="X205" s="72"/>
      <c r="Y205" s="72"/>
      <c r="Z205" s="72"/>
      <c r="AA205" s="21"/>
    </row>
    <row r="206" spans="1:242">
      <c r="A206">
        <v>201</v>
      </c>
      <c r="B206" t="s">
        <v>468</v>
      </c>
      <c r="C206" t="s">
        <v>567</v>
      </c>
      <c r="D206" s="261" t="s">
        <v>391</v>
      </c>
      <c r="E206" s="262" t="s">
        <v>392</v>
      </c>
      <c r="F206" s="262"/>
      <c r="G206" t="s">
        <v>108</v>
      </c>
      <c r="I206" s="262" t="s">
        <v>121</v>
      </c>
      <c r="J206" s="261">
        <v>21205</v>
      </c>
      <c r="K206" s="27" t="s">
        <v>395</v>
      </c>
      <c r="L206" s="28"/>
      <c r="M206" s="28"/>
      <c r="N206" s="28" t="s">
        <v>1942</v>
      </c>
      <c r="O206" s="28" t="s">
        <v>1038</v>
      </c>
      <c r="P206" s="331">
        <v>44056</v>
      </c>
      <c r="Q206" s="28"/>
      <c r="R206" s="28"/>
      <c r="S206" s="27"/>
      <c r="T206" s="27"/>
      <c r="U206" s="27"/>
      <c r="V206" s="29" t="s">
        <v>79</v>
      </c>
      <c r="W206" t="s">
        <v>572</v>
      </c>
      <c r="X206"/>
      <c r="Y206"/>
      <c r="Z206"/>
      <c r="AA206" s="21"/>
    </row>
    <row r="207" spans="1:242" ht="30">
      <c r="A207">
        <v>21</v>
      </c>
      <c r="B207" t="s">
        <v>468</v>
      </c>
      <c r="C207" s="13" t="s">
        <v>456</v>
      </c>
      <c r="D207" s="28" t="s">
        <v>133</v>
      </c>
      <c r="E207" s="27" t="s">
        <v>134</v>
      </c>
      <c r="F207" s="5" t="s">
        <v>2182</v>
      </c>
      <c r="G207" s="27" t="s">
        <v>90</v>
      </c>
      <c r="H207" s="27"/>
      <c r="I207" s="27" t="s">
        <v>121</v>
      </c>
      <c r="J207" s="28">
        <v>29010</v>
      </c>
      <c r="K207" s="27" t="s">
        <v>229</v>
      </c>
      <c r="L207" s="28"/>
      <c r="M207" s="28"/>
      <c r="N207" s="28"/>
      <c r="O207" s="28"/>
      <c r="P207" s="28"/>
      <c r="Q207" s="28" t="s">
        <v>1843</v>
      </c>
      <c r="R207" s="28" t="s">
        <v>1769</v>
      </c>
      <c r="S207" s="27"/>
      <c r="T207" s="27"/>
      <c r="U207" s="27"/>
      <c r="V207" s="29" t="s">
        <v>79</v>
      </c>
      <c r="W207" s="29" t="s">
        <v>457</v>
      </c>
      <c r="X207" s="29"/>
      <c r="Y207" s="29"/>
      <c r="Z207" s="29"/>
      <c r="AA207" s="84" t="s">
        <v>279</v>
      </c>
      <c r="AB207" s="340">
        <v>87</v>
      </c>
      <c r="AC207" s="1">
        <f>AB207-5</f>
        <v>82</v>
      </c>
      <c r="AD207" s="48" t="s">
        <v>280</v>
      </c>
      <c r="AE207" s="7">
        <f>BA207</f>
        <v>30.275999999999996</v>
      </c>
      <c r="AF207" s="7"/>
      <c r="AG207" s="7">
        <f>EU207+EM207</f>
        <v>4.1608040201005023</v>
      </c>
      <c r="AH207" s="7">
        <f>DM207</f>
        <v>6.5650000000000004</v>
      </c>
      <c r="AI207" s="7">
        <f>DO207</f>
        <v>8.206250000000001E-2</v>
      </c>
      <c r="AJ207" s="7">
        <f>GW207</f>
        <v>8.3216080402010048E-2</v>
      </c>
      <c r="AK207" s="7">
        <f>GU207</f>
        <v>0.43046005025125622</v>
      </c>
      <c r="AL207" s="7">
        <f>GS207</f>
        <v>3.7880484422110547</v>
      </c>
      <c r="AM207" s="7">
        <f>HV207</f>
        <v>0.96726190476190477</v>
      </c>
      <c r="AN207" s="7">
        <f>IG207</f>
        <v>1.1574074074074074</v>
      </c>
      <c r="AO207" s="6">
        <v>0</v>
      </c>
      <c r="AP207" s="6"/>
      <c r="AQ207" s="7">
        <f>SUM(AE207:AO207)</f>
        <v>47.510260405134126</v>
      </c>
      <c r="AR207" s="7"/>
      <c r="AS207" s="7"/>
      <c r="AT207" s="6">
        <v>0</v>
      </c>
      <c r="AU207" s="7">
        <f>AQ207*3%</f>
        <v>1.4253078121540237</v>
      </c>
      <c r="AV207" s="7">
        <f>AQ207+AT207+AU207</f>
        <v>48.93556821728815</v>
      </c>
      <c r="AW207">
        <v>0.34799999999999998</v>
      </c>
      <c r="AX207">
        <v>0.34799999999999998</v>
      </c>
      <c r="AY207" s="8">
        <v>1</v>
      </c>
      <c r="AZ207" s="14">
        <f>AW207-AX207</f>
        <v>0</v>
      </c>
      <c r="BA207" s="4">
        <f>AW207*AB207-AZ207*AC207</f>
        <v>30.275999999999996</v>
      </c>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E207">
        <v>0</v>
      </c>
      <c r="CF207">
        <v>0</v>
      </c>
      <c r="CG207">
        <v>0</v>
      </c>
      <c r="CH207">
        <f>CF207*CG207</f>
        <v>0</v>
      </c>
      <c r="CI207" s="3">
        <v>334560</v>
      </c>
      <c r="CJ207" s="1" t="s">
        <v>275</v>
      </c>
      <c r="CK207" s="1">
        <v>1</v>
      </c>
      <c r="CL207" s="1">
        <f>0.26*1.01</f>
        <v>0.2626</v>
      </c>
      <c r="CM207" s="1">
        <f>CK207*CL207</f>
        <v>0.2626</v>
      </c>
      <c r="CN207" s="3">
        <v>335558</v>
      </c>
      <c r="CO207" s="1" t="s">
        <v>276</v>
      </c>
      <c r="CP207" s="1">
        <v>1</v>
      </c>
      <c r="CQ207" s="1">
        <f>0.34*1.01</f>
        <v>0.34340000000000004</v>
      </c>
      <c r="CR207" s="1">
        <f>CP207*CQ207</f>
        <v>0.34340000000000004</v>
      </c>
      <c r="CS207" s="1" t="s">
        <v>277</v>
      </c>
      <c r="CT207" s="1" t="s">
        <v>278</v>
      </c>
      <c r="CU207" s="1">
        <v>1</v>
      </c>
      <c r="CV207" s="1">
        <f>5.9*1.01</f>
        <v>5.9590000000000005</v>
      </c>
      <c r="CW207" s="1">
        <f>CU207*CV207</f>
        <v>5.9590000000000005</v>
      </c>
      <c r="DM207" s="4">
        <f>CH207+CM207+CR207+CW207+DB207+DG207+DL207</f>
        <v>6.5650000000000004</v>
      </c>
      <c r="DN207" s="9">
        <v>1.2500000000000001E-2</v>
      </c>
      <c r="DO207" s="4">
        <f>DN207*(DM207-CG207)</f>
        <v>8.206250000000001E-2</v>
      </c>
      <c r="DP207" s="4">
        <f>DM207+DO207</f>
        <v>6.6470625000000005</v>
      </c>
      <c r="DQ207" s="4"/>
      <c r="DR207" s="4"/>
      <c r="DS207" s="4"/>
      <c r="DT207" s="4"/>
      <c r="DU207" s="4"/>
      <c r="DV207" s="4"/>
      <c r="DW207" s="4"/>
      <c r="DX207" s="4"/>
      <c r="DY207" s="4"/>
      <c r="DZ207" s="4"/>
      <c r="EA207" s="4"/>
      <c r="EB207" s="4"/>
      <c r="EC207" s="4"/>
      <c r="ED207" s="4"/>
      <c r="EE207" s="4"/>
      <c r="EF207">
        <v>450</v>
      </c>
      <c r="EG207">
        <v>4140</v>
      </c>
      <c r="EH207">
        <v>8</v>
      </c>
      <c r="EI207" s="8">
        <v>0.95</v>
      </c>
      <c r="EJ207">
        <v>2</v>
      </c>
      <c r="EK207">
        <v>55</v>
      </c>
      <c r="EL207" s="10">
        <f>ROUND(3600/EK207*EH207*EJ207*EI207,0)</f>
        <v>995</v>
      </c>
      <c r="EU207" s="4">
        <f>EG207/EL207</f>
        <v>4.1608040201005023</v>
      </c>
      <c r="EV207" s="4"/>
      <c r="EW207" s="4"/>
      <c r="GR207" s="8">
        <v>0.11</v>
      </c>
      <c r="GS207" s="4">
        <f>GR207*(BA207+EU207)</f>
        <v>3.7880484422110547</v>
      </c>
      <c r="GT207" s="9">
        <v>1.2500000000000001E-2</v>
      </c>
      <c r="GU207" s="20">
        <f>GT207*(BA207+EU207)</f>
        <v>0.43046005025125622</v>
      </c>
      <c r="GV207" s="8">
        <v>0.02</v>
      </c>
      <c r="GW207" s="4">
        <f>GV207*EU207</f>
        <v>8.3216080402010048E-2</v>
      </c>
      <c r="GX207" s="4">
        <f>GS207+GU207+GW207</f>
        <v>4.3017245728643205</v>
      </c>
      <c r="GY207" t="s">
        <v>130</v>
      </c>
      <c r="GZ207" t="s">
        <v>130</v>
      </c>
      <c r="HA207" s="4">
        <v>1350</v>
      </c>
      <c r="HB207" s="4">
        <v>950</v>
      </c>
      <c r="HC207">
        <v>1800</v>
      </c>
      <c r="HD207">
        <v>72</v>
      </c>
      <c r="HE207">
        <v>2800</v>
      </c>
      <c r="HF207" s="4">
        <f>ROUNDUP(HE207/HD207,0)</f>
        <v>39</v>
      </c>
      <c r="HG207">
        <v>5</v>
      </c>
      <c r="HH207" s="4">
        <f>HF207*HG207</f>
        <v>195</v>
      </c>
      <c r="HI207">
        <v>12500</v>
      </c>
      <c r="HJ207" s="10">
        <f>HH207*HI207</f>
        <v>2437500</v>
      </c>
      <c r="HM207" s="4">
        <v>3</v>
      </c>
      <c r="HN207" s="10">
        <f>HM207*12*25*HE207</f>
        <v>2520000</v>
      </c>
      <c r="HO207" s="4">
        <f>IF(GY207="carton box",HI207/HD207,HJ207/HN207)</f>
        <v>0.96726190476190477</v>
      </c>
      <c r="HP207" s="4">
        <v>160</v>
      </c>
      <c r="HQ207">
        <v>0</v>
      </c>
      <c r="HR207" s="4">
        <v>0</v>
      </c>
      <c r="HS207" s="4">
        <v>0</v>
      </c>
      <c r="HT207" s="4">
        <f>IF(ISERROR(HR207/HS207),0,HR207/HS207)</f>
        <v>0</v>
      </c>
      <c r="HU207" s="4"/>
      <c r="HV207" s="4">
        <f>HO207+HT207</f>
        <v>0.96726190476190477</v>
      </c>
      <c r="HW207" s="4"/>
      <c r="HX207" s="4">
        <v>4200</v>
      </c>
      <c r="HY207" s="4">
        <v>1900</v>
      </c>
      <c r="HZ207" s="4">
        <v>1975</v>
      </c>
      <c r="IA207" s="4">
        <v>3</v>
      </c>
      <c r="IB207" s="4">
        <v>2</v>
      </c>
      <c r="IC207" s="4">
        <v>1</v>
      </c>
      <c r="ID207" s="8">
        <v>1</v>
      </c>
      <c r="IE207" s="4">
        <f>ROUND(PRODUCT(IA207:ID207),0)</f>
        <v>6</v>
      </c>
      <c r="IF207" s="4">
        <v>500</v>
      </c>
      <c r="IG207" s="4">
        <f>IF207/(IE207*HD207)</f>
        <v>1.1574074074074074</v>
      </c>
      <c r="IH207" s="4"/>
    </row>
    <row r="208" spans="1:242" ht="30">
      <c r="A208">
        <v>22</v>
      </c>
      <c r="B208" t="s">
        <v>468</v>
      </c>
      <c r="C208" t="s">
        <v>282</v>
      </c>
      <c r="D208" s="28" t="s">
        <v>133</v>
      </c>
      <c r="E208" s="27" t="s">
        <v>134</v>
      </c>
      <c r="F208" s="5" t="s">
        <v>2182</v>
      </c>
      <c r="G208" s="27" t="s">
        <v>90</v>
      </c>
      <c r="H208" s="27"/>
      <c r="I208" s="27" t="s">
        <v>121</v>
      </c>
      <c r="J208" s="28">
        <v>21677</v>
      </c>
      <c r="K208" s="27" t="s">
        <v>228</v>
      </c>
      <c r="L208" s="28">
        <v>21401</v>
      </c>
      <c r="M208" s="28" t="s">
        <v>121</v>
      </c>
      <c r="N208" s="28" t="s">
        <v>1844</v>
      </c>
      <c r="O208" s="28" t="s">
        <v>1038</v>
      </c>
      <c r="P208" s="331">
        <v>44274</v>
      </c>
      <c r="Q208" s="28" t="s">
        <v>1843</v>
      </c>
      <c r="R208" s="28" t="s">
        <v>1769</v>
      </c>
      <c r="S208" s="27"/>
      <c r="T208" s="27"/>
      <c r="U208" s="27"/>
      <c r="V208" s="29" t="s">
        <v>79</v>
      </c>
      <c r="W208" s="5" t="s">
        <v>283</v>
      </c>
      <c r="X208" s="5"/>
      <c r="Y208" s="5"/>
      <c r="Z208" s="5"/>
      <c r="AA208" s="84" t="s">
        <v>284</v>
      </c>
      <c r="AB208" s="340">
        <v>87</v>
      </c>
      <c r="AC208" s="1">
        <v>20</v>
      </c>
      <c r="AD208" s="48" t="s">
        <v>285</v>
      </c>
      <c r="AE208" s="7">
        <f>BA208</f>
        <v>28.884</v>
      </c>
      <c r="AF208" s="7"/>
      <c r="AG208" s="7">
        <f>EU208</f>
        <v>4.5226130653266328</v>
      </c>
      <c r="AH208" s="7">
        <f>DM208</f>
        <v>6.5650000000000004</v>
      </c>
      <c r="AI208" s="7">
        <f>DO208</f>
        <v>8.206250000000001E-2</v>
      </c>
      <c r="AJ208" s="7">
        <f>GW208</f>
        <v>9.0452261306532653E-2</v>
      </c>
      <c r="AK208" s="7">
        <f>GU208</f>
        <v>0.41758266331658289</v>
      </c>
      <c r="AL208" s="7">
        <f>GS208</f>
        <v>3.6747274371859295</v>
      </c>
      <c r="AM208" s="7">
        <f>HV208</f>
        <v>0.97222222222222221</v>
      </c>
      <c r="AN208" s="7">
        <f>IG208</f>
        <v>1.1574074074074074</v>
      </c>
      <c r="AO208" s="6">
        <v>0</v>
      </c>
      <c r="AP208" s="6"/>
      <c r="AQ208" s="7">
        <f>SUM(AE208:AO208)</f>
        <v>46.366067556765294</v>
      </c>
      <c r="AR208" s="7"/>
      <c r="AS208" s="7"/>
      <c r="AT208" s="6">
        <v>0</v>
      </c>
      <c r="AU208" s="7"/>
      <c r="AV208" s="7">
        <f>AQ208+AT208+AU208</f>
        <v>46.366067556765294</v>
      </c>
      <c r="AW208">
        <v>0.33200000000000002</v>
      </c>
      <c r="AX208">
        <v>0.33200000000000002</v>
      </c>
      <c r="AY208" s="8">
        <v>1</v>
      </c>
      <c r="AZ208" s="14">
        <f>AW208-AX208</f>
        <v>0</v>
      </c>
      <c r="BA208" s="4">
        <f>AW208*AB208-AZ208*AC208</f>
        <v>28.884</v>
      </c>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E208">
        <v>0</v>
      </c>
      <c r="CF208">
        <v>0</v>
      </c>
      <c r="CG208">
        <v>0</v>
      </c>
      <c r="CH208">
        <f>CF208*CG208</f>
        <v>0</v>
      </c>
      <c r="CI208" s="3">
        <v>334560</v>
      </c>
      <c r="CJ208" s="1" t="s">
        <v>275</v>
      </c>
      <c r="CK208" s="1">
        <v>1</v>
      </c>
      <c r="CL208" s="1">
        <f>0.26*1.01</f>
        <v>0.2626</v>
      </c>
      <c r="CM208" s="1">
        <f>CK208*CL208</f>
        <v>0.2626</v>
      </c>
      <c r="CN208" s="3">
        <v>335558</v>
      </c>
      <c r="CO208" s="1" t="s">
        <v>276</v>
      </c>
      <c r="CP208" s="1">
        <v>1</v>
      </c>
      <c r="CQ208" s="1">
        <f>0.34*1.01</f>
        <v>0.34340000000000004</v>
      </c>
      <c r="CR208" s="1">
        <f>CP208*CQ208</f>
        <v>0.34340000000000004</v>
      </c>
      <c r="CS208" s="1" t="s">
        <v>277</v>
      </c>
      <c r="CT208" s="1" t="s">
        <v>278</v>
      </c>
      <c r="CU208" s="1">
        <v>1</v>
      </c>
      <c r="CV208" s="1">
        <f>5.9*1.01</f>
        <v>5.9590000000000005</v>
      </c>
      <c r="CW208" s="1">
        <f>CU208*CV208</f>
        <v>5.9590000000000005</v>
      </c>
      <c r="DM208" s="4">
        <f>CH208+CM208+CR208+CW208+DB208+DG208+DL208</f>
        <v>6.5650000000000004</v>
      </c>
      <c r="DN208" s="9">
        <v>1.2500000000000001E-2</v>
      </c>
      <c r="DO208" s="4">
        <f>DN208*(DM208-CG208)</f>
        <v>8.206250000000001E-2</v>
      </c>
      <c r="DP208" s="4">
        <f>DM208+DO208</f>
        <v>6.6470625000000005</v>
      </c>
      <c r="DQ208" s="4"/>
      <c r="DR208" s="4"/>
      <c r="DS208" s="4"/>
      <c r="DT208" s="4"/>
      <c r="DU208" s="4"/>
      <c r="DV208" s="4"/>
      <c r="DW208" s="4"/>
      <c r="DX208" s="4"/>
      <c r="DY208" s="4"/>
      <c r="DZ208" s="4"/>
      <c r="EA208" s="4"/>
      <c r="EB208" s="4"/>
      <c r="EC208" s="4"/>
      <c r="ED208" s="4"/>
      <c r="EE208" s="4"/>
      <c r="EF208">
        <v>450</v>
      </c>
      <c r="EG208">
        <v>4500</v>
      </c>
      <c r="EH208">
        <v>8</v>
      </c>
      <c r="EI208" s="8">
        <v>0.95</v>
      </c>
      <c r="EJ208">
        <v>2</v>
      </c>
      <c r="EK208">
        <v>55</v>
      </c>
      <c r="EL208" s="10">
        <f>ROUND(3600/EK208*EH208*EJ208*EI208,0)</f>
        <v>995</v>
      </c>
      <c r="EU208" s="4">
        <f>EG208/EL208</f>
        <v>4.5226130653266328</v>
      </c>
      <c r="EV208" s="4"/>
      <c r="EW208" s="4"/>
      <c r="GR208" s="8">
        <v>0.11</v>
      </c>
      <c r="GS208" s="4">
        <f>GR208*(BA208+EU208)</f>
        <v>3.6747274371859295</v>
      </c>
      <c r="GT208" s="9">
        <v>1.2500000000000001E-2</v>
      </c>
      <c r="GU208" s="20">
        <f>GT208*(BA208+EU208)</f>
        <v>0.41758266331658289</v>
      </c>
      <c r="GV208" s="8">
        <v>0.02</v>
      </c>
      <c r="GW208" s="4">
        <f>GV208*EU208</f>
        <v>9.0452261306532653E-2</v>
      </c>
      <c r="GX208" s="4">
        <f>GS208+GU208+GW208</f>
        <v>4.1827623618090453</v>
      </c>
      <c r="GY208" t="s">
        <v>130</v>
      </c>
      <c r="GZ208" t="s">
        <v>130</v>
      </c>
      <c r="HA208" s="4">
        <v>1350</v>
      </c>
      <c r="HB208" s="4">
        <v>950</v>
      </c>
      <c r="HC208">
        <v>2400</v>
      </c>
      <c r="HD208">
        <v>72</v>
      </c>
      <c r="HE208">
        <v>1000</v>
      </c>
      <c r="HF208" s="4">
        <f>ROUNDUP(HE208/HD208,0)</f>
        <v>14</v>
      </c>
      <c r="HG208">
        <v>5</v>
      </c>
      <c r="HH208" s="4">
        <f>HF208*HG208</f>
        <v>70</v>
      </c>
      <c r="HI208">
        <v>12500</v>
      </c>
      <c r="HJ208" s="4">
        <f>HH208*HI208</f>
        <v>875000</v>
      </c>
      <c r="HM208" s="4">
        <v>3</v>
      </c>
      <c r="HN208" s="10">
        <f>HM208*12*25*HE208</f>
        <v>900000</v>
      </c>
      <c r="HO208" s="4">
        <f>IF(GY208="carton box",HI208/HD208,HJ208/HN208)</f>
        <v>0.97222222222222221</v>
      </c>
      <c r="HP208" s="4">
        <v>160</v>
      </c>
      <c r="HQ208">
        <v>0</v>
      </c>
      <c r="HR208" s="4">
        <f>HP208*HQ208</f>
        <v>0</v>
      </c>
      <c r="HS208" s="4">
        <v>0</v>
      </c>
      <c r="HT208" s="4">
        <f>IF(ISERROR(HR208/HS208),0,HR208/HS208)</f>
        <v>0</v>
      </c>
      <c r="HU208" s="4"/>
      <c r="HV208" s="4">
        <f>HO208+HT208</f>
        <v>0.97222222222222221</v>
      </c>
      <c r="HW208" s="4"/>
      <c r="HX208" s="4">
        <v>5016</v>
      </c>
      <c r="HY208" s="4">
        <v>1976</v>
      </c>
      <c r="HZ208" s="4">
        <v>2280</v>
      </c>
      <c r="IA208" s="4">
        <v>3</v>
      </c>
      <c r="IB208" s="4">
        <v>2</v>
      </c>
      <c r="IC208" s="4">
        <v>1</v>
      </c>
      <c r="ID208" s="8">
        <v>1</v>
      </c>
      <c r="IE208" s="4">
        <f>ROUND(PRODUCT(IA208:ID208),0)</f>
        <v>6</v>
      </c>
      <c r="IF208" s="4">
        <v>500</v>
      </c>
      <c r="IG208" s="4">
        <f>IF208/(IE208*HD208)</f>
        <v>1.1574074074074074</v>
      </c>
      <c r="IH208" s="4"/>
    </row>
    <row r="209" spans="1:242" ht="30">
      <c r="A209">
        <v>23</v>
      </c>
      <c r="B209" t="s">
        <v>468</v>
      </c>
      <c r="C209" s="13" t="s">
        <v>1842</v>
      </c>
      <c r="D209" s="28" t="s">
        <v>133</v>
      </c>
      <c r="E209" s="27" t="s">
        <v>134</v>
      </c>
      <c r="F209" s="5" t="s">
        <v>2182</v>
      </c>
      <c r="G209" s="27" t="s">
        <v>90</v>
      </c>
      <c r="H209" s="27"/>
      <c r="I209" s="27" t="s">
        <v>94</v>
      </c>
      <c r="J209" s="28">
        <v>29268</v>
      </c>
      <c r="K209" s="27" t="s">
        <v>229</v>
      </c>
      <c r="L209" s="28"/>
      <c r="M209" s="28"/>
      <c r="N209" s="28"/>
      <c r="O209" s="28"/>
      <c r="P209" s="28"/>
      <c r="Q209" s="28" t="s">
        <v>1843</v>
      </c>
      <c r="R209" s="28" t="s">
        <v>1769</v>
      </c>
      <c r="S209" s="27"/>
      <c r="T209" s="27"/>
      <c r="U209" s="27"/>
      <c r="V209" s="29" t="s">
        <v>79</v>
      </c>
      <c r="W209" s="29" t="s">
        <v>457</v>
      </c>
      <c r="X209" s="29"/>
      <c r="Y209" s="29"/>
      <c r="Z209" s="29"/>
      <c r="AA209" s="84" t="s">
        <v>279</v>
      </c>
      <c r="AB209" s="340">
        <v>87</v>
      </c>
      <c r="AC209" s="1">
        <f>AB209-5</f>
        <v>82</v>
      </c>
      <c r="AD209" s="48" t="s">
        <v>280</v>
      </c>
      <c r="AE209" s="7">
        <f>BA209</f>
        <v>30.275999999999996</v>
      </c>
      <c r="AF209" s="7"/>
      <c r="AG209" s="7">
        <f>EU209+EM209</f>
        <v>4.1608040201005023</v>
      </c>
      <c r="AH209" s="7">
        <f>DM209</f>
        <v>6.5650000000000004</v>
      </c>
      <c r="AI209" s="7">
        <f>DO209</f>
        <v>8.206250000000001E-2</v>
      </c>
      <c r="AJ209" s="7">
        <f>GW209</f>
        <v>8.3216080402010048E-2</v>
      </c>
      <c r="AK209" s="7">
        <f>GU209</f>
        <v>0.43046005025125622</v>
      </c>
      <c r="AL209" s="7">
        <f>GS209</f>
        <v>3.7880484422110547</v>
      </c>
      <c r="AM209" s="7">
        <f>HV209</f>
        <v>0.96726190476190477</v>
      </c>
      <c r="AN209" s="7">
        <f>IG209</f>
        <v>1.1574074074074074</v>
      </c>
      <c r="AO209" s="6">
        <v>0</v>
      </c>
      <c r="AP209" s="6"/>
      <c r="AQ209" s="7">
        <f>SUM(AE209:AO209)</f>
        <v>47.510260405134126</v>
      </c>
      <c r="AR209" s="7"/>
      <c r="AS209" s="7"/>
      <c r="AT209" s="6">
        <v>0</v>
      </c>
      <c r="AU209" s="7">
        <f>AQ209*3%</f>
        <v>1.4253078121540237</v>
      </c>
      <c r="AV209" s="7">
        <f>AQ209+AT209+AU209</f>
        <v>48.93556821728815</v>
      </c>
      <c r="AW209">
        <v>0.34799999999999998</v>
      </c>
      <c r="AX209">
        <v>0.34799999999999998</v>
      </c>
      <c r="AY209" s="8">
        <v>1</v>
      </c>
      <c r="AZ209" s="14">
        <f>AW209-AX209</f>
        <v>0</v>
      </c>
      <c r="BA209" s="4">
        <f>AW209*AB209-AZ209*AC209</f>
        <v>30.275999999999996</v>
      </c>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E209">
        <v>0</v>
      </c>
      <c r="CF209">
        <v>0</v>
      </c>
      <c r="CG209">
        <v>0</v>
      </c>
      <c r="CH209">
        <f>CF209*CG209</f>
        <v>0</v>
      </c>
      <c r="CI209" s="3">
        <v>334560</v>
      </c>
      <c r="CJ209" s="1" t="s">
        <v>275</v>
      </c>
      <c r="CK209" s="1">
        <v>1</v>
      </c>
      <c r="CL209" s="1">
        <f>0.26*1.01</f>
        <v>0.2626</v>
      </c>
      <c r="CM209" s="1">
        <f>CK209*CL209</f>
        <v>0.2626</v>
      </c>
      <c r="CN209" s="3">
        <v>335558</v>
      </c>
      <c r="CO209" s="1" t="s">
        <v>276</v>
      </c>
      <c r="CP209" s="1">
        <v>1</v>
      </c>
      <c r="CQ209" s="1">
        <f>0.34*1.01</f>
        <v>0.34340000000000004</v>
      </c>
      <c r="CR209" s="1">
        <f>CP209*CQ209</f>
        <v>0.34340000000000004</v>
      </c>
      <c r="CS209" s="1" t="s">
        <v>277</v>
      </c>
      <c r="CT209" s="1" t="s">
        <v>278</v>
      </c>
      <c r="CU209" s="1">
        <v>1</v>
      </c>
      <c r="CV209" s="1">
        <f>5.9*1.01</f>
        <v>5.9590000000000005</v>
      </c>
      <c r="CW209" s="1">
        <f>CU209*CV209</f>
        <v>5.9590000000000005</v>
      </c>
      <c r="DM209" s="4">
        <f>CH209+CM209+CR209+CW209+DB209+DG209+DL209</f>
        <v>6.5650000000000004</v>
      </c>
      <c r="DN209" s="9">
        <v>1.2500000000000001E-2</v>
      </c>
      <c r="DO209" s="4">
        <f>DN209*(DM209-CG209)</f>
        <v>8.206250000000001E-2</v>
      </c>
      <c r="DP209" s="4">
        <f>DM209+DO209</f>
        <v>6.6470625000000005</v>
      </c>
      <c r="DQ209" s="4"/>
      <c r="DR209" s="4"/>
      <c r="DS209" s="4"/>
      <c r="DT209" s="4"/>
      <c r="DU209" s="4"/>
      <c r="DV209" s="4"/>
      <c r="DW209" s="4"/>
      <c r="DX209" s="4"/>
      <c r="DY209" s="4"/>
      <c r="DZ209" s="4"/>
      <c r="EA209" s="4"/>
      <c r="EB209" s="4"/>
      <c r="EC209" s="4"/>
      <c r="ED209" s="4"/>
      <c r="EE209" s="4"/>
      <c r="EF209">
        <v>450</v>
      </c>
      <c r="EG209">
        <v>4140</v>
      </c>
      <c r="EH209">
        <v>8</v>
      </c>
      <c r="EI209" s="8">
        <v>0.95</v>
      </c>
      <c r="EJ209">
        <v>2</v>
      </c>
      <c r="EK209">
        <v>55</v>
      </c>
      <c r="EL209" s="10">
        <f>ROUND(3600/EK209*EH209*EJ209*EI209,0)</f>
        <v>995</v>
      </c>
      <c r="EU209" s="4">
        <f>EG209/EL209</f>
        <v>4.1608040201005023</v>
      </c>
      <c r="EV209" s="4"/>
      <c r="EW209" s="4"/>
      <c r="GR209" s="8">
        <v>0.11</v>
      </c>
      <c r="GS209" s="4">
        <f>GR209*(BA209+EU209)</f>
        <v>3.7880484422110547</v>
      </c>
      <c r="GT209" s="9">
        <v>1.2500000000000001E-2</v>
      </c>
      <c r="GU209" s="20">
        <f>GT209*(BA209+EU209)</f>
        <v>0.43046005025125622</v>
      </c>
      <c r="GV209" s="8">
        <v>0.02</v>
      </c>
      <c r="GW209" s="4">
        <f>GV209*EU209</f>
        <v>8.3216080402010048E-2</v>
      </c>
      <c r="GX209" s="4">
        <f>GS209+GU209+GW209</f>
        <v>4.3017245728643205</v>
      </c>
      <c r="GY209" t="s">
        <v>130</v>
      </c>
      <c r="GZ209" t="s">
        <v>130</v>
      </c>
      <c r="HA209" s="4">
        <v>1350</v>
      </c>
      <c r="HB209" s="4">
        <v>950</v>
      </c>
      <c r="HC209">
        <v>1800</v>
      </c>
      <c r="HD209">
        <v>72</v>
      </c>
      <c r="HE209">
        <v>2800</v>
      </c>
      <c r="HF209" s="4">
        <f>ROUNDUP(HE209/HD209,0)</f>
        <v>39</v>
      </c>
      <c r="HG209">
        <v>5</v>
      </c>
      <c r="HH209" s="4">
        <f>HF209*HG209</f>
        <v>195</v>
      </c>
      <c r="HI209">
        <v>12500</v>
      </c>
      <c r="HJ209" s="10">
        <f>HH209*HI209</f>
        <v>2437500</v>
      </c>
      <c r="HM209" s="4">
        <v>3</v>
      </c>
      <c r="HN209" s="10">
        <f>HM209*12*25*HE209</f>
        <v>2520000</v>
      </c>
      <c r="HO209" s="4">
        <f>IF(GY209="carton box",HI209/HD209,HJ209/HN209)</f>
        <v>0.96726190476190477</v>
      </c>
      <c r="HP209" s="4">
        <v>160</v>
      </c>
      <c r="HQ209">
        <v>0</v>
      </c>
      <c r="HR209" s="4">
        <v>0</v>
      </c>
      <c r="HS209" s="4">
        <v>0</v>
      </c>
      <c r="HT209" s="4">
        <f>IF(ISERROR(HR209/HS209),0,HR209/HS209)</f>
        <v>0</v>
      </c>
      <c r="HU209" s="4"/>
      <c r="HV209" s="4">
        <f>HO209+HT209</f>
        <v>0.96726190476190477</v>
      </c>
      <c r="HW209" s="4"/>
      <c r="HX209" s="4">
        <v>4200</v>
      </c>
      <c r="HY209" s="4">
        <v>1900</v>
      </c>
      <c r="HZ209" s="4">
        <v>1975</v>
      </c>
      <c r="IA209" s="4">
        <v>3</v>
      </c>
      <c r="IB209" s="4">
        <v>2</v>
      </c>
      <c r="IC209" s="4">
        <v>1</v>
      </c>
      <c r="ID209" s="8">
        <v>1</v>
      </c>
      <c r="IE209" s="4">
        <f>ROUND(PRODUCT(IA209:ID209),0)</f>
        <v>6</v>
      </c>
      <c r="IF209" s="4">
        <v>500</v>
      </c>
      <c r="IG209" s="4">
        <f>IF209/(IE209*HD209)</f>
        <v>1.1574074074074074</v>
      </c>
      <c r="IH209" s="4"/>
    </row>
    <row r="210" spans="1:242">
      <c r="A210">
        <v>24</v>
      </c>
      <c r="B210" t="s">
        <v>468</v>
      </c>
      <c r="C210" t="s">
        <v>1848</v>
      </c>
      <c r="D210" s="28" t="s">
        <v>135</v>
      </c>
      <c r="E210" s="27" t="s">
        <v>136</v>
      </c>
      <c r="F210" s="5" t="s">
        <v>2182</v>
      </c>
      <c r="G210" s="27" t="s">
        <v>90</v>
      </c>
      <c r="H210" s="27"/>
      <c r="I210" s="27" t="s">
        <v>121</v>
      </c>
      <c r="J210" s="28">
        <v>29010</v>
      </c>
      <c r="K210" s="27" t="s">
        <v>229</v>
      </c>
      <c r="L210" s="28"/>
      <c r="M210" s="28"/>
      <c r="N210" s="28"/>
      <c r="O210" s="28"/>
      <c r="P210" s="28"/>
      <c r="Q210" s="28" t="s">
        <v>1035</v>
      </c>
      <c r="R210" s="28" t="s">
        <v>1769</v>
      </c>
      <c r="S210" s="27"/>
      <c r="T210" s="27"/>
      <c r="U210" s="27"/>
      <c r="V210" s="29" t="s">
        <v>79</v>
      </c>
      <c r="W210" s="5" t="s">
        <v>290</v>
      </c>
      <c r="X210" s="5"/>
      <c r="Y210" s="5"/>
      <c r="Z210" s="5"/>
      <c r="AA210" s="84" t="s">
        <v>286</v>
      </c>
      <c r="AB210" s="340">
        <v>250</v>
      </c>
      <c r="AC210" s="1">
        <f>AC204+AC214</f>
        <v>0</v>
      </c>
      <c r="AD210" s="48" t="s">
        <v>280</v>
      </c>
      <c r="AE210" s="7">
        <f>BA210</f>
        <v>91.75</v>
      </c>
      <c r="AF210" s="7"/>
      <c r="AG210" s="7">
        <f>EU210+EM210+FA210</f>
        <v>14.251128359717491</v>
      </c>
      <c r="AH210" s="7">
        <f>DM210</f>
        <v>9.4699999999999989</v>
      </c>
      <c r="AI210" s="7">
        <f>DO210</f>
        <v>0.10675</v>
      </c>
      <c r="AJ210" s="7">
        <f>GW210</f>
        <v>0.19667458432304039</v>
      </c>
      <c r="AK210" s="7">
        <f>GU210</f>
        <v>2.0299999999999998</v>
      </c>
      <c r="AL210" s="7">
        <f>GS210</f>
        <v>11.174210213776723</v>
      </c>
      <c r="AM210" s="7">
        <f>HV210</f>
        <v>6.7633333333333336</v>
      </c>
      <c r="AN210" s="7">
        <f>IG210</f>
        <v>0.18452380952380953</v>
      </c>
      <c r="AO210" s="7">
        <f>EY210</f>
        <v>3.1728333333333331E-2</v>
      </c>
      <c r="AP210" s="7"/>
      <c r="AQ210" s="7">
        <f>SUM(AE210:AO210)</f>
        <v>135.95834863400768</v>
      </c>
      <c r="AR210" s="7"/>
      <c r="AS210" s="7"/>
      <c r="AT210" s="6">
        <v>0</v>
      </c>
      <c r="AU210" s="7">
        <f>AQ210*3%</f>
        <v>4.0787504590202301</v>
      </c>
      <c r="AV210" s="7">
        <f>AQ210+AT210+AU210</f>
        <v>140.0370990930279</v>
      </c>
      <c r="AW210">
        <v>0.36699999999999999</v>
      </c>
      <c r="AX210">
        <v>0.35499999999999998</v>
      </c>
      <c r="AY210" s="8">
        <v>1</v>
      </c>
      <c r="AZ210" s="14">
        <f>(AW210-AX210)*AY210</f>
        <v>1.2000000000000011E-2</v>
      </c>
      <c r="BA210" s="4">
        <f>AW210*AB210</f>
        <v>91.75</v>
      </c>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E210">
        <v>0</v>
      </c>
      <c r="CF210">
        <v>1</v>
      </c>
      <c r="CG210">
        <v>0.93</v>
      </c>
      <c r="CH210">
        <f>CF210*CG210</f>
        <v>0.93</v>
      </c>
      <c r="CI210" t="s">
        <v>287</v>
      </c>
      <c r="CJ210" t="s">
        <v>288</v>
      </c>
      <c r="CK210">
        <v>4</v>
      </c>
      <c r="CL210">
        <v>1.03</v>
      </c>
      <c r="CM210">
        <f>CK210*CL210</f>
        <v>4.12</v>
      </c>
      <c r="CO210" s="21" t="s">
        <v>289</v>
      </c>
      <c r="CP210">
        <v>1</v>
      </c>
      <c r="CQ210">
        <v>4.42</v>
      </c>
      <c r="CR210">
        <f>CP210*CQ210</f>
        <v>4.42</v>
      </c>
      <c r="DM210">
        <f>CH210+CM210+CR210+CW210+DB210+DG210+DL210</f>
        <v>9.4699999999999989</v>
      </c>
      <c r="DN210" s="9">
        <v>1.2500000000000001E-2</v>
      </c>
      <c r="DO210" s="4">
        <f>DN210*(DM210-CG210)</f>
        <v>0.10675</v>
      </c>
      <c r="DP210" s="4">
        <f>DM210+DO210</f>
        <v>9.5767499999999988</v>
      </c>
      <c r="DQ210" s="4"/>
      <c r="DR210" s="4"/>
      <c r="DS210" s="4"/>
      <c r="DT210" s="4"/>
      <c r="DU210" s="4"/>
      <c r="DV210" s="4"/>
      <c r="DW210" s="4"/>
      <c r="DX210" s="4"/>
      <c r="DY210" s="4"/>
      <c r="DZ210" s="4"/>
      <c r="EA210" s="4"/>
      <c r="EB210" s="4"/>
      <c r="EC210" s="4"/>
      <c r="ED210" s="4"/>
      <c r="EE210" s="4"/>
      <c r="EF210">
        <v>450</v>
      </c>
      <c r="EG210">
        <v>4140</v>
      </c>
      <c r="EH210">
        <v>8</v>
      </c>
      <c r="EI210" s="8">
        <v>0.95</v>
      </c>
      <c r="EJ210">
        <v>1</v>
      </c>
      <c r="EK210">
        <v>65</v>
      </c>
      <c r="EL210" s="10">
        <f>ROUND(3600/EK210*EH210*EJ210*EI210,0)</f>
        <v>421</v>
      </c>
      <c r="EU210" s="4">
        <f>EG210/EL210</f>
        <v>9.8337292161520189</v>
      </c>
      <c r="EV210" s="4"/>
      <c r="EW210" s="4"/>
      <c r="EX210" s="4">
        <f>(4*350)/(3600*7.25*0.85/70)</f>
        <v>4.417399143565472</v>
      </c>
      <c r="EY210" s="20">
        <f>19037/(2*12*25*1000)</f>
        <v>3.1728333333333331E-2</v>
      </c>
      <c r="EZ210" s="20"/>
      <c r="FA210" s="4">
        <f>EX210</f>
        <v>4.417399143565472</v>
      </c>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8">
        <v>0.11</v>
      </c>
      <c r="GS210" s="4">
        <f>GR210*(BA210+EU210)</f>
        <v>11.174210213776723</v>
      </c>
      <c r="GT210" s="9">
        <v>1.2500000000000001E-2</v>
      </c>
      <c r="GU210" s="31">
        <v>2.0299999999999998</v>
      </c>
      <c r="GV210" s="8">
        <v>0.02</v>
      </c>
      <c r="GW210" s="4">
        <f>GV210*EU210</f>
        <v>0.19667458432304039</v>
      </c>
      <c r="GX210" s="4">
        <f>GS210+GU210+GW210</f>
        <v>13.400884798099762</v>
      </c>
      <c r="GY210" t="s">
        <v>125</v>
      </c>
      <c r="GZ210" t="s">
        <v>274</v>
      </c>
      <c r="HA210" s="4">
        <v>385</v>
      </c>
      <c r="HB210" s="4">
        <v>105</v>
      </c>
      <c r="HC210">
        <v>305</v>
      </c>
      <c r="HD210">
        <v>2</v>
      </c>
      <c r="HE210">
        <v>1000</v>
      </c>
      <c r="HF210" s="4">
        <f>ROUNDUP(HE210/HD210,0)</f>
        <v>500</v>
      </c>
      <c r="HG210">
        <v>5</v>
      </c>
      <c r="HH210" s="4">
        <f>HF210*HG210</f>
        <v>2500</v>
      </c>
      <c r="HI210">
        <v>12.26</v>
      </c>
      <c r="HJ210" s="4">
        <f>HH210*HI210</f>
        <v>30650</v>
      </c>
      <c r="HK210" s="9">
        <v>0.125</v>
      </c>
      <c r="HL210" s="4">
        <f>(HK210+1)*HJ210</f>
        <v>34481.25</v>
      </c>
      <c r="HM210" s="4">
        <v>2</v>
      </c>
      <c r="HN210" s="10">
        <f>HM210*12*25*HE210</f>
        <v>600000</v>
      </c>
      <c r="HO210" s="4">
        <f>IF(GY210="carton box",HI210/HD210,HJ210/HN210)</f>
        <v>6.13</v>
      </c>
      <c r="HP210" s="4">
        <v>160</v>
      </c>
      <c r="HQ210">
        <v>0</v>
      </c>
      <c r="HR210" s="4">
        <v>38</v>
      </c>
      <c r="HS210" s="4">
        <v>60</v>
      </c>
      <c r="HT210" s="4">
        <f>IF(ISERROR(HR210/HS210),0,HR210/HS210)</f>
        <v>0.6333333333333333</v>
      </c>
      <c r="HU210" s="4"/>
      <c r="HV210" s="4">
        <f>HO210+HT210</f>
        <v>6.7633333333333336</v>
      </c>
      <c r="HW210" s="4"/>
      <c r="ID210" s="8">
        <v>1</v>
      </c>
      <c r="IE210" s="4">
        <v>2100</v>
      </c>
      <c r="IF210" s="4">
        <v>775</v>
      </c>
      <c r="IG210" s="4">
        <f>IF210/(IE210*HD210)</f>
        <v>0.18452380952380953</v>
      </c>
      <c r="IH210" s="4"/>
    </row>
    <row r="211" spans="1:242">
      <c r="A211">
        <v>206</v>
      </c>
      <c r="B211" t="s">
        <v>433</v>
      </c>
      <c r="C211" s="5" t="s">
        <v>432</v>
      </c>
      <c r="D211" s="5" t="s">
        <v>131</v>
      </c>
      <c r="E211" s="5" t="s">
        <v>132</v>
      </c>
      <c r="F211" s="5" t="s">
        <v>2182</v>
      </c>
      <c r="G211" s="5" t="s">
        <v>101</v>
      </c>
      <c r="H211" s="5"/>
      <c r="I211" s="27" t="s">
        <v>94</v>
      </c>
      <c r="J211" s="5">
        <v>21591</v>
      </c>
      <c r="K211" s="27" t="s">
        <v>97</v>
      </c>
      <c r="L211" s="5"/>
      <c r="N211" s="28"/>
      <c r="O211" s="28"/>
      <c r="P211" s="28"/>
      <c r="Q211" s="28" t="s">
        <v>1782</v>
      </c>
      <c r="R211" s="28" t="s">
        <v>1193</v>
      </c>
      <c r="S211" s="27"/>
      <c r="T211" s="27"/>
      <c r="U211" s="27"/>
      <c r="V211" s="29" t="s">
        <v>79</v>
      </c>
      <c r="W211" s="5"/>
      <c r="X211" s="5"/>
      <c r="Y211" s="5"/>
      <c r="Z211" s="5"/>
      <c r="AA211" s="51" t="s">
        <v>434</v>
      </c>
      <c r="AB211" s="66">
        <v>91.99</v>
      </c>
      <c r="AC211">
        <v>20</v>
      </c>
      <c r="AD211"/>
      <c r="AE211" s="7">
        <f>BA211</f>
        <v>1.24786</v>
      </c>
      <c r="AF211" s="7"/>
      <c r="AG211" s="7">
        <f>EU211</f>
        <v>1.5075376884422111</v>
      </c>
      <c r="AH211" s="7">
        <f>DM211</f>
        <v>5.66</v>
      </c>
      <c r="AI211" s="7">
        <f>DO211</f>
        <v>0.16980000000000001</v>
      </c>
      <c r="AJ211" s="7">
        <f>GW211</f>
        <v>3.0150753768844223E-2</v>
      </c>
      <c r="AK211" s="7">
        <f>GU211</f>
        <v>6.8884942211055275E-2</v>
      </c>
      <c r="AL211" s="7">
        <f>GS211</f>
        <v>0.247985791959799</v>
      </c>
      <c r="AM211" s="7">
        <f>HV211</f>
        <v>1.5277777777777777E-2</v>
      </c>
      <c r="AN211" s="7">
        <f>IG211</f>
        <v>1.4534883720930232E-2</v>
      </c>
      <c r="AO211" s="6">
        <v>0</v>
      </c>
      <c r="AP211" s="6"/>
      <c r="AQ211" s="7">
        <f>SUM(AE211:AO211)</f>
        <v>8.9620318378806179</v>
      </c>
      <c r="AR211" s="7"/>
      <c r="AS211" s="7"/>
      <c r="AT211" s="6">
        <v>0</v>
      </c>
      <c r="AV211" s="7">
        <f>AQ211+AT211+AU211</f>
        <v>8.9620318378806179</v>
      </c>
      <c r="AW211">
        <v>1.4E-2</v>
      </c>
      <c r="AX211">
        <v>1.2E-2</v>
      </c>
      <c r="AY211" s="8">
        <v>1</v>
      </c>
      <c r="AZ211">
        <f>(AW211-AX211)*AY211</f>
        <v>2E-3</v>
      </c>
      <c r="BA211" s="4">
        <f>AW211*AB211-AZ211*AC211</f>
        <v>1.24786</v>
      </c>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E211">
        <v>0</v>
      </c>
      <c r="CF211">
        <v>1</v>
      </c>
      <c r="CG211">
        <v>0.2</v>
      </c>
      <c r="CH211">
        <f>CF211*CG211</f>
        <v>0.2</v>
      </c>
      <c r="CI211" t="s">
        <v>435</v>
      </c>
      <c r="CJ211" t="s">
        <v>436</v>
      </c>
      <c r="CK211">
        <v>2</v>
      </c>
      <c r="CL211">
        <v>0.23</v>
      </c>
      <c r="CM211">
        <f>CK211*CL211</f>
        <v>0.46</v>
      </c>
      <c r="CN211" t="s">
        <v>437</v>
      </c>
      <c r="CO211" t="s">
        <v>438</v>
      </c>
      <c r="CP211">
        <v>2</v>
      </c>
      <c r="CQ211">
        <v>2.5</v>
      </c>
      <c r="CR211">
        <f>CP211*CQ211</f>
        <v>5</v>
      </c>
      <c r="DM211">
        <f>CH211+CM211+CR211+DB211+DG211+DL211</f>
        <v>5.66</v>
      </c>
      <c r="DN211" s="9">
        <v>0.03</v>
      </c>
      <c r="DO211" s="4">
        <f>DM211*DN211</f>
        <v>0.16980000000000001</v>
      </c>
      <c r="DP211" s="4">
        <f>DM211+DO211</f>
        <v>5.8298000000000005</v>
      </c>
      <c r="DQ211" s="4"/>
      <c r="DR211" s="4"/>
      <c r="DS211" s="4"/>
      <c r="DT211" s="4"/>
      <c r="DU211" s="4"/>
      <c r="DV211" s="4"/>
      <c r="DW211" s="4"/>
      <c r="DX211" s="4"/>
      <c r="DY211" s="4"/>
      <c r="DZ211" s="4"/>
      <c r="EA211" s="4"/>
      <c r="EB211" s="4"/>
      <c r="EC211" s="4"/>
      <c r="ED211" s="4"/>
      <c r="EE211" s="4"/>
      <c r="EF211">
        <v>150</v>
      </c>
      <c r="EG211">
        <v>1500</v>
      </c>
      <c r="EH211">
        <v>8</v>
      </c>
      <c r="EI211" s="8">
        <v>0.95</v>
      </c>
      <c r="EJ211">
        <v>2</v>
      </c>
      <c r="EK211">
        <v>55</v>
      </c>
      <c r="EL211" s="10">
        <f>ROUND(3600/EK211*EH211*EJ211*EI211,0)</f>
        <v>995</v>
      </c>
      <c r="EU211" s="4">
        <f>EG211/EL211</f>
        <v>1.5075376884422111</v>
      </c>
      <c r="EV211" s="4"/>
      <c r="EW211" s="4"/>
      <c r="GR211" s="8">
        <v>0.09</v>
      </c>
      <c r="GS211" s="4">
        <f>GR211*(BA211+EU211)</f>
        <v>0.247985791959799</v>
      </c>
      <c r="GT211" s="9">
        <v>2.5000000000000001E-2</v>
      </c>
      <c r="GU211" s="4">
        <f>GT211*(BA211+EU211)</f>
        <v>6.8884942211055275E-2</v>
      </c>
      <c r="GV211" s="8">
        <v>0.02</v>
      </c>
      <c r="GW211" s="4">
        <f>GV211*EU211</f>
        <v>3.0150753768844223E-2</v>
      </c>
      <c r="GX211" s="4">
        <f>GS211+GU211+GW211</f>
        <v>0.3470214879396985</v>
      </c>
      <c r="GY211" t="s">
        <v>43</v>
      </c>
      <c r="GZ211" t="s">
        <v>87</v>
      </c>
      <c r="HA211">
        <v>650</v>
      </c>
      <c r="HB211">
        <v>450</v>
      </c>
      <c r="HC211">
        <v>480</v>
      </c>
      <c r="HD211">
        <v>400</v>
      </c>
      <c r="HE211">
        <v>600</v>
      </c>
      <c r="HF211" s="4">
        <f>ROUNDUP(HE211/HD211,0)</f>
        <v>2</v>
      </c>
      <c r="HG211">
        <v>5</v>
      </c>
      <c r="HH211" s="4">
        <f>HF211*HG211</f>
        <v>10</v>
      </c>
      <c r="HI211">
        <v>550</v>
      </c>
      <c r="HJ211" s="4">
        <f>HH211*HI211</f>
        <v>5500</v>
      </c>
      <c r="HM211" s="4">
        <v>2</v>
      </c>
      <c r="HN211" s="10">
        <f>HM211*12*25*HE211</f>
        <v>360000</v>
      </c>
      <c r="HO211" s="4">
        <f>IF(GY211="carton box",HI211/HD211,HJ211/HN211)</f>
        <v>1.5277777777777777E-2</v>
      </c>
      <c r="HP211" s="4">
        <v>160</v>
      </c>
      <c r="HQ211">
        <v>0</v>
      </c>
      <c r="HR211" s="4">
        <v>0</v>
      </c>
      <c r="HS211" s="4">
        <v>0</v>
      </c>
      <c r="HT211" s="4">
        <v>0</v>
      </c>
      <c r="HU211" s="4"/>
      <c r="HV211" s="4">
        <f>HO211+HT211</f>
        <v>1.5277777777777777E-2</v>
      </c>
      <c r="HW211" s="4"/>
      <c r="HX211" s="4">
        <v>4200</v>
      </c>
      <c r="HY211" s="4">
        <v>1900</v>
      </c>
      <c r="HZ211" s="4">
        <v>1975</v>
      </c>
      <c r="IA211" s="4">
        <f>ROUNDDOWN(HX211/HA211,0)</f>
        <v>6</v>
      </c>
      <c r="IB211" s="4">
        <f>ROUNDDOWN(HY211/HB211,0)</f>
        <v>4</v>
      </c>
      <c r="IC211" s="4">
        <f>ROUNDDOWN(HZ211/HC211,0)</f>
        <v>4</v>
      </c>
      <c r="ID211" s="8">
        <v>0.9</v>
      </c>
      <c r="IE211" s="4">
        <f>ROUND(PRODUCT(IA211:ID211),0)</f>
        <v>86</v>
      </c>
      <c r="IF211" s="4">
        <v>500</v>
      </c>
      <c r="IG211" s="4">
        <f>IF211/(IE211*HD211)</f>
        <v>1.4534883720930232E-2</v>
      </c>
      <c r="IH211" s="4"/>
    </row>
    <row r="212" spans="1:242">
      <c r="A212">
        <v>111</v>
      </c>
      <c r="B212" t="s">
        <v>468</v>
      </c>
      <c r="C212" t="s">
        <v>1869</v>
      </c>
      <c r="D212" s="28" t="s">
        <v>324</v>
      </c>
      <c r="E212" s="27" t="s">
        <v>325</v>
      </c>
      <c r="F212" s="27" t="s">
        <v>2192</v>
      </c>
      <c r="G212" t="s">
        <v>108</v>
      </c>
      <c r="H212" t="s">
        <v>2197</v>
      </c>
      <c r="I212" s="27" t="s">
        <v>121</v>
      </c>
      <c r="J212" s="28">
        <v>21761</v>
      </c>
      <c r="K212" s="27" t="s">
        <v>400</v>
      </c>
      <c r="L212" s="28">
        <v>21712</v>
      </c>
      <c r="M212" s="28" t="s">
        <v>121</v>
      </c>
      <c r="N212" s="28"/>
      <c r="O212" s="28"/>
      <c r="P212" s="28"/>
      <c r="Q212" s="28" t="s">
        <v>1841</v>
      </c>
      <c r="R212" s="28" t="s">
        <v>1831</v>
      </c>
      <c r="S212" s="27"/>
      <c r="T212" s="27"/>
      <c r="U212" s="27"/>
      <c r="V212" s="29" t="s">
        <v>79</v>
      </c>
      <c r="W212" t="s">
        <v>2193</v>
      </c>
      <c r="X212"/>
      <c r="Y212"/>
      <c r="Z212"/>
      <c r="AA212" s="21"/>
    </row>
    <row r="213" spans="1:242">
      <c r="A213">
        <v>116</v>
      </c>
      <c r="B213" t="s">
        <v>468</v>
      </c>
      <c r="C213" t="s">
        <v>1869</v>
      </c>
      <c r="D213" s="28" t="s">
        <v>324</v>
      </c>
      <c r="E213" s="27" t="s">
        <v>325</v>
      </c>
      <c r="F213" s="27" t="s">
        <v>2192</v>
      </c>
      <c r="G213" t="s">
        <v>108</v>
      </c>
      <c r="H213" t="s">
        <v>2198</v>
      </c>
      <c r="I213" s="27" t="s">
        <v>226</v>
      </c>
      <c r="J213" s="28">
        <v>21761</v>
      </c>
      <c r="K213" s="27" t="s">
        <v>400</v>
      </c>
      <c r="L213" s="28">
        <v>21712</v>
      </c>
      <c r="M213" s="28" t="s">
        <v>464</v>
      </c>
      <c r="N213" s="28"/>
      <c r="O213" s="28"/>
      <c r="P213" s="28"/>
      <c r="Q213" s="28" t="s">
        <v>1841</v>
      </c>
      <c r="R213" s="28" t="s">
        <v>1831</v>
      </c>
      <c r="S213" s="27"/>
      <c r="T213" s="27"/>
      <c r="U213" s="27"/>
      <c r="V213" s="29" t="s">
        <v>79</v>
      </c>
      <c r="W213" t="s">
        <v>2194</v>
      </c>
      <c r="X213"/>
      <c r="Y213"/>
      <c r="Z213"/>
      <c r="AA213" s="21"/>
    </row>
    <row r="214" spans="1:242" ht="30">
      <c r="A214">
        <v>202</v>
      </c>
      <c r="B214" t="s">
        <v>433</v>
      </c>
      <c r="C214" t="s">
        <v>1869</v>
      </c>
      <c r="D214" s="28" t="s">
        <v>324</v>
      </c>
      <c r="E214" s="27" t="s">
        <v>325</v>
      </c>
      <c r="F214" s="27" t="s">
        <v>2192</v>
      </c>
      <c r="G214" t="s">
        <v>108</v>
      </c>
      <c r="H214" t="s">
        <v>2197</v>
      </c>
      <c r="I214" s="27" t="s">
        <v>226</v>
      </c>
      <c r="J214" s="28">
        <v>21712</v>
      </c>
      <c r="K214" s="27" t="s">
        <v>400</v>
      </c>
      <c r="L214" s="28"/>
      <c r="M214" s="28"/>
      <c r="N214" s="28"/>
      <c r="O214" s="28"/>
      <c r="P214" s="28"/>
      <c r="Q214" s="28" t="s">
        <v>1841</v>
      </c>
      <c r="R214" s="28" t="s">
        <v>1831</v>
      </c>
      <c r="S214" s="27"/>
      <c r="T214" s="27"/>
      <c r="U214" s="27"/>
      <c r="V214" s="29" t="s">
        <v>79</v>
      </c>
      <c r="W214" s="95" t="s">
        <v>2237</v>
      </c>
      <c r="X214"/>
      <c r="Y214"/>
      <c r="Z214"/>
      <c r="AA214"/>
    </row>
    <row r="215" spans="1:242" ht="30">
      <c r="A215">
        <v>203</v>
      </c>
      <c r="B215" t="s">
        <v>433</v>
      </c>
      <c r="C215" t="s">
        <v>1869</v>
      </c>
      <c r="D215" s="28" t="s">
        <v>324</v>
      </c>
      <c r="E215" s="27" t="s">
        <v>325</v>
      </c>
      <c r="F215" s="27" t="s">
        <v>2192</v>
      </c>
      <c r="G215" t="s">
        <v>108</v>
      </c>
      <c r="H215" t="s">
        <v>2198</v>
      </c>
      <c r="I215" s="27" t="s">
        <v>121</v>
      </c>
      <c r="J215" s="28">
        <v>21712</v>
      </c>
      <c r="K215" s="27" t="s">
        <v>400</v>
      </c>
      <c r="N215" s="28"/>
      <c r="O215" s="28"/>
      <c r="P215" s="28"/>
      <c r="Q215" s="28" t="s">
        <v>1841</v>
      </c>
      <c r="R215" s="28" t="s">
        <v>1831</v>
      </c>
      <c r="S215" s="27"/>
      <c r="T215" s="27"/>
      <c r="U215" s="27"/>
      <c r="V215" s="29" t="s">
        <v>79</v>
      </c>
      <c r="W215" s="95" t="s">
        <v>2237</v>
      </c>
      <c r="X215"/>
      <c r="Y215"/>
      <c r="Z215"/>
      <c r="AA215"/>
    </row>
    <row r="216" spans="1:242" ht="30">
      <c r="A216">
        <v>204</v>
      </c>
      <c r="B216" t="s">
        <v>433</v>
      </c>
      <c r="C216" t="s">
        <v>1869</v>
      </c>
      <c r="D216" s="28" t="s">
        <v>324</v>
      </c>
      <c r="E216" s="27" t="s">
        <v>325</v>
      </c>
      <c r="F216" s="27" t="s">
        <v>2192</v>
      </c>
      <c r="G216" t="s">
        <v>108</v>
      </c>
      <c r="H216" t="s">
        <v>2238</v>
      </c>
      <c r="I216" s="27" t="s">
        <v>94</v>
      </c>
      <c r="J216" s="28">
        <v>21712</v>
      </c>
      <c r="K216" s="27" t="s">
        <v>400</v>
      </c>
      <c r="N216" s="28"/>
      <c r="O216" s="28"/>
      <c r="P216" s="28"/>
      <c r="Q216" s="28" t="s">
        <v>1841</v>
      </c>
      <c r="R216" s="28" t="s">
        <v>1831</v>
      </c>
      <c r="S216" s="27"/>
      <c r="T216" s="27"/>
      <c r="U216" s="27"/>
      <c r="V216" s="29" t="s">
        <v>79</v>
      </c>
      <c r="W216" s="95" t="s">
        <v>2237</v>
      </c>
      <c r="X216"/>
      <c r="Y216"/>
      <c r="Z216"/>
      <c r="AA216"/>
    </row>
    <row r="217" spans="1:242" ht="25.5">
      <c r="A217">
        <v>25</v>
      </c>
      <c r="B217" t="s">
        <v>468</v>
      </c>
      <c r="C217" s="13" t="s">
        <v>1849</v>
      </c>
      <c r="D217" s="28" t="s">
        <v>137</v>
      </c>
      <c r="E217" s="27" t="s">
        <v>138</v>
      </c>
      <c r="F217" s="5" t="s">
        <v>2182</v>
      </c>
      <c r="G217" s="27" t="s">
        <v>90</v>
      </c>
      <c r="H217" s="27"/>
      <c r="I217" s="27" t="s">
        <v>121</v>
      </c>
      <c r="J217" s="28">
        <v>21677</v>
      </c>
      <c r="K217" s="27" t="s">
        <v>228</v>
      </c>
      <c r="L217" s="28"/>
      <c r="M217" s="28"/>
      <c r="N217" s="28"/>
      <c r="O217" s="28"/>
      <c r="P217" s="28"/>
      <c r="Q217" s="28" t="s">
        <v>1035</v>
      </c>
      <c r="R217" s="28" t="s">
        <v>1194</v>
      </c>
      <c r="S217" s="27"/>
      <c r="T217" s="27"/>
      <c r="U217" s="27"/>
      <c r="V217" s="29" t="s">
        <v>79</v>
      </c>
      <c r="W217" s="29" t="s">
        <v>298</v>
      </c>
      <c r="X217" s="29"/>
      <c r="Y217" s="29"/>
      <c r="Z217" s="29"/>
      <c r="AA217" s="84" t="s">
        <v>292</v>
      </c>
      <c r="AB217" s="340">
        <v>309</v>
      </c>
      <c r="AC217" s="1">
        <v>20</v>
      </c>
      <c r="AD217" s="48" t="s">
        <v>297</v>
      </c>
      <c r="AE217" s="7">
        <f>BA217</f>
        <v>6.7780000000000005</v>
      </c>
      <c r="AF217" s="7"/>
      <c r="AG217" s="7">
        <f>EU217+EM217</f>
        <v>0.59210526315789469</v>
      </c>
      <c r="AH217" s="7">
        <f>DM217</f>
        <v>7.04</v>
      </c>
      <c r="AI217" s="7">
        <f>DO217</f>
        <v>8.8000000000000009E-2</v>
      </c>
      <c r="AJ217" s="7">
        <f>GW217</f>
        <v>1.1842105263157893E-2</v>
      </c>
      <c r="AK217" s="7">
        <f>GU217</f>
        <v>9.2126315789473695E-2</v>
      </c>
      <c r="AL217" s="7">
        <f>GS217</f>
        <v>0.81071157894736845</v>
      </c>
      <c r="AM217" s="7">
        <f>HV217</f>
        <v>0.9135416666666667</v>
      </c>
      <c r="AN217" s="7">
        <f>IG217</f>
        <v>0.02</v>
      </c>
      <c r="AO217" s="6">
        <v>0</v>
      </c>
      <c r="AP217" s="6"/>
      <c r="AQ217" s="7">
        <f>SUM(AE217:AO217)</f>
        <v>16.34632692982456</v>
      </c>
      <c r="AR217" s="7"/>
      <c r="AS217" s="7"/>
      <c r="AT217" s="6">
        <v>0</v>
      </c>
      <c r="AU217" s="6"/>
      <c r="AV217" s="7">
        <f>AQ217+AT217</f>
        <v>16.34632692982456</v>
      </c>
      <c r="AW217">
        <v>2.2000000000000002E-2</v>
      </c>
      <c r="AX217">
        <v>2.1000000000000001E-2</v>
      </c>
      <c r="AY217" s="8">
        <v>1</v>
      </c>
      <c r="AZ217" s="14">
        <f>AW217-AX217</f>
        <v>1.0000000000000009E-3</v>
      </c>
      <c r="BA217" s="4">
        <f>AW217*AB217-AZ217*AC217</f>
        <v>6.7780000000000005</v>
      </c>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E217">
        <v>0</v>
      </c>
      <c r="CF217">
        <v>0</v>
      </c>
      <c r="CG217">
        <v>0</v>
      </c>
      <c r="CH217">
        <v>0</v>
      </c>
      <c r="CI217" t="s">
        <v>293</v>
      </c>
      <c r="CJ217" t="s">
        <v>294</v>
      </c>
      <c r="CK217">
        <v>1</v>
      </c>
      <c r="CL217">
        <v>1.88</v>
      </c>
      <c r="CM217">
        <f>CK217*CL217</f>
        <v>1.88</v>
      </c>
      <c r="CN217" t="s">
        <v>295</v>
      </c>
      <c r="CO217" s="21" t="s">
        <v>296</v>
      </c>
      <c r="CP217">
        <v>1</v>
      </c>
      <c r="CQ217">
        <v>5.16</v>
      </c>
      <c r="CR217">
        <f>CP217*CQ217</f>
        <v>5.16</v>
      </c>
      <c r="DM217">
        <f>CH217+CM217+CR217+CW217+DB217+DG217+DL217</f>
        <v>7.04</v>
      </c>
      <c r="DN217" s="9">
        <v>1.2500000000000001E-2</v>
      </c>
      <c r="DO217" s="4">
        <f>DM217*DN217</f>
        <v>8.8000000000000009E-2</v>
      </c>
      <c r="DP217" s="4">
        <f>DM217+DO217</f>
        <v>7.1280000000000001</v>
      </c>
      <c r="DQ217" s="4"/>
      <c r="DR217" s="4"/>
      <c r="DS217" s="4"/>
      <c r="DT217" s="4"/>
      <c r="DU217" s="4"/>
      <c r="DV217" s="4"/>
      <c r="DW217" s="4"/>
      <c r="DX217" s="4"/>
      <c r="DY217" s="4"/>
      <c r="DZ217" s="4"/>
      <c r="EA217" s="4"/>
      <c r="EB217" s="4"/>
      <c r="EC217" s="4"/>
      <c r="ED217" s="4"/>
      <c r="EE217" s="4"/>
      <c r="EF217">
        <v>90</v>
      </c>
      <c r="EG217">
        <v>900</v>
      </c>
      <c r="EH217">
        <v>8</v>
      </c>
      <c r="EI217" s="8">
        <v>0.95</v>
      </c>
      <c r="EJ217">
        <v>4</v>
      </c>
      <c r="EK217">
        <v>72</v>
      </c>
      <c r="EL217" s="10">
        <f>ROUND(3600/EK217*EH217*EJ217*EI217,0)</f>
        <v>1520</v>
      </c>
      <c r="EU217" s="4">
        <f>EG217/EL217</f>
        <v>0.59210526315789469</v>
      </c>
      <c r="EV217" s="4"/>
      <c r="EW217" s="4"/>
      <c r="GR217" s="8">
        <v>0.11</v>
      </c>
      <c r="GS217" s="4">
        <f>GR217*(BA217+EU217)</f>
        <v>0.81071157894736845</v>
      </c>
      <c r="GT217" s="9">
        <v>1.2500000000000001E-2</v>
      </c>
      <c r="GU217" s="20">
        <f>GT217*(BA217+EU217)</f>
        <v>9.2126315789473695E-2</v>
      </c>
      <c r="GV217" s="8">
        <v>0.02</v>
      </c>
      <c r="GW217" s="4">
        <f>GV217*EU217</f>
        <v>1.1842105263157893E-2</v>
      </c>
      <c r="GX217" s="4">
        <f>GS217+GU217+GW217</f>
        <v>0.91468000000000005</v>
      </c>
      <c r="GY217" t="s">
        <v>130</v>
      </c>
      <c r="GZ217" t="s">
        <v>130</v>
      </c>
      <c r="HA217" s="4">
        <v>650</v>
      </c>
      <c r="HB217" s="4">
        <v>450</v>
      </c>
      <c r="HC217">
        <v>300</v>
      </c>
      <c r="HD217">
        <v>500</v>
      </c>
      <c r="HE217">
        <v>800</v>
      </c>
      <c r="HF217" s="4">
        <f>ROUNDUP(HE217/HD217,0)</f>
        <v>2</v>
      </c>
      <c r="HG217">
        <v>5</v>
      </c>
      <c r="HH217" s="4">
        <f>HF217*HG217</f>
        <v>10</v>
      </c>
      <c r="HI217">
        <v>650</v>
      </c>
      <c r="HJ217" s="4">
        <f>HH217*HI217</f>
        <v>6500</v>
      </c>
      <c r="HM217" s="4">
        <v>2</v>
      </c>
      <c r="HN217" s="10">
        <f>HM217*12*25*HE217</f>
        <v>480000</v>
      </c>
      <c r="HO217" s="4">
        <f>IF(GY217="carton box",HI217/HD217,HJ217/HN217)</f>
        <v>1.3541666666666667E-2</v>
      </c>
      <c r="HP217" s="4">
        <v>160</v>
      </c>
      <c r="HQ217">
        <v>0</v>
      </c>
      <c r="HR217" s="4">
        <v>0.9</v>
      </c>
      <c r="HS217" s="4">
        <v>1</v>
      </c>
      <c r="HT217" s="4">
        <f>IF(ISERROR(HR217/HS217),0,HR217/HS217)</f>
        <v>0.9</v>
      </c>
      <c r="HU217" s="4"/>
      <c r="HV217" s="4">
        <f>HO217+HT217</f>
        <v>0.9135416666666667</v>
      </c>
      <c r="HW217" s="4"/>
      <c r="HX217" s="4">
        <v>5016</v>
      </c>
      <c r="HY217" s="4">
        <v>1976</v>
      </c>
      <c r="HZ217" s="4">
        <v>2280</v>
      </c>
      <c r="IA217" s="4">
        <v>7</v>
      </c>
      <c r="IB217" s="4">
        <v>4</v>
      </c>
      <c r="IC217" s="4">
        <v>7</v>
      </c>
      <c r="ID217" s="8">
        <v>1</v>
      </c>
      <c r="IE217" s="4">
        <f>ROUND(PRODUCT(IA217:ID217),0)-146</f>
        <v>50</v>
      </c>
      <c r="IF217" s="4">
        <v>500</v>
      </c>
      <c r="IG217" s="4">
        <f>IF217/(IE217*HD217)</f>
        <v>0.02</v>
      </c>
      <c r="IH217" s="4"/>
    </row>
    <row r="218" spans="1:242">
      <c r="A218">
        <v>26</v>
      </c>
      <c r="B218" t="s">
        <v>468</v>
      </c>
      <c r="C218" t="s">
        <v>1851</v>
      </c>
      <c r="D218" s="28" t="s">
        <v>139</v>
      </c>
      <c r="E218" s="27" t="s">
        <v>140</v>
      </c>
      <c r="F218" s="5" t="s">
        <v>2182</v>
      </c>
      <c r="G218" s="27" t="s">
        <v>90</v>
      </c>
      <c r="H218" s="27"/>
      <c r="I218" s="27" t="s">
        <v>121</v>
      </c>
      <c r="J218" s="28">
        <v>21677</v>
      </c>
      <c r="K218" s="27" t="s">
        <v>228</v>
      </c>
      <c r="L218" s="28"/>
      <c r="M218" s="28"/>
      <c r="N218" s="28" t="s">
        <v>1844</v>
      </c>
      <c r="O218" s="28" t="s">
        <v>1038</v>
      </c>
      <c r="P218" s="331">
        <v>44274</v>
      </c>
      <c r="Q218" s="28" t="s">
        <v>1035</v>
      </c>
      <c r="R218" s="28" t="s">
        <v>1769</v>
      </c>
      <c r="S218" s="27"/>
      <c r="T218" s="27"/>
      <c r="U218" s="27"/>
      <c r="V218" s="29" t="s">
        <v>79</v>
      </c>
      <c r="W218" s="30"/>
      <c r="X218" s="30"/>
      <c r="Y218" s="30"/>
      <c r="Z218" s="30"/>
      <c r="AA218" s="86" t="s">
        <v>415</v>
      </c>
      <c r="AB218" s="66">
        <v>285</v>
      </c>
      <c r="AC218">
        <f>AB218-5</f>
        <v>280</v>
      </c>
      <c r="AE218" s="7">
        <f>BA218</f>
        <v>2.5649999999999999</v>
      </c>
      <c r="AF218" s="7"/>
      <c r="AG218" s="7">
        <f>EU218</f>
        <v>3.4330261881668283</v>
      </c>
      <c r="AH218" s="7">
        <f>DM218</f>
        <v>0</v>
      </c>
      <c r="AI218" s="7">
        <f>DO218</f>
        <v>0</v>
      </c>
      <c r="AJ218" s="7">
        <f>GW218</f>
        <v>4.9660523763336566E-2</v>
      </c>
      <c r="AK218" s="7">
        <f>GU218</f>
        <v>0.12</v>
      </c>
      <c r="AL218" s="7">
        <f>GS218</f>
        <v>0.65978288069835112</v>
      </c>
      <c r="AM218" s="7">
        <f>HV218</f>
        <v>2.1666666666666667E-2</v>
      </c>
      <c r="AN218" s="7">
        <f>IG218</f>
        <v>6.5789473684210523E-3</v>
      </c>
      <c r="AO218" s="7">
        <v>0</v>
      </c>
      <c r="AP218" s="7"/>
      <c r="AQ218" s="7">
        <f>SUM(AE218:AO218)</f>
        <v>6.8557152066636045</v>
      </c>
      <c r="AR218" s="7"/>
      <c r="AS218" s="7"/>
      <c r="AT218" s="7">
        <v>0</v>
      </c>
      <c r="AU218" s="7"/>
      <c r="AV218" s="7">
        <f>AQ218+AT218+AU218</f>
        <v>6.8557152066636045</v>
      </c>
      <c r="AW218" s="4">
        <v>8.9999999999999993E-3</v>
      </c>
      <c r="AX218" s="4">
        <v>6.0000000000000001E-3</v>
      </c>
      <c r="AY218" s="8">
        <v>0</v>
      </c>
      <c r="AZ218" s="4">
        <f>AW218-AX218</f>
        <v>2.9999999999999992E-3</v>
      </c>
      <c r="BA218" s="4">
        <f>AW218*AB218</f>
        <v>2.5649999999999999</v>
      </c>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7"/>
      <c r="CE218" s="4">
        <v>0</v>
      </c>
      <c r="CF218" s="4">
        <v>0</v>
      </c>
      <c r="CG218" s="4">
        <v>0</v>
      </c>
      <c r="CH218">
        <f>CF218*CG218</f>
        <v>0</v>
      </c>
      <c r="CK218">
        <v>0</v>
      </c>
      <c r="CL218">
        <v>0</v>
      </c>
      <c r="CM218">
        <f>CK218*CL218</f>
        <v>0</v>
      </c>
      <c r="CP218">
        <v>0</v>
      </c>
      <c r="CQ218">
        <v>0</v>
      </c>
      <c r="CR218">
        <f>CP218*CQ218</f>
        <v>0</v>
      </c>
      <c r="CU218">
        <v>0</v>
      </c>
      <c r="CV218">
        <v>0</v>
      </c>
      <c r="CW218">
        <f>CU218*CV218</f>
        <v>0</v>
      </c>
      <c r="DM218" s="4">
        <f>CH218+CM218+CR218+CW218+DB218+DG218+DL218</f>
        <v>0</v>
      </c>
      <c r="DN218" s="9">
        <v>1.2500000000000001E-2</v>
      </c>
      <c r="DO218" s="4">
        <f>DN218*(DM218-CG218)</f>
        <v>0</v>
      </c>
      <c r="DP218" s="4">
        <f>DM218+DO218</f>
        <v>0</v>
      </c>
      <c r="DQ218" s="4"/>
      <c r="DR218" s="4"/>
      <c r="DS218" s="4"/>
      <c r="DT218" s="4"/>
      <c r="DU218" s="4"/>
      <c r="DV218" s="4"/>
      <c r="DW218" s="4"/>
      <c r="DX218" s="4"/>
      <c r="DY218" s="4"/>
      <c r="DZ218" s="4"/>
      <c r="EA218" s="4"/>
      <c r="EB218" s="4"/>
      <c r="EC218" s="4"/>
      <c r="ED218" s="4"/>
      <c r="EE218" s="4"/>
      <c r="EF218">
        <v>160</v>
      </c>
      <c r="EG218">
        <v>2560</v>
      </c>
      <c r="EH218">
        <v>8</v>
      </c>
      <c r="EI218" s="8">
        <v>0.85</v>
      </c>
      <c r="EJ218">
        <v>4</v>
      </c>
      <c r="EK218">
        <v>95</v>
      </c>
      <c r="EL218" s="10">
        <f>ROUND(3600/EK218*EH218*EJ218*EI218,0)</f>
        <v>1031</v>
      </c>
      <c r="EP218">
        <v>0.8</v>
      </c>
      <c r="EQ218">
        <v>0.15</v>
      </c>
      <c r="EU218" s="4">
        <f>EG218/EL218+EM218+EX218+EP218+EQ218</f>
        <v>3.4330261881668283</v>
      </c>
      <c r="EV218" s="4"/>
      <c r="EW218" s="4"/>
      <c r="GR218" s="8">
        <v>0.11</v>
      </c>
      <c r="GS218" s="4">
        <f>GR218*(BA218+EU218)</f>
        <v>0.65978288069835112</v>
      </c>
      <c r="GT218" s="9">
        <v>0.02</v>
      </c>
      <c r="GU218" s="4">
        <v>0.12</v>
      </c>
      <c r="GV218" s="8">
        <v>0.02</v>
      </c>
      <c r="GW218" s="4">
        <f>GV218*(EU218-EP218-EQ218)</f>
        <v>4.9660523763336566E-2</v>
      </c>
      <c r="GX218" s="4">
        <f>GS218+GU218+GW218</f>
        <v>0.82944340446168763</v>
      </c>
      <c r="GY218" t="s">
        <v>43</v>
      </c>
      <c r="GZ218" t="s">
        <v>87</v>
      </c>
      <c r="HA218" s="4">
        <v>650</v>
      </c>
      <c r="HB218" s="4">
        <v>450</v>
      </c>
      <c r="HC218">
        <v>315</v>
      </c>
      <c r="HD218">
        <v>400</v>
      </c>
      <c r="HE218">
        <v>600</v>
      </c>
      <c r="HF218" s="4">
        <f>ROUNDUP(HE218/HD218,0)</f>
        <v>2</v>
      </c>
      <c r="HG218">
        <v>6</v>
      </c>
      <c r="HH218" s="4">
        <f>HF218*HG218</f>
        <v>12</v>
      </c>
      <c r="HI218">
        <v>650</v>
      </c>
      <c r="HJ218" s="4">
        <f>HH218*HI218</f>
        <v>7800</v>
      </c>
      <c r="HM218" s="4">
        <v>2</v>
      </c>
      <c r="HN218" s="10">
        <f>HM218*12*25*HE218</f>
        <v>360000</v>
      </c>
      <c r="HO218" s="4">
        <f>IF(GY218="carton box",HI218/HD218,HJ218/HN218)</f>
        <v>2.1666666666666667E-2</v>
      </c>
      <c r="HP218" s="4">
        <v>160</v>
      </c>
      <c r="HQ218">
        <v>0</v>
      </c>
      <c r="HR218" s="4">
        <f>HP218*HQ218</f>
        <v>0</v>
      </c>
      <c r="HS218" s="4">
        <v>0</v>
      </c>
      <c r="HT218" s="4">
        <f>IF(ISERROR(HR218/HS218),0,HR218/HS218)</f>
        <v>0</v>
      </c>
      <c r="HU218" s="4"/>
      <c r="HV218" s="4">
        <f>HO218+HT218</f>
        <v>2.1666666666666667E-2</v>
      </c>
      <c r="HW218" s="4"/>
      <c r="HX218" s="4">
        <v>5016</v>
      </c>
      <c r="HY218" s="4">
        <v>1976</v>
      </c>
      <c r="HZ218" s="4">
        <v>2280</v>
      </c>
      <c r="IA218" s="4">
        <v>7</v>
      </c>
      <c r="IB218" s="4">
        <v>4</v>
      </c>
      <c r="IC218" s="4">
        <v>7</v>
      </c>
      <c r="ID218" s="8">
        <v>1</v>
      </c>
      <c r="IE218" s="4">
        <v>190</v>
      </c>
      <c r="IF218" s="4">
        <v>500</v>
      </c>
      <c r="IG218" s="4">
        <f>IF218/(IE218*HD218)</f>
        <v>6.5789473684210523E-3</v>
      </c>
      <c r="IH218" s="4"/>
    </row>
    <row r="219" spans="1:242">
      <c r="A219">
        <v>27</v>
      </c>
      <c r="B219" t="s">
        <v>468</v>
      </c>
      <c r="C219" s="13" t="s">
        <v>1852</v>
      </c>
      <c r="D219" s="28" t="s">
        <v>141</v>
      </c>
      <c r="E219" s="27" t="s">
        <v>142</v>
      </c>
      <c r="F219" s="5" t="s">
        <v>2182</v>
      </c>
      <c r="G219" s="27" t="s">
        <v>90</v>
      </c>
      <c r="H219" s="27"/>
      <c r="I219" s="27" t="s">
        <v>121</v>
      </c>
      <c r="J219" s="28">
        <v>29010</v>
      </c>
      <c r="K219" s="27" t="s">
        <v>229</v>
      </c>
      <c r="L219" s="28"/>
      <c r="M219" s="28"/>
      <c r="N219" s="28"/>
      <c r="O219" s="28"/>
      <c r="P219" s="28"/>
      <c r="Q219" s="28" t="s">
        <v>1035</v>
      </c>
      <c r="R219" s="28" t="s">
        <v>1194</v>
      </c>
      <c r="S219" s="27"/>
      <c r="T219" s="27"/>
      <c r="U219" s="27"/>
      <c r="V219" s="29" t="s">
        <v>79</v>
      </c>
      <c r="W219" s="5" t="s">
        <v>301</v>
      </c>
      <c r="X219" s="5"/>
      <c r="Y219" s="5"/>
      <c r="Z219" s="5"/>
      <c r="AA219" s="84" t="s">
        <v>299</v>
      </c>
      <c r="AB219" s="340">
        <v>132.43</v>
      </c>
      <c r="AC219" s="1">
        <f>AB219-5</f>
        <v>127.43</v>
      </c>
      <c r="AD219" s="48" t="s">
        <v>300</v>
      </c>
      <c r="AE219" s="7">
        <f>BA219</f>
        <v>8.74038</v>
      </c>
      <c r="AF219" s="7"/>
      <c r="AG219" s="7">
        <f>EU219+EM219</f>
        <v>1.8090452261306533</v>
      </c>
      <c r="AH219" s="7">
        <f>DM219</f>
        <v>0</v>
      </c>
      <c r="AI219" s="7">
        <f>DO219</f>
        <v>0</v>
      </c>
      <c r="AJ219" s="7">
        <f>GW219</f>
        <v>3.6180904522613071E-2</v>
      </c>
      <c r="AK219" s="7">
        <f>GU219</f>
        <v>0.13186781532663316</v>
      </c>
      <c r="AL219" s="7">
        <f>GS219</f>
        <v>1.1604367748743718</v>
      </c>
      <c r="AM219" s="7">
        <f>HV219</f>
        <v>0.10416666666666667</v>
      </c>
      <c r="AN219" s="7">
        <f>IG219</f>
        <v>3.2150205761316872E-2</v>
      </c>
      <c r="AO219" s="6">
        <v>0</v>
      </c>
      <c r="AP219" s="6"/>
      <c r="AQ219" s="7">
        <f>SUM(AE219:AO219)</f>
        <v>12.014227593282254</v>
      </c>
      <c r="AR219" s="7"/>
      <c r="AS219" s="7"/>
      <c r="AT219" s="6">
        <v>0</v>
      </c>
      <c r="AU219" s="7">
        <f>AQ219*2%</f>
        <v>0.24028455186564507</v>
      </c>
      <c r="AV219" s="7">
        <f>AQ219+AT219+AU219</f>
        <v>12.254512145147899</v>
      </c>
      <c r="AW219" s="17">
        <v>6.6000000000000003E-2</v>
      </c>
      <c r="AX219">
        <v>6.6000000000000003E-2</v>
      </c>
      <c r="AY219" s="8">
        <v>1</v>
      </c>
      <c r="AZ219" s="14">
        <f>AW219-AX219</f>
        <v>0</v>
      </c>
      <c r="BA219" s="4">
        <f>AW219*AB219-AZ219*AC219</f>
        <v>8.74038</v>
      </c>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E219">
        <v>0</v>
      </c>
      <c r="CF219">
        <v>0</v>
      </c>
      <c r="CG219">
        <v>0</v>
      </c>
      <c r="CH219">
        <f>CF219*CG219</f>
        <v>0</v>
      </c>
      <c r="DM219">
        <f>CH219+CM219+CR219+CW219+DB219+DG219+DL219</f>
        <v>0</v>
      </c>
      <c r="DN219" s="9">
        <v>1.2500000000000001E-2</v>
      </c>
      <c r="DO219" s="4">
        <f>DM219*DN219</f>
        <v>0</v>
      </c>
      <c r="DP219" s="4">
        <f>CG219*CF219</f>
        <v>0</v>
      </c>
      <c r="DQ219" s="4"/>
      <c r="DR219" s="4"/>
      <c r="DS219" s="4"/>
      <c r="DT219" s="4"/>
      <c r="DU219" s="4"/>
      <c r="DV219" s="4"/>
      <c r="DW219" s="4"/>
      <c r="DX219" s="4"/>
      <c r="DY219" s="4"/>
      <c r="DZ219" s="4"/>
      <c r="EA219" s="4"/>
      <c r="EB219" s="4"/>
      <c r="EC219" s="4"/>
      <c r="ED219" s="4"/>
      <c r="EE219" s="4"/>
      <c r="EF219">
        <v>180</v>
      </c>
      <c r="EG219">
        <v>1800</v>
      </c>
      <c r="EH219">
        <v>8</v>
      </c>
      <c r="EI219" s="8">
        <v>0.95</v>
      </c>
      <c r="EJ219">
        <v>2</v>
      </c>
      <c r="EK219">
        <v>55</v>
      </c>
      <c r="EL219" s="10">
        <f>ROUND(3600/EK219*EH219*EJ219*EI219,0)</f>
        <v>995</v>
      </c>
      <c r="EU219" s="4">
        <f>EG219/EL219</f>
        <v>1.8090452261306533</v>
      </c>
      <c r="EV219" s="4"/>
      <c r="EW219" s="4"/>
      <c r="GR219" s="8">
        <v>0.11</v>
      </c>
      <c r="GS219" s="4">
        <f>GR219*(BA219+EU219)</f>
        <v>1.1604367748743718</v>
      </c>
      <c r="GT219" s="9">
        <v>1.2500000000000001E-2</v>
      </c>
      <c r="GU219" s="20">
        <f>GT219*(BA219+EU219)</f>
        <v>0.13186781532663316</v>
      </c>
      <c r="GV219" s="8">
        <v>0.02</v>
      </c>
      <c r="GW219" s="4">
        <f>GV219*EU219</f>
        <v>3.6180904522613071E-2</v>
      </c>
      <c r="GX219" s="4">
        <f>GS219+GU219+GW219</f>
        <v>1.3284854947236182</v>
      </c>
      <c r="GY219" t="s">
        <v>130</v>
      </c>
      <c r="GZ219" t="s">
        <v>130</v>
      </c>
      <c r="HA219" s="4">
        <v>650</v>
      </c>
      <c r="HB219" s="4">
        <v>450</v>
      </c>
      <c r="HC219">
        <v>315</v>
      </c>
      <c r="HD219">
        <v>108</v>
      </c>
      <c r="HE219">
        <v>800</v>
      </c>
      <c r="HF219" s="4">
        <f>ROUNDUP(HE219/HD219,0)</f>
        <v>8</v>
      </c>
      <c r="HG219">
        <v>5</v>
      </c>
      <c r="HH219" s="4">
        <f>HF219*HG219</f>
        <v>40</v>
      </c>
      <c r="HI219">
        <v>650</v>
      </c>
      <c r="HJ219" s="4">
        <f>HH219*HI219</f>
        <v>26000</v>
      </c>
      <c r="HM219" s="4">
        <v>2</v>
      </c>
      <c r="HN219" s="10">
        <f>HM219*12*25*HE219</f>
        <v>480000</v>
      </c>
      <c r="HO219" s="4">
        <f>IF(GY219="carton box",HI219/HD219,HJ219/HN219)</f>
        <v>5.4166666666666669E-2</v>
      </c>
      <c r="HP219" s="4">
        <v>160</v>
      </c>
      <c r="HQ219">
        <v>0</v>
      </c>
      <c r="HR219" s="4">
        <v>0.05</v>
      </c>
      <c r="HS219" s="4">
        <v>1</v>
      </c>
      <c r="HT219" s="4">
        <f>IF(ISERROR(HR219/HS219),0,HR219/HS219)</f>
        <v>0.05</v>
      </c>
      <c r="HU219" s="4"/>
      <c r="HV219" s="4">
        <f>HO219+HT219</f>
        <v>0.10416666666666667</v>
      </c>
      <c r="HW219" s="4"/>
      <c r="HX219" s="4">
        <v>4200</v>
      </c>
      <c r="HY219" s="4">
        <v>1900</v>
      </c>
      <c r="HZ219" s="4">
        <v>1975</v>
      </c>
      <c r="IA219" s="4">
        <v>6</v>
      </c>
      <c r="IB219" s="4">
        <v>4</v>
      </c>
      <c r="IC219" s="4">
        <v>6</v>
      </c>
      <c r="ID219" s="8">
        <v>1</v>
      </c>
      <c r="IE219" s="4">
        <f>ROUND(PRODUCT(IA219:ID219),0)</f>
        <v>144</v>
      </c>
      <c r="IF219" s="4">
        <v>500</v>
      </c>
      <c r="IG219" s="4">
        <f>IF219/(IE219*HD219)</f>
        <v>3.2150205761316872E-2</v>
      </c>
      <c r="IH219" s="4"/>
    </row>
    <row r="220" spans="1:242">
      <c r="A220">
        <v>28</v>
      </c>
      <c r="B220" t="s">
        <v>468</v>
      </c>
      <c r="C220" t="s">
        <v>1853</v>
      </c>
      <c r="D220" s="28" t="s">
        <v>91</v>
      </c>
      <c r="E220" s="27" t="s">
        <v>92</v>
      </c>
      <c r="F220" s="5" t="s">
        <v>2182</v>
      </c>
      <c r="G220" s="27" t="s">
        <v>90</v>
      </c>
      <c r="H220" s="27"/>
      <c r="I220" s="27" t="s">
        <v>121</v>
      </c>
      <c r="J220" s="28">
        <v>29010</v>
      </c>
      <c r="K220" s="27" t="s">
        <v>229</v>
      </c>
      <c r="L220" s="28"/>
      <c r="M220" s="28"/>
      <c r="N220" s="28"/>
      <c r="O220" s="28"/>
      <c r="P220" s="28"/>
      <c r="Q220" s="28" t="s">
        <v>1035</v>
      </c>
      <c r="R220" s="28" t="s">
        <v>1769</v>
      </c>
      <c r="S220" s="27"/>
      <c r="T220" s="27"/>
      <c r="U220" s="27"/>
      <c r="V220" s="29" t="s">
        <v>79</v>
      </c>
      <c r="W220" s="5"/>
      <c r="X220" s="5"/>
      <c r="Y220" s="5"/>
      <c r="Z220" s="5"/>
      <c r="AA220" s="87" t="s">
        <v>302</v>
      </c>
      <c r="AB220" s="340">
        <v>145.69999999999999</v>
      </c>
      <c r="AC220">
        <v>20</v>
      </c>
      <c r="AD220" s="49" t="s">
        <v>303</v>
      </c>
      <c r="AE220" s="7">
        <f>BA220</f>
        <v>0.65821999999999992</v>
      </c>
      <c r="AF220" s="7"/>
      <c r="AG220" s="7">
        <f>EU220+EM220</f>
        <v>0.80906432748538004</v>
      </c>
      <c r="AH220" s="7">
        <f>DM220</f>
        <v>0</v>
      </c>
      <c r="AI220" s="7">
        <f>DO220</f>
        <v>0</v>
      </c>
      <c r="AJ220" s="7">
        <f>GW220</f>
        <v>1.4181286549707602E-2</v>
      </c>
      <c r="AK220" s="7">
        <f>GU220</f>
        <v>2.9629312280701751E-2</v>
      </c>
      <c r="AL220" s="7">
        <f>GS220</f>
        <v>0.22962717017543854</v>
      </c>
      <c r="AM220" s="7">
        <f>HV220</f>
        <v>1.992578125E-2</v>
      </c>
      <c r="AN220" s="7">
        <f>IG220</f>
        <v>3.0229509803921566E-2</v>
      </c>
      <c r="AO220" s="6">
        <v>0</v>
      </c>
      <c r="AP220" s="6"/>
      <c r="AQ220" s="7">
        <f>SUM(AE220:AO220)</f>
        <v>1.7908773875451494</v>
      </c>
      <c r="AR220" s="7"/>
      <c r="AS220" s="7"/>
      <c r="AT220" s="6">
        <v>0</v>
      </c>
      <c r="AU220" s="6">
        <v>0</v>
      </c>
      <c r="AV220" s="7">
        <f>AQ220+AT220+AU220</f>
        <v>1.7908773875451494</v>
      </c>
      <c r="AW220" s="33">
        <v>4.5999999999999999E-3</v>
      </c>
      <c r="AX220" s="34">
        <v>4.0000000000000001E-3</v>
      </c>
      <c r="AY220" s="8">
        <v>1</v>
      </c>
      <c r="AZ220">
        <f>(AW220-AX220)*AY220</f>
        <v>5.9999999999999984E-4</v>
      </c>
      <c r="BA220" s="4">
        <f>AW220*AB220-AZ220*AC220</f>
        <v>0.65821999999999992</v>
      </c>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E220">
        <v>0</v>
      </c>
      <c r="CF220">
        <v>0</v>
      </c>
      <c r="CG220">
        <v>0</v>
      </c>
      <c r="CH220">
        <f>CF220*CG220</f>
        <v>0</v>
      </c>
      <c r="DM220">
        <f>CH220+CM220+CR220+CW220+DB220+DG220+DL220</f>
        <v>0</v>
      </c>
      <c r="DN220" s="9">
        <v>1.2500000000000001E-2</v>
      </c>
      <c r="DO220" s="4">
        <f>DM220*DN220</f>
        <v>0</v>
      </c>
      <c r="DP220" s="4">
        <f>CG220*CF220</f>
        <v>0</v>
      </c>
      <c r="DQ220" s="4"/>
      <c r="DR220" s="4"/>
      <c r="DS220" s="4"/>
      <c r="DT220" s="4"/>
      <c r="DU220" s="4"/>
      <c r="DV220" s="4"/>
      <c r="DW220" s="4"/>
      <c r="DX220" s="4"/>
      <c r="DY220" s="4"/>
      <c r="DZ220" s="4"/>
      <c r="EA220" s="4"/>
      <c r="EB220" s="4"/>
      <c r="EC220" s="4"/>
      <c r="ED220" s="4"/>
      <c r="EE220" s="4"/>
      <c r="EF220">
        <v>80</v>
      </c>
      <c r="EG220" s="35">
        <v>2425</v>
      </c>
      <c r="EH220">
        <v>7.25</v>
      </c>
      <c r="EI220" s="8">
        <v>0.95</v>
      </c>
      <c r="EJ220">
        <v>8</v>
      </c>
      <c r="EK220">
        <v>58</v>
      </c>
      <c r="EL220" s="10">
        <f>ROUND(3600/EK220*EH220*EJ220*EI220,0)</f>
        <v>3420</v>
      </c>
      <c r="EM220" s="4">
        <v>0.1</v>
      </c>
      <c r="EN220" s="4"/>
      <c r="EO220" s="4"/>
      <c r="EP220" s="4"/>
      <c r="EQ220" s="4"/>
      <c r="ER220" s="4"/>
      <c r="ES220" s="4"/>
      <c r="ET220" s="4"/>
      <c r="EU220" s="4">
        <f>EG220/EL220</f>
        <v>0.70906432748538006</v>
      </c>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36">
        <v>0.155</v>
      </c>
      <c r="GS220" s="4">
        <f>GR220*(BA220+EU220+EM220+GW220)</f>
        <v>0.22962717017543854</v>
      </c>
      <c r="GT220" s="9">
        <v>0.02</v>
      </c>
      <c r="GU220" s="4">
        <f>GT220*(BA220+EU220+EM220+GW220)</f>
        <v>2.9629312280701751E-2</v>
      </c>
      <c r="GV220" s="8">
        <v>0.02</v>
      </c>
      <c r="GW220" s="4">
        <f>GV220*EU220</f>
        <v>1.4181286549707602E-2</v>
      </c>
      <c r="GX220" s="4">
        <f>GS220+GU220+GW220</f>
        <v>0.27343776900584793</v>
      </c>
      <c r="GY220" t="s">
        <v>130</v>
      </c>
      <c r="GZ220" t="s">
        <v>130</v>
      </c>
      <c r="HA220" s="4"/>
      <c r="HB220" s="4"/>
      <c r="HD220">
        <v>1000</v>
      </c>
      <c r="HE220">
        <v>600</v>
      </c>
      <c r="HF220" s="4">
        <f>ROUNDUP(HE220/HD220,0)</f>
        <v>1</v>
      </c>
      <c r="HG220">
        <v>5</v>
      </c>
      <c r="HH220" s="4">
        <f>HF220*HG220</f>
        <v>5</v>
      </c>
      <c r="HI220">
        <v>731.25</v>
      </c>
      <c r="HJ220" s="4">
        <f>HH220*HI220</f>
        <v>3656.25</v>
      </c>
      <c r="HK220" s="9">
        <v>0.125</v>
      </c>
      <c r="HL220" s="4">
        <f>(HK220+1)*HJ220</f>
        <v>4113.28125</v>
      </c>
      <c r="HM220" s="4">
        <v>2</v>
      </c>
      <c r="HN220" s="10">
        <f>HM220*12*25*HE220</f>
        <v>360000</v>
      </c>
      <c r="HO220" s="4">
        <f>IF(GY220="carton box",HI220/HD220,HL220/HN220)</f>
        <v>1.1425781249999999E-2</v>
      </c>
      <c r="HP220" s="4"/>
      <c r="HR220" s="4">
        <v>0.85</v>
      </c>
      <c r="HS220" s="4">
        <v>100</v>
      </c>
      <c r="HT220" s="4">
        <f>IF(ISERROR(HR220/HS220),0,HR220/HS220)</f>
        <v>8.5000000000000006E-3</v>
      </c>
      <c r="HU220" s="4"/>
      <c r="HV220" s="4">
        <f>HO220+HT220</f>
        <v>1.992578125E-2</v>
      </c>
      <c r="HW220" s="4"/>
      <c r="HX220" s="4"/>
      <c r="HY220" s="4"/>
      <c r="HZ220" s="4"/>
      <c r="IA220" s="4"/>
      <c r="IB220" s="4"/>
      <c r="IC220" s="4"/>
      <c r="ID220" s="8">
        <v>1</v>
      </c>
      <c r="IE220" s="4">
        <v>204</v>
      </c>
      <c r="IF220" s="4">
        <v>6166.82</v>
      </c>
      <c r="IG220" s="4">
        <f>IF220/(IE220*HD220)</f>
        <v>3.0229509803921566E-2</v>
      </c>
      <c r="IH220" s="4"/>
    </row>
    <row r="221" spans="1:242" ht="25.5">
      <c r="A221">
        <v>30</v>
      </c>
      <c r="B221" t="s">
        <v>468</v>
      </c>
      <c r="C221" t="s">
        <v>1854</v>
      </c>
      <c r="D221" s="28" t="s">
        <v>91</v>
      </c>
      <c r="E221" s="27" t="s">
        <v>92</v>
      </c>
      <c r="F221" s="5" t="s">
        <v>2182</v>
      </c>
      <c r="G221" s="27" t="s">
        <v>90</v>
      </c>
      <c r="H221" s="27"/>
      <c r="I221" s="27" t="s">
        <v>226</v>
      </c>
      <c r="J221" s="28">
        <v>29164</v>
      </c>
      <c r="K221" s="27" t="s">
        <v>229</v>
      </c>
      <c r="L221" s="28"/>
      <c r="M221" s="28"/>
      <c r="N221" s="28"/>
      <c r="O221" s="28"/>
      <c r="P221" s="28"/>
      <c r="Q221" s="28" t="s">
        <v>1035</v>
      </c>
      <c r="R221" s="28" t="s">
        <v>1769</v>
      </c>
      <c r="S221" s="27"/>
      <c r="T221" s="27"/>
      <c r="U221" s="27"/>
      <c r="V221" s="29" t="s">
        <v>79</v>
      </c>
      <c r="W221" s="29" t="s">
        <v>316</v>
      </c>
      <c r="X221" s="29"/>
      <c r="Y221" s="29"/>
      <c r="Z221" s="29"/>
      <c r="AA221" s="87" t="s">
        <v>302</v>
      </c>
      <c r="AB221" s="340">
        <v>161.19999999999999</v>
      </c>
      <c r="AC221">
        <v>20</v>
      </c>
      <c r="AD221" s="49" t="s">
        <v>314</v>
      </c>
      <c r="AE221" s="7">
        <f>BA221</f>
        <v>0.97920399999999996</v>
      </c>
      <c r="AF221" s="7"/>
      <c r="AG221" s="7">
        <f>EU221+EM221</f>
        <v>0.80906432748538004</v>
      </c>
      <c r="AH221" s="7">
        <f>DM221</f>
        <v>0</v>
      </c>
      <c r="AI221" s="7">
        <f>DO221</f>
        <v>0</v>
      </c>
      <c r="AJ221" s="7">
        <f>GW221</f>
        <v>1.4181286549707602E-2</v>
      </c>
      <c r="AK221" s="7">
        <f>GU221</f>
        <v>3.6048992280701755E-2</v>
      </c>
      <c r="AL221" s="7">
        <f>GS221</f>
        <v>0.27937969017543857</v>
      </c>
      <c r="AM221" s="7">
        <f>HV221</f>
        <v>1.992578125E-2</v>
      </c>
      <c r="AN221" s="7">
        <f>IG221</f>
        <v>5.1470588235294117E-3</v>
      </c>
      <c r="AO221" s="6">
        <v>0</v>
      </c>
      <c r="AP221" s="6"/>
      <c r="AQ221" s="7">
        <f>SUM(AE221:AO221)</f>
        <v>2.1429511365647573</v>
      </c>
      <c r="AR221" s="7"/>
      <c r="AS221" s="7"/>
      <c r="AT221" s="6">
        <v>0</v>
      </c>
      <c r="AU221" s="6"/>
      <c r="AV221" s="7">
        <f>AQ221+AT221</f>
        <v>2.1429511365647573</v>
      </c>
      <c r="AW221" s="17">
        <v>6.1700000000000001E-3</v>
      </c>
      <c r="AX221" s="2">
        <v>5.4000000000000003E-3</v>
      </c>
      <c r="AY221" s="8">
        <v>1</v>
      </c>
      <c r="AZ221">
        <f>(AW221-AX221)*AY221</f>
        <v>7.6999999999999985E-4</v>
      </c>
      <c r="BA221" s="4">
        <f>AW221*AB221-AZ221*AC221</f>
        <v>0.97920399999999996</v>
      </c>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E221">
        <v>0</v>
      </c>
      <c r="CF221">
        <v>0</v>
      </c>
      <c r="CG221">
        <v>0</v>
      </c>
      <c r="CH221">
        <f>CF221*CG221</f>
        <v>0</v>
      </c>
      <c r="DM221">
        <f>CH221+CM221+CR221+CW221+DB221+DG221+DL221</f>
        <v>0</v>
      </c>
      <c r="DN221" s="9">
        <v>1.2500000000000001E-2</v>
      </c>
      <c r="DO221" s="4">
        <f>DM221*DN221</f>
        <v>0</v>
      </c>
      <c r="DP221" s="4">
        <f>CG221*CF221</f>
        <v>0</v>
      </c>
      <c r="DQ221" s="4"/>
      <c r="DR221" s="4"/>
      <c r="DS221" s="4"/>
      <c r="DT221" s="4"/>
      <c r="DU221" s="4"/>
      <c r="DV221" s="4"/>
      <c r="DW221" s="4"/>
      <c r="DX221" s="4"/>
      <c r="DY221" s="4"/>
      <c r="DZ221" s="4"/>
      <c r="EA221" s="4"/>
      <c r="EB221" s="4"/>
      <c r="EC221" s="4"/>
      <c r="ED221" s="4"/>
      <c r="EE221" s="4"/>
      <c r="EF221">
        <v>80</v>
      </c>
      <c r="EG221" s="35">
        <v>2425</v>
      </c>
      <c r="EH221">
        <v>7.25</v>
      </c>
      <c r="EI221" s="8">
        <v>0.95</v>
      </c>
      <c r="EJ221">
        <v>8</v>
      </c>
      <c r="EK221">
        <v>58</v>
      </c>
      <c r="EL221" s="10">
        <f>ROUND(3600/EK221*EH221*EJ221*EI221,0)</f>
        <v>3420</v>
      </c>
      <c r="EM221" s="4">
        <v>0.1</v>
      </c>
      <c r="EN221" s="4"/>
      <c r="EO221" s="4"/>
      <c r="EP221" s="4"/>
      <c r="EQ221" s="4"/>
      <c r="ER221" s="4"/>
      <c r="ES221" s="4"/>
      <c r="ET221" s="4"/>
      <c r="EU221" s="4">
        <f>EG221/EL221</f>
        <v>0.70906432748538006</v>
      </c>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36">
        <v>0.155</v>
      </c>
      <c r="GS221" s="4">
        <f>GR221*(BA221+EU221+EM221+GW221)</f>
        <v>0.27937969017543857</v>
      </c>
      <c r="GT221" s="9">
        <v>0.02</v>
      </c>
      <c r="GU221" s="4">
        <f>GT221*(BA221+EU221+EM221+GW221)</f>
        <v>3.6048992280701755E-2</v>
      </c>
      <c r="GV221" s="8">
        <v>0.02</v>
      </c>
      <c r="GW221" s="4">
        <f>GV221*EU221</f>
        <v>1.4181286549707602E-2</v>
      </c>
      <c r="GX221" s="4">
        <f>GS221+GU221+GW221</f>
        <v>0.32960996900584794</v>
      </c>
      <c r="GY221" t="s">
        <v>130</v>
      </c>
      <c r="GZ221" t="s">
        <v>130</v>
      </c>
      <c r="HA221" s="4"/>
      <c r="HB221" s="4"/>
      <c r="HD221">
        <v>1000</v>
      </c>
      <c r="HE221">
        <v>600</v>
      </c>
      <c r="HF221" s="4">
        <f>ROUNDUP(HE221/HD221,0)</f>
        <v>1</v>
      </c>
      <c r="HG221">
        <v>5</v>
      </c>
      <c r="HH221" s="4">
        <f>HF221*HG221</f>
        <v>5</v>
      </c>
      <c r="HI221">
        <v>731.25</v>
      </c>
      <c r="HJ221" s="4">
        <f>HH221*HI221</f>
        <v>3656.25</v>
      </c>
      <c r="HK221" s="9">
        <v>0.125</v>
      </c>
      <c r="HL221" s="4">
        <f>(HK221+1)*HJ221</f>
        <v>4113.28125</v>
      </c>
      <c r="HM221" s="4">
        <v>2</v>
      </c>
      <c r="HN221" s="10">
        <f>HM221*12*25*HE221</f>
        <v>360000</v>
      </c>
      <c r="HO221" s="4">
        <f>IF(GY221="carton box",HI221/HD221,HL221/HN221)</f>
        <v>1.1425781249999999E-2</v>
      </c>
      <c r="HP221" s="4"/>
      <c r="HR221" s="4">
        <v>0.85</v>
      </c>
      <c r="HS221" s="4">
        <v>100</v>
      </c>
      <c r="HT221" s="4">
        <f>IF(ISERROR(HR221/HS221),0,HR221/HS221)</f>
        <v>8.5000000000000006E-3</v>
      </c>
      <c r="HU221" s="4"/>
      <c r="HV221" s="4">
        <f>HO221+HT221</f>
        <v>1.992578125E-2</v>
      </c>
      <c r="HW221" s="4"/>
      <c r="HX221" s="4"/>
      <c r="HY221" s="4"/>
      <c r="HZ221" s="4"/>
      <c r="IA221" s="4"/>
      <c r="IB221" s="4"/>
      <c r="IC221" s="4"/>
      <c r="ID221" s="8">
        <v>1</v>
      </c>
      <c r="IE221" s="4">
        <v>136</v>
      </c>
      <c r="IF221" s="4">
        <v>700</v>
      </c>
      <c r="IG221" s="4">
        <f>IF221/(IE221*HD221)</f>
        <v>5.1470588235294117E-3</v>
      </c>
      <c r="IH221" s="4"/>
    </row>
    <row r="222" spans="1:242">
      <c r="A222">
        <v>151</v>
      </c>
      <c r="B222" t="s">
        <v>468</v>
      </c>
      <c r="C222" t="s">
        <v>476</v>
      </c>
      <c r="D222" s="28" t="s">
        <v>342</v>
      </c>
      <c r="E222" s="27" t="s">
        <v>343</v>
      </c>
      <c r="F222" s="27" t="s">
        <v>2192</v>
      </c>
      <c r="G222" t="s">
        <v>90</v>
      </c>
      <c r="H222" t="s">
        <v>2211</v>
      </c>
      <c r="I222" s="27" t="s">
        <v>121</v>
      </c>
      <c r="J222" s="28">
        <v>21589</v>
      </c>
      <c r="K222" s="27" t="s">
        <v>405</v>
      </c>
      <c r="L222" s="28"/>
      <c r="M222" s="28"/>
      <c r="N222" s="28"/>
      <c r="O222" s="28"/>
      <c r="P222" s="28"/>
      <c r="Q222" s="28" t="s">
        <v>1035</v>
      </c>
      <c r="R222" s="28" t="s">
        <v>1194</v>
      </c>
      <c r="S222" s="27"/>
      <c r="T222" s="27"/>
      <c r="U222" s="27"/>
      <c r="V222" s="29" t="s">
        <v>79</v>
      </c>
      <c r="W222"/>
      <c r="X222"/>
      <c r="Y222"/>
      <c r="Z222"/>
      <c r="AA222" s="21"/>
    </row>
    <row r="223" spans="1:242">
      <c r="A223">
        <v>58</v>
      </c>
      <c r="B223" t="s">
        <v>468</v>
      </c>
      <c r="C223" t="s">
        <v>1856</v>
      </c>
      <c r="D223" s="28" t="s">
        <v>169</v>
      </c>
      <c r="E223" s="27" t="s">
        <v>170</v>
      </c>
      <c r="F223" s="5" t="s">
        <v>2182</v>
      </c>
      <c r="G223" s="27" t="s">
        <v>90</v>
      </c>
      <c r="H223" s="27"/>
      <c r="I223" s="27" t="s">
        <v>121</v>
      </c>
      <c r="J223" s="28">
        <v>21480</v>
      </c>
      <c r="K223" s="27" t="s">
        <v>97</v>
      </c>
      <c r="L223" s="28"/>
      <c r="M223" s="28"/>
      <c r="N223" s="28"/>
      <c r="O223" s="28"/>
      <c r="P223" s="28"/>
      <c r="Q223" s="28" t="s">
        <v>1857</v>
      </c>
      <c r="R223" s="28" t="s">
        <v>1193</v>
      </c>
      <c r="S223" s="27"/>
      <c r="T223" s="27"/>
      <c r="U223" s="27"/>
      <c r="V223" s="29" t="s">
        <v>79</v>
      </c>
      <c r="W223" s="5" t="s">
        <v>305</v>
      </c>
      <c r="X223" s="5"/>
      <c r="Y223" s="5"/>
      <c r="Z223" s="5"/>
      <c r="AA223" s="51" t="s">
        <v>306</v>
      </c>
      <c r="AB223" s="342">
        <v>188.63</v>
      </c>
      <c r="AC223" s="32">
        <v>20</v>
      </c>
      <c r="AD223" s="50" t="s">
        <v>310</v>
      </c>
      <c r="AE223" s="7">
        <f>BA223</f>
        <v>61.610640000000004</v>
      </c>
      <c r="AF223" s="7"/>
      <c r="AG223" s="7">
        <f>EU223</f>
        <v>10.368663594470046</v>
      </c>
      <c r="AH223" s="7">
        <f>DM223</f>
        <v>0.4</v>
      </c>
      <c r="AI223" s="7">
        <f>DO223</f>
        <v>5.000000000000001E-3</v>
      </c>
      <c r="AJ223" s="7">
        <f>GW223</f>
        <v>0.20737327188940094</v>
      </c>
      <c r="AK223" s="7">
        <f>GU223</f>
        <v>0.89974129493087573</v>
      </c>
      <c r="AL223" s="7">
        <f>GS223</f>
        <v>7.9177233953917057</v>
      </c>
      <c r="AM223" s="7">
        <f>HV223</f>
        <v>2.3809523809523809</v>
      </c>
      <c r="AN223" s="7">
        <f>IG223</f>
        <v>1.9841269841269842</v>
      </c>
      <c r="AO223" s="6">
        <v>0</v>
      </c>
      <c r="AP223" s="6"/>
      <c r="AQ223" s="7">
        <f>SUM(AE223:AO223)</f>
        <v>85.774220921761398</v>
      </c>
      <c r="AR223" s="7"/>
      <c r="AS223" s="7"/>
      <c r="AT223" s="6">
        <v>0</v>
      </c>
      <c r="AU223" s="6"/>
      <c r="AV223" s="7">
        <f>AQ223+AT223</f>
        <v>85.774220921761398</v>
      </c>
      <c r="AW223" s="17">
        <v>0.32800000000000001</v>
      </c>
      <c r="AX223" s="2">
        <v>0.315</v>
      </c>
      <c r="AY223" s="8">
        <v>1</v>
      </c>
      <c r="AZ223">
        <f>(AW223-AX223)*AY223</f>
        <v>1.3000000000000012E-2</v>
      </c>
      <c r="BA223" s="4">
        <f>AW223*AB223-AZ223*AC223</f>
        <v>61.610640000000004</v>
      </c>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E223">
        <v>0</v>
      </c>
      <c r="CF223" s="37">
        <v>2</v>
      </c>
      <c r="CG223">
        <v>0.2</v>
      </c>
      <c r="CH223">
        <f>CF223*CG223</f>
        <v>0.4</v>
      </c>
      <c r="DM223">
        <f>CH223+CM223+CR223+CW223+DB223+DG223+DL223</f>
        <v>0.4</v>
      </c>
      <c r="DN223" s="9">
        <v>1.2500000000000001E-2</v>
      </c>
      <c r="DO223" s="4">
        <f>DM223*DN223</f>
        <v>5.000000000000001E-3</v>
      </c>
      <c r="DP223" s="4">
        <f>CG223*CF223</f>
        <v>0.4</v>
      </c>
      <c r="DQ223" s="4"/>
      <c r="DR223" s="4"/>
      <c r="DS223" s="4"/>
      <c r="DT223" s="4"/>
      <c r="DU223" s="4"/>
      <c r="DV223" s="4"/>
      <c r="DW223" s="4"/>
      <c r="DX223" s="4"/>
      <c r="DY223" s="4"/>
      <c r="DZ223" s="4"/>
      <c r="EA223" s="4"/>
      <c r="EB223" s="4"/>
      <c r="EC223" s="4"/>
      <c r="ED223" s="4"/>
      <c r="EE223" s="4"/>
      <c r="EF223">
        <v>450</v>
      </c>
      <c r="EG223">
        <v>4500</v>
      </c>
      <c r="EH223">
        <v>8</v>
      </c>
      <c r="EI223" s="8">
        <v>0.95</v>
      </c>
      <c r="EJ223">
        <v>1</v>
      </c>
      <c r="EK223">
        <v>63</v>
      </c>
      <c r="EL223" s="10">
        <f>ROUND(3600/EK223*EH223*EJ223*EI223,0)</f>
        <v>434</v>
      </c>
      <c r="EM223" s="4"/>
      <c r="EN223" s="4"/>
      <c r="EO223" s="4"/>
      <c r="EP223" s="4"/>
      <c r="EQ223" s="4"/>
      <c r="ER223" s="4"/>
      <c r="ES223" s="4"/>
      <c r="ET223" s="4"/>
      <c r="EU223" s="4">
        <f>EG223/EL223</f>
        <v>10.368663594470046</v>
      </c>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8">
        <v>0.11</v>
      </c>
      <c r="GS223" s="4">
        <f>GR223*(BA223+EU223)</f>
        <v>7.9177233953917057</v>
      </c>
      <c r="GT223" s="9">
        <v>1.2500000000000001E-2</v>
      </c>
      <c r="GU223" s="4">
        <f>GT223*(BA223+EU223)</f>
        <v>0.89974129493087573</v>
      </c>
      <c r="GV223" s="8">
        <v>0.02</v>
      </c>
      <c r="GW223" s="4">
        <f>GV223*EU223</f>
        <v>0.20737327188940094</v>
      </c>
      <c r="GX223" s="4">
        <f>GS223+GU223+GW223</f>
        <v>9.024837962211981</v>
      </c>
      <c r="GY223" t="s">
        <v>130</v>
      </c>
      <c r="GZ223" t="s">
        <v>130</v>
      </c>
      <c r="HA223" s="4">
        <v>1800</v>
      </c>
      <c r="HB223" s="4">
        <v>1400</v>
      </c>
      <c r="HC223">
        <v>950</v>
      </c>
      <c r="HD223">
        <v>70</v>
      </c>
      <c r="HE223">
        <v>700</v>
      </c>
      <c r="HF223" s="4">
        <f>ROUNDUP(HE223/HD223,0)</f>
        <v>10</v>
      </c>
      <c r="HG223">
        <v>5</v>
      </c>
      <c r="HH223" s="4">
        <f>HF223*HG223</f>
        <v>50</v>
      </c>
      <c r="HI223">
        <v>20000</v>
      </c>
      <c r="HJ223" s="4">
        <f>HH223*HI223</f>
        <v>1000000</v>
      </c>
      <c r="HK223" s="4"/>
      <c r="HL223" s="4"/>
      <c r="HM223" s="4">
        <v>2</v>
      </c>
      <c r="HN223" s="10">
        <f>HM223*12*25*HE223</f>
        <v>420000</v>
      </c>
      <c r="HO223" s="4">
        <f>IF(GY223="carton box",HI223/HD223,HJ223/HN223)</f>
        <v>2.3809523809523809</v>
      </c>
      <c r="HP223" s="4">
        <v>160</v>
      </c>
      <c r="HQ223">
        <v>0</v>
      </c>
      <c r="HR223" s="4">
        <v>0</v>
      </c>
      <c r="HS223" s="4">
        <v>0</v>
      </c>
      <c r="HT223" s="4">
        <f>IF(ISERROR(HR223/HS223),0,HR223/HS223)</f>
        <v>0</v>
      </c>
      <c r="HU223" s="4"/>
      <c r="HV223" s="4">
        <f>HO223+HT223</f>
        <v>2.3809523809523809</v>
      </c>
      <c r="HW223" s="4"/>
      <c r="HX223" s="4">
        <v>4200</v>
      </c>
      <c r="HY223" s="4">
        <v>1900</v>
      </c>
      <c r="HZ223" s="4">
        <v>1975</v>
      </c>
      <c r="IA223" s="4">
        <v>2</v>
      </c>
      <c r="IB223" s="4">
        <v>1</v>
      </c>
      <c r="IC223" s="4">
        <v>2</v>
      </c>
      <c r="ID223" s="8">
        <v>0.9</v>
      </c>
      <c r="IE223" s="4">
        <f>PRODUCT(IA223:ID223)</f>
        <v>3.6</v>
      </c>
      <c r="IF223" s="4">
        <v>500</v>
      </c>
      <c r="IG223" s="4">
        <f>IF223/(IE223*HD223)</f>
        <v>1.9841269841269842</v>
      </c>
      <c r="IH223" s="4"/>
    </row>
    <row r="224" spans="1:242">
      <c r="A224">
        <v>60</v>
      </c>
      <c r="B224" t="s">
        <v>468</v>
      </c>
      <c r="C224" t="s">
        <v>1860</v>
      </c>
      <c r="D224" s="28" t="s">
        <v>171</v>
      </c>
      <c r="E224" s="27" t="s">
        <v>172</v>
      </c>
      <c r="F224" s="5" t="s">
        <v>2182</v>
      </c>
      <c r="G224" s="27" t="s">
        <v>90</v>
      </c>
      <c r="H224" s="27"/>
      <c r="I224" s="27" t="s">
        <v>121</v>
      </c>
      <c r="J224" s="28">
        <v>21480</v>
      </c>
      <c r="K224" s="27" t="s">
        <v>97</v>
      </c>
      <c r="L224" s="28"/>
      <c r="M224" s="28"/>
      <c r="N224" s="28"/>
      <c r="O224" s="28"/>
      <c r="P224" s="28"/>
      <c r="Q224" s="28" t="s">
        <v>1857</v>
      </c>
      <c r="R224" s="28" t="s">
        <v>1193</v>
      </c>
      <c r="S224" s="27"/>
      <c r="T224" s="27"/>
      <c r="U224" s="27"/>
      <c r="V224" s="29" t="s">
        <v>79</v>
      </c>
      <c r="W224" s="5"/>
      <c r="X224" s="5"/>
      <c r="Y224" s="5"/>
      <c r="Z224" s="5"/>
      <c r="AA224" s="51" t="s">
        <v>306</v>
      </c>
      <c r="AB224" s="342">
        <v>188.63</v>
      </c>
      <c r="AC224" s="32">
        <v>20</v>
      </c>
      <c r="AD224" s="50" t="s">
        <v>310</v>
      </c>
      <c r="AE224" s="7">
        <f>BA224</f>
        <v>61.542009999999998</v>
      </c>
      <c r="AF224" s="7"/>
      <c r="AG224" s="7">
        <f>EU224</f>
        <v>11.508951406649617</v>
      </c>
      <c r="AH224" s="7">
        <f>DM224</f>
        <v>3.78</v>
      </c>
      <c r="AI224" s="7">
        <f>DO224</f>
        <v>0.11339999999999999</v>
      </c>
      <c r="AJ224" s="7">
        <f>GW224</f>
        <v>0.23017902813299235</v>
      </c>
      <c r="AK224" s="7">
        <f>GU224</f>
        <v>0.91313701758312027</v>
      </c>
      <c r="AL224" s="7">
        <f>GS224</f>
        <v>8.0356057547314581</v>
      </c>
      <c r="AM224" s="7">
        <f>HV224</f>
        <v>1.6285714285714286</v>
      </c>
      <c r="AN224" s="7">
        <f>IG224</f>
        <v>1.0521885521885521</v>
      </c>
      <c r="AO224" s="6">
        <v>0</v>
      </c>
      <c r="AP224" s="6"/>
      <c r="AQ224" s="7">
        <f>SUM(AE224:AO224)</f>
        <v>88.804043187857189</v>
      </c>
      <c r="AR224" s="7"/>
      <c r="AS224" s="7"/>
      <c r="AT224" s="6">
        <v>0</v>
      </c>
      <c r="AU224" s="6"/>
      <c r="AV224" s="7">
        <f>AQ224+AT224</f>
        <v>88.804043187857189</v>
      </c>
      <c r="AW224" s="17">
        <v>0.32700000000000001</v>
      </c>
      <c r="AX224" s="2">
        <v>0.32</v>
      </c>
      <c r="AY224" s="8">
        <v>1</v>
      </c>
      <c r="AZ224">
        <f>(AW224-AX224)*AY224</f>
        <v>7.0000000000000062E-3</v>
      </c>
      <c r="BA224" s="4">
        <f>AW224*AB224-AZ224*AC224</f>
        <v>61.542009999999998</v>
      </c>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E224">
        <v>0</v>
      </c>
      <c r="CF224">
        <v>1</v>
      </c>
      <c r="CG224">
        <v>3.78</v>
      </c>
      <c r="CH224">
        <f>CF224*CG224</f>
        <v>3.78</v>
      </c>
      <c r="DM224">
        <f>CH224+CM224+CR224+CW224+DB224+DG224+DL224</f>
        <v>3.78</v>
      </c>
      <c r="DN224" s="9">
        <v>0.03</v>
      </c>
      <c r="DO224" s="4">
        <f>DM224*DN224</f>
        <v>0.11339999999999999</v>
      </c>
      <c r="DP224" s="4">
        <f>CG224*CF224</f>
        <v>3.78</v>
      </c>
      <c r="DQ224" s="4"/>
      <c r="DR224" s="4"/>
      <c r="DS224" s="4"/>
      <c r="DT224" s="4"/>
      <c r="DU224" s="4"/>
      <c r="DV224" s="4"/>
      <c r="DW224" s="4"/>
      <c r="DX224" s="4"/>
      <c r="DY224" s="4"/>
      <c r="DZ224" s="4"/>
      <c r="EA224" s="4"/>
      <c r="EB224" s="4"/>
      <c r="EC224" s="4"/>
      <c r="ED224" s="4"/>
      <c r="EE224" s="4"/>
      <c r="EF224">
        <v>450</v>
      </c>
      <c r="EG224">
        <v>4500</v>
      </c>
      <c r="EH224">
        <v>8</v>
      </c>
      <c r="EI224" s="8">
        <v>0.95</v>
      </c>
      <c r="EJ224">
        <v>1</v>
      </c>
      <c r="EK224">
        <v>70</v>
      </c>
      <c r="EL224" s="10">
        <f>ROUND(3600/EK224*EH224*EJ224*EI224,0)</f>
        <v>391</v>
      </c>
      <c r="EM224" s="4"/>
      <c r="EN224" s="4"/>
      <c r="EO224" s="4"/>
      <c r="EP224" s="4"/>
      <c r="EQ224" s="4"/>
      <c r="ER224" s="4"/>
      <c r="ES224" s="4"/>
      <c r="ET224" s="4"/>
      <c r="EU224" s="4">
        <f>EG224/EL224</f>
        <v>11.508951406649617</v>
      </c>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8">
        <v>0.11</v>
      </c>
      <c r="GS224" s="4">
        <f>GR224*(BA224+EU224)</f>
        <v>8.0356057547314581</v>
      </c>
      <c r="GT224" s="9">
        <v>1.2500000000000001E-2</v>
      </c>
      <c r="GU224" s="4">
        <f>GT224*(BA224+EU224)</f>
        <v>0.91313701758312027</v>
      </c>
      <c r="GV224" s="8">
        <v>0.02</v>
      </c>
      <c r="GW224" s="4">
        <f>GV224*EU224</f>
        <v>0.23017902813299235</v>
      </c>
      <c r="GX224" s="4">
        <f>GS224+GU224+GW224</f>
        <v>9.1789218004475703</v>
      </c>
      <c r="GY224" t="s">
        <v>130</v>
      </c>
      <c r="GZ224" t="s">
        <v>130</v>
      </c>
      <c r="HA224" s="4">
        <v>1800</v>
      </c>
      <c r="HB224" s="4">
        <v>1400</v>
      </c>
      <c r="HC224">
        <v>950</v>
      </c>
      <c r="HD224">
        <v>132</v>
      </c>
      <c r="HE224">
        <v>700</v>
      </c>
      <c r="HF224" s="4">
        <f>ROUNDUP(HE224/HD224,0)</f>
        <v>6</v>
      </c>
      <c r="HG224">
        <v>5</v>
      </c>
      <c r="HH224" s="4">
        <f>HF224*HG224</f>
        <v>30</v>
      </c>
      <c r="HI224">
        <v>20000</v>
      </c>
      <c r="HJ224" s="4">
        <f>HH224*HI224</f>
        <v>600000</v>
      </c>
      <c r="HK224" s="4"/>
      <c r="HL224" s="4"/>
      <c r="HM224" s="4">
        <v>2</v>
      </c>
      <c r="HN224" s="10">
        <f>HM224*12*25*HE224</f>
        <v>420000</v>
      </c>
      <c r="HO224" s="4">
        <f>IF(GY224="carton box",HI224/HD224,HJ224/HN224)</f>
        <v>1.4285714285714286</v>
      </c>
      <c r="HP224" s="4">
        <v>160</v>
      </c>
      <c r="HQ224">
        <v>0</v>
      </c>
      <c r="HR224" s="4">
        <v>0.2</v>
      </c>
      <c r="HS224" s="4">
        <v>1</v>
      </c>
      <c r="HT224" s="4">
        <f>IF(ISERROR(HR224/HS224),0,HR224/HS224)</f>
        <v>0.2</v>
      </c>
      <c r="HU224" s="4"/>
      <c r="HV224" s="4">
        <f>HO224+HT224</f>
        <v>1.6285714285714286</v>
      </c>
      <c r="HW224" s="4"/>
      <c r="HX224" s="4">
        <v>4200</v>
      </c>
      <c r="HY224" s="4">
        <v>1900</v>
      </c>
      <c r="HZ224" s="4">
        <v>1975</v>
      </c>
      <c r="IA224" s="4">
        <v>2</v>
      </c>
      <c r="IB224" s="4">
        <v>1</v>
      </c>
      <c r="IC224" s="4">
        <v>2</v>
      </c>
      <c r="ID224" s="8">
        <v>0.9</v>
      </c>
      <c r="IE224" s="4">
        <f>PRODUCT(IA224:ID224)</f>
        <v>3.6</v>
      </c>
      <c r="IF224" s="4">
        <v>500</v>
      </c>
      <c r="IG224" s="4">
        <f>IF224/(IE224*HD224)</f>
        <v>1.0521885521885521</v>
      </c>
      <c r="IH224" s="4"/>
    </row>
    <row r="225" spans="1:245">
      <c r="A225">
        <v>65</v>
      </c>
      <c r="B225" t="s">
        <v>468</v>
      </c>
      <c r="C225" s="13" t="s">
        <v>1861</v>
      </c>
      <c r="D225" s="28" t="s">
        <v>179</v>
      </c>
      <c r="E225" s="27" t="s">
        <v>180</v>
      </c>
      <c r="F225" s="5" t="s">
        <v>2182</v>
      </c>
      <c r="G225" s="27" t="s">
        <v>90</v>
      </c>
      <c r="H225" s="27"/>
      <c r="I225" s="27" t="s">
        <v>121</v>
      </c>
      <c r="J225" s="28">
        <v>21480</v>
      </c>
      <c r="K225" s="27" t="s">
        <v>97</v>
      </c>
      <c r="L225" s="28"/>
      <c r="M225" s="28"/>
      <c r="N225" s="28"/>
      <c r="O225" s="28"/>
      <c r="P225" s="28"/>
      <c r="Q225" s="28" t="s">
        <v>1862</v>
      </c>
      <c r="R225" s="28" t="s">
        <v>1194</v>
      </c>
      <c r="S225" s="27"/>
      <c r="T225" s="27"/>
      <c r="U225" s="27"/>
      <c r="V225" s="29" t="s">
        <v>79</v>
      </c>
      <c r="W225" s="5"/>
      <c r="X225" s="5"/>
      <c r="Y225" s="5"/>
      <c r="Z225" s="5"/>
      <c r="AA225" s="51" t="s">
        <v>307</v>
      </c>
      <c r="AB225" s="342">
        <v>118.8</v>
      </c>
      <c r="AC225" s="32">
        <v>20</v>
      </c>
      <c r="AD225" s="50" t="s">
        <v>311</v>
      </c>
      <c r="AE225" s="7">
        <f>BA225</f>
        <v>23.641200000000001</v>
      </c>
      <c r="AF225" s="7"/>
      <c r="AG225" s="7">
        <f>EU225</f>
        <v>5.9322033898305087</v>
      </c>
      <c r="AH225" s="7">
        <f>DM225</f>
        <v>0</v>
      </c>
      <c r="AI225" s="7">
        <f>DO225</f>
        <v>0</v>
      </c>
      <c r="AJ225" s="7">
        <f>GW225</f>
        <v>0.11864406779661017</v>
      </c>
      <c r="AK225" s="7">
        <f>GU225</f>
        <v>0.36966754237288141</v>
      </c>
      <c r="AL225" s="7">
        <f>GS225</f>
        <v>3.2530743728813563</v>
      </c>
      <c r="AM225" s="7">
        <f>HV225</f>
        <v>0.22916666666666666</v>
      </c>
      <c r="AN225" s="7">
        <f>IG225</f>
        <v>0.52083333333333337</v>
      </c>
      <c r="AO225" s="6">
        <v>0</v>
      </c>
      <c r="AP225" s="6"/>
      <c r="AQ225" s="7">
        <f>SUM(AE225:AO225)</f>
        <v>34.064789372881357</v>
      </c>
      <c r="AR225" s="7"/>
      <c r="AS225" s="7"/>
      <c r="AT225" s="6">
        <v>0</v>
      </c>
      <c r="AU225" s="6"/>
      <c r="AV225" s="7">
        <f>AQ225+AT225</f>
        <v>34.064789372881357</v>
      </c>
      <c r="AW225" s="17">
        <v>0.19900000000000001</v>
      </c>
      <c r="AX225" s="2">
        <v>0.19900000000000001</v>
      </c>
      <c r="AY225" s="8">
        <v>1</v>
      </c>
      <c r="AZ225">
        <f>(AW225-AX225)*AY225</f>
        <v>0</v>
      </c>
      <c r="BA225" s="4">
        <f>AW225*AB225-AZ225*AC225</f>
        <v>23.641200000000001</v>
      </c>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E225">
        <v>0</v>
      </c>
      <c r="CF225">
        <v>0</v>
      </c>
      <c r="CG225">
        <v>0</v>
      </c>
      <c r="CH225">
        <f>CF225*CG225</f>
        <v>0</v>
      </c>
      <c r="DM225">
        <f>CH225+CM225+CR225+CW225+DB225+DG225+DL225</f>
        <v>0</v>
      </c>
      <c r="DN225" s="9">
        <v>1.2500000000000001E-2</v>
      </c>
      <c r="DO225" s="4">
        <f>DM225*DN225</f>
        <v>0</v>
      </c>
      <c r="DP225" s="4">
        <f>CG225*CF225</f>
        <v>0</v>
      </c>
      <c r="DQ225" s="4"/>
      <c r="DR225" s="4"/>
      <c r="DS225" s="4"/>
      <c r="DT225" s="4"/>
      <c r="DU225" s="4"/>
      <c r="DV225" s="4"/>
      <c r="DW225" s="4"/>
      <c r="DX225" s="4"/>
      <c r="DY225" s="4"/>
      <c r="DZ225" s="4"/>
      <c r="EA225" s="4"/>
      <c r="EB225" s="4"/>
      <c r="EC225" s="4"/>
      <c r="ED225" s="4"/>
      <c r="EE225" s="4"/>
      <c r="EF225">
        <v>280</v>
      </c>
      <c r="EG225">
        <v>2800</v>
      </c>
      <c r="EH225">
        <v>8</v>
      </c>
      <c r="EI225" s="8">
        <v>0.95</v>
      </c>
      <c r="EJ225">
        <v>1</v>
      </c>
      <c r="EK225">
        <v>58</v>
      </c>
      <c r="EL225" s="10">
        <f>ROUND(3600/EK225*EH225*EJ225*EI225,0)</f>
        <v>472</v>
      </c>
      <c r="EM225" s="4"/>
      <c r="EN225" s="4"/>
      <c r="EO225" s="4"/>
      <c r="EP225" s="4"/>
      <c r="EQ225" s="4"/>
      <c r="ER225" s="4"/>
      <c r="ES225" s="4"/>
      <c r="ET225" s="4"/>
      <c r="EU225" s="4">
        <f>EG225/EL225</f>
        <v>5.9322033898305087</v>
      </c>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8">
        <v>0.11</v>
      </c>
      <c r="GS225" s="4">
        <f>GR225*(BA225+EU225)</f>
        <v>3.2530743728813563</v>
      </c>
      <c r="GT225" s="9">
        <v>1.2500000000000001E-2</v>
      </c>
      <c r="GU225" s="4">
        <f>GT225*(BA225+EU225)</f>
        <v>0.36966754237288141</v>
      </c>
      <c r="GV225" s="8">
        <v>0.02</v>
      </c>
      <c r="GW225" s="4">
        <f>GV225*EU225</f>
        <v>0.11864406779661017</v>
      </c>
      <c r="GX225" s="4">
        <f>GS225+GU225+GW225</f>
        <v>3.741385983050848</v>
      </c>
      <c r="GY225" t="s">
        <v>130</v>
      </c>
      <c r="GZ225" t="s">
        <v>130</v>
      </c>
      <c r="HA225" s="4">
        <v>650</v>
      </c>
      <c r="HB225" s="4">
        <v>450</v>
      </c>
      <c r="HC225">
        <v>320</v>
      </c>
      <c r="HD225">
        <v>20</v>
      </c>
      <c r="HE225">
        <v>800</v>
      </c>
      <c r="HF225" s="4">
        <f>ROUNDUP(HE225/HD225,0)</f>
        <v>40</v>
      </c>
      <c r="HG225">
        <v>5</v>
      </c>
      <c r="HH225" s="4">
        <f>HF225*HG225</f>
        <v>200</v>
      </c>
      <c r="HI225">
        <v>550</v>
      </c>
      <c r="HJ225" s="4">
        <f>HH225*HI225</f>
        <v>110000</v>
      </c>
      <c r="HK225" s="4"/>
      <c r="HL225" s="4"/>
      <c r="HM225" s="4">
        <v>2</v>
      </c>
      <c r="HN225" s="10">
        <f>HM225*12*25*HE225</f>
        <v>480000</v>
      </c>
      <c r="HO225" s="4">
        <f>IF(GY225="carton box",HI225/HD225,HJ225/HN225)</f>
        <v>0.22916666666666666</v>
      </c>
      <c r="HP225" s="4">
        <v>160</v>
      </c>
      <c r="HQ225">
        <v>0</v>
      </c>
      <c r="HR225" s="4">
        <f>HP225*HQ225</f>
        <v>0</v>
      </c>
      <c r="HS225" s="4">
        <v>0</v>
      </c>
      <c r="HT225" s="4">
        <f>IF(ISERROR(HR225/HS225),0,HR225/HS225)</f>
        <v>0</v>
      </c>
      <c r="HU225" s="4"/>
      <c r="HV225" s="4">
        <f>HO225+HT225</f>
        <v>0.22916666666666666</v>
      </c>
      <c r="HW225" s="4"/>
      <c r="HX225" s="4">
        <v>2917</v>
      </c>
      <c r="HY225" s="4">
        <v>1689</v>
      </c>
      <c r="HZ225" s="4">
        <v>1842</v>
      </c>
      <c r="IA225" s="4">
        <v>4</v>
      </c>
      <c r="IB225" s="4">
        <v>3</v>
      </c>
      <c r="IC225" s="4">
        <v>5</v>
      </c>
      <c r="ID225" s="8">
        <v>0.8</v>
      </c>
      <c r="IE225" s="4">
        <f>PRODUCT(IA225:ID225)</f>
        <v>48</v>
      </c>
      <c r="IF225" s="4">
        <v>500</v>
      </c>
      <c r="IG225" s="4">
        <f>IF225/(IE225*HD225)</f>
        <v>0.52083333333333337</v>
      </c>
      <c r="IH225" s="4"/>
    </row>
    <row r="226" spans="1:245">
      <c r="A226">
        <v>89</v>
      </c>
      <c r="B226" t="s">
        <v>468</v>
      </c>
      <c r="C226" t="s">
        <v>1864</v>
      </c>
      <c r="D226" s="28" t="s">
        <v>216</v>
      </c>
      <c r="E226" s="27" t="s">
        <v>217</v>
      </c>
      <c r="F226" s="5" t="s">
        <v>2182</v>
      </c>
      <c r="G226" s="27" t="s">
        <v>90</v>
      </c>
      <c r="H226" s="27"/>
      <c r="I226" s="27" t="s">
        <v>121</v>
      </c>
      <c r="J226" s="28">
        <v>21677</v>
      </c>
      <c r="K226" s="27" t="s">
        <v>228</v>
      </c>
      <c r="L226" s="28"/>
      <c r="M226" s="28"/>
      <c r="N226" s="28"/>
      <c r="O226" s="28"/>
      <c r="P226" s="28"/>
      <c r="Q226" s="28" t="s">
        <v>1841</v>
      </c>
      <c r="R226" s="28" t="s">
        <v>1194</v>
      </c>
      <c r="S226" s="27"/>
      <c r="T226" s="27"/>
      <c r="U226" s="27"/>
      <c r="V226" s="29" t="s">
        <v>79</v>
      </c>
      <c r="W226" s="13" t="s">
        <v>308</v>
      </c>
      <c r="AA226" s="87" t="s">
        <v>309</v>
      </c>
      <c r="AB226" s="342">
        <v>193.27</v>
      </c>
      <c r="AC226" s="32">
        <v>20</v>
      </c>
      <c r="AD226" s="50" t="s">
        <v>310</v>
      </c>
      <c r="AE226" s="7">
        <f>BA226</f>
        <v>6.038005000000001</v>
      </c>
      <c r="AF226" s="7"/>
      <c r="AG226" s="7">
        <f>EU226</f>
        <v>3.0701754385964914</v>
      </c>
      <c r="AH226" s="7">
        <f>DM226</f>
        <v>0.2</v>
      </c>
      <c r="AI226" s="7">
        <f>DO226</f>
        <v>2.5000000000000005E-3</v>
      </c>
      <c r="AJ226" s="7">
        <f>GW226</f>
        <v>6.1403508771929828E-2</v>
      </c>
      <c r="AK226" s="7">
        <f>GU226</f>
        <v>0.11385225548245614</v>
      </c>
      <c r="AL226" s="7">
        <f>GS226</f>
        <v>1.0018998482456141</v>
      </c>
      <c r="AM226" s="7">
        <f>HV226</f>
        <v>1</v>
      </c>
      <c r="AN226" s="7">
        <f>IG226</f>
        <v>0.16666666666666666</v>
      </c>
      <c r="AO226" s="6">
        <v>0</v>
      </c>
      <c r="AP226" s="6"/>
      <c r="AQ226" s="7">
        <f>SUM(AE226:AO226)</f>
        <v>11.654502717763156</v>
      </c>
      <c r="AR226" s="7"/>
      <c r="AS226" s="7"/>
      <c r="AT226" s="6">
        <v>0</v>
      </c>
      <c r="AU226" s="6"/>
      <c r="AV226" s="7">
        <f>AQ226+AT226+AU226</f>
        <v>11.654502717763156</v>
      </c>
      <c r="AW226" s="38">
        <v>3.15E-2</v>
      </c>
      <c r="AX226" s="39">
        <v>2.9000000000000001E-2</v>
      </c>
      <c r="AY226" s="8">
        <v>1</v>
      </c>
      <c r="AZ226">
        <f>(AW226-AX226)*AY226</f>
        <v>2.4999999999999988E-3</v>
      </c>
      <c r="BA226" s="4">
        <f>AW226*AB226-AZ226*AC226</f>
        <v>6.038005000000001</v>
      </c>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E226">
        <v>0</v>
      </c>
      <c r="CF226">
        <v>1</v>
      </c>
      <c r="CG226">
        <v>0.2</v>
      </c>
      <c r="CH226">
        <f>CF226*CG226</f>
        <v>0.2</v>
      </c>
      <c r="DM226">
        <f>CH226+CM226+CR226+CW226+DB226+DG226+DL226</f>
        <v>0.2</v>
      </c>
      <c r="DN226" s="9">
        <v>1.2500000000000001E-2</v>
      </c>
      <c r="DO226" s="4">
        <f>DM226*DN226</f>
        <v>2.5000000000000005E-3</v>
      </c>
      <c r="DP226" s="4">
        <f>CG226*CF226</f>
        <v>0.2</v>
      </c>
      <c r="DQ226" s="4"/>
      <c r="DR226" s="4"/>
      <c r="DS226" s="4"/>
      <c r="DT226" s="4"/>
      <c r="DU226" s="4"/>
      <c r="DV226" s="4"/>
      <c r="DW226" s="4"/>
      <c r="DX226" s="4"/>
      <c r="DY226" s="4"/>
      <c r="DZ226" s="4"/>
      <c r="EA226" s="4"/>
      <c r="EB226" s="4"/>
      <c r="EC226" s="4"/>
      <c r="ED226" s="4"/>
      <c r="EE226" s="4"/>
      <c r="EF226">
        <v>280</v>
      </c>
      <c r="EG226">
        <v>2800</v>
      </c>
      <c r="EH226">
        <v>8</v>
      </c>
      <c r="EI226" s="8">
        <v>0.95</v>
      </c>
      <c r="EJ226">
        <v>2</v>
      </c>
      <c r="EK226">
        <v>60</v>
      </c>
      <c r="EL226" s="10">
        <f>ROUND(3600/EK226*EH226*EJ226*EI226,0)</f>
        <v>912</v>
      </c>
      <c r="EM226" s="4"/>
      <c r="EN226" s="4"/>
      <c r="EO226" s="4"/>
      <c r="EP226" s="4"/>
      <c r="EQ226" s="4"/>
      <c r="ER226" s="4"/>
      <c r="ES226" s="4"/>
      <c r="ET226" s="4"/>
      <c r="EU226" s="4">
        <f>EG226/EL226</f>
        <v>3.0701754385964914</v>
      </c>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8">
        <v>0.11</v>
      </c>
      <c r="GS226" s="4">
        <f>GR226*(BA226+EU226)</f>
        <v>1.0018998482456141</v>
      </c>
      <c r="GT226" s="9">
        <v>1.2500000000000001E-2</v>
      </c>
      <c r="GU226" s="4">
        <f>GT226*(BA226+EU226)</f>
        <v>0.11385225548245614</v>
      </c>
      <c r="GV226" s="8">
        <v>0.02</v>
      </c>
      <c r="GW226" s="4">
        <f>GV226*EU226</f>
        <v>6.1403508771929828E-2</v>
      </c>
      <c r="GX226" s="4">
        <f>GS226+GU226+GW226</f>
        <v>1.1771556125</v>
      </c>
      <c r="GY226" t="s">
        <v>43</v>
      </c>
      <c r="GZ226" t="s">
        <v>87</v>
      </c>
      <c r="HA226" s="4">
        <v>650</v>
      </c>
      <c r="HB226" s="4">
        <v>450</v>
      </c>
      <c r="HC226">
        <v>315</v>
      </c>
      <c r="HD226">
        <v>60</v>
      </c>
      <c r="HE226">
        <v>400</v>
      </c>
      <c r="HF226" s="4">
        <f>ROUNDUP(HE226/HD226,0)</f>
        <v>7</v>
      </c>
      <c r="HG226">
        <v>1</v>
      </c>
      <c r="HH226" s="4">
        <v>35</v>
      </c>
      <c r="HI226">
        <v>650</v>
      </c>
      <c r="HJ226" s="4">
        <f>HH226*HI226</f>
        <v>22750</v>
      </c>
      <c r="HK226" s="4"/>
      <c r="HL226" s="4"/>
      <c r="HM226" s="4">
        <v>2</v>
      </c>
      <c r="HN226" s="10">
        <f>HM226*12*25*HE226</f>
        <v>240000</v>
      </c>
      <c r="HO226" s="4">
        <f>IF(GY226="carton box",HI226/HD226,HJ226/HN226)</f>
        <v>9.4791666666666663E-2</v>
      </c>
      <c r="HP226" s="4">
        <v>160</v>
      </c>
      <c r="HQ226">
        <v>0</v>
      </c>
      <c r="HR226" s="4">
        <v>1</v>
      </c>
      <c r="HS226" s="4">
        <v>1</v>
      </c>
      <c r="HT226" s="4">
        <f>IF(ISERROR(HR226/HS226),0,HR226/HS226)</f>
        <v>1</v>
      </c>
      <c r="HU226" s="4"/>
      <c r="HV226" s="40">
        <f>HO226+HT226-HO226</f>
        <v>1</v>
      </c>
      <c r="HW226" s="40"/>
      <c r="HX226" s="4">
        <v>5016</v>
      </c>
      <c r="HY226" s="4">
        <v>1976</v>
      </c>
      <c r="HZ226" s="4">
        <v>2280</v>
      </c>
      <c r="IA226" s="4">
        <v>7</v>
      </c>
      <c r="IB226" s="4">
        <v>4</v>
      </c>
      <c r="IC226" s="4">
        <v>7</v>
      </c>
      <c r="ID226" s="8">
        <v>1</v>
      </c>
      <c r="IE226" s="4">
        <v>50</v>
      </c>
      <c r="IF226" s="4">
        <v>500</v>
      </c>
      <c r="IG226" s="4">
        <f>IF226/(IE226*HD226)</f>
        <v>0.16666666666666666</v>
      </c>
      <c r="IH226" s="4"/>
    </row>
    <row r="227" spans="1:245">
      <c r="A227">
        <v>90</v>
      </c>
      <c r="B227" t="s">
        <v>468</v>
      </c>
      <c r="C227" t="s">
        <v>1865</v>
      </c>
      <c r="D227" s="28" t="s">
        <v>218</v>
      </c>
      <c r="E227" s="27" t="s">
        <v>219</v>
      </c>
      <c r="F227" s="5" t="s">
        <v>2182</v>
      </c>
      <c r="G227" s="27" t="s">
        <v>90</v>
      </c>
      <c r="H227" s="27"/>
      <c r="I227" s="27" t="s">
        <v>121</v>
      </c>
      <c r="J227" s="28">
        <v>29010</v>
      </c>
      <c r="K227" s="27" t="s">
        <v>229</v>
      </c>
      <c r="L227" s="28"/>
      <c r="M227" s="28"/>
      <c r="N227" s="28"/>
      <c r="O227" s="28"/>
      <c r="P227" s="28"/>
      <c r="Q227" s="28" t="s">
        <v>1035</v>
      </c>
      <c r="R227" s="28" t="s">
        <v>1194</v>
      </c>
      <c r="S227" s="27"/>
      <c r="T227" s="27"/>
      <c r="U227" s="27"/>
      <c r="V227" s="29" t="s">
        <v>79</v>
      </c>
      <c r="W227" s="13" t="s">
        <v>312</v>
      </c>
      <c r="AA227" s="87" t="s">
        <v>313</v>
      </c>
      <c r="AB227" s="342">
        <v>127.56</v>
      </c>
      <c r="AC227" s="32">
        <f>AB227-5</f>
        <v>122.56</v>
      </c>
      <c r="AD227" s="50" t="s">
        <v>315</v>
      </c>
      <c r="AE227" s="7">
        <f>BA227</f>
        <v>9.1085279999999997</v>
      </c>
      <c r="AF227" s="7"/>
      <c r="AG227" s="7">
        <f>EU227+FA227</f>
        <v>3.0385798816568048</v>
      </c>
      <c r="AH227" s="7">
        <f>DM227</f>
        <v>2.76</v>
      </c>
      <c r="AI227" s="7">
        <f>DO227</f>
        <v>3.4499999999999996E-2</v>
      </c>
      <c r="AJ227" s="7">
        <f>GW227</f>
        <v>5.9171597633136098E-2</v>
      </c>
      <c r="AK227" s="7">
        <f>GU227</f>
        <v>0.15083884852071006</v>
      </c>
      <c r="AL227" s="7">
        <f>GS227</f>
        <v>1.3273818669822486</v>
      </c>
      <c r="AM227" s="7">
        <f>HV227</f>
        <v>0.12662222222222222</v>
      </c>
      <c r="AN227" s="7">
        <f>IG227</f>
        <v>6.9444444444444448E-2</v>
      </c>
      <c r="AO227" s="7">
        <f>EY227</f>
        <v>0</v>
      </c>
      <c r="AP227" s="7"/>
      <c r="AQ227" s="7">
        <f>SUM(AE227:AO227)</f>
        <v>16.675066861459566</v>
      </c>
      <c r="AR227" s="7"/>
      <c r="AS227" s="7"/>
      <c r="AT227" s="6">
        <v>0</v>
      </c>
      <c r="AU227" s="7">
        <f>2%*AQ227</f>
        <v>0.33350133722919134</v>
      </c>
      <c r="AV227" s="7">
        <f>AQ227+AT227+AU227</f>
        <v>17.008568198688756</v>
      </c>
      <c r="AW227" s="41">
        <v>7.3999999999999996E-2</v>
      </c>
      <c r="AX227" s="25">
        <v>7.0999999999999994E-2</v>
      </c>
      <c r="AY227" s="8">
        <v>0.9</v>
      </c>
      <c r="AZ227">
        <f>(AW227-AX227)*AY227</f>
        <v>2.7000000000000023E-3</v>
      </c>
      <c r="BA227" s="4">
        <f>AW227*AB227-AZ227*AC227</f>
        <v>9.1085279999999997</v>
      </c>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E227">
        <v>0</v>
      </c>
      <c r="CF227">
        <v>2</v>
      </c>
      <c r="CG227">
        <v>1.38</v>
      </c>
      <c r="CH227">
        <f>CF227*CG227</f>
        <v>2.76</v>
      </c>
      <c r="DM227">
        <f>CH227+CM227+CR227+CW227+DB227+DG227+DL227</f>
        <v>2.76</v>
      </c>
      <c r="DN227" s="9">
        <v>1.2500000000000001E-2</v>
      </c>
      <c r="DO227" s="4">
        <f>DM227*DN227</f>
        <v>3.4499999999999996E-2</v>
      </c>
      <c r="DP227" s="4">
        <f>CG227*CF227</f>
        <v>2.76</v>
      </c>
      <c r="DQ227" s="4"/>
      <c r="DR227" s="4"/>
      <c r="DS227" s="4"/>
      <c r="DT227" s="4"/>
      <c r="DU227" s="4"/>
      <c r="DV227" s="4"/>
      <c r="DW227" s="4"/>
      <c r="DX227" s="4"/>
      <c r="DY227" s="4"/>
      <c r="DZ227" s="4"/>
      <c r="EA227" s="4"/>
      <c r="EB227" s="4"/>
      <c r="EC227" s="4"/>
      <c r="ED227" s="4"/>
      <c r="EE227" s="4"/>
      <c r="EF227">
        <v>150</v>
      </c>
      <c r="EG227">
        <v>1500</v>
      </c>
      <c r="EH227">
        <v>8</v>
      </c>
      <c r="EI227" s="8">
        <v>0.95</v>
      </c>
      <c r="EJ227">
        <v>1</v>
      </c>
      <c r="EK227">
        <v>54</v>
      </c>
      <c r="EL227" s="10">
        <f>ROUND(3600/EK227*EH227*EJ227*EI227,0)</f>
        <v>507</v>
      </c>
      <c r="EM227" s="4"/>
      <c r="EN227" s="4"/>
      <c r="EO227" s="4"/>
      <c r="EP227" s="4"/>
      <c r="EQ227" s="4"/>
      <c r="ER227" s="4"/>
      <c r="ES227" s="4"/>
      <c r="ET227" s="4"/>
      <c r="EU227" s="4">
        <f>EG227/EL227</f>
        <v>2.9585798816568047</v>
      </c>
      <c r="EV227" s="4"/>
      <c r="EW227" s="4"/>
      <c r="EX227" s="4">
        <v>0.08</v>
      </c>
      <c r="EY227" s="4">
        <v>0</v>
      </c>
      <c r="EZ227" s="4"/>
      <c r="FA227" s="4">
        <f>EX227</f>
        <v>0.08</v>
      </c>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8">
        <v>0.11</v>
      </c>
      <c r="GS227" s="4">
        <f>GR227*(BA227+EU227)</f>
        <v>1.3273818669822486</v>
      </c>
      <c r="GT227" s="9">
        <v>1.2500000000000001E-2</v>
      </c>
      <c r="GU227" s="4">
        <f>GT227*(BA227+EU227)</f>
        <v>0.15083884852071006</v>
      </c>
      <c r="GV227" s="8">
        <v>0.02</v>
      </c>
      <c r="GW227" s="4">
        <f>GV227*EU227</f>
        <v>5.9171597633136098E-2</v>
      </c>
      <c r="GX227" s="4">
        <f>GS227+GU227+GW227</f>
        <v>1.5373923131360947</v>
      </c>
      <c r="GY227" t="s">
        <v>43</v>
      </c>
      <c r="GZ227" t="s">
        <v>87</v>
      </c>
      <c r="HA227" s="4">
        <v>650</v>
      </c>
      <c r="HB227" s="4">
        <v>450</v>
      </c>
      <c r="HC227">
        <v>315</v>
      </c>
      <c r="HD227">
        <v>50</v>
      </c>
      <c r="HE227">
        <v>800</v>
      </c>
      <c r="HF227" s="4">
        <f>ROUNDUP(HE227/HD227,0)</f>
        <v>16</v>
      </c>
      <c r="HG227">
        <v>5</v>
      </c>
      <c r="HH227" s="4">
        <f>HF227*HG227</f>
        <v>80</v>
      </c>
      <c r="HI227">
        <v>650</v>
      </c>
      <c r="HJ227" s="4">
        <f>HH227*HI227</f>
        <v>52000</v>
      </c>
      <c r="HK227" s="4"/>
      <c r="HL227" s="4"/>
      <c r="HM227" s="4">
        <v>3</v>
      </c>
      <c r="HN227" s="10">
        <f>HM227*12*25*HE227</f>
        <v>720000</v>
      </c>
      <c r="HO227" s="4">
        <f>IF(GY227="carton box",HI227/HD227,HJ227/HN227)</f>
        <v>7.2222222222222215E-2</v>
      </c>
      <c r="HP227" s="4">
        <v>160</v>
      </c>
      <c r="HQ227">
        <v>0</v>
      </c>
      <c r="HR227" s="4">
        <v>2.72</v>
      </c>
      <c r="HS227" s="4">
        <v>50</v>
      </c>
      <c r="HT227" s="4">
        <f>IF(ISERROR(HR227/HS227),0,HR227/HS227)</f>
        <v>5.4400000000000004E-2</v>
      </c>
      <c r="HU227" s="4"/>
      <c r="HV227" s="4">
        <f>HO227+HT227</f>
        <v>0.12662222222222222</v>
      </c>
      <c r="HW227" s="4"/>
      <c r="HX227" s="4">
        <v>4200</v>
      </c>
      <c r="HY227" s="4">
        <v>1900</v>
      </c>
      <c r="HZ227" s="4">
        <v>1975</v>
      </c>
      <c r="IA227" s="4">
        <v>6</v>
      </c>
      <c r="IB227" s="4">
        <v>4</v>
      </c>
      <c r="IC227" s="4">
        <v>6</v>
      </c>
      <c r="ID227" s="8">
        <v>1</v>
      </c>
      <c r="IE227" s="4">
        <f>ROUND(PRODUCT(IA227:ID227),0)</f>
        <v>144</v>
      </c>
      <c r="IF227" s="4">
        <v>500</v>
      </c>
      <c r="IG227" s="4">
        <f>IF227/(IE227*HD227)</f>
        <v>6.9444444444444448E-2</v>
      </c>
      <c r="IH227" s="4"/>
    </row>
    <row r="228" spans="1:245" ht="26.25">
      <c r="A228">
        <v>95</v>
      </c>
      <c r="B228" t="s">
        <v>468</v>
      </c>
      <c r="C228" t="s">
        <v>567</v>
      </c>
      <c r="D228" s="28">
        <v>178030</v>
      </c>
      <c r="E228" s="27" t="s">
        <v>317</v>
      </c>
      <c r="F228" s="27"/>
      <c r="G228" s="27" t="s">
        <v>90</v>
      </c>
      <c r="H228" s="27"/>
      <c r="I228" s="27" t="s">
        <v>121</v>
      </c>
      <c r="J228" s="28">
        <v>21205</v>
      </c>
      <c r="K228" s="27" t="s">
        <v>395</v>
      </c>
      <c r="L228" s="28"/>
      <c r="M228" s="28"/>
      <c r="N228" s="28" t="s">
        <v>1767</v>
      </c>
      <c r="O228" s="28" t="s">
        <v>1034</v>
      </c>
      <c r="P228" s="331">
        <v>44947</v>
      </c>
      <c r="Q228" s="28"/>
      <c r="R228" s="28"/>
      <c r="S228" s="27"/>
      <c r="T228" s="27"/>
      <c r="U228" s="27"/>
      <c r="V228" s="29" t="s">
        <v>79</v>
      </c>
      <c r="W228" s="52" t="s">
        <v>465</v>
      </c>
      <c r="X228" s="52"/>
      <c r="Y228" s="52"/>
      <c r="Z228" s="52"/>
      <c r="AA228" s="21"/>
    </row>
    <row r="229" spans="1:245" ht="26.25">
      <c r="A229">
        <v>97</v>
      </c>
      <c r="B229" t="s">
        <v>468</v>
      </c>
      <c r="C229" t="s">
        <v>567</v>
      </c>
      <c r="D229" s="28">
        <v>178030</v>
      </c>
      <c r="E229" s="27" t="s">
        <v>317</v>
      </c>
      <c r="F229" s="27"/>
      <c r="G229" s="27" t="s">
        <v>90</v>
      </c>
      <c r="H229" s="27"/>
      <c r="I229" s="27" t="s">
        <v>226</v>
      </c>
      <c r="J229" s="28">
        <v>21557</v>
      </c>
      <c r="K229" s="27" t="s">
        <v>396</v>
      </c>
      <c r="L229" s="28"/>
      <c r="M229" s="28"/>
      <c r="N229" s="28" t="s">
        <v>1767</v>
      </c>
      <c r="O229" s="28" t="s">
        <v>1038</v>
      </c>
      <c r="P229" s="331">
        <v>43671</v>
      </c>
      <c r="Q229" s="28"/>
      <c r="R229" s="28"/>
      <c r="S229" s="27"/>
      <c r="T229" s="27"/>
      <c r="U229" s="27"/>
      <c r="V229" s="29" t="s">
        <v>79</v>
      </c>
      <c r="W229" s="52" t="s">
        <v>460</v>
      </c>
      <c r="X229" s="52"/>
      <c r="Y229" s="52"/>
      <c r="Z229" s="52"/>
      <c r="AA229" s="21"/>
    </row>
    <row r="230" spans="1:245" ht="30">
      <c r="A230">
        <v>105</v>
      </c>
      <c r="B230" t="s">
        <v>468</v>
      </c>
      <c r="C230" t="s">
        <v>466</v>
      </c>
      <c r="D230" s="28" t="s">
        <v>83</v>
      </c>
      <c r="E230" s="27" t="s">
        <v>84</v>
      </c>
      <c r="F230" s="5" t="s">
        <v>2182</v>
      </c>
      <c r="G230" t="s">
        <v>90</v>
      </c>
      <c r="I230" s="27" t="s">
        <v>94</v>
      </c>
      <c r="J230" s="28">
        <v>21590</v>
      </c>
      <c r="K230" s="27" t="s">
        <v>397</v>
      </c>
      <c r="L230" s="28">
        <v>20089</v>
      </c>
      <c r="M230" s="28" t="s">
        <v>464</v>
      </c>
      <c r="N230" s="28" t="s">
        <v>1909</v>
      </c>
      <c r="O230" s="28" t="s">
        <v>1877</v>
      </c>
      <c r="P230" s="331">
        <v>44974</v>
      </c>
      <c r="Q230" s="28" t="s">
        <v>1035</v>
      </c>
      <c r="R230" s="28" t="s">
        <v>1769</v>
      </c>
      <c r="S230" s="27"/>
      <c r="T230" s="27"/>
      <c r="U230" s="27"/>
      <c r="V230" s="29" t="s">
        <v>79</v>
      </c>
      <c r="W230" s="53" t="s">
        <v>1910</v>
      </c>
      <c r="X230" s="53"/>
      <c r="Y230" s="53"/>
      <c r="Z230" s="53"/>
      <c r="AA230" s="86" t="s">
        <v>461</v>
      </c>
      <c r="AB230" s="57">
        <v>130.19999999999999</v>
      </c>
      <c r="AC230">
        <v>20</v>
      </c>
      <c r="AD230" t="s">
        <v>462</v>
      </c>
      <c r="AE230" s="7">
        <f>BA230</f>
        <v>12.8247</v>
      </c>
      <c r="AF230" s="7"/>
      <c r="AG230" s="7">
        <f>EU230</f>
        <v>2.8974074074074077</v>
      </c>
      <c r="AH230" s="7">
        <f>DM230</f>
        <v>3.9000000000000004</v>
      </c>
      <c r="AI230" s="7">
        <f>DO230</f>
        <v>9.7500000000000017E-2</v>
      </c>
      <c r="AJ230" s="7">
        <f>GW230</f>
        <v>5.7948148148148151E-2</v>
      </c>
      <c r="AK230" s="7">
        <f>GU230</f>
        <v>0.29433161111111106</v>
      </c>
      <c r="AL230" s="7">
        <f>GS230</f>
        <v>1.9725069444444443</v>
      </c>
      <c r="AM230" s="7">
        <f>HV230</f>
        <v>0.13541666666666666</v>
      </c>
      <c r="AN230" s="7">
        <f>IG230</f>
        <v>1.0964912280701755</v>
      </c>
      <c r="AO230" s="7">
        <v>0</v>
      </c>
      <c r="AP230" s="7"/>
      <c r="AQ230" s="7">
        <f>SUM(AE230:AO230)</f>
        <v>23.276302005847953</v>
      </c>
      <c r="AR230" s="7">
        <f>IJ230</f>
        <v>0.19376302005847953</v>
      </c>
      <c r="AS230" s="7"/>
      <c r="AT230" s="7">
        <v>0</v>
      </c>
      <c r="AU230" s="7">
        <v>0</v>
      </c>
      <c r="AV230" s="7">
        <f>AQ230+AT230+AU230+AR230</f>
        <v>23.470065025906433</v>
      </c>
      <c r="AW230" s="14">
        <v>9.8500000000000004E-2</v>
      </c>
      <c r="AX230" s="14">
        <v>9.8500000000000004E-2</v>
      </c>
      <c r="AY230" s="8">
        <v>1</v>
      </c>
      <c r="AZ230" s="4">
        <f>(AW230-AX230)*AY230</f>
        <v>0</v>
      </c>
      <c r="BA230" s="4">
        <f>AW230*AB230-AZ230*AC230</f>
        <v>12.8247</v>
      </c>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E230" s="4"/>
      <c r="CF230" s="4">
        <v>3</v>
      </c>
      <c r="CG230" s="4">
        <v>1.3</v>
      </c>
      <c r="CH230" s="4">
        <f>CF230*CG230</f>
        <v>3.9000000000000004</v>
      </c>
      <c r="DM230" s="4">
        <f>CH230+CM230+CR230+CW230+DB230+DG230+DL230</f>
        <v>3.9000000000000004</v>
      </c>
      <c r="DN230" s="36">
        <v>2.5000000000000001E-2</v>
      </c>
      <c r="DO230" s="4">
        <f>DM230*DN230</f>
        <v>9.7500000000000017E-2</v>
      </c>
      <c r="DP230" s="4">
        <f>DM230+DO230</f>
        <v>3.9975000000000005</v>
      </c>
      <c r="DQ230" s="4"/>
      <c r="DR230" s="4"/>
      <c r="DS230" s="4"/>
      <c r="DT230" s="4"/>
      <c r="DU230" s="4"/>
      <c r="DV230" s="4"/>
      <c r="DW230" s="4"/>
      <c r="DX230" s="4"/>
      <c r="DY230" s="4"/>
      <c r="DZ230" s="4"/>
      <c r="EA230" s="4"/>
      <c r="EB230" s="4"/>
      <c r="EC230" s="4"/>
      <c r="ED230" s="4"/>
      <c r="EE230" s="4"/>
      <c r="EF230">
        <v>160</v>
      </c>
      <c r="EG230">
        <v>1950</v>
      </c>
      <c r="EH230">
        <v>7.5</v>
      </c>
      <c r="EI230" s="8">
        <v>0.9</v>
      </c>
      <c r="EJ230">
        <v>2</v>
      </c>
      <c r="EK230">
        <v>60</v>
      </c>
      <c r="EL230" s="10">
        <f>ROUNDUP(3600/EK230*EH230*EJ230*EI230,0)</f>
        <v>810</v>
      </c>
      <c r="ER230">
        <v>0.49</v>
      </c>
      <c r="EU230" s="4">
        <f>EG230/EL230+EM230+EX230+EP230+EQ230+ER230</f>
        <v>2.8974074074074077</v>
      </c>
      <c r="EV230" s="4"/>
      <c r="EW230" s="4"/>
      <c r="GR230" s="36">
        <v>0.125</v>
      </c>
      <c r="GS230" s="4">
        <f>GR230*(BA230+EU230+GW230)</f>
        <v>1.9725069444444443</v>
      </c>
      <c r="GT230" s="36">
        <v>1.4999999999999999E-2</v>
      </c>
      <c r="GU230" s="4">
        <f>GT230*(BA230+EU230+DM230)</f>
        <v>0.29433161111111106</v>
      </c>
      <c r="GV230" s="8">
        <v>0.02</v>
      </c>
      <c r="GW230" s="4">
        <f>GV230*(EU230-EP230-EQ230)</f>
        <v>5.7948148148148151E-2</v>
      </c>
      <c r="GX230" s="4">
        <f>GS230+GU230+GW230</f>
        <v>2.3247867037037033</v>
      </c>
      <c r="GY230" t="s">
        <v>130</v>
      </c>
      <c r="GZ230" t="s">
        <v>130</v>
      </c>
      <c r="HA230" s="4">
        <v>650</v>
      </c>
      <c r="HB230" s="4">
        <v>450</v>
      </c>
      <c r="HC230">
        <v>330</v>
      </c>
      <c r="HD230">
        <v>40</v>
      </c>
      <c r="HE230">
        <v>400</v>
      </c>
      <c r="HF230" s="4">
        <f>ROUNDUP(HE230/HD230,0)</f>
        <v>10</v>
      </c>
      <c r="HG230">
        <v>5</v>
      </c>
      <c r="HH230" s="4">
        <f>HF230*HG230</f>
        <v>50</v>
      </c>
      <c r="HI230">
        <v>650</v>
      </c>
      <c r="HJ230" s="10">
        <f>HH230*HI230</f>
        <v>32500</v>
      </c>
      <c r="HM230" s="4">
        <v>2</v>
      </c>
      <c r="HN230" s="10">
        <f>HM230*12*25*HE230</f>
        <v>240000</v>
      </c>
      <c r="HO230" s="4">
        <f>IF(GY230="carton box",HI230/HD230,HJ230/HN230)</f>
        <v>0.13541666666666666</v>
      </c>
      <c r="HP230" s="4">
        <v>160</v>
      </c>
      <c r="HQ230">
        <v>0</v>
      </c>
      <c r="HR230" s="4">
        <f>HP230*HQ230</f>
        <v>0</v>
      </c>
      <c r="HS230" s="4">
        <v>0</v>
      </c>
      <c r="HT230" s="4">
        <f>IF(ISERROR(HR230/HS230),0,HR230/HS230)</f>
        <v>0</v>
      </c>
      <c r="HU230" s="4"/>
      <c r="HV230" s="4">
        <f>HO230+HT230</f>
        <v>0.13541666666666666</v>
      </c>
      <c r="HW230" s="4"/>
      <c r="HX230" s="4">
        <v>4200</v>
      </c>
      <c r="HY230" s="4">
        <v>1900</v>
      </c>
      <c r="HZ230" s="4">
        <v>1975</v>
      </c>
      <c r="IA230" s="4">
        <v>6</v>
      </c>
      <c r="IB230" s="4">
        <v>4</v>
      </c>
      <c r="IC230" s="4">
        <v>5</v>
      </c>
      <c r="ID230" s="8">
        <v>0.95</v>
      </c>
      <c r="IE230" s="4">
        <f>ROUNDUP(PRODUCT(IA230:ID230),0)</f>
        <v>114</v>
      </c>
      <c r="IF230" s="4">
        <v>5000</v>
      </c>
      <c r="IG230" s="4">
        <f>IF230/(IE230*HD230)</f>
        <v>1.0964912280701755</v>
      </c>
      <c r="IH230" s="4"/>
      <c r="II230" s="9">
        <v>0.01</v>
      </c>
      <c r="IJ230" s="4">
        <f>(BA230+EU230+GS230+GU230+GW230+DO230+HV230+IG230)*II230</f>
        <v>0.19376302005847953</v>
      </c>
    </row>
    <row r="231" spans="1:245">
      <c r="A231">
        <v>106</v>
      </c>
      <c r="B231" t="s">
        <v>468</v>
      </c>
      <c r="C231" t="s">
        <v>466</v>
      </c>
      <c r="D231" s="28" t="s">
        <v>83</v>
      </c>
      <c r="E231" s="27" t="s">
        <v>84</v>
      </c>
      <c r="F231" s="5" t="s">
        <v>2182</v>
      </c>
      <c r="G231" t="s">
        <v>90</v>
      </c>
      <c r="I231" s="27" t="s">
        <v>226</v>
      </c>
      <c r="J231" s="28">
        <v>21590</v>
      </c>
      <c r="K231" s="27" t="s">
        <v>397</v>
      </c>
      <c r="L231" s="28">
        <v>20089</v>
      </c>
      <c r="M231" s="28" t="s">
        <v>464</v>
      </c>
      <c r="N231" s="28"/>
      <c r="O231" s="28"/>
      <c r="P231" s="28"/>
      <c r="Q231" s="28" t="s">
        <v>1035</v>
      </c>
      <c r="R231" s="28" t="s">
        <v>1769</v>
      </c>
      <c r="S231" s="27"/>
      <c r="T231" s="27"/>
      <c r="U231" s="27"/>
      <c r="V231" s="29" t="s">
        <v>79</v>
      </c>
      <c r="W231" s="53" t="s">
        <v>463</v>
      </c>
      <c r="X231" s="53"/>
      <c r="Y231" s="53"/>
      <c r="Z231" s="53"/>
      <c r="AA231" s="86" t="s">
        <v>461</v>
      </c>
      <c r="AB231" s="57">
        <v>130.19999999999999</v>
      </c>
      <c r="AC231">
        <v>20</v>
      </c>
      <c r="AD231" t="s">
        <v>462</v>
      </c>
      <c r="AE231" s="7">
        <f>BA231</f>
        <v>12.8247</v>
      </c>
      <c r="AF231" s="7"/>
      <c r="AG231" s="7">
        <f>EU231</f>
        <v>2.8974074074074077</v>
      </c>
      <c r="AH231" s="7">
        <f>DM231</f>
        <v>3.9000000000000004</v>
      </c>
      <c r="AI231" s="7">
        <f>DO231</f>
        <v>9.7500000000000017E-2</v>
      </c>
      <c r="AJ231" s="7">
        <f>GW231</f>
        <v>5.7948148148148151E-2</v>
      </c>
      <c r="AK231" s="7">
        <f>GU231</f>
        <v>0.29433161111111106</v>
      </c>
      <c r="AL231" s="7">
        <f>GS231</f>
        <v>1.9725069444444443</v>
      </c>
      <c r="AM231" s="7">
        <f>HV231</f>
        <v>0.13541666666666666</v>
      </c>
      <c r="AN231" s="7">
        <f>IG231</f>
        <v>1.0964912280701755</v>
      </c>
      <c r="AO231" s="7">
        <v>0</v>
      </c>
      <c r="AP231" s="7"/>
      <c r="AQ231" s="7">
        <f>SUM(AE231:AO231)</f>
        <v>23.276302005847953</v>
      </c>
      <c r="AR231" s="7">
        <f>IJ231</f>
        <v>0.19376302005847953</v>
      </c>
      <c r="AS231" s="7"/>
      <c r="AT231" s="7">
        <v>0</v>
      </c>
      <c r="AU231" s="7">
        <v>0</v>
      </c>
      <c r="AV231" s="7">
        <f>AQ231+AT231+AU231+AR231</f>
        <v>23.470065025906433</v>
      </c>
      <c r="AW231" s="14">
        <v>9.8500000000000004E-2</v>
      </c>
      <c r="AX231" s="14">
        <v>9.8500000000000004E-2</v>
      </c>
      <c r="AY231" s="8">
        <v>1</v>
      </c>
      <c r="AZ231" s="4">
        <f>(AW231-AX231)*AY231</f>
        <v>0</v>
      </c>
      <c r="BA231" s="4">
        <f>AW231*AB231-AZ231*AC231</f>
        <v>12.8247</v>
      </c>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E231" s="4"/>
      <c r="CF231" s="4">
        <v>3</v>
      </c>
      <c r="CG231" s="4">
        <v>1.3</v>
      </c>
      <c r="CH231" s="4">
        <f>CF231*CG231</f>
        <v>3.9000000000000004</v>
      </c>
      <c r="DM231" s="4">
        <f>CH231+CM231+CR231+CW231+DB231+DG231+DL231</f>
        <v>3.9000000000000004</v>
      </c>
      <c r="DN231" s="36">
        <v>2.5000000000000001E-2</v>
      </c>
      <c r="DO231" s="4">
        <f>DM231*DN231</f>
        <v>9.7500000000000017E-2</v>
      </c>
      <c r="DP231" s="4">
        <f>DM231+DO231</f>
        <v>3.9975000000000005</v>
      </c>
      <c r="DQ231" s="4"/>
      <c r="DR231" s="4"/>
      <c r="DS231" s="4"/>
      <c r="DT231" s="4"/>
      <c r="DU231" s="4"/>
      <c r="DV231" s="4"/>
      <c r="DW231" s="4"/>
      <c r="DX231" s="4"/>
      <c r="DY231" s="4"/>
      <c r="DZ231" s="4"/>
      <c r="EA231" s="4"/>
      <c r="EB231" s="4"/>
      <c r="EC231" s="4"/>
      <c r="ED231" s="4"/>
      <c r="EE231" s="4"/>
      <c r="EF231">
        <v>160</v>
      </c>
      <c r="EG231">
        <v>1950</v>
      </c>
      <c r="EH231">
        <v>7.5</v>
      </c>
      <c r="EI231" s="8">
        <v>0.9</v>
      </c>
      <c r="EJ231">
        <v>2</v>
      </c>
      <c r="EK231">
        <v>60</v>
      </c>
      <c r="EL231" s="10">
        <f>ROUNDUP(3600/EK231*EH231*EJ231*EI231,0)</f>
        <v>810</v>
      </c>
      <c r="ER231">
        <v>0.49</v>
      </c>
      <c r="EU231" s="4">
        <f>EG231/EL231+EM231+EX231+EP231+EQ231+ER231</f>
        <v>2.8974074074074077</v>
      </c>
      <c r="EV231" s="4"/>
      <c r="EW231" s="4"/>
      <c r="GR231" s="36">
        <v>0.125</v>
      </c>
      <c r="GS231" s="4">
        <f>GR231*(BA231+EU231+GW231)</f>
        <v>1.9725069444444443</v>
      </c>
      <c r="GT231" s="36">
        <v>1.4999999999999999E-2</v>
      </c>
      <c r="GU231" s="4">
        <f>GT231*(BA231+EU231+DM231)</f>
        <v>0.29433161111111106</v>
      </c>
      <c r="GV231" s="8">
        <v>0.02</v>
      </c>
      <c r="GW231" s="4">
        <f>GV231*(EU231-EP231-EQ231)</f>
        <v>5.7948148148148151E-2</v>
      </c>
      <c r="GX231" s="4">
        <f>GS231+GU231+GW231</f>
        <v>2.3247867037037033</v>
      </c>
      <c r="GY231" t="s">
        <v>130</v>
      </c>
      <c r="GZ231" t="s">
        <v>130</v>
      </c>
      <c r="HA231" s="4">
        <v>650</v>
      </c>
      <c r="HB231" s="4">
        <v>450</v>
      </c>
      <c r="HC231">
        <v>330</v>
      </c>
      <c r="HD231">
        <v>40</v>
      </c>
      <c r="HE231">
        <v>400</v>
      </c>
      <c r="HF231" s="4">
        <f>ROUNDUP(HE231/HD231,0)</f>
        <v>10</v>
      </c>
      <c r="HG231">
        <v>5</v>
      </c>
      <c r="HH231" s="4">
        <f>HF231*HG231</f>
        <v>50</v>
      </c>
      <c r="HI231">
        <v>650</v>
      </c>
      <c r="HJ231" s="10">
        <f>HH231*HI231</f>
        <v>32500</v>
      </c>
      <c r="HM231" s="4">
        <v>2</v>
      </c>
      <c r="HN231" s="10">
        <f>HM231*12*25*HE231</f>
        <v>240000</v>
      </c>
      <c r="HO231" s="4">
        <f>IF(GY231="carton box",HI231/HD231,HJ231/HN231)</f>
        <v>0.13541666666666666</v>
      </c>
      <c r="HP231" s="4">
        <v>160</v>
      </c>
      <c r="HQ231">
        <v>0</v>
      </c>
      <c r="HR231" s="4">
        <f>HP231*HQ231</f>
        <v>0</v>
      </c>
      <c r="HS231" s="4">
        <v>0</v>
      </c>
      <c r="HT231" s="4">
        <f>IF(ISERROR(HR231/HS231),0,HR231/HS231)</f>
        <v>0</v>
      </c>
      <c r="HU231" s="4"/>
      <c r="HV231" s="4">
        <f>HO231+HT231</f>
        <v>0.13541666666666666</v>
      </c>
      <c r="HW231" s="4"/>
      <c r="HX231" s="4">
        <v>4200</v>
      </c>
      <c r="HY231" s="4">
        <v>1900</v>
      </c>
      <c r="HZ231" s="4">
        <v>1975</v>
      </c>
      <c r="IA231" s="4">
        <v>6</v>
      </c>
      <c r="IB231" s="4">
        <v>4</v>
      </c>
      <c r="IC231" s="4">
        <v>5</v>
      </c>
      <c r="ID231" s="8">
        <v>0.95</v>
      </c>
      <c r="IE231" s="4">
        <f>ROUNDUP(PRODUCT(IA231:ID231),0)</f>
        <v>114</v>
      </c>
      <c r="IF231" s="4">
        <v>5000</v>
      </c>
      <c r="IG231" s="4">
        <f>IF231/(IE231*HD231)</f>
        <v>1.0964912280701755</v>
      </c>
      <c r="IH231" s="4"/>
      <c r="II231" s="9">
        <v>0.01</v>
      </c>
      <c r="IJ231" s="4">
        <f>(BA231+EU231+GS231+GU231+GW231+DO231+HV231+IG231)*II231</f>
        <v>0.19376302005847953</v>
      </c>
      <c r="IK231" s="4"/>
    </row>
    <row r="232" spans="1:245">
      <c r="A232">
        <v>146</v>
      </c>
      <c r="B232" t="s">
        <v>468</v>
      </c>
      <c r="C232" t="s">
        <v>473</v>
      </c>
      <c r="D232" s="28" t="s">
        <v>340</v>
      </c>
      <c r="E232" s="27" t="s">
        <v>341</v>
      </c>
      <c r="F232" s="27" t="s">
        <v>2192</v>
      </c>
      <c r="G232" t="s">
        <v>90</v>
      </c>
      <c r="H232" t="s">
        <v>2212</v>
      </c>
      <c r="I232" s="27" t="s">
        <v>121</v>
      </c>
      <c r="J232" s="28">
        <v>21160</v>
      </c>
      <c r="K232" s="27" t="s">
        <v>401</v>
      </c>
      <c r="L232" s="28"/>
      <c r="M232" s="28"/>
      <c r="N232" s="28"/>
      <c r="O232" s="28"/>
      <c r="P232" s="28"/>
      <c r="Q232" s="28" t="s">
        <v>1841</v>
      </c>
      <c r="R232" s="28" t="s">
        <v>1769</v>
      </c>
      <c r="S232" s="27"/>
      <c r="T232" s="27"/>
      <c r="U232" s="27"/>
      <c r="V232" s="29" t="s">
        <v>79</v>
      </c>
      <c r="W232"/>
      <c r="X232"/>
      <c r="Y232"/>
      <c r="Z232"/>
      <c r="AA232" s="21"/>
    </row>
    <row r="233" spans="1:245">
      <c r="A233">
        <v>147</v>
      </c>
      <c r="B233" t="s">
        <v>468</v>
      </c>
      <c r="C233" t="s">
        <v>475</v>
      </c>
      <c r="D233" s="28" t="s">
        <v>340</v>
      </c>
      <c r="E233" s="27" t="s">
        <v>341</v>
      </c>
      <c r="F233" s="27" t="s">
        <v>2192</v>
      </c>
      <c r="G233" t="s">
        <v>90</v>
      </c>
      <c r="H233" t="s">
        <v>2213</v>
      </c>
      <c r="I233" s="27" t="s">
        <v>121</v>
      </c>
      <c r="J233" s="28">
        <v>21205</v>
      </c>
      <c r="K233" s="27" t="s">
        <v>395</v>
      </c>
      <c r="L233" s="28"/>
      <c r="M233" s="28"/>
      <c r="N233" s="28"/>
      <c r="O233" s="28"/>
      <c r="P233" s="28"/>
      <c r="Q233" s="28" t="s">
        <v>1841</v>
      </c>
      <c r="R233" s="28" t="s">
        <v>1769</v>
      </c>
      <c r="S233" s="27"/>
      <c r="T233" s="27"/>
      <c r="U233" s="27"/>
      <c r="V233" s="29" t="s">
        <v>79</v>
      </c>
      <c r="W233"/>
      <c r="X233"/>
      <c r="Y233"/>
      <c r="Z233"/>
      <c r="AA233" s="21"/>
    </row>
    <row r="234" spans="1:245">
      <c r="A234">
        <v>148</v>
      </c>
      <c r="B234" t="s">
        <v>468</v>
      </c>
      <c r="C234" t="s">
        <v>473</v>
      </c>
      <c r="D234" s="28" t="s">
        <v>340</v>
      </c>
      <c r="E234" s="27" t="s">
        <v>341</v>
      </c>
      <c r="F234" s="27" t="s">
        <v>2192</v>
      </c>
      <c r="G234" t="s">
        <v>90</v>
      </c>
      <c r="H234" t="s">
        <v>2214</v>
      </c>
      <c r="I234" s="27" t="s">
        <v>94</v>
      </c>
      <c r="J234" s="28">
        <v>21160</v>
      </c>
      <c r="K234" s="27" t="s">
        <v>401</v>
      </c>
      <c r="L234" s="28"/>
      <c r="M234" s="28"/>
      <c r="N234" s="28"/>
      <c r="O234" s="28"/>
      <c r="P234" s="28"/>
      <c r="Q234" s="28" t="s">
        <v>1841</v>
      </c>
      <c r="R234" s="28" t="s">
        <v>1769</v>
      </c>
      <c r="S234" s="27"/>
      <c r="T234" s="27"/>
      <c r="U234" s="27"/>
      <c r="V234" s="29" t="s">
        <v>79</v>
      </c>
      <c r="W234"/>
      <c r="X234"/>
      <c r="Y234"/>
      <c r="Z234"/>
      <c r="AA234" s="21"/>
    </row>
    <row r="235" spans="1:245">
      <c r="A235">
        <v>149</v>
      </c>
      <c r="B235" t="s">
        <v>468</v>
      </c>
      <c r="C235" t="s">
        <v>475</v>
      </c>
      <c r="D235" s="28" t="s">
        <v>340</v>
      </c>
      <c r="E235" s="27" t="s">
        <v>341</v>
      </c>
      <c r="F235" s="27" t="s">
        <v>2192</v>
      </c>
      <c r="G235" t="s">
        <v>90</v>
      </c>
      <c r="H235" t="s">
        <v>2215</v>
      </c>
      <c r="I235" s="27" t="s">
        <v>94</v>
      </c>
      <c r="J235" s="28">
        <v>21205</v>
      </c>
      <c r="K235" s="27" t="s">
        <v>395</v>
      </c>
      <c r="L235" s="28"/>
      <c r="M235" s="28"/>
      <c r="N235" s="28"/>
      <c r="O235" s="28"/>
      <c r="P235" s="28"/>
      <c r="Q235" s="28" t="s">
        <v>1841</v>
      </c>
      <c r="R235" s="28" t="s">
        <v>1769</v>
      </c>
      <c r="S235" s="27"/>
      <c r="T235" s="27"/>
      <c r="U235" s="27"/>
      <c r="V235" s="29" t="s">
        <v>79</v>
      </c>
      <c r="W235"/>
      <c r="X235"/>
      <c r="Y235"/>
      <c r="Z235"/>
      <c r="AA235" s="21"/>
    </row>
    <row r="236" spans="1:245">
      <c r="A236">
        <v>143</v>
      </c>
      <c r="B236" t="s">
        <v>468</v>
      </c>
      <c r="C236" t="s">
        <v>1871</v>
      </c>
      <c r="D236" s="28" t="s">
        <v>336</v>
      </c>
      <c r="E236" s="27" t="s">
        <v>337</v>
      </c>
      <c r="F236" s="27"/>
      <c r="G236" t="s">
        <v>90</v>
      </c>
      <c r="I236" s="27" t="s">
        <v>121</v>
      </c>
      <c r="J236" s="28">
        <v>21710</v>
      </c>
      <c r="K236" s="27" t="s">
        <v>407</v>
      </c>
      <c r="L236" s="28">
        <v>21614</v>
      </c>
      <c r="M236" s="28" t="s">
        <v>121</v>
      </c>
      <c r="N236" s="28" t="s">
        <v>1872</v>
      </c>
      <c r="O236" s="28" t="s">
        <v>1038</v>
      </c>
      <c r="P236" s="331">
        <v>44163</v>
      </c>
      <c r="Q236" s="28" t="s">
        <v>1777</v>
      </c>
      <c r="R236" s="28" t="s">
        <v>1769</v>
      </c>
      <c r="S236" s="27"/>
      <c r="T236" s="27"/>
      <c r="U236" s="27"/>
      <c r="V236" s="29" t="s">
        <v>79</v>
      </c>
      <c r="W236" t="s">
        <v>496</v>
      </c>
      <c r="X236"/>
      <c r="Y236"/>
      <c r="Z236"/>
      <c r="AA236" s="21"/>
    </row>
    <row r="237" spans="1:245">
      <c r="A237">
        <v>145</v>
      </c>
      <c r="B237" t="s">
        <v>468</v>
      </c>
      <c r="C237" t="s">
        <v>472</v>
      </c>
      <c r="D237" s="28" t="s">
        <v>338</v>
      </c>
      <c r="E237" s="27" t="s">
        <v>339</v>
      </c>
      <c r="F237" s="5" t="s">
        <v>2182</v>
      </c>
      <c r="G237" t="s">
        <v>90</v>
      </c>
      <c r="I237" s="27" t="s">
        <v>121</v>
      </c>
      <c r="J237" s="28">
        <v>21697</v>
      </c>
      <c r="K237" s="27" t="s">
        <v>227</v>
      </c>
      <c r="L237" s="28"/>
      <c r="M237" s="28"/>
      <c r="N237" s="28"/>
      <c r="O237" s="28"/>
      <c r="P237" s="28"/>
      <c r="Q237" s="28" t="s">
        <v>1035</v>
      </c>
      <c r="R237" s="28" t="s">
        <v>1194</v>
      </c>
      <c r="S237" s="27"/>
      <c r="T237" s="27"/>
      <c r="U237" s="27"/>
      <c r="V237" s="29" t="s">
        <v>79</v>
      </c>
      <c r="W237" s="53" t="s">
        <v>471</v>
      </c>
      <c r="X237" s="53"/>
      <c r="Y237" s="53"/>
      <c r="Z237" s="53"/>
      <c r="AA237" s="86" t="s">
        <v>469</v>
      </c>
      <c r="AB237" s="66">
        <v>123.41</v>
      </c>
      <c r="AC237">
        <v>20</v>
      </c>
      <c r="AD237" t="s">
        <v>297</v>
      </c>
      <c r="AE237" s="7">
        <f>BA237</f>
        <v>26.883379999999999</v>
      </c>
      <c r="AF237" s="7"/>
      <c r="AG237" s="7">
        <f>EU237</f>
        <v>9.3582887700534751</v>
      </c>
      <c r="AH237" s="7">
        <f>DM237</f>
        <v>2.7</v>
      </c>
      <c r="AI237" s="7">
        <f>DO237</f>
        <v>3.3750000000000002E-2</v>
      </c>
      <c r="AJ237" s="7">
        <f>GW237</f>
        <v>0.18716577540106952</v>
      </c>
      <c r="AK237" s="7">
        <f>GU237</f>
        <v>0.48677085962566846</v>
      </c>
      <c r="AL237" s="7">
        <f>GS237</f>
        <v>1.993291782352941</v>
      </c>
      <c r="AM237" s="7">
        <f>HV237</f>
        <v>0.18333333333333332</v>
      </c>
      <c r="AN237" s="7">
        <f>IG237</f>
        <v>0.17543859649122806</v>
      </c>
      <c r="AO237" s="7">
        <v>0</v>
      </c>
      <c r="AP237" s="7"/>
      <c r="AQ237" s="7">
        <f>SUM(AE237:AO237)</f>
        <v>42.001419117257711</v>
      </c>
      <c r="AR237" s="7">
        <f>IJ237</f>
        <v>0</v>
      </c>
      <c r="AS237" s="7"/>
      <c r="AT237" s="7">
        <v>0</v>
      </c>
      <c r="AU237" s="7">
        <v>0</v>
      </c>
      <c r="AV237" s="7">
        <f>AQ237+AT237+AU237+AR237</f>
        <v>42.001419117257711</v>
      </c>
      <c r="AW237" s="14">
        <v>0.218</v>
      </c>
      <c r="AX237" s="14">
        <v>0.217</v>
      </c>
      <c r="AY237" s="8">
        <v>1</v>
      </c>
      <c r="AZ237" s="14">
        <f>(AW237-AX237)*AY237</f>
        <v>1.0000000000000009E-3</v>
      </c>
      <c r="BA237" s="4">
        <f>AW237*AB237-AZ237*AC237</f>
        <v>26.883379999999999</v>
      </c>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t="s">
        <v>470</v>
      </c>
      <c r="CE237" s="4"/>
      <c r="CF237" s="4">
        <v>1</v>
      </c>
      <c r="CG237" s="4">
        <v>2.7</v>
      </c>
      <c r="CH237" s="4">
        <f>CF237*CG237</f>
        <v>2.7</v>
      </c>
      <c r="DM237" s="4">
        <f>CH237+CM237+CR237+CW237+DB237+DG237+DL237</f>
        <v>2.7</v>
      </c>
      <c r="DN237" s="9">
        <v>1.2500000000000001E-2</v>
      </c>
      <c r="DO237" s="4">
        <f>DN237*DM237</f>
        <v>3.3750000000000002E-2</v>
      </c>
      <c r="DP237" s="4">
        <f>DM237+DO237</f>
        <v>2.7337500000000001</v>
      </c>
      <c r="DQ237" s="4"/>
      <c r="DR237" s="4"/>
      <c r="DS237" s="4"/>
      <c r="DT237" s="4"/>
      <c r="DU237" s="4"/>
      <c r="DV237" s="4"/>
      <c r="DW237" s="4"/>
      <c r="DX237" s="4"/>
      <c r="DY237" s="4"/>
      <c r="DZ237" s="4"/>
      <c r="EA237" s="4"/>
      <c r="EB237" s="4"/>
      <c r="EC237" s="4"/>
      <c r="ED237" s="4"/>
      <c r="EE237" s="4"/>
      <c r="EF237">
        <v>350</v>
      </c>
      <c r="EG237">
        <v>3500</v>
      </c>
      <c r="EH237">
        <v>7.5</v>
      </c>
      <c r="EI237" s="8">
        <v>0.9</v>
      </c>
      <c r="EJ237">
        <v>1</v>
      </c>
      <c r="EK237">
        <v>65</v>
      </c>
      <c r="EL237" s="10">
        <f>ROUNDUP(3600/EK237*EH237*EJ237*EI237,0)</f>
        <v>374</v>
      </c>
      <c r="EU237" s="4">
        <f>EG237/EL237+EM237+EX237+EP237+EQ237+ER237</f>
        <v>9.3582887700534751</v>
      </c>
      <c r="EV237" s="4"/>
      <c r="EW237" s="4"/>
      <c r="GR237" s="8">
        <v>0.11</v>
      </c>
      <c r="GS237" s="4">
        <f>GR237*(BA237+EU237)/2</f>
        <v>1.993291782352941</v>
      </c>
      <c r="GT237" s="9">
        <v>1.2500000000000001E-2</v>
      </c>
      <c r="GU237" s="4">
        <f>GT237*(BA237+EU237+DM237)</f>
        <v>0.48677085962566846</v>
      </c>
      <c r="GV237" s="8">
        <v>0.02</v>
      </c>
      <c r="GW237" s="4">
        <f>GV237*(EU237-EP237-EQ237)</f>
        <v>0.18716577540106952</v>
      </c>
      <c r="GX237" s="4">
        <f>GS237+GU237+GW237</f>
        <v>2.667228417379679</v>
      </c>
      <c r="GY237" t="s">
        <v>130</v>
      </c>
      <c r="GZ237" t="s">
        <v>130</v>
      </c>
      <c r="HA237" s="4">
        <v>810</v>
      </c>
      <c r="HB237" s="4">
        <v>568</v>
      </c>
      <c r="HC237">
        <v>425</v>
      </c>
      <c r="HD237">
        <v>50</v>
      </c>
      <c r="HE237">
        <v>800</v>
      </c>
      <c r="HF237" s="4">
        <f>ROUNDUP(HE237/HD237,0)</f>
        <v>16</v>
      </c>
      <c r="HG237">
        <v>5</v>
      </c>
      <c r="HH237" s="4">
        <f>HF237*HG237</f>
        <v>80</v>
      </c>
      <c r="HI237">
        <v>1100</v>
      </c>
      <c r="HJ237" s="4">
        <f>HH237*HI237</f>
        <v>88000</v>
      </c>
      <c r="HM237" s="4">
        <v>2</v>
      </c>
      <c r="HN237" s="10">
        <f>HM237*12*25*HE237</f>
        <v>480000</v>
      </c>
      <c r="HO237" s="4">
        <f>IF(GY237="carton box",HI237/HD237,HJ237/HN237)</f>
        <v>0.18333333333333332</v>
      </c>
      <c r="HP237" s="4">
        <v>160</v>
      </c>
      <c r="HQ237">
        <v>0</v>
      </c>
      <c r="HR237" s="4">
        <f>HP237*HQ237</f>
        <v>0</v>
      </c>
      <c r="HS237" s="4">
        <v>0</v>
      </c>
      <c r="HT237" s="4">
        <f>IF(ISERROR(HR237/HS237),0,HR237/HS237)</f>
        <v>0</v>
      </c>
      <c r="HU237" s="4"/>
      <c r="HV237" s="4">
        <f>HO237+HT237</f>
        <v>0.18333333333333332</v>
      </c>
      <c r="HW237" s="4"/>
      <c r="HX237" s="4">
        <v>4200</v>
      </c>
      <c r="HY237" s="4">
        <v>1900</v>
      </c>
      <c r="HZ237" s="4">
        <v>1975</v>
      </c>
      <c r="IA237" s="4">
        <v>5</v>
      </c>
      <c r="IB237" s="4">
        <v>3</v>
      </c>
      <c r="IC237" s="4">
        <v>4</v>
      </c>
      <c r="ID237" s="8">
        <v>0.95</v>
      </c>
      <c r="IE237" s="4">
        <f>ROUND(PRODUCT(IA237:ID237),0)</f>
        <v>57</v>
      </c>
      <c r="IF237" s="4">
        <v>500</v>
      </c>
      <c r="IG237" s="4">
        <f>IF237/(IE237*HD237)</f>
        <v>0.17543859649122806</v>
      </c>
      <c r="IH237" s="4"/>
      <c r="II237" s="9"/>
      <c r="IJ237" s="4"/>
      <c r="IK237" s="4"/>
    </row>
    <row r="238" spans="1:245">
      <c r="A238">
        <v>152</v>
      </c>
      <c r="B238" t="s">
        <v>468</v>
      </c>
      <c r="C238" t="s">
        <v>477</v>
      </c>
      <c r="D238" s="28" t="s">
        <v>344</v>
      </c>
      <c r="E238" s="27" t="s">
        <v>345</v>
      </c>
      <c r="F238" s="27" t="s">
        <v>2192</v>
      </c>
      <c r="G238" t="s">
        <v>90</v>
      </c>
      <c r="H238" t="s">
        <v>2216</v>
      </c>
      <c r="I238" s="27" t="s">
        <v>121</v>
      </c>
      <c r="J238" s="28">
        <v>21589</v>
      </c>
      <c r="K238" s="27" t="s">
        <v>405</v>
      </c>
      <c r="L238" s="28"/>
      <c r="M238" s="28"/>
      <c r="N238" s="28"/>
      <c r="O238" s="28"/>
      <c r="P238" s="28"/>
      <c r="Q238" s="28" t="s">
        <v>1035</v>
      </c>
      <c r="R238" s="28" t="s">
        <v>1194</v>
      </c>
      <c r="S238" s="27"/>
      <c r="T238" s="27"/>
      <c r="U238" s="27"/>
      <c r="V238" s="29" t="s">
        <v>79</v>
      </c>
      <c r="W238"/>
      <c r="X238"/>
      <c r="Y238"/>
      <c r="Z238"/>
      <c r="AA238" s="21"/>
    </row>
    <row r="239" spans="1:245">
      <c r="A239">
        <v>150</v>
      </c>
      <c r="B239" t="s">
        <v>468</v>
      </c>
      <c r="C239" t="s">
        <v>473</v>
      </c>
      <c r="D239" s="28" t="s">
        <v>340</v>
      </c>
      <c r="E239" s="27" t="s">
        <v>341</v>
      </c>
      <c r="F239" s="27"/>
      <c r="G239" t="s">
        <v>90</v>
      </c>
      <c r="I239" s="27" t="s">
        <v>226</v>
      </c>
      <c r="J239" s="28">
        <v>21425</v>
      </c>
      <c r="K239" s="27" t="s">
        <v>406</v>
      </c>
      <c r="L239" s="28">
        <v>21160</v>
      </c>
      <c r="M239" s="28" t="s">
        <v>464</v>
      </c>
      <c r="N239" s="28" t="s">
        <v>1873</v>
      </c>
      <c r="O239" s="28" t="s">
        <v>1874</v>
      </c>
      <c r="P239" s="331">
        <v>43796</v>
      </c>
      <c r="Q239" s="28" t="s">
        <v>1841</v>
      </c>
      <c r="R239" s="28" t="s">
        <v>1769</v>
      </c>
      <c r="S239" s="27"/>
      <c r="T239" s="27"/>
      <c r="U239" s="27"/>
      <c r="V239" s="29" t="s">
        <v>79</v>
      </c>
      <c r="W239" s="54" t="s">
        <v>474</v>
      </c>
      <c r="X239" s="54"/>
      <c r="Y239" s="54"/>
      <c r="Z239" s="54"/>
      <c r="AA239" s="21"/>
    </row>
    <row r="240" spans="1:245">
      <c r="A240">
        <v>153</v>
      </c>
      <c r="B240" t="s">
        <v>468</v>
      </c>
      <c r="C240" t="s">
        <v>480</v>
      </c>
      <c r="D240" s="28" t="s">
        <v>346</v>
      </c>
      <c r="E240" s="27" t="s">
        <v>347</v>
      </c>
      <c r="F240" s="5" t="s">
        <v>2182</v>
      </c>
      <c r="G240" t="s">
        <v>90</v>
      </c>
      <c r="I240" s="27" t="s">
        <v>121</v>
      </c>
      <c r="J240" s="28">
        <v>21697</v>
      </c>
      <c r="K240" s="27" t="s">
        <v>227</v>
      </c>
      <c r="L240" s="28"/>
      <c r="M240" s="28"/>
      <c r="N240" s="28"/>
      <c r="O240" s="28"/>
      <c r="P240" s="28"/>
      <c r="Q240" s="28" t="s">
        <v>1875</v>
      </c>
      <c r="R240" s="28" t="s">
        <v>1831</v>
      </c>
      <c r="S240" s="27"/>
      <c r="T240" s="27"/>
      <c r="U240" s="27"/>
      <c r="V240" s="29" t="s">
        <v>79</v>
      </c>
      <c r="W240" s="53"/>
      <c r="X240" s="53"/>
      <c r="Y240" s="53"/>
      <c r="Z240" s="53"/>
      <c r="AA240" s="86" t="s">
        <v>478</v>
      </c>
      <c r="AB240" s="66">
        <v>200.97</v>
      </c>
      <c r="AC240">
        <v>20</v>
      </c>
      <c r="AD240" t="s">
        <v>479</v>
      </c>
      <c r="AE240" s="7">
        <f>BA240</f>
        <v>17.826329999999999</v>
      </c>
      <c r="AF240" s="7"/>
      <c r="AG240" s="7">
        <f>EU240</f>
        <v>2.3054755043227666</v>
      </c>
      <c r="AH240" s="7">
        <f>DM240</f>
        <v>0</v>
      </c>
      <c r="AI240" s="7">
        <f>DO240</f>
        <v>0</v>
      </c>
      <c r="AJ240" s="7">
        <f>GW240</f>
        <v>4.6109510086455335E-2</v>
      </c>
      <c r="AK240" s="7">
        <f>GU240</f>
        <v>0.2516475688040346</v>
      </c>
      <c r="AL240" s="7">
        <f>GS240</f>
        <v>2.2195706515850144</v>
      </c>
      <c r="AM240" s="7">
        <f>HV240</f>
        <v>0.27083333333333331</v>
      </c>
      <c r="AN240" s="7">
        <f>IG240</f>
        <v>0.03</v>
      </c>
      <c r="AO240" s="7">
        <v>0</v>
      </c>
      <c r="AP240" s="7"/>
      <c r="AQ240" s="7">
        <f>SUM(AE240:AO240)</f>
        <v>22.949966568131604</v>
      </c>
      <c r="AR240" s="7">
        <f>IJ240</f>
        <v>0.22949966568131605</v>
      </c>
      <c r="AS240" s="7"/>
      <c r="AT240" s="7">
        <v>0</v>
      </c>
      <c r="AU240" s="7">
        <v>0</v>
      </c>
      <c r="AV240" s="7">
        <f>AQ240+AT240+AU240+AR240</f>
        <v>23.179466233812921</v>
      </c>
      <c r="AW240" s="55">
        <v>8.8999999999999996E-2</v>
      </c>
      <c r="AX240" s="55">
        <v>8.5999999999999993E-2</v>
      </c>
      <c r="AY240" s="8">
        <v>1</v>
      </c>
      <c r="AZ240" s="4">
        <f>(AW240-AX240)*AY240</f>
        <v>3.0000000000000027E-3</v>
      </c>
      <c r="BA240" s="4">
        <f>AW240*AB240-(AZ240*AC240)*AY240</f>
        <v>17.826329999999999</v>
      </c>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E240" s="4">
        <v>0</v>
      </c>
      <c r="CF240" s="4">
        <v>0</v>
      </c>
      <c r="CG240" s="4">
        <v>0</v>
      </c>
      <c r="CH240">
        <f>CF240*CG240</f>
        <v>0</v>
      </c>
      <c r="CK240">
        <v>0</v>
      </c>
      <c r="CL240">
        <v>0</v>
      </c>
      <c r="CM240">
        <f>CK240*CL240</f>
        <v>0</v>
      </c>
      <c r="CP240">
        <v>0</v>
      </c>
      <c r="CQ240">
        <v>0</v>
      </c>
      <c r="CR240">
        <f>CP240*CQ240</f>
        <v>0</v>
      </c>
      <c r="CU240">
        <v>0</v>
      </c>
      <c r="CV240">
        <v>0</v>
      </c>
      <c r="CW240">
        <f>CU240*CV240</f>
        <v>0</v>
      </c>
      <c r="DM240" s="4">
        <f>CH240+CM240+CR240+CW240+DB240+DG240+DL240</f>
        <v>0</v>
      </c>
      <c r="DN240" s="9">
        <v>1.2500000000000001E-2</v>
      </c>
      <c r="DO240" s="4">
        <f>DN240*(DM240-CG240)</f>
        <v>0</v>
      </c>
      <c r="DP240" s="4">
        <f>DM240+DO240</f>
        <v>0</v>
      </c>
      <c r="DQ240" s="4"/>
      <c r="DR240" s="4"/>
      <c r="DS240" s="4"/>
      <c r="DT240" s="4"/>
      <c r="DU240" s="4"/>
      <c r="DV240" s="4"/>
      <c r="DW240" s="4"/>
      <c r="DX240" s="4"/>
      <c r="DY240" s="4"/>
      <c r="DZ240" s="4"/>
      <c r="EA240" s="4"/>
      <c r="EB240" s="4"/>
      <c r="EC240" s="4"/>
      <c r="ED240" s="4"/>
      <c r="EE240" s="4"/>
      <c r="EF240">
        <v>160</v>
      </c>
      <c r="EG240">
        <v>1600</v>
      </c>
      <c r="EH240">
        <v>7.5</v>
      </c>
      <c r="EI240" s="8">
        <v>0.9</v>
      </c>
      <c r="EJ240">
        <v>2</v>
      </c>
      <c r="EK240">
        <v>70</v>
      </c>
      <c r="EL240" s="10">
        <f>ROUND(3600/EK240*EH240*EJ240*EI240,0)</f>
        <v>694</v>
      </c>
      <c r="EU240" s="14">
        <f>EG240/EL240+EM240+EX240+EP240+EQ240+ER240</f>
        <v>2.3054755043227666</v>
      </c>
      <c r="EV240" s="14"/>
      <c r="EW240" s="14"/>
      <c r="GR240" s="8">
        <v>0.11</v>
      </c>
      <c r="GS240" s="4">
        <f>GR240*(BA240+EU240+GW240)</f>
        <v>2.2195706515850144</v>
      </c>
      <c r="GT240" s="9">
        <v>1.2500000000000001E-2</v>
      </c>
      <c r="GU240" s="4">
        <f>GT240*(EU240+BA240)</f>
        <v>0.2516475688040346</v>
      </c>
      <c r="GV240" s="8">
        <v>0.02</v>
      </c>
      <c r="GW240" s="4">
        <f>GV240*(EU240-EP240-EQ240)</f>
        <v>4.6109510086455335E-2</v>
      </c>
      <c r="GX240" s="4">
        <f>GS240+GU240+GW240</f>
        <v>2.5173277304755044</v>
      </c>
      <c r="GY240" t="s">
        <v>130</v>
      </c>
      <c r="GZ240" t="s">
        <v>130</v>
      </c>
      <c r="HA240" s="4">
        <v>650</v>
      </c>
      <c r="HB240" s="4">
        <v>450</v>
      </c>
      <c r="HC240">
        <v>315</v>
      </c>
      <c r="HD240">
        <v>200</v>
      </c>
      <c r="HE240">
        <v>20</v>
      </c>
      <c r="HF240" s="4">
        <f>ROUNDUP(HE240/HD240,0)</f>
        <v>1</v>
      </c>
      <c r="HG240">
        <v>5</v>
      </c>
      <c r="HH240" s="4">
        <f>HF240*HG240</f>
        <v>5</v>
      </c>
      <c r="HI240">
        <v>650</v>
      </c>
      <c r="HJ240" s="4">
        <f>HH240*HI240</f>
        <v>3250</v>
      </c>
      <c r="HM240" s="4">
        <v>2</v>
      </c>
      <c r="HN240" s="10">
        <f>HM240*12*25*HE240</f>
        <v>12000</v>
      </c>
      <c r="HO240" s="4">
        <f>IF(GY240="carton box",HI240/HD240,HJ240/HN240)</f>
        <v>0.27083333333333331</v>
      </c>
      <c r="HP240" s="4">
        <v>160</v>
      </c>
      <c r="HQ240">
        <v>0</v>
      </c>
      <c r="HR240" s="4">
        <f>HP240*HQ240</f>
        <v>0</v>
      </c>
      <c r="HS240" s="4">
        <v>0</v>
      </c>
      <c r="HT240" s="4">
        <f>IF(ISERROR(HR240/HS240),0,HR240/HS240)</f>
        <v>0</v>
      </c>
      <c r="HU240" s="4"/>
      <c r="HV240" s="4">
        <f>HO240+HT240</f>
        <v>0.27083333333333331</v>
      </c>
      <c r="HW240" s="4"/>
      <c r="HX240" s="4">
        <v>4200</v>
      </c>
      <c r="HY240" s="4">
        <v>1900</v>
      </c>
      <c r="HZ240" s="4">
        <v>1975</v>
      </c>
      <c r="IA240" s="4">
        <v>6</v>
      </c>
      <c r="IB240" s="4">
        <v>4</v>
      </c>
      <c r="IC240" s="4">
        <v>5</v>
      </c>
      <c r="ID240" s="8">
        <v>0.95</v>
      </c>
      <c r="IE240" s="4">
        <f>ROUND(PRODUCT(IA240:ID240),0)</f>
        <v>114</v>
      </c>
      <c r="IF240" s="4">
        <v>500</v>
      </c>
      <c r="IG240" s="4">
        <f>ROUNDUP(IF240/(IE240*HD240),2)</f>
        <v>0.03</v>
      </c>
      <c r="IH240" s="4"/>
      <c r="II240" s="8">
        <v>0.01</v>
      </c>
      <c r="IJ240" s="4">
        <f>(BA240+EU240+GS240+GU240+GW240+DO240+HV240+IG240)*II240</f>
        <v>0.22949966568131605</v>
      </c>
      <c r="IK240" s="4"/>
    </row>
    <row r="241" spans="1:245">
      <c r="A241">
        <v>154</v>
      </c>
      <c r="B241" t="s">
        <v>468</v>
      </c>
      <c r="C241" t="s">
        <v>481</v>
      </c>
      <c r="D241" s="28" t="s">
        <v>346</v>
      </c>
      <c r="E241" s="27" t="s">
        <v>347</v>
      </c>
      <c r="F241" s="5" t="s">
        <v>2182</v>
      </c>
      <c r="G241" t="s">
        <v>90</v>
      </c>
      <c r="I241" s="27" t="s">
        <v>121</v>
      </c>
      <c r="J241" s="28">
        <v>21205</v>
      </c>
      <c r="K241" s="27" t="s">
        <v>395</v>
      </c>
      <c r="L241" s="28"/>
      <c r="M241" s="28"/>
      <c r="N241" s="28"/>
      <c r="O241" s="28"/>
      <c r="P241" s="28"/>
      <c r="Q241" s="28" t="s">
        <v>1033</v>
      </c>
      <c r="R241" s="28" t="s">
        <v>1194</v>
      </c>
      <c r="S241" s="27"/>
      <c r="T241" s="27"/>
      <c r="U241" s="27"/>
      <c r="V241" s="29" t="s">
        <v>79</v>
      </c>
      <c r="W241" s="53"/>
      <c r="X241" s="53"/>
      <c r="Y241" s="53"/>
      <c r="Z241" s="53"/>
      <c r="AA241" s="86" t="s">
        <v>478</v>
      </c>
      <c r="AB241" s="57">
        <v>242</v>
      </c>
      <c r="AC241">
        <v>20</v>
      </c>
      <c r="AD241" t="s">
        <v>272</v>
      </c>
      <c r="AE241" s="7">
        <f>BA241</f>
        <v>22.441199999999998</v>
      </c>
      <c r="AF241" s="7"/>
      <c r="AG241" s="7">
        <f>EU241</f>
        <v>2.0053475935828877</v>
      </c>
      <c r="AH241" s="7">
        <f>DM241</f>
        <v>0</v>
      </c>
      <c r="AI241" s="7">
        <f>DO241</f>
        <v>0</v>
      </c>
      <c r="AJ241" s="7">
        <f>GW241</f>
        <v>4.0106951871657755E-2</v>
      </c>
      <c r="AK241" s="7">
        <f>GU241</f>
        <v>2.556818181818182E-2</v>
      </c>
      <c r="AL241" s="7">
        <f>GS241</f>
        <v>2.7547486363636362</v>
      </c>
      <c r="AM241" s="7">
        <f>HV241</f>
        <v>2.7083333333333334E-2</v>
      </c>
      <c r="AN241" s="7">
        <f>IG241</f>
        <v>7.6923076923076927E-2</v>
      </c>
      <c r="AO241" s="7">
        <v>0</v>
      </c>
      <c r="AP241" s="7"/>
      <c r="AQ241" s="7">
        <f>SUM(AE241:AO241)</f>
        <v>27.370977773892772</v>
      </c>
      <c r="AR241" s="7">
        <f>IJ241</f>
        <v>0.34588667118378191</v>
      </c>
      <c r="AS241" s="7"/>
      <c r="AT241" s="7">
        <v>0</v>
      </c>
      <c r="AU241" s="7">
        <f>0.11</f>
        <v>0.11</v>
      </c>
      <c r="AV241" s="7">
        <f>AQ241+AT241+AU241+AR241</f>
        <v>27.826864445076552</v>
      </c>
      <c r="AW241" s="4">
        <v>9.2999999999999999E-2</v>
      </c>
      <c r="AX241" s="14">
        <f>0.089</f>
        <v>8.8999999999999996E-2</v>
      </c>
      <c r="AY241" s="8">
        <v>0.9</v>
      </c>
      <c r="AZ241" s="4">
        <f>(AW241-AX241)*AY241</f>
        <v>3.6000000000000034E-3</v>
      </c>
      <c r="BA241" s="4">
        <f>AW241*AB241-(AZ241*AC241)*AY241</f>
        <v>22.441199999999998</v>
      </c>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E241" s="4">
        <v>0</v>
      </c>
      <c r="CF241" s="4">
        <v>0</v>
      </c>
      <c r="CG241" s="4">
        <v>0</v>
      </c>
      <c r="CH241">
        <f>CF241*CG241</f>
        <v>0</v>
      </c>
      <c r="CK241">
        <v>0</v>
      </c>
      <c r="CL241">
        <v>0</v>
      </c>
      <c r="CM241">
        <f>CK241*CL241</f>
        <v>0</v>
      </c>
      <c r="CP241">
        <v>0</v>
      </c>
      <c r="CQ241">
        <v>0</v>
      </c>
      <c r="CR241">
        <f>CP241*CQ241</f>
        <v>0</v>
      </c>
      <c r="CU241">
        <v>0</v>
      </c>
      <c r="CV241">
        <v>0</v>
      </c>
      <c r="CW241">
        <f>CU241*CV241</f>
        <v>0</v>
      </c>
      <c r="DM241" s="4">
        <f>CH241+CM241+CR241+CW241+DB241+DG241+DL241</f>
        <v>0</v>
      </c>
      <c r="DN241" s="9">
        <v>1.2500000000000001E-2</v>
      </c>
      <c r="DO241" s="4">
        <f>DN241*(DM241-CG241)</f>
        <v>0</v>
      </c>
      <c r="DP241" s="4">
        <f>DM241+DO241</f>
        <v>0</v>
      </c>
      <c r="DQ241" s="4"/>
      <c r="DR241" s="4"/>
      <c r="DS241" s="4"/>
      <c r="DT241" s="4"/>
      <c r="DU241" s="4"/>
      <c r="DV241" s="4"/>
      <c r="DW241" s="4"/>
      <c r="DX241" s="4"/>
      <c r="DY241" s="4"/>
      <c r="DZ241" s="4"/>
      <c r="EA241" s="4"/>
      <c r="EB241" s="4"/>
      <c r="EC241" s="4"/>
      <c r="ED241" s="4"/>
      <c r="EE241" s="4"/>
      <c r="EF241">
        <v>150</v>
      </c>
      <c r="EG241">
        <v>1500</v>
      </c>
      <c r="EH241">
        <v>7.5</v>
      </c>
      <c r="EI241" s="8">
        <v>0.9</v>
      </c>
      <c r="EJ241">
        <v>2</v>
      </c>
      <c r="EK241">
        <v>65</v>
      </c>
      <c r="EL241" s="10">
        <f>ROUND(3600/EK241*EH241*EJ241*EI241,0)</f>
        <v>748</v>
      </c>
      <c r="EU241" s="4">
        <f>EG241/EL241+EM241+EX241+EP241+EQ241+ER241</f>
        <v>2.0053475935828877</v>
      </c>
      <c r="EV241" s="4"/>
      <c r="EW241" s="4"/>
      <c r="GR241" s="8">
        <v>0.1125</v>
      </c>
      <c r="GS241" s="4">
        <f>GR241*(BA241+EU241+GW241)</f>
        <v>2.7547486363636362</v>
      </c>
      <c r="GT241" s="9">
        <v>1.2500000000000001E-2</v>
      </c>
      <c r="GU241" s="4">
        <f>GT241*(EU241+GW241)</f>
        <v>2.556818181818182E-2</v>
      </c>
      <c r="GV241" s="8">
        <v>0.02</v>
      </c>
      <c r="GW241" s="4">
        <f>GV241*(EU241-EP241-EQ241)</f>
        <v>4.0106951871657755E-2</v>
      </c>
      <c r="GX241" s="4">
        <f>GS241+GU241+GW241</f>
        <v>2.8204237700534756</v>
      </c>
      <c r="GY241" t="s">
        <v>130</v>
      </c>
      <c r="GZ241" t="s">
        <v>130</v>
      </c>
      <c r="HA241" s="4">
        <v>650</v>
      </c>
      <c r="HB241" s="4">
        <v>450</v>
      </c>
      <c r="HC241">
        <v>315</v>
      </c>
      <c r="HD241">
        <v>200</v>
      </c>
      <c r="HE241">
        <v>1000</v>
      </c>
      <c r="HF241" s="4">
        <f>ROUNDUP(HE241/HD241,0)</f>
        <v>5</v>
      </c>
      <c r="HG241">
        <v>5</v>
      </c>
      <c r="HH241" s="4">
        <f>HF241*HG241</f>
        <v>25</v>
      </c>
      <c r="HI241">
        <v>650</v>
      </c>
      <c r="HJ241" s="4">
        <f>HH241*HI241</f>
        <v>16250</v>
      </c>
      <c r="HM241" s="4">
        <v>2</v>
      </c>
      <c r="HN241" s="10">
        <f>HM241*12*25*HE241</f>
        <v>600000</v>
      </c>
      <c r="HO241" s="4">
        <f>IF(GY241="carton box",HI241/HD241,HJ241/HN241)</f>
        <v>2.7083333333333334E-2</v>
      </c>
      <c r="HP241" s="4">
        <v>160</v>
      </c>
      <c r="HQ241">
        <v>0</v>
      </c>
      <c r="HR241" s="4">
        <f>HP241*HQ241</f>
        <v>0</v>
      </c>
      <c r="HS241" s="4">
        <v>0</v>
      </c>
      <c r="HT241" s="4">
        <f>IF(ISERROR(HR241/HS241),0,HR241/HS241)</f>
        <v>0</v>
      </c>
      <c r="HU241" s="4"/>
      <c r="HV241" s="4">
        <f>HO241+HT241</f>
        <v>2.7083333333333334E-2</v>
      </c>
      <c r="HW241" s="4"/>
      <c r="HX241" s="4">
        <v>2800</v>
      </c>
      <c r="HY241" s="4">
        <v>1890</v>
      </c>
      <c r="HZ241" s="4">
        <v>1950</v>
      </c>
      <c r="IA241" s="4">
        <v>4</v>
      </c>
      <c r="IB241" s="4">
        <v>4</v>
      </c>
      <c r="IC241" s="4">
        <v>6</v>
      </c>
      <c r="ID241" s="8">
        <v>0.95</v>
      </c>
      <c r="IE241" s="4">
        <f>ROUND(PRODUCT(IA241:ID241),0)</f>
        <v>91</v>
      </c>
      <c r="IF241" s="4">
        <v>700</v>
      </c>
      <c r="IG241" s="4">
        <f>IF241/(IE241*(HD241-100))</f>
        <v>7.6923076923076927E-2</v>
      </c>
      <c r="IH241" s="4"/>
      <c r="II241" s="9">
        <v>0.10249999999999999</v>
      </c>
      <c r="IJ241" s="4">
        <f>II241*45/365*(BA241+EU241+GW241+GS241+GU241+HV241+IG241)</f>
        <v>0.34588667118378191</v>
      </c>
      <c r="IK241" s="4"/>
    </row>
    <row r="242" spans="1:245">
      <c r="A242">
        <v>155</v>
      </c>
      <c r="B242" t="s">
        <v>468</v>
      </c>
      <c r="C242" t="s">
        <v>482</v>
      </c>
      <c r="D242" s="28" t="s">
        <v>348</v>
      </c>
      <c r="E242" s="27" t="s">
        <v>349</v>
      </c>
      <c r="F242" s="5" t="s">
        <v>2182</v>
      </c>
      <c r="G242" t="s">
        <v>90</v>
      </c>
      <c r="I242" s="27" t="s">
        <v>121</v>
      </c>
      <c r="J242" s="28">
        <v>21697</v>
      </c>
      <c r="K242" s="27" t="s">
        <v>227</v>
      </c>
      <c r="L242" s="28"/>
      <c r="M242" s="28"/>
      <c r="N242" s="28"/>
      <c r="O242" s="28"/>
      <c r="P242" s="28"/>
      <c r="Q242" s="28" t="s">
        <v>1875</v>
      </c>
      <c r="R242" s="28" t="s">
        <v>1831</v>
      </c>
      <c r="S242" s="27"/>
      <c r="T242" s="27"/>
      <c r="U242" s="27"/>
      <c r="V242" s="29" t="s">
        <v>79</v>
      </c>
      <c r="AA242" s="86" t="s">
        <v>483</v>
      </c>
      <c r="AB242" s="66">
        <v>200.97</v>
      </c>
      <c r="AC242">
        <v>20</v>
      </c>
      <c r="AD242" t="s">
        <v>479</v>
      </c>
      <c r="AE242" s="7">
        <f>BA242</f>
        <v>17.826329999999999</v>
      </c>
      <c r="AF242" s="7"/>
      <c r="AG242" s="7">
        <f>EU242</f>
        <v>2.3054755043227666</v>
      </c>
      <c r="AH242" s="7">
        <f>DM242</f>
        <v>0</v>
      </c>
      <c r="AI242" s="7">
        <f>DO242</f>
        <v>0</v>
      </c>
      <c r="AJ242" s="7">
        <f>GW242</f>
        <v>4.6109510086455335E-2</v>
      </c>
      <c r="AK242" s="7">
        <f>GU242</f>
        <v>0.2516475688040346</v>
      </c>
      <c r="AL242" s="7">
        <f>GS242</f>
        <v>2.2144986054755043</v>
      </c>
      <c r="AM242" s="7">
        <f>HV242</f>
        <v>0.27083333333333331</v>
      </c>
      <c r="AN242" s="7">
        <f>IG242</f>
        <v>0.03</v>
      </c>
      <c r="AO242" s="7">
        <v>0</v>
      </c>
      <c r="AP242" s="7"/>
      <c r="AQ242" s="7">
        <f>SUM(AE242:AO242)</f>
        <v>22.944894522022096</v>
      </c>
      <c r="AR242" s="7">
        <f>IJ242</f>
        <v>0.22944894522022097</v>
      </c>
      <c r="AS242" s="7"/>
      <c r="AT242" s="7">
        <v>0</v>
      </c>
      <c r="AU242" s="7"/>
      <c r="AV242" s="7">
        <f>AQ242+AT242+AU242+AR242</f>
        <v>23.174343467242316</v>
      </c>
      <c r="AW242">
        <v>8.8999999999999996E-2</v>
      </c>
      <c r="AX242">
        <v>8.5999999999999993E-2</v>
      </c>
      <c r="AY242" s="8">
        <v>1</v>
      </c>
      <c r="AZ242" s="4">
        <f>(AW242-AX242)*AY242</f>
        <v>3.0000000000000027E-3</v>
      </c>
      <c r="BA242" s="4">
        <f>AW242*AB242-(AZ242*AC242)*AY242</f>
        <v>17.826329999999999</v>
      </c>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E242" s="4">
        <v>0</v>
      </c>
      <c r="CF242" s="4">
        <v>0</v>
      </c>
      <c r="CG242" s="4">
        <v>0</v>
      </c>
      <c r="CH242">
        <f>CF242*CG242</f>
        <v>0</v>
      </c>
      <c r="CK242">
        <v>0</v>
      </c>
      <c r="CL242">
        <v>0</v>
      </c>
      <c r="CM242">
        <f>CK242*CL242</f>
        <v>0</v>
      </c>
      <c r="CP242">
        <v>0</v>
      </c>
      <c r="CQ242">
        <v>0</v>
      </c>
      <c r="CR242">
        <f>CP242*CQ242</f>
        <v>0</v>
      </c>
      <c r="CU242">
        <v>0</v>
      </c>
      <c r="CV242">
        <v>0</v>
      </c>
      <c r="CW242">
        <f>CU242*CV242</f>
        <v>0</v>
      </c>
      <c r="DM242" s="4">
        <f>CH242+CM242+CR242+CW242+DB242+DG242+DL242</f>
        <v>0</v>
      </c>
      <c r="DN242" s="9">
        <v>1.2500000000000001E-2</v>
      </c>
      <c r="DO242" s="4">
        <f>DN242*(DM242-CG242)</f>
        <v>0</v>
      </c>
      <c r="DP242" s="4">
        <f>DM242+DO242</f>
        <v>0</v>
      </c>
      <c r="DQ242" s="4"/>
      <c r="DR242" s="4"/>
      <c r="DS242" s="4"/>
      <c r="DT242" s="4"/>
      <c r="DU242" s="4"/>
      <c r="DV242" s="4"/>
      <c r="DW242" s="4"/>
      <c r="DX242" s="4"/>
      <c r="DY242" s="4"/>
      <c r="DZ242" s="4"/>
      <c r="EA242" s="4"/>
      <c r="EB242" s="4"/>
      <c r="EC242" s="4"/>
      <c r="ED242" s="4"/>
      <c r="EE242" s="4"/>
      <c r="EF242">
        <v>160</v>
      </c>
      <c r="EG242">
        <v>1600</v>
      </c>
      <c r="EH242">
        <v>7.5</v>
      </c>
      <c r="EI242" s="8">
        <v>0.9</v>
      </c>
      <c r="EJ242">
        <v>2</v>
      </c>
      <c r="EK242">
        <v>70</v>
      </c>
      <c r="EL242" s="10">
        <f>ROUND(3600/EK242*EH242*EJ242*EI242,0)</f>
        <v>694</v>
      </c>
      <c r="EU242" s="4">
        <f>EG242/EL242+EM242+EX242+EP242+EQ242</f>
        <v>2.3054755043227666</v>
      </c>
      <c r="EV242" s="4"/>
      <c r="EW242" s="4"/>
      <c r="GR242" s="8">
        <v>0.11</v>
      </c>
      <c r="GS242" s="4">
        <f>GR242*(BA242+EU242)</f>
        <v>2.2144986054755043</v>
      </c>
      <c r="GT242" s="9">
        <v>1.2500000000000001E-2</v>
      </c>
      <c r="GU242" s="4">
        <f>GT242*(BA242+EU242)</f>
        <v>0.2516475688040346</v>
      </c>
      <c r="GV242" s="8">
        <v>0.02</v>
      </c>
      <c r="GW242" s="4">
        <f>GV242*(EU242-EP242-EQ242)</f>
        <v>4.6109510086455335E-2</v>
      </c>
      <c r="GX242" s="4">
        <f>GS242+GU242+GW242</f>
        <v>2.5122556843659942</v>
      </c>
      <c r="GY242" t="s">
        <v>43</v>
      </c>
      <c r="GZ242" t="s">
        <v>87</v>
      </c>
      <c r="HA242" s="4">
        <v>650</v>
      </c>
      <c r="HB242" s="4">
        <v>450</v>
      </c>
      <c r="HC242">
        <v>330</v>
      </c>
      <c r="HD242">
        <v>200</v>
      </c>
      <c r="HE242">
        <v>20</v>
      </c>
      <c r="HF242" s="4">
        <f>ROUNDUP(HE242/HD242,0)</f>
        <v>1</v>
      </c>
      <c r="HG242">
        <v>5</v>
      </c>
      <c r="HH242" s="4">
        <f>HF242*HG242</f>
        <v>5</v>
      </c>
      <c r="HI242">
        <v>650</v>
      </c>
      <c r="HJ242" s="4">
        <f>HH242*HI242</f>
        <v>3250</v>
      </c>
      <c r="HM242" s="4">
        <v>2</v>
      </c>
      <c r="HN242" s="10">
        <f>HM242*12*25*HE242</f>
        <v>12000</v>
      </c>
      <c r="HO242" s="4">
        <f>IF(GY242="carton box",HI242/HD242,HJ242/HN242)</f>
        <v>0.27083333333333331</v>
      </c>
      <c r="HP242" s="4">
        <v>160</v>
      </c>
      <c r="HQ242">
        <v>0</v>
      </c>
      <c r="HR242" s="4">
        <f>HP242*HQ242</f>
        <v>0</v>
      </c>
      <c r="HS242" s="4">
        <v>0</v>
      </c>
      <c r="HT242" s="4">
        <f>IF(ISERROR(HR242/HS242),0,HR242/HS242)</f>
        <v>0</v>
      </c>
      <c r="HU242" s="4"/>
      <c r="HV242" s="4">
        <f>HO242+HT242</f>
        <v>0.27083333333333331</v>
      </c>
      <c r="HW242" s="4"/>
      <c r="HX242" s="4">
        <v>4200</v>
      </c>
      <c r="HY242" s="4">
        <v>1900</v>
      </c>
      <c r="HZ242" s="4">
        <v>1975</v>
      </c>
      <c r="IA242" s="4">
        <v>6</v>
      </c>
      <c r="IB242" s="4">
        <v>4</v>
      </c>
      <c r="IC242" s="4">
        <v>5</v>
      </c>
      <c r="ID242" s="8">
        <v>0.95</v>
      </c>
      <c r="IE242" s="4">
        <f>ROUNDUP(PRODUCT(IA242:ID242),0)</f>
        <v>114</v>
      </c>
      <c r="IF242" s="4">
        <v>500</v>
      </c>
      <c r="IG242" s="4">
        <f>ROUNDUP(IF242/(IE242*HD242),2)</f>
        <v>0.03</v>
      </c>
      <c r="IH242" s="4"/>
      <c r="II242" s="8">
        <v>0.01</v>
      </c>
      <c r="IJ242" s="4">
        <f>(BA242+EU242+GS242+GU242+GW242+DO242+HV242+IG242)*II242</f>
        <v>0.22944894522022097</v>
      </c>
      <c r="IK242" s="4"/>
    </row>
    <row r="243" spans="1:245" ht="60">
      <c r="A243">
        <v>156</v>
      </c>
      <c r="B243" t="s">
        <v>468</v>
      </c>
      <c r="C243" s="167" t="s">
        <v>485</v>
      </c>
      <c r="D243" s="28" t="s">
        <v>348</v>
      </c>
      <c r="E243" s="27" t="s">
        <v>349</v>
      </c>
      <c r="F243" s="5" t="s">
        <v>2182</v>
      </c>
      <c r="G243" t="s">
        <v>90</v>
      </c>
      <c r="I243" s="27" t="s">
        <v>121</v>
      </c>
      <c r="J243" s="28">
        <v>21205</v>
      </c>
      <c r="K243" s="27" t="s">
        <v>395</v>
      </c>
      <c r="L243" s="28"/>
      <c r="M243" s="28"/>
      <c r="N243" s="28"/>
      <c r="O243" s="28"/>
      <c r="P243" s="28"/>
      <c r="Q243" s="28" t="s">
        <v>1033</v>
      </c>
      <c r="R243" s="28" t="s">
        <v>1034</v>
      </c>
      <c r="S243" s="27"/>
      <c r="T243" s="27"/>
      <c r="U243" s="27"/>
      <c r="V243" s="29" t="s">
        <v>79</v>
      </c>
      <c r="W243" s="53" t="s">
        <v>484</v>
      </c>
      <c r="X243" s="53"/>
      <c r="Y243" s="53"/>
      <c r="Z243" s="53"/>
      <c r="AA243" s="86" t="s">
        <v>483</v>
      </c>
      <c r="AB243" s="66">
        <v>242</v>
      </c>
      <c r="AC243">
        <v>20</v>
      </c>
      <c r="AD243" t="s">
        <v>272</v>
      </c>
      <c r="AE243" s="7">
        <f>BA243</f>
        <v>22.441199999999998</v>
      </c>
      <c r="AF243" s="7"/>
      <c r="AG243" s="7">
        <f>EU243</f>
        <v>2.0053475935828877</v>
      </c>
      <c r="AH243" s="7">
        <f>DM243</f>
        <v>0</v>
      </c>
      <c r="AI243" s="7">
        <f>DO243</f>
        <v>0</v>
      </c>
      <c r="AJ243" s="7">
        <f>GW243</f>
        <v>4.0106951871657755E-2</v>
      </c>
      <c r="AK243" s="7">
        <f>GU243</f>
        <v>2.556818181818182E-2</v>
      </c>
      <c r="AL243" s="7">
        <f>GS243</f>
        <v>2.7547486363636362</v>
      </c>
      <c r="AM243" s="7">
        <f>HV243</f>
        <v>2.7083333333333334E-2</v>
      </c>
      <c r="AN243" s="7">
        <f>IG243</f>
        <v>7.6923076923076927E-2</v>
      </c>
      <c r="AO243" s="7">
        <v>0</v>
      </c>
      <c r="AP243" s="7"/>
      <c r="AQ243" s="7">
        <f>SUM(AE243:AO243)</f>
        <v>27.370977773892772</v>
      </c>
      <c r="AR243" s="7">
        <f>IJ243</f>
        <v>0.34588667118378191</v>
      </c>
      <c r="AS243" s="7"/>
      <c r="AT243" s="7">
        <v>0</v>
      </c>
      <c r="AU243" s="7">
        <f>0.11</f>
        <v>0.11</v>
      </c>
      <c r="AV243" s="7">
        <f>AQ243+AT243+AU243+AR243</f>
        <v>27.826864445076552</v>
      </c>
      <c r="AW243" s="4">
        <v>9.2999999999999999E-2</v>
      </c>
      <c r="AX243" s="14">
        <f>0.089</f>
        <v>8.8999999999999996E-2</v>
      </c>
      <c r="AY243" s="8">
        <v>0.9</v>
      </c>
      <c r="AZ243" s="4">
        <f>(AW243-AX243)*AY243</f>
        <v>3.6000000000000034E-3</v>
      </c>
      <c r="BA243" s="4">
        <f>AW243*AB243-(AZ243*AC243)*AY243</f>
        <v>22.441199999999998</v>
      </c>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E243" s="4">
        <v>0</v>
      </c>
      <c r="CF243" s="4">
        <v>0</v>
      </c>
      <c r="CG243" s="4">
        <v>0</v>
      </c>
      <c r="CH243">
        <f>CF243*CG243</f>
        <v>0</v>
      </c>
      <c r="CK243">
        <v>0</v>
      </c>
      <c r="CL243">
        <v>0</v>
      </c>
      <c r="CM243">
        <f>CK243*CL243</f>
        <v>0</v>
      </c>
      <c r="CP243">
        <v>0</v>
      </c>
      <c r="CQ243">
        <v>0</v>
      </c>
      <c r="CR243">
        <f>CP243*CQ243</f>
        <v>0</v>
      </c>
      <c r="CU243">
        <v>0</v>
      </c>
      <c r="CV243">
        <v>0</v>
      </c>
      <c r="CW243">
        <f>CU243*CV243</f>
        <v>0</v>
      </c>
      <c r="DM243" s="4">
        <f>CH243+CM243+CR243+CW243+DB243+DG243+DL243</f>
        <v>0</v>
      </c>
      <c r="DN243" s="9">
        <v>1.2500000000000001E-2</v>
      </c>
      <c r="DO243" s="4">
        <f>DN243*(DM243-CG243)</f>
        <v>0</v>
      </c>
      <c r="DP243" s="4">
        <f>DM243+DO243</f>
        <v>0</v>
      </c>
      <c r="DQ243" s="4"/>
      <c r="DR243" s="4"/>
      <c r="DS243" s="4"/>
      <c r="DT243" s="4"/>
      <c r="DU243" s="4"/>
      <c r="DV243" s="4"/>
      <c r="DW243" s="4"/>
      <c r="DX243" s="4"/>
      <c r="DY243" s="4"/>
      <c r="DZ243" s="4"/>
      <c r="EA243" s="4"/>
      <c r="EB243" s="4"/>
      <c r="EC243" s="4"/>
      <c r="ED243" s="4"/>
      <c r="EE243" s="4"/>
      <c r="EF243">
        <v>150</v>
      </c>
      <c r="EG243">
        <v>1500</v>
      </c>
      <c r="EH243">
        <v>7.5</v>
      </c>
      <c r="EI243" s="8">
        <v>0.9</v>
      </c>
      <c r="EJ243">
        <v>2</v>
      </c>
      <c r="EK243">
        <v>65</v>
      </c>
      <c r="EL243" s="10">
        <f>ROUND(3600/EK243*EH243*EJ243*EI243,0)</f>
        <v>748</v>
      </c>
      <c r="EU243" s="4">
        <f>EG243/EL243+EM243+EX243+EP243+EQ243</f>
        <v>2.0053475935828877</v>
      </c>
      <c r="EV243" s="4"/>
      <c r="EW243" s="4"/>
      <c r="GR243" s="8">
        <v>0.1125</v>
      </c>
      <c r="GS243" s="4">
        <f>GR243*(BA243+EU243+GW243)</f>
        <v>2.7547486363636362</v>
      </c>
      <c r="GT243" s="9">
        <v>1.2500000000000001E-2</v>
      </c>
      <c r="GU243" s="4">
        <f>GT243*(EU243+GW243)</f>
        <v>2.556818181818182E-2</v>
      </c>
      <c r="GV243" s="8">
        <v>0.02</v>
      </c>
      <c r="GW243" s="4">
        <f>GV243*(EU243-EP243-EQ243)</f>
        <v>4.0106951871657755E-2</v>
      </c>
      <c r="GX243" s="4">
        <f>GS243+GU243+GW243</f>
        <v>2.8204237700534756</v>
      </c>
      <c r="GY243" t="s">
        <v>130</v>
      </c>
      <c r="GZ243" t="s">
        <v>130</v>
      </c>
      <c r="HA243" s="4">
        <v>650</v>
      </c>
      <c r="HB243" s="4">
        <v>450</v>
      </c>
      <c r="HC243">
        <v>315</v>
      </c>
      <c r="HD243">
        <v>200</v>
      </c>
      <c r="HE243">
        <v>1000</v>
      </c>
      <c r="HF243" s="4">
        <f>ROUNDUP(HE243/HD243,0)</f>
        <v>5</v>
      </c>
      <c r="HG243">
        <v>5</v>
      </c>
      <c r="HH243" s="4">
        <f>HF243*HG243</f>
        <v>25</v>
      </c>
      <c r="HI243">
        <v>650</v>
      </c>
      <c r="HJ243" s="4">
        <f>HH243*HI243</f>
        <v>16250</v>
      </c>
      <c r="HM243" s="4">
        <v>2</v>
      </c>
      <c r="HN243" s="10">
        <f>HM243*12*25*HE243</f>
        <v>600000</v>
      </c>
      <c r="HO243" s="4">
        <f>IF(GY243="carton box",HI243/HD243,HJ243/HN243)</f>
        <v>2.7083333333333334E-2</v>
      </c>
      <c r="HP243" s="4">
        <v>160</v>
      </c>
      <c r="HQ243">
        <v>0</v>
      </c>
      <c r="HR243" s="4">
        <f>HP243*HQ243</f>
        <v>0</v>
      </c>
      <c r="HS243" s="4">
        <v>0</v>
      </c>
      <c r="HT243" s="4">
        <f>IF(ISERROR(HR243/HS243),0,HR243/HS243)</f>
        <v>0</v>
      </c>
      <c r="HU243" s="4"/>
      <c r="HV243" s="4">
        <f>HO243+HT243</f>
        <v>2.7083333333333334E-2</v>
      </c>
      <c r="HW243" s="4"/>
      <c r="HX243" s="4">
        <v>2800</v>
      </c>
      <c r="HY243" s="4">
        <v>1890</v>
      </c>
      <c r="HZ243" s="4">
        <v>1950</v>
      </c>
      <c r="IA243" s="4">
        <v>4</v>
      </c>
      <c r="IB243" s="4">
        <v>4</v>
      </c>
      <c r="IC243" s="4">
        <v>6</v>
      </c>
      <c r="ID243" s="8">
        <v>0.95</v>
      </c>
      <c r="IE243" s="4">
        <f>ROUND(PRODUCT(IA243:ID243),0)</f>
        <v>91</v>
      </c>
      <c r="IF243" s="4">
        <v>700</v>
      </c>
      <c r="IG243" s="4">
        <f>IF243/(IE243*(HD243-100))</f>
        <v>7.6923076923076927E-2</v>
      </c>
      <c r="IH243" s="4"/>
      <c r="II243" s="9">
        <v>0.10249999999999999</v>
      </c>
      <c r="IJ243" s="4">
        <f>II243*45/365*(BA243+EU243+GW243+GS243+GU243+HV243+IG243)</f>
        <v>0.34588667118378191</v>
      </c>
      <c r="IK243" s="4"/>
    </row>
    <row r="244" spans="1:245">
      <c r="A244">
        <v>144</v>
      </c>
      <c r="B244" t="s">
        <v>468</v>
      </c>
      <c r="C244" t="s">
        <v>1871</v>
      </c>
      <c r="D244" s="28" t="s">
        <v>336</v>
      </c>
      <c r="E244" s="27" t="s">
        <v>337</v>
      </c>
      <c r="F244" s="27" t="s">
        <v>2210</v>
      </c>
      <c r="G244" t="s">
        <v>90</v>
      </c>
      <c r="H244" t="s">
        <v>2209</v>
      </c>
      <c r="I244" s="27" t="s">
        <v>94</v>
      </c>
      <c r="J244" s="28">
        <v>21614</v>
      </c>
      <c r="K244" s="27" t="s">
        <v>407</v>
      </c>
      <c r="L244" s="28"/>
      <c r="M244" s="28"/>
      <c r="N244" s="28"/>
      <c r="O244" s="28"/>
      <c r="P244" s="28"/>
      <c r="Q244" s="28" t="s">
        <v>1777</v>
      </c>
      <c r="R244" s="28" t="s">
        <v>1769</v>
      </c>
      <c r="S244" s="27"/>
      <c r="T244" s="27"/>
      <c r="U244" s="27"/>
      <c r="V244" s="29" t="s">
        <v>79</v>
      </c>
      <c r="W244" t="s">
        <v>497</v>
      </c>
      <c r="X244"/>
      <c r="Y244"/>
      <c r="Z244"/>
      <c r="AA244" s="21"/>
    </row>
    <row r="245" spans="1:245" ht="26.25">
      <c r="A245">
        <v>96</v>
      </c>
      <c r="B245" t="s">
        <v>468</v>
      </c>
      <c r="C245" t="s">
        <v>1866</v>
      </c>
      <c r="D245" s="28">
        <v>178030</v>
      </c>
      <c r="E245" s="27" t="s">
        <v>317</v>
      </c>
      <c r="F245" s="27" t="s">
        <v>2192</v>
      </c>
      <c r="G245" s="27" t="s">
        <v>90</v>
      </c>
      <c r="H245" s="27" t="s">
        <v>2196</v>
      </c>
      <c r="I245" s="27" t="s">
        <v>94</v>
      </c>
      <c r="J245" s="28">
        <v>21205</v>
      </c>
      <c r="K245" s="27" t="s">
        <v>395</v>
      </c>
      <c r="L245" s="28">
        <v>21712</v>
      </c>
      <c r="M245" s="28" t="s">
        <v>94</v>
      </c>
      <c r="N245" s="28"/>
      <c r="O245" s="28"/>
      <c r="P245" s="28"/>
      <c r="Q245" s="28" t="s">
        <v>1867</v>
      </c>
      <c r="R245" s="28" t="s">
        <v>1193</v>
      </c>
      <c r="S245" s="27"/>
      <c r="T245" s="27"/>
      <c r="U245" s="27"/>
      <c r="V245" s="29" t="s">
        <v>79</v>
      </c>
      <c r="W245" s="52" t="s">
        <v>460</v>
      </c>
      <c r="X245" s="52"/>
      <c r="Y245" s="52"/>
      <c r="Z245" s="52"/>
      <c r="AA245" s="21"/>
    </row>
    <row r="246" spans="1:245">
      <c r="A246">
        <v>188</v>
      </c>
      <c r="B246" t="s">
        <v>488</v>
      </c>
      <c r="C246" t="s">
        <v>427</v>
      </c>
      <c r="D246" s="28" t="s">
        <v>385</v>
      </c>
      <c r="E246" s="27" t="s">
        <v>386</v>
      </c>
      <c r="F246" s="5" t="s">
        <v>2182</v>
      </c>
      <c r="G246" t="s">
        <v>90</v>
      </c>
      <c r="I246" s="27" t="s">
        <v>121</v>
      </c>
      <c r="J246" s="28">
        <v>21697</v>
      </c>
      <c r="K246" s="27" t="s">
        <v>227</v>
      </c>
      <c r="L246" s="28" t="s">
        <v>430</v>
      </c>
      <c r="M246" s="28" t="s">
        <v>121</v>
      </c>
      <c r="N246" s="28" t="s">
        <v>1884</v>
      </c>
      <c r="O246" s="28" t="s">
        <v>1038</v>
      </c>
      <c r="P246" s="331">
        <v>44095</v>
      </c>
      <c r="Q246" s="28" t="s">
        <v>1035</v>
      </c>
      <c r="R246" s="28" t="s">
        <v>1769</v>
      </c>
      <c r="S246" s="27"/>
      <c r="T246" s="27"/>
      <c r="U246" s="27"/>
      <c r="V246" s="29" t="s">
        <v>79</v>
      </c>
      <c r="W246"/>
      <c r="X246"/>
      <c r="Y246"/>
      <c r="Z246"/>
      <c r="AA246" s="51" t="s">
        <v>126</v>
      </c>
      <c r="AB246" s="66">
        <v>93.62</v>
      </c>
      <c r="AC246">
        <v>20</v>
      </c>
      <c r="AD246" t="s">
        <v>431</v>
      </c>
      <c r="AE246" s="7">
        <f>BA246</f>
        <v>9.6732900000000015</v>
      </c>
      <c r="AF246" s="7"/>
      <c r="AG246" s="7">
        <f>EU246</f>
        <v>2.4499999999999997</v>
      </c>
      <c r="AH246" s="7">
        <f>DM246</f>
        <v>0</v>
      </c>
      <c r="AI246" s="7">
        <f>DO246</f>
        <v>0</v>
      </c>
      <c r="AJ246" s="7">
        <f>GW246</f>
        <v>0.05</v>
      </c>
      <c r="AK246" s="7">
        <f>GU246</f>
        <v>0.16</v>
      </c>
      <c r="AL246" s="7">
        <f>GS246</f>
        <v>1.34</v>
      </c>
      <c r="AM246" s="7">
        <f>HV246</f>
        <v>0.03</v>
      </c>
      <c r="AN246" s="7">
        <f>IG246</f>
        <v>0.02</v>
      </c>
      <c r="AO246" s="6">
        <v>0</v>
      </c>
      <c r="AP246" s="6"/>
      <c r="AQ246" s="7">
        <f>SUM(AE246:AO246)</f>
        <v>13.72329</v>
      </c>
      <c r="AR246" s="7"/>
      <c r="AS246" s="7"/>
      <c r="AT246" s="6">
        <v>0</v>
      </c>
      <c r="AV246" s="7">
        <f>AQ246+AT246+AU246</f>
        <v>13.72329</v>
      </c>
      <c r="AW246" s="14">
        <v>0.10450000000000001</v>
      </c>
      <c r="AX246">
        <v>9.9000000000000005E-2</v>
      </c>
      <c r="AY246" s="8">
        <v>1</v>
      </c>
      <c r="AZ246">
        <f>(AW246-AX246)*AY246</f>
        <v>5.5000000000000049E-3</v>
      </c>
      <c r="BA246" s="4">
        <f>AW246*AB246-AZ246*AC246</f>
        <v>9.6732900000000015</v>
      </c>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DM246">
        <f>CH246+CM246+CR246+DB246+DG246+DL246</f>
        <v>0</v>
      </c>
      <c r="DN246" s="9">
        <v>1.2500000000000001E-2</v>
      </c>
      <c r="DO246" s="4">
        <f>DN246*CG246*CF246</f>
        <v>0</v>
      </c>
      <c r="DP246" s="4">
        <f>DM246+DO246</f>
        <v>0</v>
      </c>
      <c r="DQ246" s="4"/>
      <c r="DR246" s="4"/>
      <c r="DS246" s="4"/>
      <c r="DT246" s="4"/>
      <c r="DU246" s="4"/>
      <c r="DV246" s="4"/>
      <c r="DW246" s="4"/>
      <c r="DX246" s="4"/>
      <c r="DY246" s="4"/>
      <c r="DZ246" s="4"/>
      <c r="EA246" s="4"/>
      <c r="EB246" s="4"/>
      <c r="EC246" s="4"/>
      <c r="ED246" s="4"/>
      <c r="EE246" s="4"/>
      <c r="EF246">
        <v>250</v>
      </c>
      <c r="EG246">
        <v>2500</v>
      </c>
      <c r="EH246">
        <v>7.5</v>
      </c>
      <c r="EI246" s="8">
        <v>0.9</v>
      </c>
      <c r="EJ246">
        <v>4</v>
      </c>
      <c r="EK246">
        <v>95</v>
      </c>
      <c r="EL246" s="10">
        <f>ROUND(3600/EK246*EH246*EJ246*EI246,0)</f>
        <v>1023</v>
      </c>
      <c r="EU246" s="4">
        <f>ROUNDUP((EG246/EL246),2)</f>
        <v>2.4499999999999997</v>
      </c>
      <c r="EV246" s="4"/>
      <c r="EW246" s="4"/>
      <c r="GR246" s="8">
        <v>0.11</v>
      </c>
      <c r="GS246" s="4">
        <f>ROUNDUP(GR246*(BA246+EU246),2)</f>
        <v>1.34</v>
      </c>
      <c r="GT246" s="9">
        <v>1.2500000000000001E-2</v>
      </c>
      <c r="GU246" s="4">
        <f>ROUNDUP(GT246*(BA246+EU246),2)</f>
        <v>0.16</v>
      </c>
      <c r="GV246" s="8">
        <v>0.02</v>
      </c>
      <c r="GW246" s="4">
        <f>ROUNDUP(GV246*EU246,2)</f>
        <v>0.05</v>
      </c>
      <c r="GX246" s="4">
        <f>GS246+GU246+GW246</f>
        <v>1.55</v>
      </c>
      <c r="GY246" t="s">
        <v>418</v>
      </c>
      <c r="GZ246" t="s">
        <v>87</v>
      </c>
      <c r="HA246">
        <v>650</v>
      </c>
      <c r="HB246">
        <v>450</v>
      </c>
      <c r="HC246">
        <v>330</v>
      </c>
      <c r="HD246">
        <v>240</v>
      </c>
      <c r="HE246">
        <v>1200</v>
      </c>
      <c r="HF246" s="4">
        <f>ROUNDUP(HE246/HD246,0)</f>
        <v>5</v>
      </c>
      <c r="HG246">
        <v>5</v>
      </c>
      <c r="HH246" s="4">
        <f>HF246*HG246</f>
        <v>25</v>
      </c>
      <c r="HI246">
        <v>650</v>
      </c>
      <c r="HJ246" s="4">
        <f>HH246*HI246</f>
        <v>16250</v>
      </c>
      <c r="HM246" s="4">
        <v>2</v>
      </c>
      <c r="HN246" s="10">
        <f>HM246*12*25*HE246</f>
        <v>720000</v>
      </c>
      <c r="HO246" s="4">
        <f>IF(GY246="carton box",HI246/HD246,HJ246/HN246)</f>
        <v>2.2569444444444444E-2</v>
      </c>
      <c r="HP246" s="4">
        <v>160</v>
      </c>
      <c r="HQ246">
        <v>0</v>
      </c>
      <c r="HR246" s="4">
        <v>0</v>
      </c>
      <c r="HS246" s="4">
        <v>0</v>
      </c>
      <c r="HT246" s="4">
        <v>0</v>
      </c>
      <c r="HU246" s="4"/>
      <c r="HV246" s="4">
        <f>ROUNDUP(HO246+HT246,2)</f>
        <v>0.03</v>
      </c>
      <c r="HW246" s="4"/>
      <c r="HX246" s="4">
        <v>4200</v>
      </c>
      <c r="HY246" s="4">
        <v>1900</v>
      </c>
      <c r="HZ246" s="4">
        <v>1975</v>
      </c>
      <c r="IA246" s="4">
        <f>ROUNDDOWN(HX246/HA246,0)</f>
        <v>6</v>
      </c>
      <c r="IB246" s="4">
        <f>ROUNDDOWN(HY246/HB246,0)</f>
        <v>4</v>
      </c>
      <c r="IC246" s="4">
        <f>ROUNDDOWN(HZ246/HC246,0)</f>
        <v>5</v>
      </c>
      <c r="ID246" s="8">
        <v>0.95</v>
      </c>
      <c r="IE246" s="4">
        <f>ROUND(PRODUCT(IA246:ID246),0)</f>
        <v>114</v>
      </c>
      <c r="IF246" s="4">
        <v>500</v>
      </c>
      <c r="IG246" s="4">
        <f>ROUNDUP(IF246/(IE246*HD246),2)</f>
        <v>0.02</v>
      </c>
      <c r="IH246" s="4"/>
    </row>
    <row r="247" spans="1:245">
      <c r="A247">
        <v>189</v>
      </c>
      <c r="B247" t="s">
        <v>468</v>
      </c>
      <c r="C247" t="s">
        <v>567</v>
      </c>
      <c r="D247" s="28" t="s">
        <v>385</v>
      </c>
      <c r="E247" s="27" t="s">
        <v>386</v>
      </c>
      <c r="F247" s="27"/>
      <c r="G247" t="s">
        <v>90</v>
      </c>
      <c r="I247" s="27" t="s">
        <v>121</v>
      </c>
      <c r="J247" s="28">
        <v>21025</v>
      </c>
      <c r="K247" s="27" t="s">
        <v>408</v>
      </c>
      <c r="L247" s="28"/>
      <c r="M247" s="28"/>
      <c r="N247" s="28" t="s">
        <v>1767</v>
      </c>
      <c r="O247" s="28" t="s">
        <v>1038</v>
      </c>
      <c r="P247" s="331">
        <v>42157</v>
      </c>
      <c r="Q247" s="28"/>
      <c r="R247" s="28"/>
      <c r="S247" s="27"/>
      <c r="T247" s="27"/>
      <c r="U247" s="27"/>
      <c r="V247" s="29" t="s">
        <v>79</v>
      </c>
      <c r="W247" t="s">
        <v>439</v>
      </c>
      <c r="X247"/>
      <c r="Y247"/>
      <c r="Z247"/>
      <c r="AA247" s="21"/>
    </row>
    <row r="248" spans="1:245">
      <c r="A248">
        <v>196</v>
      </c>
      <c r="B248" t="s">
        <v>468</v>
      </c>
      <c r="C248" t="s">
        <v>1886</v>
      </c>
      <c r="D248" s="28" t="s">
        <v>389</v>
      </c>
      <c r="E248" s="27" t="s">
        <v>390</v>
      </c>
      <c r="F248" s="5" t="s">
        <v>2182</v>
      </c>
      <c r="G248" t="s">
        <v>90</v>
      </c>
      <c r="I248" s="27" t="s">
        <v>121</v>
      </c>
      <c r="J248" s="28">
        <v>21697</v>
      </c>
      <c r="K248" s="27" t="s">
        <v>227</v>
      </c>
      <c r="L248" s="13">
        <v>20089</v>
      </c>
      <c r="M248" s="28" t="s">
        <v>121</v>
      </c>
      <c r="N248" s="28" t="s">
        <v>567</v>
      </c>
      <c r="O248" s="28" t="s">
        <v>1877</v>
      </c>
      <c r="P248" s="331">
        <v>44950</v>
      </c>
      <c r="Q248" s="28" t="s">
        <v>1887</v>
      </c>
      <c r="R248" s="28" t="s">
        <v>1769</v>
      </c>
      <c r="S248" s="27"/>
      <c r="T248" s="27"/>
      <c r="U248" s="27"/>
      <c r="V248" s="29" t="s">
        <v>79</v>
      </c>
      <c r="W248" s="53" t="s">
        <v>489</v>
      </c>
      <c r="X248" s="53"/>
      <c r="Y248" s="53"/>
      <c r="Z248" s="53"/>
      <c r="AA248" s="86" t="s">
        <v>478</v>
      </c>
      <c r="AB248" s="66">
        <v>154.83000000000001</v>
      </c>
      <c r="AC248">
        <v>20</v>
      </c>
      <c r="AD248" t="s">
        <v>462</v>
      </c>
      <c r="AE248" s="7">
        <f>BA248</f>
        <v>2.0547219999999999</v>
      </c>
      <c r="AF248" s="7"/>
      <c r="AG248" s="7">
        <f>EU248</f>
        <v>1.2956790123456789</v>
      </c>
      <c r="AH248" s="7">
        <f>DM248</f>
        <v>0</v>
      </c>
      <c r="AI248" s="7">
        <f>DO248</f>
        <v>0</v>
      </c>
      <c r="AJ248" s="7">
        <f>GW248</f>
        <v>2.5913580246913578E-2</v>
      </c>
      <c r="AK248" s="7">
        <f>GU248</f>
        <v>5.0256015185185181E-2</v>
      </c>
      <c r="AL248" s="7">
        <f>GS248</f>
        <v>0.42203932407407407</v>
      </c>
      <c r="AM248" s="7">
        <f>HV248</f>
        <v>7.9400000000000012E-2</v>
      </c>
      <c r="AN248" s="7">
        <f>IG248</f>
        <v>3.5087719298245612E-2</v>
      </c>
      <c r="AO248" s="7">
        <v>0</v>
      </c>
      <c r="AP248" s="7"/>
      <c r="AQ248" s="7">
        <f>SUM(AE248:AO248)</f>
        <v>3.9630976511500977</v>
      </c>
      <c r="AR248" s="7">
        <f>IJ248</f>
        <v>3.9630976511500979E-2</v>
      </c>
      <c r="AS248" s="7"/>
      <c r="AT248" s="7">
        <v>0</v>
      </c>
      <c r="AU248" s="7">
        <v>0</v>
      </c>
      <c r="AV248" s="7">
        <f>AQ248+AT248+AU248+AR248</f>
        <v>4.0027286276615985</v>
      </c>
      <c r="AW248" s="55">
        <v>1.3399999999999999E-2</v>
      </c>
      <c r="AX248" s="55">
        <v>1.24E-2</v>
      </c>
      <c r="AY248" s="8">
        <v>1</v>
      </c>
      <c r="AZ248" s="4">
        <f>(AW248-AX248)*AY248</f>
        <v>9.9999999999999915E-4</v>
      </c>
      <c r="BA248" s="4">
        <f>AW248*AB248-AZ248*AC248</f>
        <v>2.0547219999999999</v>
      </c>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E248" s="4">
        <v>0</v>
      </c>
      <c r="CF248" s="4">
        <v>0</v>
      </c>
      <c r="CG248" s="4">
        <v>0</v>
      </c>
      <c r="CH248">
        <f>CF248*CG248</f>
        <v>0</v>
      </c>
      <c r="CK248">
        <v>0</v>
      </c>
      <c r="CL248">
        <v>0</v>
      </c>
      <c r="CM248">
        <f>CK248*CL248</f>
        <v>0</v>
      </c>
      <c r="CP248">
        <v>0</v>
      </c>
      <c r="CQ248">
        <v>0</v>
      </c>
      <c r="CR248">
        <f>CP248*CQ248</f>
        <v>0</v>
      </c>
      <c r="CU248">
        <v>0</v>
      </c>
      <c r="CV248">
        <v>0</v>
      </c>
      <c r="CW248">
        <f>CU248*CV248</f>
        <v>0</v>
      </c>
      <c r="DM248" s="4">
        <f>CH248+CM248+CR248+CW248+DB248+DG248+DL248</f>
        <v>0</v>
      </c>
      <c r="DN248" s="9">
        <v>1.2500000000000001E-2</v>
      </c>
      <c r="DO248" s="4">
        <f>DN248*(DM248-CG248)</f>
        <v>0</v>
      </c>
      <c r="DP248" s="4">
        <f>DM248+DO248</f>
        <v>0</v>
      </c>
      <c r="DQ248" s="4"/>
      <c r="DR248" s="4"/>
      <c r="DS248" s="4"/>
      <c r="DT248" s="4"/>
      <c r="DU248" s="4"/>
      <c r="DV248" s="4"/>
      <c r="DW248" s="4"/>
      <c r="DX248" s="4"/>
      <c r="DY248" s="4"/>
      <c r="DZ248" s="4"/>
      <c r="EA248" s="4"/>
      <c r="EB248" s="4"/>
      <c r="EC248" s="4"/>
      <c r="ED248" s="4"/>
      <c r="EE248" s="4"/>
      <c r="EF248">
        <v>120</v>
      </c>
      <c r="EG248">
        <v>1699</v>
      </c>
      <c r="EH248">
        <v>7.5</v>
      </c>
      <c r="EI248" s="8">
        <v>0.9</v>
      </c>
      <c r="EJ248">
        <v>4</v>
      </c>
      <c r="EK248">
        <v>60</v>
      </c>
      <c r="EL248" s="10">
        <f>ROUNDUP(3600/EK248*EH248*EJ248*EI248,0)</f>
        <v>1620</v>
      </c>
      <c r="ER248" s="4">
        <v>0.24691358024691357</v>
      </c>
      <c r="ES248" s="4"/>
      <c r="ET248" s="4"/>
      <c r="EU248" s="4">
        <f>EG248/EL248+EM248+EX248+EP248+EQ248+ER248</f>
        <v>1.2956790123456789</v>
      </c>
      <c r="EV248" s="4"/>
      <c r="EW248" s="4"/>
      <c r="GR248" s="36">
        <v>0.125</v>
      </c>
      <c r="GS248" s="4">
        <f>GR248*(BA248+EU248+GW248)</f>
        <v>0.42203932407407407</v>
      </c>
      <c r="GT248" s="36">
        <v>1.4999999999999999E-2</v>
      </c>
      <c r="GU248" s="4">
        <f>GT248*(BA248+EU248+DM248)</f>
        <v>5.0256015185185181E-2</v>
      </c>
      <c r="GV248" s="8">
        <v>0.02</v>
      </c>
      <c r="GW248" s="4">
        <f>GV248*(EU248-EP248-EQ248)</f>
        <v>2.5913580246913578E-2</v>
      </c>
      <c r="GX248" s="4">
        <f>GS248+GU248+GW248</f>
        <v>0.49820891950617285</v>
      </c>
      <c r="GY248" t="s">
        <v>125</v>
      </c>
      <c r="GZ248" t="s">
        <v>125</v>
      </c>
      <c r="HA248" s="4">
        <v>650</v>
      </c>
      <c r="HB248" s="4">
        <v>450</v>
      </c>
      <c r="HC248">
        <v>330</v>
      </c>
      <c r="HD248">
        <v>500</v>
      </c>
      <c r="HE248">
        <v>60</v>
      </c>
      <c r="HF248" s="4">
        <f>ROUNDUP(HE248/HD248,0)</f>
        <v>1</v>
      </c>
      <c r="HG248">
        <v>0</v>
      </c>
      <c r="HH248" s="4">
        <f>HF248*HG248</f>
        <v>0</v>
      </c>
      <c r="HI248" s="45">
        <v>39.700000000000003</v>
      </c>
      <c r="HJ248" s="4">
        <f>HH248*HI248</f>
        <v>0</v>
      </c>
      <c r="HM248" s="4">
        <v>2</v>
      </c>
      <c r="HN248" s="10">
        <f>HM248*12*25*HE248</f>
        <v>36000</v>
      </c>
      <c r="HO248" s="4">
        <f>IF(GY248="carton box",HI248/HD248,HJ248/HN248)</f>
        <v>7.9400000000000012E-2</v>
      </c>
      <c r="HP248" s="4">
        <v>160</v>
      </c>
      <c r="HQ248">
        <v>0</v>
      </c>
      <c r="HR248" s="4">
        <f>HP248*HQ248</f>
        <v>0</v>
      </c>
      <c r="HS248" s="4">
        <v>0</v>
      </c>
      <c r="HT248" s="4">
        <f>IF(ISERROR(HR248/HS248),0,HR248/HS248)</f>
        <v>0</v>
      </c>
      <c r="HU248" s="4"/>
      <c r="HV248" s="4">
        <f>HO248+HT248</f>
        <v>7.9400000000000012E-2</v>
      </c>
      <c r="HW248" s="4"/>
      <c r="HX248" s="4">
        <v>4200</v>
      </c>
      <c r="HY248" s="4">
        <v>1900</v>
      </c>
      <c r="HZ248" s="4">
        <v>1975</v>
      </c>
      <c r="IA248" s="4">
        <v>6</v>
      </c>
      <c r="IB248" s="4">
        <v>4</v>
      </c>
      <c r="IC248" s="4">
        <v>5</v>
      </c>
      <c r="ID248" s="8">
        <v>0.95</v>
      </c>
      <c r="IE248" s="4">
        <f>ROUNDUP(PRODUCT(IA248:ID248),0)</f>
        <v>114</v>
      </c>
      <c r="IF248" s="4">
        <v>2000</v>
      </c>
      <c r="IG248" s="4">
        <f>IF248/(IE248*HD248)</f>
        <v>3.5087719298245612E-2</v>
      </c>
      <c r="IH248" s="4"/>
      <c r="II248" s="9">
        <v>0.01</v>
      </c>
      <c r="IJ248" s="4">
        <f>(BA248+EU248+GS248+GU248+GW248+DO248+HV248+IG248)*II248</f>
        <v>3.9630976511500979E-2</v>
      </c>
      <c r="IK248" s="4"/>
    </row>
    <row r="249" spans="1:245">
      <c r="A249">
        <v>202</v>
      </c>
      <c r="B249" t="s">
        <v>468</v>
      </c>
      <c r="C249" t="s">
        <v>1888</v>
      </c>
      <c r="D249" s="28" t="s">
        <v>393</v>
      </c>
      <c r="E249" s="27" t="s">
        <v>394</v>
      </c>
      <c r="F249" s="27"/>
      <c r="G249" t="s">
        <v>90</v>
      </c>
      <c r="I249" s="27" t="s">
        <v>121</v>
      </c>
      <c r="J249" s="28">
        <v>21160</v>
      </c>
      <c r="K249" s="27" t="s">
        <v>401</v>
      </c>
      <c r="L249" s="28">
        <v>21712</v>
      </c>
      <c r="M249" s="28" t="s">
        <v>121</v>
      </c>
      <c r="N249" s="28" t="s">
        <v>1764</v>
      </c>
      <c r="O249" s="28" t="s">
        <v>1038</v>
      </c>
      <c r="P249" s="331">
        <v>43105</v>
      </c>
      <c r="Q249" s="28" t="s">
        <v>1841</v>
      </c>
      <c r="R249" s="28" t="s">
        <v>1831</v>
      </c>
      <c r="S249" s="27"/>
      <c r="T249" s="27"/>
      <c r="U249" s="27"/>
      <c r="V249" s="29" t="s">
        <v>79</v>
      </c>
      <c r="W249"/>
      <c r="X249"/>
      <c r="Y249"/>
      <c r="Z249"/>
      <c r="AA249" s="21"/>
    </row>
    <row r="250" spans="1:245">
      <c r="A250">
        <v>203</v>
      </c>
      <c r="B250" t="s">
        <v>468</v>
      </c>
      <c r="C250" t="s">
        <v>1888</v>
      </c>
      <c r="D250" s="28" t="s">
        <v>393</v>
      </c>
      <c r="E250" s="27" t="s">
        <v>394</v>
      </c>
      <c r="F250" s="27"/>
      <c r="G250" t="s">
        <v>90</v>
      </c>
      <c r="I250" s="27" t="s">
        <v>121</v>
      </c>
      <c r="J250" s="28">
        <v>20945</v>
      </c>
      <c r="K250" s="27" t="s">
        <v>402</v>
      </c>
      <c r="L250" s="28">
        <v>21712</v>
      </c>
      <c r="M250" s="28" t="s">
        <v>121</v>
      </c>
      <c r="N250" s="28" t="s">
        <v>1764</v>
      </c>
      <c r="O250" s="28" t="s">
        <v>1038</v>
      </c>
      <c r="P250" s="331">
        <v>43105</v>
      </c>
      <c r="Q250" s="28" t="s">
        <v>1841</v>
      </c>
      <c r="R250" s="28" t="s">
        <v>1831</v>
      </c>
      <c r="S250" s="27"/>
      <c r="T250" s="27"/>
      <c r="U250" s="27"/>
      <c r="V250" s="29" t="s">
        <v>79</v>
      </c>
      <c r="W250"/>
      <c r="X250"/>
      <c r="Y250"/>
      <c r="Z250"/>
      <c r="AA250" s="21"/>
    </row>
    <row r="251" spans="1:245">
      <c r="A251">
        <v>204</v>
      </c>
      <c r="B251" t="s">
        <v>468</v>
      </c>
      <c r="C251" t="s">
        <v>1888</v>
      </c>
      <c r="D251" s="28" t="s">
        <v>393</v>
      </c>
      <c r="E251" s="27" t="s">
        <v>394</v>
      </c>
      <c r="F251" s="27"/>
      <c r="G251" t="s">
        <v>90</v>
      </c>
      <c r="I251" s="27" t="s">
        <v>94</v>
      </c>
      <c r="J251" s="28">
        <v>20945</v>
      </c>
      <c r="K251" s="27" t="s">
        <v>402</v>
      </c>
      <c r="L251" s="28">
        <v>21712</v>
      </c>
      <c r="M251" s="28" t="s">
        <v>94</v>
      </c>
      <c r="N251" s="28" t="s">
        <v>1889</v>
      </c>
      <c r="O251" s="28" t="s">
        <v>1805</v>
      </c>
      <c r="P251" s="331">
        <v>43752</v>
      </c>
      <c r="Q251" s="28" t="s">
        <v>1841</v>
      </c>
      <c r="R251" s="28" t="s">
        <v>1831</v>
      </c>
      <c r="S251" s="27"/>
      <c r="T251" s="27"/>
      <c r="U251" s="27"/>
      <c r="V251" s="29" t="s">
        <v>79</v>
      </c>
      <c r="W251"/>
      <c r="X251"/>
      <c r="Y251"/>
      <c r="Z251"/>
      <c r="AA251" s="21"/>
    </row>
    <row r="252" spans="1:245">
      <c r="A252">
        <v>238</v>
      </c>
      <c r="B252" t="s">
        <v>468</v>
      </c>
      <c r="C252" t="s">
        <v>964</v>
      </c>
      <c r="D252" s="28" t="s">
        <v>682</v>
      </c>
      <c r="E252" s="27" t="s">
        <v>683</v>
      </c>
      <c r="F252" s="5" t="s">
        <v>2182</v>
      </c>
      <c r="G252" s="27" t="s">
        <v>101</v>
      </c>
      <c r="I252" s="27" t="s">
        <v>121</v>
      </c>
      <c r="J252" s="28">
        <v>21480</v>
      </c>
      <c r="K252" s="27" t="s">
        <v>97</v>
      </c>
      <c r="N252" s="28"/>
      <c r="O252" s="28"/>
      <c r="P252" s="28"/>
      <c r="Q252" s="28" t="s">
        <v>1041</v>
      </c>
      <c r="R252" s="28" t="s">
        <v>1194</v>
      </c>
      <c r="S252" s="27"/>
      <c r="T252" s="27"/>
      <c r="U252" s="27"/>
      <c r="W252"/>
      <c r="X252"/>
      <c r="Y252"/>
      <c r="Z252"/>
      <c r="AA252" s="51" t="s">
        <v>440</v>
      </c>
      <c r="AB252" s="66">
        <v>111.78</v>
      </c>
      <c r="AC252" s="11">
        <f>AB252-5</f>
        <v>106.78</v>
      </c>
      <c r="AD252"/>
      <c r="AE252" s="7">
        <f t="shared" ref="AE252:AE294" si="231">BA252</f>
        <v>38.477319999999992</v>
      </c>
      <c r="AF252" s="7"/>
      <c r="AG252" s="7">
        <f t="shared" ref="AG252:AG278" si="232">EU252</f>
        <v>9.5399999999999991</v>
      </c>
      <c r="AH252" s="7">
        <f t="shared" ref="AH252:AH294" si="233">DM252</f>
        <v>0</v>
      </c>
      <c r="AI252" s="7">
        <f t="shared" ref="AI252:AI294" si="234">DO252</f>
        <v>0</v>
      </c>
      <c r="AJ252" s="7">
        <f t="shared" ref="AJ252:AJ294" si="235">GW252</f>
        <v>0.1908</v>
      </c>
      <c r="AK252" s="7">
        <f t="shared" ref="AK252:AK294" si="236">GU252</f>
        <v>0.60021649999999993</v>
      </c>
      <c r="AL252" s="7">
        <f t="shared" ref="AL252:AL294" si="237">GS252</f>
        <v>5.2819051999999989</v>
      </c>
      <c r="AM252" s="7">
        <f t="shared" ref="AM252:AM294" si="238">HV252</f>
        <v>0.46</v>
      </c>
      <c r="AN252" s="7">
        <f t="shared" ref="AN252:AN294" si="239">IG252</f>
        <v>0.5</v>
      </c>
      <c r="AO252" s="6">
        <v>0</v>
      </c>
      <c r="AP252" s="6"/>
      <c r="AQ252" s="7">
        <f t="shared" ref="AQ252:AQ283" si="240">SUM(AE252:AP252)</f>
        <v>55.050241699999994</v>
      </c>
      <c r="AR252" s="7"/>
      <c r="AS252" s="7"/>
      <c r="AT252" s="6">
        <v>0</v>
      </c>
      <c r="AV252" s="7">
        <f t="shared" ref="AV252:AV283" si="241">AQ252+AT252+AU252</f>
        <v>55.050241699999994</v>
      </c>
      <c r="AW252">
        <v>0.34899999999999998</v>
      </c>
      <c r="AX252">
        <v>0.34399999999999997</v>
      </c>
      <c r="AY252" s="8">
        <v>1</v>
      </c>
      <c r="AZ252">
        <f t="shared" ref="AZ252:AZ283" si="242">(AW252-AX252)*AY252</f>
        <v>5.0000000000000044E-3</v>
      </c>
      <c r="BA252" s="4">
        <f t="shared" ref="BA252:BA283" si="243">AW252*AB252-AZ252*AC252</f>
        <v>38.477319999999992</v>
      </c>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DN252" s="9">
        <v>1.2500000000000001E-2</v>
      </c>
      <c r="DO252" s="4">
        <f>DN252*CG252*CF252</f>
        <v>0</v>
      </c>
      <c r="DP252" s="4">
        <f>DM252+DO252</f>
        <v>0</v>
      </c>
      <c r="DQ252" s="4"/>
      <c r="DR252" s="4"/>
      <c r="DS252" s="4"/>
      <c r="DT252" s="4"/>
      <c r="DU252" s="4"/>
      <c r="DV252" s="4"/>
      <c r="DW252" s="4"/>
      <c r="DX252" s="4"/>
      <c r="DY252" s="4"/>
      <c r="DZ252" s="4"/>
      <c r="EA252" s="4"/>
      <c r="EB252" s="4"/>
      <c r="EC252" s="4"/>
      <c r="ED252" s="4"/>
      <c r="EE252" s="4"/>
      <c r="EF252">
        <v>450</v>
      </c>
      <c r="EG252">
        <v>4500</v>
      </c>
      <c r="EH252">
        <v>8</v>
      </c>
      <c r="EI252" s="8">
        <v>0.95</v>
      </c>
      <c r="EJ252">
        <v>1</v>
      </c>
      <c r="EK252">
        <v>58</v>
      </c>
      <c r="EL252" s="10">
        <f>ROUND(3600/EK252*EH252*EJ252*EI252,0)</f>
        <v>472</v>
      </c>
      <c r="EU252" s="4">
        <f>ROUNDUP((EG252/EL252),2)</f>
        <v>9.5399999999999991</v>
      </c>
      <c r="EV252" s="4"/>
      <c r="EW252" s="4"/>
      <c r="GR252" s="8">
        <v>0.11</v>
      </c>
      <c r="GS252" s="4">
        <f t="shared" ref="GS252:GS280" si="244">GR252*(BA252+EU252)</f>
        <v>5.2819051999999989</v>
      </c>
      <c r="GT252" s="9">
        <v>1.2500000000000001E-2</v>
      </c>
      <c r="GU252" s="4">
        <f t="shared" ref="GU252:GU294" si="245">GT252*(BA252+EU252)</f>
        <v>0.60021649999999993</v>
      </c>
      <c r="GV252" s="8">
        <v>0.02</v>
      </c>
      <c r="GW252" s="4">
        <f t="shared" ref="GW252:GW283" si="246">(GV252*EU252)</f>
        <v>0.1908</v>
      </c>
      <c r="GX252" s="4">
        <f t="shared" ref="GX252:GX294" si="247">GS252+GU252+GW252</f>
        <v>6.0729216999999993</v>
      </c>
      <c r="GY252" t="s">
        <v>418</v>
      </c>
      <c r="GZ252" t="s">
        <v>87</v>
      </c>
      <c r="HA252">
        <v>805</v>
      </c>
      <c r="HB252">
        <v>670</v>
      </c>
      <c r="HC252">
        <v>525</v>
      </c>
      <c r="HD252">
        <v>20</v>
      </c>
      <c r="HE252">
        <v>600</v>
      </c>
      <c r="HF252" s="4">
        <f t="shared" ref="HF252:HF294" si="248">ROUNDUP(HE252/HD252,0)</f>
        <v>30</v>
      </c>
      <c r="HG252">
        <v>5</v>
      </c>
      <c r="HH252" s="4">
        <f t="shared" ref="HH252:HH294" si="249">HF252*HG252</f>
        <v>150</v>
      </c>
      <c r="HI252">
        <v>1100</v>
      </c>
      <c r="HJ252" s="4">
        <f t="shared" ref="HJ252:HJ294" si="250">HH252*HI252</f>
        <v>165000</v>
      </c>
      <c r="HM252" s="4">
        <v>2</v>
      </c>
      <c r="HN252" s="10">
        <f t="shared" ref="HN252:HN294" si="251">HM252*12*25*HE252</f>
        <v>360000</v>
      </c>
      <c r="HO252" s="4">
        <f t="shared" ref="HO252:HO294" si="252">IF(GY252="carton box",HI252/HD252,HJ252/HN252)</f>
        <v>0.45833333333333331</v>
      </c>
      <c r="HP252" s="4">
        <v>160</v>
      </c>
      <c r="HV252" s="4">
        <f>ROUNDUP(HO252+HT252,2)</f>
        <v>0.46</v>
      </c>
      <c r="HW252" s="4"/>
      <c r="HX252" s="4">
        <v>4200</v>
      </c>
      <c r="HY252" s="4">
        <v>1900</v>
      </c>
      <c r="HZ252" s="4">
        <v>1975</v>
      </c>
      <c r="IA252" s="4">
        <v>5</v>
      </c>
      <c r="IB252" s="4">
        <v>2</v>
      </c>
      <c r="IC252" s="4">
        <v>3</v>
      </c>
      <c r="ID252" s="8">
        <v>1</v>
      </c>
      <c r="IE252" s="7">
        <f>ROUNDUP(PRODUCT(IA252:ID252),0)+20</f>
        <v>50</v>
      </c>
      <c r="IF252" s="4">
        <v>500</v>
      </c>
      <c r="IG252" s="4">
        <f>ROUNDUP(IF252/(IE252*HD252),2)</f>
        <v>0.5</v>
      </c>
      <c r="IH252" s="4"/>
    </row>
    <row r="253" spans="1:245">
      <c r="A253">
        <v>239</v>
      </c>
      <c r="B253" t="s">
        <v>468</v>
      </c>
      <c r="C253" t="s">
        <v>966</v>
      </c>
      <c r="D253" s="28" t="s">
        <v>684</v>
      </c>
      <c r="E253" s="27" t="s">
        <v>685</v>
      </c>
      <c r="F253" s="5" t="s">
        <v>2182</v>
      </c>
      <c r="G253" s="27" t="s">
        <v>101</v>
      </c>
      <c r="I253" s="27" t="s">
        <v>121</v>
      </c>
      <c r="J253" s="28">
        <v>21480</v>
      </c>
      <c r="K253" s="27" t="s">
        <v>97</v>
      </c>
      <c r="N253" s="28"/>
      <c r="O253" s="28"/>
      <c r="P253" s="28"/>
      <c r="Q253" s="28" t="s">
        <v>1041</v>
      </c>
      <c r="R253" s="28" t="s">
        <v>1194</v>
      </c>
      <c r="S253" s="27"/>
      <c r="T253" s="27"/>
      <c r="U253" s="27"/>
      <c r="W253"/>
      <c r="X253"/>
      <c r="Y253"/>
      <c r="Z253"/>
      <c r="AA253" s="51" t="s">
        <v>965</v>
      </c>
      <c r="AB253" s="66">
        <v>201.45</v>
      </c>
      <c r="AC253" s="11">
        <f>AB253-5</f>
        <v>196.45</v>
      </c>
      <c r="AD253"/>
      <c r="AE253" s="7">
        <f t="shared" si="231"/>
        <v>76.238099999999989</v>
      </c>
      <c r="AF253" s="7"/>
      <c r="AG253" s="7">
        <f t="shared" si="232"/>
        <v>9.84</v>
      </c>
      <c r="AH253" s="7">
        <f t="shared" si="233"/>
        <v>0</v>
      </c>
      <c r="AI253" s="7">
        <f t="shared" si="234"/>
        <v>0</v>
      </c>
      <c r="AJ253" s="7">
        <f t="shared" si="235"/>
        <v>0.1968</v>
      </c>
      <c r="AK253" s="7">
        <f t="shared" si="236"/>
        <v>1.0759762499999999</v>
      </c>
      <c r="AL253" s="7">
        <f t="shared" si="237"/>
        <v>9.468591</v>
      </c>
      <c r="AM253" s="7">
        <f t="shared" si="238"/>
        <v>2.42</v>
      </c>
      <c r="AN253" s="7">
        <f t="shared" si="239"/>
        <v>1.0416666666666667</v>
      </c>
      <c r="AO253" s="6">
        <v>0</v>
      </c>
      <c r="AP253" s="6"/>
      <c r="AQ253" s="7">
        <f t="shared" si="240"/>
        <v>100.28113391666666</v>
      </c>
      <c r="AR253" s="7"/>
      <c r="AS253" s="7"/>
      <c r="AT253" s="6">
        <v>0</v>
      </c>
      <c r="AV253" s="7">
        <f t="shared" si="241"/>
        <v>100.28113391666666</v>
      </c>
      <c r="AW253">
        <v>0.39600000000000002</v>
      </c>
      <c r="AX253">
        <v>0.376</v>
      </c>
      <c r="AY253" s="8">
        <v>0.9</v>
      </c>
      <c r="AZ253">
        <f t="shared" si="242"/>
        <v>1.8000000000000016E-2</v>
      </c>
      <c r="BA253" s="4">
        <f t="shared" si="243"/>
        <v>76.238099999999989</v>
      </c>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DN253" s="9">
        <v>1.2500000000000001E-2</v>
      </c>
      <c r="EF253">
        <v>450</v>
      </c>
      <c r="EG253">
        <v>4140</v>
      </c>
      <c r="EH253">
        <v>8</v>
      </c>
      <c r="EI253" s="8">
        <v>0.95</v>
      </c>
      <c r="EJ253">
        <v>1</v>
      </c>
      <c r="EK253">
        <v>65</v>
      </c>
      <c r="EL253" s="10">
        <f>ROUND(3600/EK253*EH253*EJ253*EI253,0)</f>
        <v>421</v>
      </c>
      <c r="EU253" s="4">
        <f>ROUNDUP((EG253/EL253),2)</f>
        <v>9.84</v>
      </c>
      <c r="EV253" s="4"/>
      <c r="EW253" s="4"/>
      <c r="GR253" s="8">
        <v>0.11</v>
      </c>
      <c r="GS253" s="4">
        <f t="shared" si="244"/>
        <v>9.468591</v>
      </c>
      <c r="GT253" s="9">
        <v>1.2500000000000001E-2</v>
      </c>
      <c r="GU253" s="4">
        <f t="shared" si="245"/>
        <v>1.0759762499999999</v>
      </c>
      <c r="GV253" s="8">
        <v>0.02</v>
      </c>
      <c r="GW253" s="4">
        <f t="shared" si="246"/>
        <v>0.1968</v>
      </c>
      <c r="GX253" s="4">
        <f t="shared" si="247"/>
        <v>10.74136725</v>
      </c>
      <c r="GY253" t="s">
        <v>418</v>
      </c>
      <c r="GZ253" t="s">
        <v>87</v>
      </c>
      <c r="HA253">
        <v>810</v>
      </c>
      <c r="HB253">
        <v>580</v>
      </c>
      <c r="HC253">
        <v>425</v>
      </c>
      <c r="HD253">
        <v>10</v>
      </c>
      <c r="HE253">
        <v>400</v>
      </c>
      <c r="HF253" s="4">
        <f t="shared" si="248"/>
        <v>40</v>
      </c>
      <c r="HG253">
        <v>5</v>
      </c>
      <c r="HH253" s="4">
        <f t="shared" si="249"/>
        <v>200</v>
      </c>
      <c r="HI253">
        <v>1100</v>
      </c>
      <c r="HJ253" s="4">
        <f t="shared" si="250"/>
        <v>220000</v>
      </c>
      <c r="HM253" s="4">
        <v>2</v>
      </c>
      <c r="HN253" s="10">
        <f t="shared" si="251"/>
        <v>240000</v>
      </c>
      <c r="HO253" s="4">
        <f t="shared" si="252"/>
        <v>0.91666666666666663</v>
      </c>
      <c r="HP253" s="4">
        <v>160</v>
      </c>
      <c r="HQ253">
        <v>0</v>
      </c>
      <c r="HR253" s="4">
        <v>1.5</v>
      </c>
      <c r="HS253" s="4">
        <v>1</v>
      </c>
      <c r="HT253" s="4">
        <f>HR253/HS253</f>
        <v>1.5</v>
      </c>
      <c r="HU253" s="4"/>
      <c r="HV253" s="4">
        <f>ROUNDUP(HO253+HT253,2)</f>
        <v>2.42</v>
      </c>
      <c r="HW253" s="4"/>
      <c r="HX253" s="4">
        <v>4200</v>
      </c>
      <c r="HY253" s="4">
        <v>1900</v>
      </c>
      <c r="HZ253" s="4">
        <v>1975</v>
      </c>
      <c r="IA253" s="4">
        <v>5</v>
      </c>
      <c r="IB253" s="4">
        <v>3</v>
      </c>
      <c r="IC253" s="4">
        <v>4</v>
      </c>
      <c r="ID253" s="8">
        <v>0.8</v>
      </c>
      <c r="IE253" s="4">
        <f>ROUNDUP(PRODUCT(IA253:ID253),0)</f>
        <v>48</v>
      </c>
      <c r="IF253" s="4">
        <v>500</v>
      </c>
      <c r="IG253" s="4">
        <f>IF253/(IE253*HD253)</f>
        <v>1.0416666666666667</v>
      </c>
      <c r="IH253" s="4"/>
    </row>
    <row r="254" spans="1:245">
      <c r="A254">
        <v>240</v>
      </c>
      <c r="B254" t="s">
        <v>468</v>
      </c>
      <c r="C254" s="170" t="s">
        <v>967</v>
      </c>
      <c r="D254" s="28" t="s">
        <v>686</v>
      </c>
      <c r="E254" s="27" t="s">
        <v>180</v>
      </c>
      <c r="F254" s="5" t="s">
        <v>2182</v>
      </c>
      <c r="G254" s="27" t="s">
        <v>101</v>
      </c>
      <c r="I254" s="27" t="s">
        <v>121</v>
      </c>
      <c r="J254" s="28">
        <v>21480</v>
      </c>
      <c r="K254" s="27" t="s">
        <v>97</v>
      </c>
      <c r="N254" s="28"/>
      <c r="O254" s="28"/>
      <c r="P254" s="28"/>
      <c r="Q254" s="28" t="s">
        <v>1041</v>
      </c>
      <c r="R254" s="28" t="s">
        <v>1034</v>
      </c>
      <c r="S254" s="27"/>
      <c r="T254" s="27"/>
      <c r="U254" s="27"/>
      <c r="W254" s="72" t="s">
        <v>968</v>
      </c>
      <c r="X254" s="72"/>
      <c r="Y254" s="72"/>
      <c r="Z254" s="72"/>
      <c r="AA254" s="51" t="s">
        <v>965</v>
      </c>
      <c r="AB254" s="66">
        <v>201.45</v>
      </c>
      <c r="AC254" s="11">
        <f>AB254-5</f>
        <v>196.45</v>
      </c>
      <c r="AD254"/>
      <c r="AE254" s="7">
        <f t="shared" si="231"/>
        <v>177.97035</v>
      </c>
      <c r="AF254" s="7"/>
      <c r="AG254" s="7">
        <f t="shared" si="232"/>
        <v>17.490000000000002</v>
      </c>
      <c r="AH254" s="7">
        <f t="shared" si="233"/>
        <v>0</v>
      </c>
      <c r="AI254" s="7">
        <f t="shared" si="234"/>
        <v>0</v>
      </c>
      <c r="AJ254" s="7">
        <f t="shared" si="235"/>
        <v>0.34980000000000006</v>
      </c>
      <c r="AK254" s="7">
        <f t="shared" si="236"/>
        <v>2.4432543750000004</v>
      </c>
      <c r="AL254" s="7">
        <f t="shared" si="237"/>
        <v>21.500638500000001</v>
      </c>
      <c r="AM254" s="168">
        <f t="shared" si="238"/>
        <v>8.75</v>
      </c>
      <c r="AN254" s="7">
        <f t="shared" si="239"/>
        <v>2.59962962962963</v>
      </c>
      <c r="AO254" s="6">
        <v>0</v>
      </c>
      <c r="AP254" s="6"/>
      <c r="AQ254" s="7">
        <f t="shared" si="240"/>
        <v>231.10367250462963</v>
      </c>
      <c r="AR254" s="7"/>
      <c r="AS254" s="7"/>
      <c r="AT254" s="6">
        <v>0</v>
      </c>
      <c r="AU254" s="6">
        <f>231.77-231.1</f>
        <v>0.67000000000001592</v>
      </c>
      <c r="AV254" s="7">
        <f t="shared" si="241"/>
        <v>231.77367250462964</v>
      </c>
      <c r="AW254">
        <v>0.90100000000000002</v>
      </c>
      <c r="AX254">
        <v>0.88100000000000001</v>
      </c>
      <c r="AY254" s="8">
        <v>0.9</v>
      </c>
      <c r="AZ254">
        <f t="shared" si="242"/>
        <v>1.8000000000000016E-2</v>
      </c>
      <c r="BA254" s="4">
        <f t="shared" si="243"/>
        <v>177.97035</v>
      </c>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DN254" s="9">
        <v>1.2500000000000001E-2</v>
      </c>
      <c r="EF254">
        <v>650</v>
      </c>
      <c r="EG254">
        <v>5980</v>
      </c>
      <c r="EH254">
        <v>8</v>
      </c>
      <c r="EI254" s="8">
        <v>0.95</v>
      </c>
      <c r="EJ254">
        <v>1</v>
      </c>
      <c r="EK254">
        <v>80</v>
      </c>
      <c r="EL254" s="10">
        <f>3600/EK254*EH254*EJ254*EI254</f>
        <v>342</v>
      </c>
      <c r="EU254" s="4">
        <f>ROUNDUP((EG254/EL254),2)</f>
        <v>17.490000000000002</v>
      </c>
      <c r="EV254" s="4"/>
      <c r="EW254" s="4"/>
      <c r="GR254" s="8">
        <v>0.11</v>
      </c>
      <c r="GS254" s="4">
        <f t="shared" si="244"/>
        <v>21.500638500000001</v>
      </c>
      <c r="GT254" s="9">
        <v>1.2500000000000001E-2</v>
      </c>
      <c r="GU254" s="4">
        <f t="shared" si="245"/>
        <v>2.4432543750000004</v>
      </c>
      <c r="GV254" s="8">
        <v>0.02</v>
      </c>
      <c r="GW254" s="4">
        <f t="shared" si="246"/>
        <v>0.34980000000000006</v>
      </c>
      <c r="GX254" s="4">
        <f t="shared" si="247"/>
        <v>24.293692875000001</v>
      </c>
      <c r="GY254" t="s">
        <v>418</v>
      </c>
      <c r="GZ254" t="s">
        <v>87</v>
      </c>
      <c r="HA254">
        <v>1500</v>
      </c>
      <c r="HB254">
        <v>950</v>
      </c>
      <c r="HC254">
        <v>1745</v>
      </c>
      <c r="HD254">
        <v>18</v>
      </c>
      <c r="HE254">
        <v>100</v>
      </c>
      <c r="HF254" s="4">
        <f t="shared" si="248"/>
        <v>6</v>
      </c>
      <c r="HG254">
        <v>5</v>
      </c>
      <c r="HH254" s="4">
        <f t="shared" si="249"/>
        <v>30</v>
      </c>
      <c r="HI254">
        <v>17500</v>
      </c>
      <c r="HJ254" s="4">
        <f t="shared" si="250"/>
        <v>525000</v>
      </c>
      <c r="HM254" s="4">
        <v>2</v>
      </c>
      <c r="HN254" s="10">
        <f t="shared" si="251"/>
        <v>60000</v>
      </c>
      <c r="HO254" s="4">
        <f t="shared" si="252"/>
        <v>8.75</v>
      </c>
      <c r="HP254" s="4">
        <v>160</v>
      </c>
      <c r="HV254" s="4">
        <f>ROUNDUP(HO254+HT254,2)</f>
        <v>8.75</v>
      </c>
      <c r="HW254" s="4"/>
      <c r="HX254" s="4">
        <v>4200</v>
      </c>
      <c r="HY254" s="4">
        <v>1900</v>
      </c>
      <c r="HZ254" s="4">
        <v>1975</v>
      </c>
      <c r="IA254" s="4">
        <v>2</v>
      </c>
      <c r="IB254" s="4">
        <v>2</v>
      </c>
      <c r="IC254" s="4">
        <v>1</v>
      </c>
      <c r="ID254" s="8">
        <v>1</v>
      </c>
      <c r="IE254" s="7">
        <f>ROUNDUP(PRODUCT(IA254:ID254),0)+2</f>
        <v>6</v>
      </c>
      <c r="IF254" s="4">
        <v>500</v>
      </c>
      <c r="IG254" s="4">
        <f>IF254/(IE254*HD254)-2.03</f>
        <v>2.59962962962963</v>
      </c>
      <c r="IH254" s="4"/>
    </row>
    <row r="255" spans="1:245">
      <c r="A255">
        <v>241</v>
      </c>
      <c r="B255" t="s">
        <v>468</v>
      </c>
      <c r="C255" t="s">
        <v>969</v>
      </c>
      <c r="D255" s="28" t="s">
        <v>687</v>
      </c>
      <c r="E255" s="27" t="s">
        <v>688</v>
      </c>
      <c r="F255" s="5" t="s">
        <v>2182</v>
      </c>
      <c r="G255" s="27" t="s">
        <v>101</v>
      </c>
      <c r="I255" s="27" t="s">
        <v>121</v>
      </c>
      <c r="J255" s="28">
        <v>21480</v>
      </c>
      <c r="K255" s="27" t="s">
        <v>97</v>
      </c>
      <c r="N255" s="28"/>
      <c r="O255" s="28"/>
      <c r="P255" s="28"/>
      <c r="Q255" s="28" t="s">
        <v>1041</v>
      </c>
      <c r="R255" s="28" t="s">
        <v>1034</v>
      </c>
      <c r="S255" s="27"/>
      <c r="T255" s="27"/>
      <c r="U255" s="27"/>
      <c r="AA255" s="51" t="s">
        <v>423</v>
      </c>
      <c r="AB255" s="66">
        <v>100.34</v>
      </c>
      <c r="AC255" s="11">
        <f>AB255-5</f>
        <v>95.34</v>
      </c>
      <c r="AD255"/>
      <c r="AE255" s="7">
        <f t="shared" si="231"/>
        <v>13.16954</v>
      </c>
      <c r="AF255" s="7"/>
      <c r="AG255" s="7">
        <f t="shared" si="232"/>
        <v>7.291666666666667</v>
      </c>
      <c r="AH255" s="7">
        <f t="shared" si="233"/>
        <v>0</v>
      </c>
      <c r="AI255" s="7">
        <f t="shared" si="234"/>
        <v>0</v>
      </c>
      <c r="AJ255" s="7">
        <f t="shared" si="235"/>
        <v>0.14583333333333334</v>
      </c>
      <c r="AK255" s="7">
        <f t="shared" si="236"/>
        <v>0.25576508333333331</v>
      </c>
      <c r="AL255" s="7">
        <f t="shared" si="237"/>
        <v>2.2507327333333333</v>
      </c>
      <c r="AM255" s="168">
        <f t="shared" si="238"/>
        <v>6.1111111111111109E-2</v>
      </c>
      <c r="AN255" s="7">
        <f t="shared" si="239"/>
        <v>5.2083333333333336E-2</v>
      </c>
      <c r="AO255" s="6">
        <v>0</v>
      </c>
      <c r="AP255" s="6"/>
      <c r="AQ255" s="7">
        <f t="shared" si="240"/>
        <v>23.226732261111106</v>
      </c>
      <c r="AR255" s="7"/>
      <c r="AS255" s="7"/>
      <c r="AT255" s="6">
        <v>0</v>
      </c>
      <c r="AV255" s="7">
        <f t="shared" si="241"/>
        <v>23.226732261111106</v>
      </c>
      <c r="AW255">
        <v>0.13600000000000001</v>
      </c>
      <c r="AX255">
        <v>0.13100000000000001</v>
      </c>
      <c r="AY255" s="8">
        <v>1</v>
      </c>
      <c r="AZ255" s="55">
        <f t="shared" si="242"/>
        <v>5.0000000000000044E-3</v>
      </c>
      <c r="BA255" s="4">
        <f t="shared" si="243"/>
        <v>13.16954</v>
      </c>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DN255" s="9">
        <v>1.2500000000000001E-2</v>
      </c>
      <c r="EF255">
        <v>350</v>
      </c>
      <c r="EG255">
        <v>3500</v>
      </c>
      <c r="EH255">
        <v>8</v>
      </c>
      <c r="EI255" s="8">
        <v>0.95</v>
      </c>
      <c r="EJ255">
        <v>1</v>
      </c>
      <c r="EK255">
        <v>57</v>
      </c>
      <c r="EL255" s="10">
        <f>ROUND(3600/EK255*EH255*EJ255*EI255,0)</f>
        <v>480</v>
      </c>
      <c r="EU255" s="4">
        <f t="shared" ref="EU255:EU264" si="253">EG255/EL255</f>
        <v>7.291666666666667</v>
      </c>
      <c r="EV255" s="4"/>
      <c r="EW255" s="4"/>
      <c r="GR255" s="8">
        <v>0.11</v>
      </c>
      <c r="GS255" s="4">
        <f t="shared" si="244"/>
        <v>2.2507327333333333</v>
      </c>
      <c r="GT255" s="9">
        <v>1.2500000000000001E-2</v>
      </c>
      <c r="GU255" s="4">
        <f t="shared" si="245"/>
        <v>0.25576508333333331</v>
      </c>
      <c r="GV255" s="8">
        <v>0.02</v>
      </c>
      <c r="GW255" s="4">
        <f t="shared" si="246"/>
        <v>0.14583333333333334</v>
      </c>
      <c r="GX255" s="4">
        <f t="shared" si="247"/>
        <v>2.6523311500000002</v>
      </c>
      <c r="GY255" t="s">
        <v>418</v>
      </c>
      <c r="GZ255" t="s">
        <v>87</v>
      </c>
      <c r="HA255">
        <v>650</v>
      </c>
      <c r="HB255">
        <v>450</v>
      </c>
      <c r="HC255">
        <v>480</v>
      </c>
      <c r="HD255">
        <v>80</v>
      </c>
      <c r="HE255">
        <v>600</v>
      </c>
      <c r="HF255" s="4">
        <f t="shared" si="248"/>
        <v>8</v>
      </c>
      <c r="HG255">
        <v>5</v>
      </c>
      <c r="HH255" s="4">
        <f t="shared" si="249"/>
        <v>40</v>
      </c>
      <c r="HI255">
        <v>550</v>
      </c>
      <c r="HJ255" s="4">
        <f t="shared" si="250"/>
        <v>22000</v>
      </c>
      <c r="HM255" s="4">
        <v>2</v>
      </c>
      <c r="HN255" s="10">
        <f t="shared" si="251"/>
        <v>360000</v>
      </c>
      <c r="HO255" s="4">
        <f t="shared" si="252"/>
        <v>6.1111111111111109E-2</v>
      </c>
      <c r="HP255" s="4">
        <v>160</v>
      </c>
      <c r="HV255" s="4">
        <f t="shared" ref="HV255:HV261" si="254">HO255+HT255</f>
        <v>6.1111111111111109E-2</v>
      </c>
      <c r="HW255" s="4"/>
      <c r="HX255" s="4">
        <v>4200</v>
      </c>
      <c r="HY255" s="4">
        <v>1900</v>
      </c>
      <c r="HZ255" s="4">
        <v>1975</v>
      </c>
      <c r="IA255" s="4">
        <v>6</v>
      </c>
      <c r="IB255" s="4">
        <v>4</v>
      </c>
      <c r="IC255" s="4">
        <v>4</v>
      </c>
      <c r="ID255" s="8">
        <v>1</v>
      </c>
      <c r="IE255" s="7">
        <f>ROUNDUP(PRODUCT(IA255:ID255),0)+24</f>
        <v>120</v>
      </c>
      <c r="IF255" s="4">
        <v>500</v>
      </c>
      <c r="IG255" s="4">
        <f t="shared" ref="IG255:IG294" si="255">IF255/(IE255*HD255)</f>
        <v>5.2083333333333336E-2</v>
      </c>
      <c r="IH255" s="4"/>
    </row>
    <row r="256" spans="1:245">
      <c r="A256">
        <v>242</v>
      </c>
      <c r="B256" t="s">
        <v>468</v>
      </c>
      <c r="C256" t="s">
        <v>970</v>
      </c>
      <c r="D256" s="28" t="s">
        <v>689</v>
      </c>
      <c r="E256" s="27" t="s">
        <v>690</v>
      </c>
      <c r="F256" s="5" t="s">
        <v>2182</v>
      </c>
      <c r="G256" s="27" t="s">
        <v>101</v>
      </c>
      <c r="I256" s="27" t="s">
        <v>121</v>
      </c>
      <c r="J256" s="28">
        <v>21480</v>
      </c>
      <c r="K256" s="27" t="s">
        <v>97</v>
      </c>
      <c r="N256" s="28"/>
      <c r="O256" s="28"/>
      <c r="P256" s="28"/>
      <c r="Q256" s="28" t="s">
        <v>1041</v>
      </c>
      <c r="R256" s="28" t="s">
        <v>1034</v>
      </c>
      <c r="S256" s="27"/>
      <c r="T256" s="27"/>
      <c r="U256" s="27"/>
      <c r="AA256" s="169" t="s">
        <v>971</v>
      </c>
      <c r="AB256" s="66">
        <v>124.77</v>
      </c>
      <c r="AC256" s="11">
        <f>AB256-5</f>
        <v>119.77</v>
      </c>
      <c r="AD256"/>
      <c r="AE256" s="7">
        <f t="shared" si="231"/>
        <v>43.085649999999994</v>
      </c>
      <c r="AF256" s="7"/>
      <c r="AG256" s="7">
        <f t="shared" si="232"/>
        <v>7.6754385964912277</v>
      </c>
      <c r="AH256" s="7">
        <f t="shared" si="233"/>
        <v>6.5</v>
      </c>
      <c r="AI256" s="7">
        <f t="shared" si="234"/>
        <v>0.19500000000000001</v>
      </c>
      <c r="AJ256" s="7">
        <f t="shared" si="235"/>
        <v>0.15350877192982457</v>
      </c>
      <c r="AK256" s="7">
        <f t="shared" si="236"/>
        <v>0.63451360745614027</v>
      </c>
      <c r="AL256" s="7">
        <f t="shared" si="237"/>
        <v>5.5837197456140339</v>
      </c>
      <c r="AM256" s="7">
        <f t="shared" si="238"/>
        <v>0.22916666666666666</v>
      </c>
      <c r="AN256" s="7">
        <f t="shared" si="239"/>
        <v>0.25</v>
      </c>
      <c r="AO256" s="6">
        <v>0</v>
      </c>
      <c r="AP256" s="6"/>
      <c r="AQ256" s="7">
        <f t="shared" si="240"/>
        <v>64.306997388157882</v>
      </c>
      <c r="AR256" s="7"/>
      <c r="AS256" s="7"/>
      <c r="AT256" s="6">
        <v>0</v>
      </c>
      <c r="AV256" s="7">
        <f t="shared" si="241"/>
        <v>64.306997388157882</v>
      </c>
      <c r="AW256">
        <v>0.35299999999999998</v>
      </c>
      <c r="AX256">
        <v>0.34499999999999997</v>
      </c>
      <c r="AY256" s="8">
        <v>1</v>
      </c>
      <c r="AZ256">
        <f t="shared" si="242"/>
        <v>8.0000000000000071E-3</v>
      </c>
      <c r="BA256" s="4">
        <f t="shared" si="243"/>
        <v>43.085649999999994</v>
      </c>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F256">
        <v>1</v>
      </c>
      <c r="CG256" s="4">
        <v>6.5</v>
      </c>
      <c r="CH256">
        <f t="shared" ref="CH256:CH261" si="256">CF256*CG256</f>
        <v>6.5</v>
      </c>
      <c r="DM256">
        <f t="shared" ref="DM256:DM261" si="257">CH256+CM256+CR256+DB256+DG256+DL256</f>
        <v>6.5</v>
      </c>
      <c r="DN256" s="9">
        <v>0.03</v>
      </c>
      <c r="DO256" s="4">
        <f>DM256*DN256</f>
        <v>0.19500000000000001</v>
      </c>
      <c r="DP256" s="4">
        <f t="shared" ref="DP256:DP261" si="258">DM256+DO256</f>
        <v>6.6950000000000003</v>
      </c>
      <c r="DQ256" s="4"/>
      <c r="DR256" s="4"/>
      <c r="DS256" s="4"/>
      <c r="DT256" s="4"/>
      <c r="DU256" s="4"/>
      <c r="DV256" s="4"/>
      <c r="DW256" s="4"/>
      <c r="DX256" s="4"/>
      <c r="DY256" s="4"/>
      <c r="DZ256" s="4"/>
      <c r="EA256" s="4"/>
      <c r="EB256" s="4"/>
      <c r="EC256" s="4"/>
      <c r="ED256" s="4"/>
      <c r="EE256" s="4"/>
      <c r="EF256">
        <v>350</v>
      </c>
      <c r="EG256">
        <v>3500</v>
      </c>
      <c r="EH256">
        <v>8</v>
      </c>
      <c r="EI256" s="8">
        <v>0.95</v>
      </c>
      <c r="EJ256">
        <v>1</v>
      </c>
      <c r="EK256">
        <v>60</v>
      </c>
      <c r="EL256" s="10">
        <f>ROUND(3600/EK256*EH256*EJ256*EI256,0)</f>
        <v>456</v>
      </c>
      <c r="EU256" s="4">
        <f t="shared" si="253"/>
        <v>7.6754385964912277</v>
      </c>
      <c r="EV256" s="4"/>
      <c r="EW256" s="4"/>
      <c r="GR256" s="8">
        <v>0.11</v>
      </c>
      <c r="GS256" s="4">
        <f t="shared" si="244"/>
        <v>5.5837197456140339</v>
      </c>
      <c r="GT256" s="9">
        <v>1.2500000000000001E-2</v>
      </c>
      <c r="GU256" s="4">
        <f t="shared" si="245"/>
        <v>0.63451360745614027</v>
      </c>
      <c r="GV256" s="8">
        <v>0.02</v>
      </c>
      <c r="GW256" s="4">
        <f t="shared" si="246"/>
        <v>0.15350877192982457</v>
      </c>
      <c r="GX256" s="4">
        <f t="shared" si="247"/>
        <v>6.371742124999999</v>
      </c>
      <c r="GY256" t="s">
        <v>418</v>
      </c>
      <c r="GZ256" t="s">
        <v>87</v>
      </c>
      <c r="HA256">
        <v>805</v>
      </c>
      <c r="HB256">
        <v>670</v>
      </c>
      <c r="HC256">
        <v>525</v>
      </c>
      <c r="HD256">
        <v>40</v>
      </c>
      <c r="HE256">
        <v>600</v>
      </c>
      <c r="HF256" s="4">
        <f t="shared" si="248"/>
        <v>15</v>
      </c>
      <c r="HG256">
        <v>5</v>
      </c>
      <c r="HH256" s="4">
        <f t="shared" si="249"/>
        <v>75</v>
      </c>
      <c r="HI256">
        <v>1100</v>
      </c>
      <c r="HJ256" s="4">
        <f t="shared" si="250"/>
        <v>82500</v>
      </c>
      <c r="HM256" s="4">
        <v>2</v>
      </c>
      <c r="HN256" s="10">
        <f t="shared" si="251"/>
        <v>360000</v>
      </c>
      <c r="HO256" s="4">
        <f t="shared" si="252"/>
        <v>0.22916666666666666</v>
      </c>
      <c r="HP256" s="4">
        <v>160</v>
      </c>
      <c r="HV256" s="4">
        <f t="shared" si="254"/>
        <v>0.22916666666666666</v>
      </c>
      <c r="HW256" s="4"/>
      <c r="HX256" s="4">
        <v>4200</v>
      </c>
      <c r="HY256" s="4">
        <v>1900</v>
      </c>
      <c r="HZ256" s="4">
        <v>1975</v>
      </c>
      <c r="IA256" s="4">
        <v>5</v>
      </c>
      <c r="IB256" s="4">
        <v>2</v>
      </c>
      <c r="IC256" s="4">
        <v>3</v>
      </c>
      <c r="ID256" s="8">
        <v>1</v>
      </c>
      <c r="IE256" s="7">
        <f>ROUNDUP(PRODUCT(IA256:ID256),0)+20</f>
        <v>50</v>
      </c>
      <c r="IF256" s="4">
        <v>500</v>
      </c>
      <c r="IG256" s="4">
        <f t="shared" si="255"/>
        <v>0.25</v>
      </c>
      <c r="IH256" s="4"/>
    </row>
    <row r="257" spans="1:242" ht="30">
      <c r="A257">
        <v>243</v>
      </c>
      <c r="B257" t="s">
        <v>468</v>
      </c>
      <c r="C257" t="s">
        <v>974</v>
      </c>
      <c r="D257" s="28" t="s">
        <v>691</v>
      </c>
      <c r="E257" s="27" t="s">
        <v>339</v>
      </c>
      <c r="F257" s="5" t="s">
        <v>2182</v>
      </c>
      <c r="G257" s="27" t="s">
        <v>101</v>
      </c>
      <c r="I257" s="27" t="s">
        <v>121</v>
      </c>
      <c r="J257" s="28">
        <v>21480</v>
      </c>
      <c r="K257" s="27" t="s">
        <v>97</v>
      </c>
      <c r="N257" s="28"/>
      <c r="O257" s="28"/>
      <c r="P257" s="28"/>
      <c r="Q257" s="28" t="s">
        <v>1041</v>
      </c>
      <c r="R257" s="28" t="s">
        <v>1034</v>
      </c>
      <c r="S257" s="27"/>
      <c r="T257" s="27"/>
      <c r="U257" s="27"/>
      <c r="W257" s="72" t="s">
        <v>973</v>
      </c>
      <c r="X257" s="72"/>
      <c r="Y257" s="72"/>
      <c r="Z257" s="72"/>
      <c r="AA257" s="51" t="s">
        <v>972</v>
      </c>
      <c r="AB257" s="66">
        <v>111.78</v>
      </c>
      <c r="AC257" s="11">
        <v>0</v>
      </c>
      <c r="AD257"/>
      <c r="AE257" s="7">
        <f t="shared" si="231"/>
        <v>45.270900000000005</v>
      </c>
      <c r="AF257" s="7"/>
      <c r="AG257" s="7">
        <f t="shared" si="232"/>
        <v>7.0358187134502925</v>
      </c>
      <c r="AH257" s="7">
        <f t="shared" si="233"/>
        <v>4.2</v>
      </c>
      <c r="AI257" s="7">
        <f t="shared" si="234"/>
        <v>0.126</v>
      </c>
      <c r="AJ257" s="7">
        <f t="shared" si="235"/>
        <v>0.14071637426900585</v>
      </c>
      <c r="AK257" s="7">
        <f t="shared" si="236"/>
        <v>0.65383398391812875</v>
      </c>
      <c r="AL257" s="7">
        <f t="shared" si="237"/>
        <v>5.7537390584795327</v>
      </c>
      <c r="AM257" s="7">
        <f t="shared" si="238"/>
        <v>0.44305555555555554</v>
      </c>
      <c r="AN257" s="7">
        <f t="shared" si="239"/>
        <v>0.47619047619047616</v>
      </c>
      <c r="AO257" s="6">
        <v>0</v>
      </c>
      <c r="AP257" s="6"/>
      <c r="AQ257" s="7">
        <f t="shared" si="240"/>
        <v>64.100254161862992</v>
      </c>
      <c r="AR257" s="7"/>
      <c r="AS257" s="7"/>
      <c r="AT257" s="6">
        <v>0</v>
      </c>
      <c r="AV257" s="7">
        <f t="shared" si="241"/>
        <v>64.100254161862992</v>
      </c>
      <c r="AW257" s="14">
        <v>0.40500000000000003</v>
      </c>
      <c r="AX257">
        <v>0.40500000000000003</v>
      </c>
      <c r="AY257" s="8">
        <v>0</v>
      </c>
      <c r="AZ257">
        <f t="shared" si="242"/>
        <v>0</v>
      </c>
      <c r="BA257" s="4">
        <f t="shared" si="243"/>
        <v>45.270900000000005</v>
      </c>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F257">
        <v>1</v>
      </c>
      <c r="CG257">
        <v>4.2</v>
      </c>
      <c r="CH257">
        <f t="shared" si="256"/>
        <v>4.2</v>
      </c>
      <c r="DM257">
        <f t="shared" si="257"/>
        <v>4.2</v>
      </c>
      <c r="DN257" s="9">
        <v>0.03</v>
      </c>
      <c r="DO257" s="4">
        <f>DM257*DN257</f>
        <v>0.126</v>
      </c>
      <c r="DP257" s="4">
        <f t="shared" si="258"/>
        <v>4.3260000000000005</v>
      </c>
      <c r="DQ257" s="4"/>
      <c r="DR257" s="4"/>
      <c r="DS257" s="4"/>
      <c r="DT257" s="4"/>
      <c r="DU257" s="4"/>
      <c r="DV257" s="4"/>
      <c r="DW257" s="4"/>
      <c r="DX257" s="4"/>
      <c r="DY257" s="4"/>
      <c r="DZ257" s="4"/>
      <c r="EA257" s="4"/>
      <c r="EB257" s="4"/>
      <c r="EC257" s="4"/>
      <c r="ED257" s="4"/>
      <c r="EE257" s="4"/>
      <c r="EF257">
        <v>350</v>
      </c>
      <c r="EG257">
        <v>3500</v>
      </c>
      <c r="EH257">
        <v>8</v>
      </c>
      <c r="EI257" s="8">
        <v>0.95</v>
      </c>
      <c r="EJ257">
        <v>1</v>
      </c>
      <c r="EK257">
        <v>55</v>
      </c>
      <c r="EL257" s="10">
        <f>3600/EK257*EH257*EJ257*EI257</f>
        <v>497.45454545454544</v>
      </c>
      <c r="EU257" s="4">
        <f t="shared" si="253"/>
        <v>7.0358187134502925</v>
      </c>
      <c r="EV257" s="4"/>
      <c r="EW257" s="4"/>
      <c r="GR257" s="8">
        <v>0.11</v>
      </c>
      <c r="GS257" s="4">
        <f t="shared" si="244"/>
        <v>5.7537390584795327</v>
      </c>
      <c r="GT257" s="9">
        <v>1.2500000000000001E-2</v>
      </c>
      <c r="GU257" s="4">
        <f t="shared" si="245"/>
        <v>0.65383398391812875</v>
      </c>
      <c r="GV257" s="8">
        <v>0.02</v>
      </c>
      <c r="GW257" s="4">
        <f t="shared" si="246"/>
        <v>0.14071637426900585</v>
      </c>
      <c r="GX257" s="4">
        <f t="shared" si="247"/>
        <v>6.5482894166666679</v>
      </c>
      <c r="GY257" t="s">
        <v>418</v>
      </c>
      <c r="GZ257" t="s">
        <v>87</v>
      </c>
      <c r="HA257">
        <v>805</v>
      </c>
      <c r="HB257">
        <v>670</v>
      </c>
      <c r="HC257">
        <v>525</v>
      </c>
      <c r="HD257">
        <v>21</v>
      </c>
      <c r="HE257">
        <v>600</v>
      </c>
      <c r="HF257" s="4">
        <f t="shared" si="248"/>
        <v>29</v>
      </c>
      <c r="HG257">
        <v>5</v>
      </c>
      <c r="HH257" s="4">
        <f t="shared" si="249"/>
        <v>145</v>
      </c>
      <c r="HI257">
        <v>1100</v>
      </c>
      <c r="HJ257" s="4">
        <f t="shared" si="250"/>
        <v>159500</v>
      </c>
      <c r="HM257" s="4">
        <v>2</v>
      </c>
      <c r="HN257" s="10">
        <f t="shared" si="251"/>
        <v>360000</v>
      </c>
      <c r="HO257" s="4">
        <f t="shared" si="252"/>
        <v>0.44305555555555554</v>
      </c>
      <c r="HP257" s="4">
        <v>160</v>
      </c>
      <c r="HV257" s="4">
        <f t="shared" si="254"/>
        <v>0.44305555555555554</v>
      </c>
      <c r="HW257" s="4"/>
      <c r="HX257" s="4">
        <v>4200</v>
      </c>
      <c r="HY257" s="4">
        <v>1900</v>
      </c>
      <c r="HZ257" s="4">
        <v>1975</v>
      </c>
      <c r="IA257" s="4">
        <v>5</v>
      </c>
      <c r="IB257" s="4">
        <v>2</v>
      </c>
      <c r="IC257" s="4">
        <v>3</v>
      </c>
      <c r="ID257" s="8">
        <v>1</v>
      </c>
      <c r="IE257" s="7">
        <f>ROUNDUP(PRODUCT(IA257:ID257),0)+20</f>
        <v>50</v>
      </c>
      <c r="IF257" s="4">
        <v>500</v>
      </c>
      <c r="IG257" s="4">
        <f t="shared" si="255"/>
        <v>0.47619047619047616</v>
      </c>
      <c r="IH257" s="4"/>
    </row>
    <row r="258" spans="1:242" ht="45">
      <c r="A258">
        <v>244</v>
      </c>
      <c r="B258" t="s">
        <v>468</v>
      </c>
      <c r="C258" s="170" t="s">
        <v>975</v>
      </c>
      <c r="D258" s="28" t="s">
        <v>692</v>
      </c>
      <c r="E258" s="27" t="s">
        <v>186</v>
      </c>
      <c r="F258" s="5" t="s">
        <v>2182</v>
      </c>
      <c r="G258" s="27" t="s">
        <v>101</v>
      </c>
      <c r="I258" s="27" t="s">
        <v>121</v>
      </c>
      <c r="J258" s="28">
        <v>21480</v>
      </c>
      <c r="K258" s="27" t="s">
        <v>97</v>
      </c>
      <c r="N258" s="28"/>
      <c r="O258" s="28"/>
      <c r="P258" s="28"/>
      <c r="Q258" s="28" t="s">
        <v>1040</v>
      </c>
      <c r="R258" s="28" t="s">
        <v>1034</v>
      </c>
      <c r="S258" s="27"/>
      <c r="T258" s="27"/>
      <c r="U258" s="27"/>
      <c r="W258" s="72" t="s">
        <v>980</v>
      </c>
      <c r="X258" s="72"/>
      <c r="Y258" s="72"/>
      <c r="Z258" s="72"/>
      <c r="AA258" s="51" t="s">
        <v>434</v>
      </c>
      <c r="AB258" s="66">
        <v>91.99</v>
      </c>
      <c r="AC258" s="11">
        <f>AB258-5</f>
        <v>86.99</v>
      </c>
      <c r="AD258" s="6" t="s">
        <v>935</v>
      </c>
      <c r="AE258" s="7">
        <f t="shared" si="231"/>
        <v>50.164549999999998</v>
      </c>
      <c r="AF258" s="7"/>
      <c r="AG258" s="7">
        <f t="shared" si="232"/>
        <v>17.817982456140353</v>
      </c>
      <c r="AH258" s="7">
        <f t="shared" si="233"/>
        <v>0.25</v>
      </c>
      <c r="AI258" s="7">
        <f t="shared" si="234"/>
        <v>0</v>
      </c>
      <c r="AJ258" s="7">
        <f t="shared" si="235"/>
        <v>0.35635964912280704</v>
      </c>
      <c r="AK258" s="7">
        <f t="shared" si="236"/>
        <v>0.84978165570175435</v>
      </c>
      <c r="AL258" s="7">
        <f t="shared" si="237"/>
        <v>6.7982532456140348</v>
      </c>
      <c r="AM258" s="7">
        <f t="shared" si="238"/>
        <v>0.70833333333333337</v>
      </c>
      <c r="AN258" s="7">
        <f t="shared" si="239"/>
        <v>0.92592592592592593</v>
      </c>
      <c r="AO258" s="6">
        <v>0</v>
      </c>
      <c r="AP258" s="6"/>
      <c r="AQ258" s="7">
        <f t="shared" si="240"/>
        <v>77.871186265838205</v>
      </c>
      <c r="AR258" s="7"/>
      <c r="AS258" s="7"/>
      <c r="AT258" s="6">
        <v>0</v>
      </c>
      <c r="AU258">
        <f>78.13-77.87</f>
        <v>0.25999999999999091</v>
      </c>
      <c r="AV258" s="7">
        <f t="shared" si="241"/>
        <v>78.131186265838195</v>
      </c>
      <c r="AW258">
        <v>0.55100000000000005</v>
      </c>
      <c r="AX258">
        <v>0.54500000000000004</v>
      </c>
      <c r="AY258" s="8">
        <v>1</v>
      </c>
      <c r="AZ258">
        <f t="shared" si="242"/>
        <v>6.0000000000000053E-3</v>
      </c>
      <c r="BA258" s="4">
        <f t="shared" si="243"/>
        <v>50.164549999999998</v>
      </c>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F258">
        <v>1</v>
      </c>
      <c r="CG258">
        <v>0.25</v>
      </c>
      <c r="CH258">
        <f t="shared" si="256"/>
        <v>0.25</v>
      </c>
      <c r="DM258">
        <f t="shared" si="257"/>
        <v>0.25</v>
      </c>
      <c r="DP258" s="4">
        <f t="shared" si="258"/>
        <v>0.25</v>
      </c>
      <c r="DQ258" s="4"/>
      <c r="DR258" s="4"/>
      <c r="DS258" s="4"/>
      <c r="DT258" s="4"/>
      <c r="DU258" s="4"/>
      <c r="DV258" s="4"/>
      <c r="DW258" s="4"/>
      <c r="DX258" s="4"/>
      <c r="DY258" s="4"/>
      <c r="DZ258" s="4"/>
      <c r="EA258" s="4"/>
      <c r="EB258" s="4"/>
      <c r="EC258" s="4"/>
      <c r="ED258" s="4"/>
      <c r="EE258" s="4"/>
      <c r="EF258">
        <v>650</v>
      </c>
      <c r="EG258">
        <v>6500</v>
      </c>
      <c r="EH258">
        <v>8</v>
      </c>
      <c r="EI258" s="8">
        <v>0.95</v>
      </c>
      <c r="EJ258">
        <v>1</v>
      </c>
      <c r="EK258">
        <v>75</v>
      </c>
      <c r="EL258" s="10">
        <f>3600/EK258*EH258*EJ258*EI258</f>
        <v>364.79999999999995</v>
      </c>
      <c r="EU258" s="4">
        <f t="shared" si="253"/>
        <v>17.817982456140353</v>
      </c>
      <c r="EV258" s="4"/>
      <c r="EW258" s="4"/>
      <c r="GR258" s="8">
        <v>0.1</v>
      </c>
      <c r="GS258" s="4">
        <f t="shared" si="244"/>
        <v>6.7982532456140348</v>
      </c>
      <c r="GT258" s="9">
        <v>1.2500000000000001E-2</v>
      </c>
      <c r="GU258" s="4">
        <f t="shared" si="245"/>
        <v>0.84978165570175435</v>
      </c>
      <c r="GV258" s="8">
        <v>0.02</v>
      </c>
      <c r="GW258" s="4">
        <f t="shared" si="246"/>
        <v>0.35635964912280704</v>
      </c>
      <c r="GX258" s="4">
        <f t="shared" si="247"/>
        <v>8.0043945504385956</v>
      </c>
      <c r="GY258" t="s">
        <v>43</v>
      </c>
      <c r="GZ258" t="s">
        <v>87</v>
      </c>
      <c r="HA258">
        <v>810</v>
      </c>
      <c r="HB258">
        <v>565</v>
      </c>
      <c r="HC258">
        <v>425</v>
      </c>
      <c r="HD258">
        <v>10</v>
      </c>
      <c r="HE258">
        <v>40</v>
      </c>
      <c r="HF258" s="4">
        <f t="shared" si="248"/>
        <v>4</v>
      </c>
      <c r="HG258">
        <v>5</v>
      </c>
      <c r="HH258" s="4">
        <f t="shared" si="249"/>
        <v>20</v>
      </c>
      <c r="HI258">
        <v>850</v>
      </c>
      <c r="HJ258" s="4">
        <f t="shared" si="250"/>
        <v>17000</v>
      </c>
      <c r="HM258" s="4">
        <v>2</v>
      </c>
      <c r="HN258" s="10">
        <f t="shared" si="251"/>
        <v>24000</v>
      </c>
      <c r="HO258" s="4">
        <f t="shared" si="252"/>
        <v>0.70833333333333337</v>
      </c>
      <c r="HP258" s="4">
        <v>160</v>
      </c>
      <c r="HV258" s="4">
        <f t="shared" si="254"/>
        <v>0.70833333333333337</v>
      </c>
      <c r="HW258" s="4"/>
      <c r="HX258" s="4">
        <v>2917</v>
      </c>
      <c r="HY258" s="4">
        <v>1689</v>
      </c>
      <c r="HZ258" s="4">
        <v>1842</v>
      </c>
      <c r="IA258" s="4">
        <v>3</v>
      </c>
      <c r="IB258" s="4">
        <v>2</v>
      </c>
      <c r="IC258" s="4">
        <v>4</v>
      </c>
      <c r="ID258" s="8">
        <v>1</v>
      </c>
      <c r="IE258" s="7">
        <f>ROUNDUP(PRODUCT(IA258:ID258),0)+30</f>
        <v>54</v>
      </c>
      <c r="IF258" s="4">
        <v>500</v>
      </c>
      <c r="IG258" s="4">
        <f t="shared" si="255"/>
        <v>0.92592592592592593</v>
      </c>
      <c r="IH258" s="4"/>
    </row>
    <row r="259" spans="1:242" ht="45">
      <c r="A259">
        <v>245</v>
      </c>
      <c r="B259" t="s">
        <v>468</v>
      </c>
      <c r="C259" s="170" t="s">
        <v>977</v>
      </c>
      <c r="D259" s="28" t="s">
        <v>693</v>
      </c>
      <c r="E259" s="27" t="s">
        <v>694</v>
      </c>
      <c r="F259" s="5" t="s">
        <v>2182</v>
      </c>
      <c r="G259" s="27" t="s">
        <v>101</v>
      </c>
      <c r="I259" s="27" t="s">
        <v>121</v>
      </c>
      <c r="J259" s="28">
        <v>21480</v>
      </c>
      <c r="K259" s="27" t="s">
        <v>97</v>
      </c>
      <c r="N259" s="28"/>
      <c r="O259" s="28"/>
      <c r="P259" s="28"/>
      <c r="Q259" s="28" t="s">
        <v>1040</v>
      </c>
      <c r="R259" s="28" t="s">
        <v>1034</v>
      </c>
      <c r="S259" s="27"/>
      <c r="T259" s="27"/>
      <c r="U259" s="27"/>
      <c r="W259" s="72" t="s">
        <v>981</v>
      </c>
      <c r="X259" s="72"/>
      <c r="Y259" s="72"/>
      <c r="Z259" s="72"/>
      <c r="AA259" s="51" t="s">
        <v>976</v>
      </c>
      <c r="AB259" s="66">
        <v>91.99</v>
      </c>
      <c r="AC259" s="11">
        <f>AB259-5</f>
        <v>86.99</v>
      </c>
      <c r="AD259" s="6" t="s">
        <v>935</v>
      </c>
      <c r="AE259" s="7">
        <f t="shared" si="231"/>
        <v>3.6026099999999999</v>
      </c>
      <c r="AF259" s="7"/>
      <c r="AG259" s="7">
        <f t="shared" si="232"/>
        <v>3.8356164383561642</v>
      </c>
      <c r="AH259" s="7">
        <f t="shared" si="233"/>
        <v>0.25</v>
      </c>
      <c r="AI259" s="7">
        <f t="shared" si="234"/>
        <v>0</v>
      </c>
      <c r="AJ259" s="7">
        <f t="shared" si="235"/>
        <v>7.6712328767123292E-2</v>
      </c>
      <c r="AK259" s="7">
        <f t="shared" si="236"/>
        <v>9.2977830479452059E-2</v>
      </c>
      <c r="AL259" s="7">
        <f t="shared" si="237"/>
        <v>0.74382264383561647</v>
      </c>
      <c r="AM259" s="7">
        <f t="shared" si="238"/>
        <v>0.11458333333333333</v>
      </c>
      <c r="AN259" s="7">
        <f t="shared" si="239"/>
        <v>0.23148148148148148</v>
      </c>
      <c r="AO259" s="6">
        <v>0</v>
      </c>
      <c r="AP259" s="6"/>
      <c r="AQ259" s="7">
        <f t="shared" si="240"/>
        <v>8.9478040562531707</v>
      </c>
      <c r="AR259" s="7"/>
      <c r="AS259" s="7"/>
      <c r="AT259" s="6">
        <v>0</v>
      </c>
      <c r="AU259">
        <f>8.99-8.95</f>
        <v>4.0000000000000924E-2</v>
      </c>
      <c r="AV259" s="7">
        <f t="shared" si="241"/>
        <v>8.9878040562531716</v>
      </c>
      <c r="AW259">
        <v>4.2000000000000003E-2</v>
      </c>
      <c r="AX259">
        <v>3.9E-2</v>
      </c>
      <c r="AY259" s="8">
        <v>1</v>
      </c>
      <c r="AZ259">
        <f t="shared" si="242"/>
        <v>3.0000000000000027E-3</v>
      </c>
      <c r="BA259" s="4">
        <f t="shared" si="243"/>
        <v>3.6026099999999999</v>
      </c>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F259">
        <v>1</v>
      </c>
      <c r="CG259">
        <v>0.25</v>
      </c>
      <c r="CH259">
        <f t="shared" si="256"/>
        <v>0.25</v>
      </c>
      <c r="DM259">
        <f t="shared" si="257"/>
        <v>0.25</v>
      </c>
      <c r="DP259" s="4">
        <f t="shared" si="258"/>
        <v>0.25</v>
      </c>
      <c r="DQ259" s="4"/>
      <c r="DR259" s="4"/>
      <c r="DS259" s="4"/>
      <c r="DT259" s="4"/>
      <c r="DU259" s="4"/>
      <c r="DV259" s="4"/>
      <c r="DW259" s="4"/>
      <c r="DX259" s="4"/>
      <c r="DY259" s="4"/>
      <c r="DZ259" s="4"/>
      <c r="EA259" s="4"/>
      <c r="EB259" s="4"/>
      <c r="EC259" s="4"/>
      <c r="ED259" s="4"/>
      <c r="EE259" s="4"/>
      <c r="EF259">
        <v>280</v>
      </c>
      <c r="EG259">
        <v>2800</v>
      </c>
      <c r="EH259">
        <v>8</v>
      </c>
      <c r="EI259" s="8">
        <v>0.95</v>
      </c>
      <c r="EJ259">
        <v>2</v>
      </c>
      <c r="EK259">
        <v>75</v>
      </c>
      <c r="EL259" s="10">
        <f t="shared" ref="EL259:EL265" si="259">ROUND(3600/EK259*EH259*EJ259*EI259,0)</f>
        <v>730</v>
      </c>
      <c r="EU259" s="4">
        <f t="shared" si="253"/>
        <v>3.8356164383561642</v>
      </c>
      <c r="EV259" s="4"/>
      <c r="EW259" s="4"/>
      <c r="GR259" s="8">
        <v>0.1</v>
      </c>
      <c r="GS259" s="4">
        <f t="shared" si="244"/>
        <v>0.74382264383561647</v>
      </c>
      <c r="GT259" s="9">
        <v>1.2500000000000001E-2</v>
      </c>
      <c r="GU259" s="4">
        <f t="shared" si="245"/>
        <v>9.2977830479452059E-2</v>
      </c>
      <c r="GV259" s="8">
        <v>0.02</v>
      </c>
      <c r="GW259" s="4">
        <f t="shared" si="246"/>
        <v>7.6712328767123292E-2</v>
      </c>
      <c r="GX259" s="4">
        <f t="shared" si="247"/>
        <v>0.91351280308219185</v>
      </c>
      <c r="GY259" t="s">
        <v>43</v>
      </c>
      <c r="GZ259" t="s">
        <v>87</v>
      </c>
      <c r="HA259">
        <v>650</v>
      </c>
      <c r="HB259">
        <v>450</v>
      </c>
      <c r="HC259">
        <v>210</v>
      </c>
      <c r="HD259">
        <v>40</v>
      </c>
      <c r="HE259">
        <v>40</v>
      </c>
      <c r="HF259" s="4">
        <f t="shared" si="248"/>
        <v>1</v>
      </c>
      <c r="HG259">
        <v>5</v>
      </c>
      <c r="HH259" s="4">
        <f t="shared" si="249"/>
        <v>5</v>
      </c>
      <c r="HI259">
        <v>550</v>
      </c>
      <c r="HJ259" s="4">
        <f t="shared" si="250"/>
        <v>2750</v>
      </c>
      <c r="HM259" s="4">
        <v>2</v>
      </c>
      <c r="HN259" s="10">
        <f t="shared" si="251"/>
        <v>24000</v>
      </c>
      <c r="HO259" s="4">
        <f t="shared" si="252"/>
        <v>0.11458333333333333</v>
      </c>
      <c r="HP259" s="4">
        <v>160</v>
      </c>
      <c r="HV259" s="4">
        <f t="shared" si="254"/>
        <v>0.11458333333333333</v>
      </c>
      <c r="HW259" s="4"/>
      <c r="HX259" s="4">
        <v>2917</v>
      </c>
      <c r="HY259" s="4">
        <v>1689</v>
      </c>
      <c r="HZ259" s="4">
        <v>1842</v>
      </c>
      <c r="IA259" s="4">
        <v>4</v>
      </c>
      <c r="IB259" s="4">
        <v>3</v>
      </c>
      <c r="IC259" s="4">
        <v>8</v>
      </c>
      <c r="ID259" s="8">
        <v>1</v>
      </c>
      <c r="IE259" s="7">
        <f>ROUNDUP(PRODUCT(IA259:ID259),0)-42</f>
        <v>54</v>
      </c>
      <c r="IF259" s="4">
        <v>500</v>
      </c>
      <c r="IG259" s="4">
        <f t="shared" si="255"/>
        <v>0.23148148148148148</v>
      </c>
      <c r="IH259" s="4"/>
    </row>
    <row r="260" spans="1:242" ht="45">
      <c r="A260">
        <v>246</v>
      </c>
      <c r="B260" t="s">
        <v>468</v>
      </c>
      <c r="C260" s="170" t="s">
        <v>978</v>
      </c>
      <c r="D260" s="28" t="s">
        <v>695</v>
      </c>
      <c r="E260" s="27" t="s">
        <v>696</v>
      </c>
      <c r="F260" s="5" t="s">
        <v>2182</v>
      </c>
      <c r="G260" s="27" t="s">
        <v>101</v>
      </c>
      <c r="I260" s="27" t="s">
        <v>121</v>
      </c>
      <c r="J260" s="28">
        <v>21480</v>
      </c>
      <c r="K260" s="27" t="s">
        <v>97</v>
      </c>
      <c r="N260" s="28"/>
      <c r="O260" s="28"/>
      <c r="P260" s="28"/>
      <c r="Q260" s="28" t="s">
        <v>1040</v>
      </c>
      <c r="R260" s="28" t="s">
        <v>1034</v>
      </c>
      <c r="S260" s="27"/>
      <c r="T260" s="27"/>
      <c r="U260" s="27"/>
      <c r="W260" s="72" t="s">
        <v>981</v>
      </c>
      <c r="X260" s="72"/>
      <c r="Y260" s="72"/>
      <c r="Z260" s="72"/>
      <c r="AA260" s="51" t="s">
        <v>976</v>
      </c>
      <c r="AB260" s="66">
        <v>91.99</v>
      </c>
      <c r="AC260" s="11">
        <f>AB260-5</f>
        <v>86.99</v>
      </c>
      <c r="AD260" s="6" t="s">
        <v>935</v>
      </c>
      <c r="AE260" s="7">
        <f t="shared" si="231"/>
        <v>3.6026099999999999</v>
      </c>
      <c r="AF260" s="7"/>
      <c r="AG260" s="7">
        <f t="shared" si="232"/>
        <v>3.8356164383561642</v>
      </c>
      <c r="AH260" s="7">
        <f t="shared" si="233"/>
        <v>0.25</v>
      </c>
      <c r="AI260" s="7">
        <f t="shared" si="234"/>
        <v>0</v>
      </c>
      <c r="AJ260" s="7">
        <f t="shared" si="235"/>
        <v>7.6712328767123292E-2</v>
      </c>
      <c r="AK260" s="7">
        <f t="shared" si="236"/>
        <v>9.2977830479452059E-2</v>
      </c>
      <c r="AL260" s="7">
        <f t="shared" si="237"/>
        <v>0.74382264383561647</v>
      </c>
      <c r="AM260" s="7">
        <f t="shared" si="238"/>
        <v>0.11458333333333333</v>
      </c>
      <c r="AN260" s="7">
        <f t="shared" si="239"/>
        <v>0.23148148148148148</v>
      </c>
      <c r="AO260" s="6">
        <v>0</v>
      </c>
      <c r="AP260" s="6"/>
      <c r="AQ260" s="7">
        <f t="shared" si="240"/>
        <v>8.9478040562531707</v>
      </c>
      <c r="AR260" s="7"/>
      <c r="AS260" s="7"/>
      <c r="AT260" s="6">
        <v>0</v>
      </c>
      <c r="AU260">
        <f>8.99-8.95</f>
        <v>4.0000000000000924E-2</v>
      </c>
      <c r="AV260" s="7">
        <f t="shared" si="241"/>
        <v>8.9878040562531716</v>
      </c>
      <c r="AW260">
        <v>4.2000000000000003E-2</v>
      </c>
      <c r="AX260">
        <v>3.9E-2</v>
      </c>
      <c r="AY260" s="8">
        <v>1</v>
      </c>
      <c r="AZ260">
        <f t="shared" si="242"/>
        <v>3.0000000000000027E-3</v>
      </c>
      <c r="BA260" s="4">
        <f t="shared" si="243"/>
        <v>3.6026099999999999</v>
      </c>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F260">
        <v>1</v>
      </c>
      <c r="CG260">
        <v>0.25</v>
      </c>
      <c r="CH260">
        <f t="shared" si="256"/>
        <v>0.25</v>
      </c>
      <c r="DM260">
        <f t="shared" si="257"/>
        <v>0.25</v>
      </c>
      <c r="DP260" s="4">
        <f t="shared" si="258"/>
        <v>0.25</v>
      </c>
      <c r="DQ260" s="4"/>
      <c r="DR260" s="4"/>
      <c r="DS260" s="4"/>
      <c r="DT260" s="4"/>
      <c r="DU260" s="4"/>
      <c r="DV260" s="4"/>
      <c r="DW260" s="4"/>
      <c r="DX260" s="4"/>
      <c r="DY260" s="4"/>
      <c r="DZ260" s="4"/>
      <c r="EA260" s="4"/>
      <c r="EB260" s="4"/>
      <c r="EC260" s="4"/>
      <c r="ED260" s="4"/>
      <c r="EE260" s="4"/>
      <c r="EF260">
        <v>280</v>
      </c>
      <c r="EG260">
        <v>2800</v>
      </c>
      <c r="EH260">
        <v>8</v>
      </c>
      <c r="EI260" s="8">
        <v>0.95</v>
      </c>
      <c r="EJ260">
        <v>2</v>
      </c>
      <c r="EK260">
        <v>75</v>
      </c>
      <c r="EL260" s="10">
        <f t="shared" si="259"/>
        <v>730</v>
      </c>
      <c r="EU260" s="4">
        <f t="shared" si="253"/>
        <v>3.8356164383561642</v>
      </c>
      <c r="EV260" s="4"/>
      <c r="EW260" s="4"/>
      <c r="GR260" s="8">
        <v>0.1</v>
      </c>
      <c r="GS260" s="4">
        <f t="shared" si="244"/>
        <v>0.74382264383561647</v>
      </c>
      <c r="GT260" s="9">
        <v>1.2500000000000001E-2</v>
      </c>
      <c r="GU260" s="4">
        <f t="shared" si="245"/>
        <v>9.2977830479452059E-2</v>
      </c>
      <c r="GV260" s="8">
        <v>0.02</v>
      </c>
      <c r="GW260" s="4">
        <f t="shared" si="246"/>
        <v>7.6712328767123292E-2</v>
      </c>
      <c r="GX260" s="4">
        <f t="shared" si="247"/>
        <v>0.91351280308219185</v>
      </c>
      <c r="GY260" t="s">
        <v>43</v>
      </c>
      <c r="GZ260" t="s">
        <v>87</v>
      </c>
      <c r="HA260">
        <v>650</v>
      </c>
      <c r="HB260">
        <v>450</v>
      </c>
      <c r="HC260">
        <v>210</v>
      </c>
      <c r="HD260">
        <v>40</v>
      </c>
      <c r="HE260">
        <v>40</v>
      </c>
      <c r="HF260" s="4">
        <f t="shared" si="248"/>
        <v>1</v>
      </c>
      <c r="HG260">
        <v>5</v>
      </c>
      <c r="HH260" s="4">
        <f t="shared" si="249"/>
        <v>5</v>
      </c>
      <c r="HI260">
        <v>550</v>
      </c>
      <c r="HJ260" s="4">
        <f t="shared" si="250"/>
        <v>2750</v>
      </c>
      <c r="HM260" s="4">
        <v>2</v>
      </c>
      <c r="HN260" s="10">
        <f t="shared" si="251"/>
        <v>24000</v>
      </c>
      <c r="HO260" s="4">
        <f t="shared" si="252"/>
        <v>0.11458333333333333</v>
      </c>
      <c r="HP260" s="4">
        <v>160</v>
      </c>
      <c r="HV260" s="4">
        <f t="shared" si="254"/>
        <v>0.11458333333333333</v>
      </c>
      <c r="HW260" s="4"/>
      <c r="HX260" s="4">
        <v>2917</v>
      </c>
      <c r="HY260" s="4">
        <v>1689</v>
      </c>
      <c r="HZ260" s="4">
        <v>1842</v>
      </c>
      <c r="IA260">
        <v>4</v>
      </c>
      <c r="IB260">
        <v>3</v>
      </c>
      <c r="IC260">
        <v>8</v>
      </c>
      <c r="ID260" s="8">
        <v>1</v>
      </c>
      <c r="IE260" s="7">
        <f>ROUNDUP(PRODUCT(IA260:ID260),0)-42</f>
        <v>54</v>
      </c>
      <c r="IF260" s="4">
        <v>500</v>
      </c>
      <c r="IG260" s="4">
        <f t="shared" si="255"/>
        <v>0.23148148148148148</v>
      </c>
      <c r="IH260" s="4"/>
    </row>
    <row r="261" spans="1:242" ht="45">
      <c r="A261">
        <v>247</v>
      </c>
      <c r="B261" t="s">
        <v>468</v>
      </c>
      <c r="C261" s="170" t="s">
        <v>979</v>
      </c>
      <c r="D261" s="28" t="s">
        <v>697</v>
      </c>
      <c r="E261" s="27" t="s">
        <v>698</v>
      </c>
      <c r="F261" s="5" t="s">
        <v>2182</v>
      </c>
      <c r="G261" s="27" t="s">
        <v>101</v>
      </c>
      <c r="I261" s="27" t="s">
        <v>121</v>
      </c>
      <c r="J261" s="28">
        <v>21480</v>
      </c>
      <c r="K261" s="27" t="s">
        <v>97</v>
      </c>
      <c r="N261" s="28"/>
      <c r="O261" s="28"/>
      <c r="P261" s="28"/>
      <c r="Q261" s="28" t="s">
        <v>1040</v>
      </c>
      <c r="R261" s="28" t="s">
        <v>1034</v>
      </c>
      <c r="S261" s="27"/>
      <c r="T261" s="27"/>
      <c r="U261" s="27"/>
      <c r="W261" s="72" t="s">
        <v>982</v>
      </c>
      <c r="X261" s="72"/>
      <c r="Y261" s="72"/>
      <c r="Z261" s="72"/>
      <c r="AA261" s="51" t="s">
        <v>937</v>
      </c>
      <c r="AB261" s="66">
        <v>236.33</v>
      </c>
      <c r="AC261">
        <v>20</v>
      </c>
      <c r="AD261" s="6" t="s">
        <v>935</v>
      </c>
      <c r="AE261" s="7">
        <f t="shared" si="231"/>
        <v>74.716610000000003</v>
      </c>
      <c r="AF261" s="7"/>
      <c r="AG261" s="7">
        <f t="shared" si="232"/>
        <v>17.105263157894736</v>
      </c>
      <c r="AH261" s="7">
        <f t="shared" si="233"/>
        <v>0.25</v>
      </c>
      <c r="AI261" s="7">
        <f t="shared" si="234"/>
        <v>0</v>
      </c>
      <c r="AJ261" s="7">
        <f t="shared" si="235"/>
        <v>0.34210526315789475</v>
      </c>
      <c r="AK261" s="7">
        <f t="shared" si="236"/>
        <v>1.1477734144736844</v>
      </c>
      <c r="AL261" s="7">
        <f t="shared" si="237"/>
        <v>9.1821873157894753</v>
      </c>
      <c r="AM261" s="7">
        <f t="shared" si="238"/>
        <v>0.70833333333333337</v>
      </c>
      <c r="AN261" s="7">
        <f t="shared" si="239"/>
        <v>0.92592592592592593</v>
      </c>
      <c r="AO261" s="6">
        <v>0</v>
      </c>
      <c r="AP261" s="6"/>
      <c r="AQ261" s="7">
        <f t="shared" si="240"/>
        <v>104.37819841057505</v>
      </c>
      <c r="AR261" s="7"/>
      <c r="AS261" s="7"/>
      <c r="AT261" s="6">
        <v>0</v>
      </c>
      <c r="AU261">
        <f>104.39-104.38</f>
        <v>1.0000000000005116E-2</v>
      </c>
      <c r="AV261" s="7">
        <f t="shared" si="241"/>
        <v>104.38819841057506</v>
      </c>
      <c r="AW261">
        <v>0.317</v>
      </c>
      <c r="AX261">
        <v>0.307</v>
      </c>
      <c r="AY261" s="8">
        <v>1</v>
      </c>
      <c r="AZ261">
        <f t="shared" si="242"/>
        <v>1.0000000000000009E-2</v>
      </c>
      <c r="BA261" s="4">
        <f t="shared" si="243"/>
        <v>74.716610000000003</v>
      </c>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F261">
        <v>1</v>
      </c>
      <c r="CG261">
        <v>0.25</v>
      </c>
      <c r="CH261">
        <f t="shared" si="256"/>
        <v>0.25</v>
      </c>
      <c r="DM261">
        <f t="shared" si="257"/>
        <v>0.25</v>
      </c>
      <c r="DP261" s="4">
        <f t="shared" si="258"/>
        <v>0.25</v>
      </c>
      <c r="DQ261" s="4"/>
      <c r="DR261" s="4"/>
      <c r="DS261" s="4"/>
      <c r="DT261" s="4"/>
      <c r="DU261" s="4"/>
      <c r="DV261" s="4"/>
      <c r="DW261" s="4"/>
      <c r="DX261" s="4"/>
      <c r="DY261" s="4"/>
      <c r="DZ261" s="4"/>
      <c r="EA261" s="4"/>
      <c r="EB261" s="4"/>
      <c r="EC261" s="4"/>
      <c r="ED261" s="4"/>
      <c r="EE261" s="4"/>
      <c r="EF261">
        <v>650</v>
      </c>
      <c r="EG261">
        <v>6500</v>
      </c>
      <c r="EH261">
        <v>8</v>
      </c>
      <c r="EI261" s="8">
        <v>0.95</v>
      </c>
      <c r="EJ261">
        <v>1</v>
      </c>
      <c r="EK261">
        <v>72</v>
      </c>
      <c r="EL261" s="10">
        <f t="shared" si="259"/>
        <v>380</v>
      </c>
      <c r="EU261" s="4">
        <f t="shared" si="253"/>
        <v>17.105263157894736</v>
      </c>
      <c r="EV261" s="4"/>
      <c r="EW261" s="4"/>
      <c r="GR261" s="8">
        <v>0.1</v>
      </c>
      <c r="GS261" s="4">
        <f t="shared" si="244"/>
        <v>9.1821873157894753</v>
      </c>
      <c r="GT261" s="9">
        <v>1.2500000000000001E-2</v>
      </c>
      <c r="GU261" s="4">
        <f t="shared" si="245"/>
        <v>1.1477734144736844</v>
      </c>
      <c r="GV261" s="8">
        <v>0.02</v>
      </c>
      <c r="GW261" s="4">
        <f t="shared" si="246"/>
        <v>0.34210526315789475</v>
      </c>
      <c r="GX261" s="4">
        <f t="shared" si="247"/>
        <v>10.672065993421056</v>
      </c>
      <c r="GY261" t="s">
        <v>43</v>
      </c>
      <c r="GZ261" t="s">
        <v>87</v>
      </c>
      <c r="HA261">
        <v>810</v>
      </c>
      <c r="HB261">
        <v>565</v>
      </c>
      <c r="HC261">
        <v>425</v>
      </c>
      <c r="HD261">
        <v>10</v>
      </c>
      <c r="HE261">
        <v>40</v>
      </c>
      <c r="HF261" s="4">
        <f t="shared" si="248"/>
        <v>4</v>
      </c>
      <c r="HG261">
        <v>5</v>
      </c>
      <c r="HH261" s="4">
        <f t="shared" si="249"/>
        <v>20</v>
      </c>
      <c r="HI261">
        <v>850</v>
      </c>
      <c r="HJ261" s="4">
        <f t="shared" si="250"/>
        <v>17000</v>
      </c>
      <c r="HM261" s="4">
        <v>2</v>
      </c>
      <c r="HN261" s="10">
        <f t="shared" si="251"/>
        <v>24000</v>
      </c>
      <c r="HO261" s="4">
        <f t="shared" si="252"/>
        <v>0.70833333333333337</v>
      </c>
      <c r="HP261" s="4">
        <v>160</v>
      </c>
      <c r="HV261" s="4">
        <f t="shared" si="254"/>
        <v>0.70833333333333337</v>
      </c>
      <c r="HW261" s="4"/>
      <c r="HX261" s="4">
        <v>2917</v>
      </c>
      <c r="HY261" s="4">
        <v>1689</v>
      </c>
      <c r="HZ261" s="4">
        <v>1842</v>
      </c>
      <c r="IA261" s="4">
        <v>3</v>
      </c>
      <c r="IB261" s="4">
        <v>2</v>
      </c>
      <c r="IC261" s="4">
        <v>4</v>
      </c>
      <c r="ID261" s="8">
        <v>1</v>
      </c>
      <c r="IE261" s="7">
        <f>ROUND(PRODUCT(IA261:ID261),0)+30</f>
        <v>54</v>
      </c>
      <c r="IF261" s="4">
        <v>500</v>
      </c>
      <c r="IG261" s="4">
        <f t="shared" si="255"/>
        <v>0.92592592592592593</v>
      </c>
      <c r="IH261" s="4"/>
    </row>
    <row r="262" spans="1:242">
      <c r="A262">
        <v>248</v>
      </c>
      <c r="B262" t="s">
        <v>468</v>
      </c>
      <c r="C262" t="s">
        <v>983</v>
      </c>
      <c r="D262" s="28" t="s">
        <v>699</v>
      </c>
      <c r="E262" s="27" t="s">
        <v>700</v>
      </c>
      <c r="F262" s="5" t="s">
        <v>2182</v>
      </c>
      <c r="G262" s="27" t="s">
        <v>101</v>
      </c>
      <c r="I262" s="27" t="s">
        <v>121</v>
      </c>
      <c r="J262" s="28">
        <v>21480</v>
      </c>
      <c r="K262" s="27" t="s">
        <v>97</v>
      </c>
      <c r="N262" s="28"/>
      <c r="O262" s="28"/>
      <c r="P262" s="28"/>
      <c r="Q262" s="28" t="s">
        <v>1042</v>
      </c>
      <c r="R262" s="28" t="s">
        <v>1194</v>
      </c>
      <c r="S262" s="27"/>
      <c r="T262" s="27"/>
      <c r="U262" s="27"/>
      <c r="W262"/>
      <c r="X262"/>
      <c r="Y262"/>
      <c r="Z262"/>
      <c r="AA262" s="51" t="s">
        <v>440</v>
      </c>
      <c r="AB262" s="66">
        <v>109.16</v>
      </c>
      <c r="AC262">
        <v>20</v>
      </c>
      <c r="AD262"/>
      <c r="AE262" s="7">
        <f t="shared" si="231"/>
        <v>20.798719999999999</v>
      </c>
      <c r="AF262" s="7"/>
      <c r="AG262" s="7">
        <f t="shared" si="232"/>
        <v>6.6508313539192399</v>
      </c>
      <c r="AH262" s="7">
        <f t="shared" si="233"/>
        <v>0</v>
      </c>
      <c r="AI262" s="7">
        <f t="shared" si="234"/>
        <v>0</v>
      </c>
      <c r="AJ262" s="7">
        <f t="shared" si="235"/>
        <v>0.1330166270783848</v>
      </c>
      <c r="AK262" s="7">
        <f t="shared" si="236"/>
        <v>0.34311939192399055</v>
      </c>
      <c r="AL262" s="7">
        <f t="shared" si="237"/>
        <v>3.0194506489311164</v>
      </c>
      <c r="AM262" s="7">
        <f t="shared" si="238"/>
        <v>1.08</v>
      </c>
      <c r="AN262" s="7">
        <f t="shared" si="239"/>
        <v>0.52083333333333337</v>
      </c>
      <c r="AO262" s="6">
        <v>0</v>
      </c>
      <c r="AP262" s="6"/>
      <c r="AQ262" s="7">
        <f t="shared" si="240"/>
        <v>32.545971355186069</v>
      </c>
      <c r="AR262" s="7"/>
      <c r="AS262" s="7"/>
      <c r="AT262" s="6">
        <v>0</v>
      </c>
      <c r="AV262" s="7">
        <f t="shared" si="241"/>
        <v>32.545971355186069</v>
      </c>
      <c r="AW262">
        <v>0.192</v>
      </c>
      <c r="AX262">
        <v>0.184</v>
      </c>
      <c r="AY262" s="8">
        <v>1</v>
      </c>
      <c r="AZ262">
        <f t="shared" si="242"/>
        <v>8.0000000000000071E-3</v>
      </c>
      <c r="BA262" s="4">
        <f t="shared" si="243"/>
        <v>20.798719999999999</v>
      </c>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EF262">
        <v>280</v>
      </c>
      <c r="EG262">
        <v>2800</v>
      </c>
      <c r="EH262">
        <v>8</v>
      </c>
      <c r="EI262" s="8">
        <v>0.95</v>
      </c>
      <c r="EJ262">
        <v>1</v>
      </c>
      <c r="EK262">
        <v>65</v>
      </c>
      <c r="EL262" s="10">
        <f t="shared" si="259"/>
        <v>421</v>
      </c>
      <c r="EU262" s="4">
        <f t="shared" si="253"/>
        <v>6.6508313539192399</v>
      </c>
      <c r="EV262" s="4"/>
      <c r="EW262" s="4"/>
      <c r="GR262" s="8">
        <v>0.11</v>
      </c>
      <c r="GS262" s="4">
        <f t="shared" si="244"/>
        <v>3.0194506489311164</v>
      </c>
      <c r="GT262" s="9">
        <v>1.2500000000000001E-2</v>
      </c>
      <c r="GU262" s="4">
        <f t="shared" si="245"/>
        <v>0.34311939192399055</v>
      </c>
      <c r="GV262" s="8">
        <v>0.02</v>
      </c>
      <c r="GW262" s="4">
        <f t="shared" si="246"/>
        <v>0.1330166270783848</v>
      </c>
      <c r="GX262" s="4">
        <f t="shared" si="247"/>
        <v>3.4955866679334915</v>
      </c>
      <c r="GY262" t="s">
        <v>43</v>
      </c>
      <c r="GZ262" t="s">
        <v>87</v>
      </c>
      <c r="HA262">
        <v>650</v>
      </c>
      <c r="HB262">
        <v>450</v>
      </c>
      <c r="HC262">
        <v>320</v>
      </c>
      <c r="HD262">
        <v>20</v>
      </c>
      <c r="HE262">
        <v>100</v>
      </c>
      <c r="HF262" s="4">
        <f t="shared" si="248"/>
        <v>5</v>
      </c>
      <c r="HG262">
        <v>5</v>
      </c>
      <c r="HH262" s="4">
        <f t="shared" si="249"/>
        <v>25</v>
      </c>
      <c r="HI262">
        <v>550</v>
      </c>
      <c r="HJ262" s="4">
        <f t="shared" si="250"/>
        <v>13750</v>
      </c>
      <c r="HM262" s="4">
        <v>2</v>
      </c>
      <c r="HN262" s="10">
        <f t="shared" si="251"/>
        <v>60000</v>
      </c>
      <c r="HO262" s="4">
        <f t="shared" si="252"/>
        <v>0.22916666666666666</v>
      </c>
      <c r="HP262" s="4">
        <v>160</v>
      </c>
      <c r="HR262">
        <v>0.85</v>
      </c>
      <c r="HS262">
        <v>1</v>
      </c>
      <c r="HT262" s="4">
        <f>HR262/HS262</f>
        <v>0.85</v>
      </c>
      <c r="HU262" s="4"/>
      <c r="HV262" s="7">
        <f>ROUNDUP(HO262+HT262,2)</f>
        <v>1.08</v>
      </c>
      <c r="HW262" s="7"/>
      <c r="HX262" s="4">
        <v>2917</v>
      </c>
      <c r="HY262" s="4">
        <v>1689</v>
      </c>
      <c r="HZ262" s="4">
        <v>1842</v>
      </c>
      <c r="IA262" s="4">
        <v>4</v>
      </c>
      <c r="IB262" s="4">
        <v>3</v>
      </c>
      <c r="IC262" s="4">
        <v>5</v>
      </c>
      <c r="ID262" s="8">
        <v>1</v>
      </c>
      <c r="IE262" s="7">
        <f>ROUND(PRODUCT(IA262:ID262),0)-12</f>
        <v>48</v>
      </c>
      <c r="IF262" s="4">
        <v>500</v>
      </c>
      <c r="IG262" s="4">
        <f t="shared" si="255"/>
        <v>0.52083333333333337</v>
      </c>
      <c r="IH262" s="4"/>
    </row>
    <row r="263" spans="1:242">
      <c r="A263">
        <v>249</v>
      </c>
      <c r="B263" t="s">
        <v>468</v>
      </c>
      <c r="C263" s="170" t="s">
        <v>985</v>
      </c>
      <c r="D263" s="28" t="s">
        <v>701</v>
      </c>
      <c r="E263" s="27" t="s">
        <v>174</v>
      </c>
      <c r="F263" s="5" t="s">
        <v>2182</v>
      </c>
      <c r="G263" s="27" t="s">
        <v>101</v>
      </c>
      <c r="I263" s="27" t="s">
        <v>121</v>
      </c>
      <c r="J263" s="28">
        <v>21480</v>
      </c>
      <c r="K263" s="27" t="s">
        <v>97</v>
      </c>
      <c r="N263" s="28"/>
      <c r="O263" s="28"/>
      <c r="P263" s="28"/>
      <c r="Q263" s="28" t="s">
        <v>1042</v>
      </c>
      <c r="R263" s="28" t="s">
        <v>1034</v>
      </c>
      <c r="S263" s="27"/>
      <c r="T263" s="27"/>
      <c r="U263" s="27"/>
      <c r="W263" t="s">
        <v>984</v>
      </c>
      <c r="X263"/>
      <c r="Y263"/>
      <c r="Z263"/>
      <c r="AA263" s="51" t="s">
        <v>562</v>
      </c>
      <c r="AB263" s="66">
        <v>370</v>
      </c>
      <c r="AC263">
        <v>20</v>
      </c>
      <c r="AD263"/>
      <c r="AE263" s="7">
        <f t="shared" si="231"/>
        <v>84.860000000000014</v>
      </c>
      <c r="AF263" s="7"/>
      <c r="AG263" s="7">
        <f t="shared" si="232"/>
        <v>8.1871345029239766</v>
      </c>
      <c r="AH263" s="7">
        <f t="shared" si="233"/>
        <v>0</v>
      </c>
      <c r="AI263" s="7">
        <f t="shared" si="234"/>
        <v>0</v>
      </c>
      <c r="AJ263" s="7">
        <f t="shared" si="235"/>
        <v>0.16374269005847952</v>
      </c>
      <c r="AK263" s="7">
        <f t="shared" si="236"/>
        <v>2.3261783625731001</v>
      </c>
      <c r="AL263" s="7">
        <f t="shared" si="237"/>
        <v>10.23518479532164</v>
      </c>
      <c r="AM263" s="7">
        <f t="shared" si="238"/>
        <v>3.7291666666666665</v>
      </c>
      <c r="AN263" s="7">
        <f t="shared" si="239"/>
        <v>0.52083333333333337</v>
      </c>
      <c r="AO263" s="6">
        <v>0</v>
      </c>
      <c r="AP263" s="6"/>
      <c r="AQ263" s="7">
        <f t="shared" si="240"/>
        <v>110.02224035087723</v>
      </c>
      <c r="AR263" s="7"/>
      <c r="AS263" s="7"/>
      <c r="AT263" s="6">
        <v>0</v>
      </c>
      <c r="AU263" s="6">
        <f>110.57-110.02</f>
        <v>0.54999999999999716</v>
      </c>
      <c r="AV263" s="7">
        <f t="shared" si="241"/>
        <v>110.57224035087722</v>
      </c>
      <c r="AW263">
        <v>0.23</v>
      </c>
      <c r="AX263">
        <v>0.218</v>
      </c>
      <c r="AY263" s="8">
        <v>1</v>
      </c>
      <c r="AZ263">
        <f t="shared" si="242"/>
        <v>1.2000000000000011E-2</v>
      </c>
      <c r="BA263" s="4">
        <f t="shared" si="243"/>
        <v>84.860000000000014</v>
      </c>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EF263">
        <v>280</v>
      </c>
      <c r="EG263">
        <v>2800</v>
      </c>
      <c r="EH263">
        <v>8</v>
      </c>
      <c r="EI263" s="8">
        <v>0.95</v>
      </c>
      <c r="EJ263">
        <v>1</v>
      </c>
      <c r="EK263">
        <v>80</v>
      </c>
      <c r="EL263" s="10">
        <f t="shared" si="259"/>
        <v>342</v>
      </c>
      <c r="EU263" s="4">
        <f t="shared" si="253"/>
        <v>8.1871345029239766</v>
      </c>
      <c r="EV263" s="4"/>
      <c r="EW263" s="4"/>
      <c r="GR263" s="8">
        <v>0.11</v>
      </c>
      <c r="GS263" s="4">
        <f t="shared" si="244"/>
        <v>10.23518479532164</v>
      </c>
      <c r="GT263" s="9">
        <v>2.5000000000000001E-2</v>
      </c>
      <c r="GU263" s="4">
        <f t="shared" si="245"/>
        <v>2.3261783625731001</v>
      </c>
      <c r="GV263" s="8">
        <v>0.02</v>
      </c>
      <c r="GW263" s="4">
        <f t="shared" si="246"/>
        <v>0.16374269005847952</v>
      </c>
      <c r="GX263" s="4">
        <f t="shared" si="247"/>
        <v>12.725105847953218</v>
      </c>
      <c r="GY263" t="s">
        <v>43</v>
      </c>
      <c r="GZ263" t="s">
        <v>87</v>
      </c>
      <c r="HA263">
        <v>650</v>
      </c>
      <c r="HB263">
        <v>450</v>
      </c>
      <c r="HC263">
        <v>320</v>
      </c>
      <c r="HD263">
        <v>20</v>
      </c>
      <c r="HE263">
        <v>100</v>
      </c>
      <c r="HF263" s="4">
        <f t="shared" si="248"/>
        <v>5</v>
      </c>
      <c r="HG263">
        <v>5</v>
      </c>
      <c r="HH263" s="4">
        <f t="shared" si="249"/>
        <v>25</v>
      </c>
      <c r="HI263">
        <v>550</v>
      </c>
      <c r="HJ263" s="4">
        <f t="shared" si="250"/>
        <v>13750</v>
      </c>
      <c r="HM263" s="4">
        <v>2</v>
      </c>
      <c r="HN263" s="10">
        <f t="shared" si="251"/>
        <v>60000</v>
      </c>
      <c r="HO263" s="4">
        <f t="shared" si="252"/>
        <v>0.22916666666666666</v>
      </c>
      <c r="HP263" s="4">
        <v>160</v>
      </c>
      <c r="HR263">
        <v>3.5</v>
      </c>
      <c r="HS263">
        <v>1</v>
      </c>
      <c r="HT263" s="4">
        <f>HR263/HS263</f>
        <v>3.5</v>
      </c>
      <c r="HU263" s="4"/>
      <c r="HV263" s="4">
        <f>HO263+HT263</f>
        <v>3.7291666666666665</v>
      </c>
      <c r="HW263" s="4"/>
      <c r="HX263" s="4">
        <v>2917</v>
      </c>
      <c r="HY263" s="4">
        <v>1689</v>
      </c>
      <c r="HZ263" s="4">
        <v>1842</v>
      </c>
      <c r="IA263" s="4">
        <v>4</v>
      </c>
      <c r="IB263" s="4">
        <v>3</v>
      </c>
      <c r="IC263" s="4">
        <v>5</v>
      </c>
      <c r="ID263" s="8">
        <v>0.8</v>
      </c>
      <c r="IE263" s="4">
        <f>ROUND(PRODUCT(IA263:ID263),0)</f>
        <v>48</v>
      </c>
      <c r="IF263" s="4">
        <v>500</v>
      </c>
      <c r="IG263" s="4">
        <f t="shared" si="255"/>
        <v>0.52083333333333337</v>
      </c>
      <c r="IH263" s="4"/>
    </row>
    <row r="264" spans="1:242">
      <c r="A264">
        <v>250</v>
      </c>
      <c r="B264" t="s">
        <v>468</v>
      </c>
      <c r="C264" t="s">
        <v>987</v>
      </c>
      <c r="D264" s="28" t="s">
        <v>702</v>
      </c>
      <c r="E264" s="27" t="s">
        <v>703</v>
      </c>
      <c r="F264" s="5" t="s">
        <v>2182</v>
      </c>
      <c r="G264" s="27" t="s">
        <v>101</v>
      </c>
      <c r="I264" s="27" t="s">
        <v>121</v>
      </c>
      <c r="J264" s="28">
        <v>21480</v>
      </c>
      <c r="K264" s="27" t="s">
        <v>97</v>
      </c>
      <c r="N264" s="28"/>
      <c r="O264" s="28"/>
      <c r="P264" s="28"/>
      <c r="Q264" s="28" t="s">
        <v>1041</v>
      </c>
      <c r="R264" s="28" t="s">
        <v>1194</v>
      </c>
      <c r="S264" s="27"/>
      <c r="T264" s="27"/>
      <c r="U264" s="27"/>
      <c r="W264"/>
      <c r="X264"/>
      <c r="Y264"/>
      <c r="Z264"/>
      <c r="AA264" s="51" t="s">
        <v>986</v>
      </c>
      <c r="AB264" s="66">
        <v>188.63</v>
      </c>
      <c r="AC264" s="11">
        <f>AB264-5</f>
        <v>183.63</v>
      </c>
      <c r="AD264"/>
      <c r="AE264" s="7">
        <f t="shared" si="231"/>
        <v>68.676320000000004</v>
      </c>
      <c r="AF264" s="7"/>
      <c r="AG264" s="7">
        <f t="shared" si="232"/>
        <v>9.8684210526315788</v>
      </c>
      <c r="AH264" s="7">
        <f t="shared" si="233"/>
        <v>0</v>
      </c>
      <c r="AI264" s="7">
        <f t="shared" si="234"/>
        <v>0</v>
      </c>
      <c r="AJ264" s="7">
        <f t="shared" si="235"/>
        <v>0.19736842105263158</v>
      </c>
      <c r="AK264" s="7">
        <f t="shared" si="236"/>
        <v>0.98180926315789474</v>
      </c>
      <c r="AL264" s="7">
        <f t="shared" si="237"/>
        <v>8.6399215157894744</v>
      </c>
      <c r="AM264" s="7">
        <f t="shared" si="238"/>
        <v>3.1013888888888888</v>
      </c>
      <c r="AN264" s="7">
        <f t="shared" si="239"/>
        <v>0.37037037037037035</v>
      </c>
      <c r="AO264" s="6">
        <v>0</v>
      </c>
      <c r="AP264" s="6"/>
      <c r="AQ264" s="7">
        <f t="shared" si="240"/>
        <v>91.835599511890834</v>
      </c>
      <c r="AR264" s="7"/>
      <c r="AS264" s="7"/>
      <c r="AT264" s="6">
        <v>0</v>
      </c>
      <c r="AV264" s="7">
        <f t="shared" si="241"/>
        <v>91.835599511890834</v>
      </c>
      <c r="AW264">
        <v>0.36699999999999999</v>
      </c>
      <c r="AX264">
        <v>0.36399999999999999</v>
      </c>
      <c r="AY264" s="8">
        <v>1</v>
      </c>
      <c r="AZ264">
        <f t="shared" si="242"/>
        <v>3.0000000000000027E-3</v>
      </c>
      <c r="BA264" s="4">
        <f t="shared" si="243"/>
        <v>68.676320000000004</v>
      </c>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EF264">
        <v>450</v>
      </c>
      <c r="EG264">
        <v>4500</v>
      </c>
      <c r="EH264">
        <v>8</v>
      </c>
      <c r="EI264" s="8">
        <v>0.95</v>
      </c>
      <c r="EJ264">
        <v>1</v>
      </c>
      <c r="EK264">
        <v>60</v>
      </c>
      <c r="EL264" s="10">
        <f t="shared" si="259"/>
        <v>456</v>
      </c>
      <c r="EU264" s="4">
        <f t="shared" si="253"/>
        <v>9.8684210526315788</v>
      </c>
      <c r="EV264" s="4"/>
      <c r="EW264" s="4"/>
      <c r="GR264" s="8">
        <v>0.11</v>
      </c>
      <c r="GS264" s="4">
        <f t="shared" si="244"/>
        <v>8.6399215157894744</v>
      </c>
      <c r="GT264" s="9">
        <v>1.2500000000000001E-2</v>
      </c>
      <c r="GU264" s="4">
        <f t="shared" si="245"/>
        <v>0.98180926315789474</v>
      </c>
      <c r="GV264" s="8">
        <v>0.02</v>
      </c>
      <c r="GW264" s="4">
        <f t="shared" si="246"/>
        <v>0.19736842105263158</v>
      </c>
      <c r="GX264" s="4">
        <f t="shared" si="247"/>
        <v>9.8190992000000019</v>
      </c>
      <c r="GY264" t="s">
        <v>418</v>
      </c>
      <c r="GZ264" t="s">
        <v>87</v>
      </c>
      <c r="HA264">
        <v>805</v>
      </c>
      <c r="HB264">
        <v>670</v>
      </c>
      <c r="HC264">
        <v>525</v>
      </c>
      <c r="HD264">
        <v>27</v>
      </c>
      <c r="HE264">
        <v>600</v>
      </c>
      <c r="HF264" s="4">
        <f t="shared" si="248"/>
        <v>23</v>
      </c>
      <c r="HG264">
        <v>5</v>
      </c>
      <c r="HH264" s="4">
        <f t="shared" si="249"/>
        <v>115</v>
      </c>
      <c r="HI264">
        <v>1100</v>
      </c>
      <c r="HJ264" s="4">
        <f t="shared" si="250"/>
        <v>126500</v>
      </c>
      <c r="HM264" s="4">
        <v>2</v>
      </c>
      <c r="HN264" s="10">
        <f t="shared" si="251"/>
        <v>360000</v>
      </c>
      <c r="HO264" s="4">
        <f t="shared" si="252"/>
        <v>0.35138888888888886</v>
      </c>
      <c r="HP264" s="4">
        <v>160</v>
      </c>
      <c r="HR264">
        <v>2.75</v>
      </c>
      <c r="HS264">
        <v>1</v>
      </c>
      <c r="HT264" s="4">
        <f>HR264/HS264</f>
        <v>2.75</v>
      </c>
      <c r="HU264" s="4"/>
      <c r="HV264" s="4">
        <f>HO264+HT264</f>
        <v>3.1013888888888888</v>
      </c>
      <c r="HW264" s="4"/>
      <c r="HX264" s="4">
        <v>4200</v>
      </c>
      <c r="HY264" s="4">
        <v>1900</v>
      </c>
      <c r="HZ264" s="4">
        <v>1975</v>
      </c>
      <c r="IA264" s="4">
        <v>5</v>
      </c>
      <c r="IB264" s="4">
        <v>2</v>
      </c>
      <c r="IC264" s="4">
        <v>3</v>
      </c>
      <c r="ID264" s="8">
        <v>1</v>
      </c>
      <c r="IE264" s="7">
        <f>ROUND(PRODUCT(IA264:ID264),0)+20</f>
        <v>50</v>
      </c>
      <c r="IF264" s="4">
        <v>500</v>
      </c>
      <c r="IG264" s="4">
        <f t="shared" si="255"/>
        <v>0.37037037037037035</v>
      </c>
      <c r="IH264" s="4"/>
    </row>
    <row r="265" spans="1:242" ht="30">
      <c r="A265">
        <v>251</v>
      </c>
      <c r="B265" t="s">
        <v>468</v>
      </c>
      <c r="C265" s="170" t="s">
        <v>994</v>
      </c>
      <c r="D265" s="28" t="s">
        <v>704</v>
      </c>
      <c r="E265" s="27" t="s">
        <v>705</v>
      </c>
      <c r="F265" s="5" t="s">
        <v>2182</v>
      </c>
      <c r="G265" s="27" t="s">
        <v>101</v>
      </c>
      <c r="I265" s="27" t="s">
        <v>121</v>
      </c>
      <c r="J265" s="28">
        <v>21480</v>
      </c>
      <c r="K265" s="27" t="s">
        <v>97</v>
      </c>
      <c r="N265" s="28"/>
      <c r="O265" s="28"/>
      <c r="P265" s="28"/>
      <c r="Q265" s="28" t="s">
        <v>1040</v>
      </c>
      <c r="R265" s="28" t="s">
        <v>1034</v>
      </c>
      <c r="S265" s="27"/>
      <c r="T265" s="27"/>
      <c r="U265" s="27"/>
      <c r="W265" s="72" t="s">
        <v>988</v>
      </c>
      <c r="X265" s="72"/>
      <c r="Y265" s="72"/>
      <c r="Z265" s="72"/>
      <c r="AA265" s="51" t="s">
        <v>989</v>
      </c>
      <c r="AB265" s="66">
        <v>132.28</v>
      </c>
      <c r="AC265">
        <v>20</v>
      </c>
      <c r="AD265" s="6" t="s">
        <v>935</v>
      </c>
      <c r="AE265" s="7">
        <f t="shared" si="231"/>
        <v>41.86504</v>
      </c>
      <c r="AF265" s="7"/>
      <c r="AG265" s="7">
        <f t="shared" si="232"/>
        <v>8.91</v>
      </c>
      <c r="AH265" s="7">
        <f t="shared" si="233"/>
        <v>12.35</v>
      </c>
      <c r="AI265" s="7">
        <f t="shared" si="234"/>
        <v>0.3705</v>
      </c>
      <c r="AJ265" s="7">
        <f t="shared" si="235"/>
        <v>0.1782</v>
      </c>
      <c r="AK265" s="7">
        <f t="shared" si="236"/>
        <v>0.63468800000000014</v>
      </c>
      <c r="AL265" s="7">
        <f t="shared" si="237"/>
        <v>5.0775040000000011</v>
      </c>
      <c r="AM265" s="7">
        <f t="shared" si="238"/>
        <v>0.53125</v>
      </c>
      <c r="AN265" s="7">
        <f t="shared" si="239"/>
        <v>0.61728395061728392</v>
      </c>
      <c r="AO265" s="6">
        <v>0</v>
      </c>
      <c r="AP265" s="6"/>
      <c r="AQ265" s="7">
        <f t="shared" si="240"/>
        <v>70.534465950617289</v>
      </c>
      <c r="AR265" s="7"/>
      <c r="AS265" s="7"/>
      <c r="AT265" s="6">
        <v>0</v>
      </c>
      <c r="AU265">
        <f>70.72-70.53</f>
        <v>0.18999999999999773</v>
      </c>
      <c r="AV265" s="7">
        <f t="shared" si="241"/>
        <v>70.724465950617287</v>
      </c>
      <c r="AW265">
        <v>0.318</v>
      </c>
      <c r="AX265">
        <v>0.308</v>
      </c>
      <c r="AY265" s="8">
        <v>1</v>
      </c>
      <c r="AZ265">
        <f t="shared" si="242"/>
        <v>1.0000000000000009E-2</v>
      </c>
      <c r="BA265" s="4">
        <f t="shared" si="243"/>
        <v>41.86504</v>
      </c>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F265">
        <v>1</v>
      </c>
      <c r="CG265">
        <v>0.25</v>
      </c>
      <c r="CH265">
        <f>CF265*CG265</f>
        <v>0.25</v>
      </c>
      <c r="CI265" t="s">
        <v>990</v>
      </c>
      <c r="CJ265" t="s">
        <v>991</v>
      </c>
      <c r="CK265">
        <v>1</v>
      </c>
      <c r="CL265">
        <v>3.6</v>
      </c>
      <c r="CM265">
        <f>CK265*CL265</f>
        <v>3.6</v>
      </c>
      <c r="CN265" t="s">
        <v>992</v>
      </c>
      <c r="CO265" t="s">
        <v>993</v>
      </c>
      <c r="CP265">
        <v>2</v>
      </c>
      <c r="CQ265">
        <v>4.25</v>
      </c>
      <c r="CR265">
        <f>CP265*CQ265</f>
        <v>8.5</v>
      </c>
      <c r="DM265">
        <f>CH265+CM265+CR265+DB265+DG265+DL265</f>
        <v>12.35</v>
      </c>
      <c r="DN265" s="8">
        <v>0.03</v>
      </c>
      <c r="DO265" s="4">
        <f>DN265*DM265</f>
        <v>0.3705</v>
      </c>
      <c r="DP265" s="4">
        <f>DM265+DO265</f>
        <v>12.720499999999999</v>
      </c>
      <c r="DQ265" s="4"/>
      <c r="DR265" s="4"/>
      <c r="DS265" s="4"/>
      <c r="DT265" s="4"/>
      <c r="DU265" s="4"/>
      <c r="DV265" s="4"/>
      <c r="DW265" s="4"/>
      <c r="DX265" s="4"/>
      <c r="DY265" s="4"/>
      <c r="DZ265" s="4"/>
      <c r="EA265" s="4"/>
      <c r="EB265" s="4"/>
      <c r="EC265" s="4"/>
      <c r="ED265" s="4"/>
      <c r="EE265" s="4"/>
      <c r="EF265">
        <v>650</v>
      </c>
      <c r="EG265">
        <v>6500</v>
      </c>
      <c r="EH265">
        <v>8</v>
      </c>
      <c r="EI265" s="8">
        <v>0.95</v>
      </c>
      <c r="EJ265">
        <v>2</v>
      </c>
      <c r="EK265">
        <v>75</v>
      </c>
      <c r="EL265" s="10">
        <f t="shared" si="259"/>
        <v>730</v>
      </c>
      <c r="EU265" s="4">
        <f>ROUNDUP((EG265/EL265),2)</f>
        <v>8.91</v>
      </c>
      <c r="EV265" s="4"/>
      <c r="EW265" s="4"/>
      <c r="GR265" s="8">
        <v>0.1</v>
      </c>
      <c r="GS265" s="4">
        <f t="shared" si="244"/>
        <v>5.0775040000000011</v>
      </c>
      <c r="GT265" s="9">
        <v>1.2500000000000001E-2</v>
      </c>
      <c r="GU265" s="4">
        <f t="shared" si="245"/>
        <v>0.63468800000000014</v>
      </c>
      <c r="GV265" s="8">
        <v>0.02</v>
      </c>
      <c r="GW265" s="4">
        <f t="shared" si="246"/>
        <v>0.1782</v>
      </c>
      <c r="GX265" s="4">
        <f t="shared" si="247"/>
        <v>5.8903920000000021</v>
      </c>
      <c r="GY265" t="s">
        <v>43</v>
      </c>
      <c r="GZ265" t="s">
        <v>87</v>
      </c>
      <c r="HA265">
        <v>810</v>
      </c>
      <c r="HB265">
        <v>565</v>
      </c>
      <c r="HC265">
        <v>425</v>
      </c>
      <c r="HD265">
        <v>15</v>
      </c>
      <c r="HE265">
        <v>40</v>
      </c>
      <c r="HF265" s="4">
        <f t="shared" si="248"/>
        <v>3</v>
      </c>
      <c r="HG265">
        <v>5</v>
      </c>
      <c r="HH265" s="4">
        <f t="shared" si="249"/>
        <v>15</v>
      </c>
      <c r="HI265">
        <v>850</v>
      </c>
      <c r="HJ265" s="4">
        <f t="shared" si="250"/>
        <v>12750</v>
      </c>
      <c r="HM265" s="4">
        <v>2</v>
      </c>
      <c r="HN265" s="10">
        <f t="shared" si="251"/>
        <v>24000</v>
      </c>
      <c r="HO265" s="4">
        <f t="shared" si="252"/>
        <v>0.53125</v>
      </c>
      <c r="HP265" s="4">
        <v>160</v>
      </c>
      <c r="HV265" s="4">
        <f>(HO265+HT265)</f>
        <v>0.53125</v>
      </c>
      <c r="HW265" s="4"/>
      <c r="HX265" s="4">
        <v>2917</v>
      </c>
      <c r="HY265" s="4">
        <v>1689</v>
      </c>
      <c r="HZ265" s="4">
        <v>1842</v>
      </c>
      <c r="IA265" s="4">
        <v>3</v>
      </c>
      <c r="IB265" s="4">
        <v>2</v>
      </c>
      <c r="IC265" s="4">
        <v>4</v>
      </c>
      <c r="ID265" s="8">
        <v>1</v>
      </c>
      <c r="IE265" s="7">
        <f>ROUND(PRODUCT(IA265:ID265),0)+30</f>
        <v>54</v>
      </c>
      <c r="IF265" s="4">
        <v>500</v>
      </c>
      <c r="IG265" s="4">
        <f t="shared" si="255"/>
        <v>0.61728395061728392</v>
      </c>
      <c r="IH265" s="4"/>
    </row>
    <row r="266" spans="1:242" ht="45">
      <c r="A266">
        <v>252</v>
      </c>
      <c r="B266" t="s">
        <v>468</v>
      </c>
      <c r="C266" s="170" t="s">
        <v>996</v>
      </c>
      <c r="D266" s="28" t="s">
        <v>706</v>
      </c>
      <c r="E266" s="27" t="s">
        <v>707</v>
      </c>
      <c r="F266" s="5" t="s">
        <v>2182</v>
      </c>
      <c r="G266" s="27" t="s">
        <v>101</v>
      </c>
      <c r="I266" s="27" t="s">
        <v>121</v>
      </c>
      <c r="J266" s="28">
        <v>21480</v>
      </c>
      <c r="K266" s="27" t="s">
        <v>97</v>
      </c>
      <c r="N266" s="28"/>
      <c r="O266" s="28"/>
      <c r="P266" s="28"/>
      <c r="Q266" s="28" t="s">
        <v>1040</v>
      </c>
      <c r="R266" s="28" t="s">
        <v>1034</v>
      </c>
      <c r="S266" s="27"/>
      <c r="T266" s="27"/>
      <c r="U266" s="27"/>
      <c r="W266" s="72" t="s">
        <v>995</v>
      </c>
      <c r="X266" s="72"/>
      <c r="Y266" s="72"/>
      <c r="Z266" s="72"/>
      <c r="AA266" s="51" t="s">
        <v>989</v>
      </c>
      <c r="AB266" s="66">
        <v>132.28</v>
      </c>
      <c r="AC266">
        <v>20</v>
      </c>
      <c r="AD266" s="6" t="s">
        <v>935</v>
      </c>
      <c r="AE266" s="7">
        <f t="shared" si="231"/>
        <v>41.86504</v>
      </c>
      <c r="AF266" s="7"/>
      <c r="AG266" s="7">
        <f t="shared" si="232"/>
        <v>8.9089912280701764</v>
      </c>
      <c r="AH266" s="7">
        <f t="shared" si="233"/>
        <v>3.75</v>
      </c>
      <c r="AI266" s="7">
        <f t="shared" si="234"/>
        <v>0.11249999999999999</v>
      </c>
      <c r="AJ266" s="7">
        <f t="shared" si="235"/>
        <v>0.17817982456140352</v>
      </c>
      <c r="AK266" s="7">
        <f t="shared" si="236"/>
        <v>0.63467539035087728</v>
      </c>
      <c r="AL266" s="7">
        <f t="shared" si="237"/>
        <v>5.0774031228070182</v>
      </c>
      <c r="AM266" s="7">
        <f t="shared" si="238"/>
        <v>0.53125</v>
      </c>
      <c r="AN266" s="7">
        <f t="shared" si="239"/>
        <v>0.61728395061728392</v>
      </c>
      <c r="AO266" s="6">
        <v>0</v>
      </c>
      <c r="AP266" s="6"/>
      <c r="AQ266" s="7">
        <f t="shared" si="240"/>
        <v>61.675323516406763</v>
      </c>
      <c r="AR266" s="7"/>
      <c r="AS266" s="7"/>
      <c r="AT266" s="6">
        <v>0</v>
      </c>
      <c r="AU266">
        <f>61.86-61.68</f>
        <v>0.17999999999999972</v>
      </c>
      <c r="AV266" s="7">
        <f t="shared" si="241"/>
        <v>61.855323516406763</v>
      </c>
      <c r="AW266">
        <v>0.318</v>
      </c>
      <c r="AX266">
        <v>0.308</v>
      </c>
      <c r="AY266" s="8">
        <v>1</v>
      </c>
      <c r="AZ266">
        <f t="shared" si="242"/>
        <v>1.0000000000000009E-2</v>
      </c>
      <c r="BA266" s="4">
        <f t="shared" si="243"/>
        <v>41.86504</v>
      </c>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F266">
        <v>1</v>
      </c>
      <c r="CG266">
        <f>3.5+0.25</f>
        <v>3.75</v>
      </c>
      <c r="CH266">
        <f>CF266*CG266</f>
        <v>3.75</v>
      </c>
      <c r="DM266">
        <f>CH266+CM266+CR266+DB266+DG266+DL266</f>
        <v>3.75</v>
      </c>
      <c r="DN266" s="9">
        <v>0.03</v>
      </c>
      <c r="DO266" s="4">
        <f>DM266*DN266</f>
        <v>0.11249999999999999</v>
      </c>
      <c r="DP266" s="4">
        <f>DM266+DO266</f>
        <v>3.8624999999999998</v>
      </c>
      <c r="DQ266" s="4"/>
      <c r="DR266" s="4"/>
      <c r="DS266" s="4"/>
      <c r="DT266" s="4"/>
      <c r="DU266" s="4"/>
      <c r="DV266" s="4"/>
      <c r="DW266" s="4"/>
      <c r="DX266" s="4"/>
      <c r="DY266" s="4"/>
      <c r="DZ266" s="4"/>
      <c r="EA266" s="4"/>
      <c r="EB266" s="4"/>
      <c r="EC266" s="4"/>
      <c r="ED266" s="4"/>
      <c r="EE266" s="4"/>
      <c r="EF266">
        <v>650</v>
      </c>
      <c r="EG266">
        <v>6500</v>
      </c>
      <c r="EH266">
        <v>8</v>
      </c>
      <c r="EI266" s="8">
        <v>0.95</v>
      </c>
      <c r="EJ266">
        <v>2</v>
      </c>
      <c r="EK266">
        <v>75</v>
      </c>
      <c r="EL266" s="10">
        <f>3600/EK266*EH266*EJ266*EI266</f>
        <v>729.59999999999991</v>
      </c>
      <c r="EU266" s="4">
        <f t="shared" ref="EU266:EU294" si="260">EG266/EL266</f>
        <v>8.9089912280701764</v>
      </c>
      <c r="EV266" s="4"/>
      <c r="EW266" s="4"/>
      <c r="GR266" s="8">
        <v>0.1</v>
      </c>
      <c r="GS266" s="4">
        <f t="shared" si="244"/>
        <v>5.0774031228070182</v>
      </c>
      <c r="GT266" s="9">
        <v>1.2500000000000001E-2</v>
      </c>
      <c r="GU266" s="4">
        <f t="shared" si="245"/>
        <v>0.63467539035087728</v>
      </c>
      <c r="GV266" s="8">
        <v>0.02</v>
      </c>
      <c r="GW266" s="4">
        <f t="shared" si="246"/>
        <v>0.17817982456140352</v>
      </c>
      <c r="GX266" s="4">
        <f t="shared" si="247"/>
        <v>5.890258337719299</v>
      </c>
      <c r="GY266" t="s">
        <v>43</v>
      </c>
      <c r="GZ266" t="s">
        <v>87</v>
      </c>
      <c r="HA266">
        <v>810</v>
      </c>
      <c r="HB266">
        <v>565</v>
      </c>
      <c r="HC266">
        <v>425</v>
      </c>
      <c r="HD266">
        <v>15</v>
      </c>
      <c r="HE266">
        <v>40</v>
      </c>
      <c r="HF266" s="4">
        <f t="shared" si="248"/>
        <v>3</v>
      </c>
      <c r="HG266">
        <v>5</v>
      </c>
      <c r="HH266" s="4">
        <f t="shared" si="249"/>
        <v>15</v>
      </c>
      <c r="HI266">
        <v>850</v>
      </c>
      <c r="HJ266" s="4">
        <f t="shared" si="250"/>
        <v>12750</v>
      </c>
      <c r="HM266" s="4">
        <v>2</v>
      </c>
      <c r="HN266" s="10">
        <f t="shared" si="251"/>
        <v>24000</v>
      </c>
      <c r="HO266" s="4">
        <f t="shared" si="252"/>
        <v>0.53125</v>
      </c>
      <c r="HP266" s="4">
        <v>160</v>
      </c>
      <c r="HV266" s="4">
        <f t="shared" ref="HV266:HV281" si="261">HO266+HT266</f>
        <v>0.53125</v>
      </c>
      <c r="HW266" s="4"/>
      <c r="HX266" s="4">
        <v>2917</v>
      </c>
      <c r="HY266" s="4">
        <v>1689</v>
      </c>
      <c r="HZ266" s="4">
        <v>1842</v>
      </c>
      <c r="IA266" s="4">
        <v>3</v>
      </c>
      <c r="IB266" s="4">
        <v>2</v>
      </c>
      <c r="IC266" s="4">
        <v>4</v>
      </c>
      <c r="ID266" s="8">
        <v>1</v>
      </c>
      <c r="IE266" s="7">
        <f>ROUND(PRODUCT(IA266:ID266),0)+30</f>
        <v>54</v>
      </c>
      <c r="IF266" s="4">
        <v>500</v>
      </c>
      <c r="IG266" s="4">
        <f t="shared" si="255"/>
        <v>0.61728395061728392</v>
      </c>
      <c r="IH266" s="4"/>
    </row>
    <row r="267" spans="1:242" ht="45">
      <c r="A267">
        <v>253</v>
      </c>
      <c r="B267" t="s">
        <v>468</v>
      </c>
      <c r="C267" s="170" t="s">
        <v>997</v>
      </c>
      <c r="D267" s="28" t="s">
        <v>708</v>
      </c>
      <c r="E267" s="27" t="s">
        <v>709</v>
      </c>
      <c r="F267" s="5" t="s">
        <v>2182</v>
      </c>
      <c r="G267" s="27" t="s">
        <v>101</v>
      </c>
      <c r="I267" s="27" t="s">
        <v>121</v>
      </c>
      <c r="J267" s="28">
        <v>21480</v>
      </c>
      <c r="K267" s="27" t="s">
        <v>97</v>
      </c>
      <c r="N267" s="28"/>
      <c r="O267" s="28"/>
      <c r="P267" s="28"/>
      <c r="Q267" s="28" t="s">
        <v>1040</v>
      </c>
      <c r="R267" s="28" t="s">
        <v>1034</v>
      </c>
      <c r="S267" s="27"/>
      <c r="T267" s="27"/>
      <c r="U267" s="27"/>
      <c r="W267" s="72" t="s">
        <v>998</v>
      </c>
      <c r="X267" s="72"/>
      <c r="Y267" s="72"/>
      <c r="Z267" s="72"/>
      <c r="AA267" s="51" t="s">
        <v>976</v>
      </c>
      <c r="AB267" s="66">
        <v>91.99</v>
      </c>
      <c r="AC267" s="11">
        <f>AB267-5</f>
        <v>86.99</v>
      </c>
      <c r="AD267" s="6" t="s">
        <v>935</v>
      </c>
      <c r="AE267" s="7">
        <f t="shared" si="231"/>
        <v>1.1188799999999999</v>
      </c>
      <c r="AF267" s="7"/>
      <c r="AG267" s="7">
        <f t="shared" si="232"/>
        <v>2.4657534246575343</v>
      </c>
      <c r="AH267" s="7">
        <f t="shared" si="233"/>
        <v>0.25</v>
      </c>
      <c r="AI267" s="7">
        <f t="shared" si="234"/>
        <v>0</v>
      </c>
      <c r="AJ267" s="7">
        <f t="shared" si="235"/>
        <v>4.9315068493150691E-2</v>
      </c>
      <c r="AK267" s="7">
        <f t="shared" si="236"/>
        <v>4.4807917808219182E-2</v>
      </c>
      <c r="AL267" s="7">
        <f t="shared" si="237"/>
        <v>0.35846334246575345</v>
      </c>
      <c r="AM267" s="7">
        <f t="shared" si="238"/>
        <v>0.11458333333333333</v>
      </c>
      <c r="AN267" s="7">
        <f t="shared" si="239"/>
        <v>0.23148148148148148</v>
      </c>
      <c r="AO267" s="6">
        <v>0</v>
      </c>
      <c r="AP267" s="6"/>
      <c r="AQ267" s="7">
        <f t="shared" si="240"/>
        <v>4.6332845682394721</v>
      </c>
      <c r="AR267" s="7"/>
      <c r="AS267" s="7"/>
      <c r="AT267" s="6">
        <v>0</v>
      </c>
      <c r="AU267">
        <f>4.68-4.63</f>
        <v>4.9999999999999822E-2</v>
      </c>
      <c r="AV267" s="7">
        <f t="shared" si="241"/>
        <v>4.6832845682394719</v>
      </c>
      <c r="AW267">
        <v>1.4999999999999999E-2</v>
      </c>
      <c r="AX267">
        <v>1.2E-2</v>
      </c>
      <c r="AY267" s="8">
        <v>1</v>
      </c>
      <c r="AZ267">
        <f t="shared" si="242"/>
        <v>2.9999999999999992E-3</v>
      </c>
      <c r="BA267" s="4">
        <f t="shared" si="243"/>
        <v>1.1188799999999999</v>
      </c>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F267">
        <v>1</v>
      </c>
      <c r="CG267">
        <v>0.25</v>
      </c>
      <c r="CH267">
        <f>CF267*CG267</f>
        <v>0.25</v>
      </c>
      <c r="DM267">
        <f>CH267+CM267+CR267+DB267+DG267+DL267</f>
        <v>0.25</v>
      </c>
      <c r="DN267" s="8">
        <v>0.03</v>
      </c>
      <c r="DO267">
        <v>0</v>
      </c>
      <c r="DP267" s="4">
        <f>DM267+DO267</f>
        <v>0.25</v>
      </c>
      <c r="DQ267" s="4"/>
      <c r="DR267" s="4"/>
      <c r="DS267" s="4"/>
      <c r="DT267" s="4"/>
      <c r="DU267" s="4"/>
      <c r="DV267" s="4"/>
      <c r="DW267" s="4"/>
      <c r="DX267" s="4"/>
      <c r="DY267" s="4"/>
      <c r="DZ267" s="4"/>
      <c r="EA267" s="4"/>
      <c r="EB267" s="4"/>
      <c r="EC267" s="4"/>
      <c r="ED267" s="4"/>
      <c r="EE267" s="4"/>
      <c r="EF267">
        <v>180</v>
      </c>
      <c r="EG267">
        <v>1800</v>
      </c>
      <c r="EH267">
        <v>8</v>
      </c>
      <c r="EI267" s="8">
        <v>0.95</v>
      </c>
      <c r="EJ267">
        <v>2</v>
      </c>
      <c r="EK267">
        <v>75</v>
      </c>
      <c r="EL267" s="10">
        <f>ROUND(3600/EK267*EH267*EJ267*EI267,0)</f>
        <v>730</v>
      </c>
      <c r="EU267" s="4">
        <f t="shared" si="260"/>
        <v>2.4657534246575343</v>
      </c>
      <c r="EV267" s="4"/>
      <c r="EW267" s="4"/>
      <c r="GR267" s="8">
        <v>0.1</v>
      </c>
      <c r="GS267" s="4">
        <f t="shared" si="244"/>
        <v>0.35846334246575345</v>
      </c>
      <c r="GT267" s="9">
        <v>1.2500000000000001E-2</v>
      </c>
      <c r="GU267" s="4">
        <f t="shared" si="245"/>
        <v>4.4807917808219182E-2</v>
      </c>
      <c r="GV267" s="8">
        <v>0.02</v>
      </c>
      <c r="GW267" s="4">
        <f t="shared" si="246"/>
        <v>4.9315068493150691E-2</v>
      </c>
      <c r="GX267" s="4">
        <f t="shared" si="247"/>
        <v>0.45258632876712335</v>
      </c>
      <c r="GY267" t="s">
        <v>43</v>
      </c>
      <c r="GZ267" t="s">
        <v>87</v>
      </c>
      <c r="HA267">
        <v>650</v>
      </c>
      <c r="HB267">
        <v>450</v>
      </c>
      <c r="HC267">
        <v>210</v>
      </c>
      <c r="HD267">
        <v>40</v>
      </c>
      <c r="HE267">
        <v>40</v>
      </c>
      <c r="HF267" s="4">
        <f t="shared" si="248"/>
        <v>1</v>
      </c>
      <c r="HG267">
        <v>5</v>
      </c>
      <c r="HH267" s="4">
        <f t="shared" si="249"/>
        <v>5</v>
      </c>
      <c r="HI267">
        <v>550</v>
      </c>
      <c r="HJ267" s="4">
        <f t="shared" si="250"/>
        <v>2750</v>
      </c>
      <c r="HM267" s="4">
        <v>2</v>
      </c>
      <c r="HN267" s="10">
        <f t="shared" si="251"/>
        <v>24000</v>
      </c>
      <c r="HO267" s="4">
        <f t="shared" si="252"/>
        <v>0.11458333333333333</v>
      </c>
      <c r="HP267" s="4">
        <v>160</v>
      </c>
      <c r="HV267" s="4">
        <f t="shared" si="261"/>
        <v>0.11458333333333333</v>
      </c>
      <c r="HW267" s="4"/>
      <c r="HX267" s="4">
        <v>2917</v>
      </c>
      <c r="HY267" s="4">
        <v>1689</v>
      </c>
      <c r="HZ267" s="4">
        <v>1842</v>
      </c>
      <c r="IA267" s="4">
        <v>4</v>
      </c>
      <c r="IB267" s="4">
        <v>3</v>
      </c>
      <c r="IC267" s="4">
        <v>8</v>
      </c>
      <c r="ID267" s="8">
        <v>1</v>
      </c>
      <c r="IE267" s="7">
        <f>ROUND(PRODUCT(IA267:ID267),0)-42</f>
        <v>54</v>
      </c>
      <c r="IF267" s="4">
        <v>500</v>
      </c>
      <c r="IG267" s="4">
        <f t="shared" si="255"/>
        <v>0.23148148148148148</v>
      </c>
      <c r="IH267" s="4"/>
    </row>
    <row r="268" spans="1:242" ht="45">
      <c r="A268">
        <v>254</v>
      </c>
      <c r="B268" t="s">
        <v>468</v>
      </c>
      <c r="C268" s="170" t="s">
        <v>999</v>
      </c>
      <c r="D268" s="28" t="s">
        <v>710</v>
      </c>
      <c r="E268" s="27" t="s">
        <v>711</v>
      </c>
      <c r="F268" s="5" t="s">
        <v>2182</v>
      </c>
      <c r="G268" s="27" t="s">
        <v>101</v>
      </c>
      <c r="I268" s="27" t="s">
        <v>121</v>
      </c>
      <c r="J268" s="28">
        <v>21480</v>
      </c>
      <c r="K268" s="27" t="s">
        <v>97</v>
      </c>
      <c r="N268" s="28"/>
      <c r="O268" s="28"/>
      <c r="P268" s="28"/>
      <c r="Q268" s="28" t="s">
        <v>1040</v>
      </c>
      <c r="R268" s="28" t="s">
        <v>1034</v>
      </c>
      <c r="S268" s="27"/>
      <c r="T268" s="27"/>
      <c r="U268" s="27"/>
      <c r="W268" s="72" t="s">
        <v>998</v>
      </c>
      <c r="X268" s="72"/>
      <c r="Y268" s="72"/>
      <c r="Z268" s="72"/>
      <c r="AA268" s="51" t="s">
        <v>976</v>
      </c>
      <c r="AB268" s="66">
        <v>91.99</v>
      </c>
      <c r="AC268" s="11">
        <f>AB268-5</f>
        <v>86.99</v>
      </c>
      <c r="AD268" s="6" t="s">
        <v>935</v>
      </c>
      <c r="AE268" s="7">
        <f t="shared" si="231"/>
        <v>1.1188799999999999</v>
      </c>
      <c r="AF268" s="7"/>
      <c r="AG268" s="7">
        <f t="shared" si="232"/>
        <v>2.4657534246575343</v>
      </c>
      <c r="AH268" s="7">
        <f t="shared" si="233"/>
        <v>0.25</v>
      </c>
      <c r="AI268" s="7">
        <f t="shared" si="234"/>
        <v>0</v>
      </c>
      <c r="AJ268" s="7">
        <f t="shared" si="235"/>
        <v>4.9315068493150691E-2</v>
      </c>
      <c r="AK268" s="7">
        <f t="shared" si="236"/>
        <v>4.4807917808219182E-2</v>
      </c>
      <c r="AL268" s="7">
        <f t="shared" si="237"/>
        <v>0.35846334246575345</v>
      </c>
      <c r="AM268" s="7">
        <f t="shared" si="238"/>
        <v>0.11458333333333333</v>
      </c>
      <c r="AN268" s="7">
        <f t="shared" si="239"/>
        <v>0.23148148148148148</v>
      </c>
      <c r="AO268" s="6">
        <v>0</v>
      </c>
      <c r="AP268" s="6"/>
      <c r="AQ268" s="7">
        <f t="shared" si="240"/>
        <v>4.6332845682394721</v>
      </c>
      <c r="AR268" s="7"/>
      <c r="AS268" s="7"/>
      <c r="AT268" s="6">
        <v>0</v>
      </c>
      <c r="AU268">
        <f>4.68-4.63</f>
        <v>4.9999999999999822E-2</v>
      </c>
      <c r="AV268" s="7">
        <f t="shared" si="241"/>
        <v>4.6832845682394719</v>
      </c>
      <c r="AW268" s="14">
        <v>1.4999999999999999E-2</v>
      </c>
      <c r="AX268">
        <v>1.2E-2</v>
      </c>
      <c r="AY268" s="8">
        <v>1</v>
      </c>
      <c r="AZ268">
        <f t="shared" si="242"/>
        <v>2.9999999999999992E-3</v>
      </c>
      <c r="BA268" s="4">
        <f t="shared" si="243"/>
        <v>1.1188799999999999</v>
      </c>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F268">
        <v>1</v>
      </c>
      <c r="CG268">
        <v>0.25</v>
      </c>
      <c r="CH268">
        <f>CF268*CG268</f>
        <v>0.25</v>
      </c>
      <c r="DM268">
        <f>CH268+CM268+CR268+DB268+DG268+DL268</f>
        <v>0.25</v>
      </c>
      <c r="DP268" s="4">
        <f>DM268+DO268</f>
        <v>0.25</v>
      </c>
      <c r="DQ268" s="4"/>
      <c r="DR268" s="4"/>
      <c r="DS268" s="4"/>
      <c r="DT268" s="4"/>
      <c r="DU268" s="4"/>
      <c r="DV268" s="4"/>
      <c r="DW268" s="4"/>
      <c r="DX268" s="4"/>
      <c r="DY268" s="4"/>
      <c r="DZ268" s="4"/>
      <c r="EA268" s="4"/>
      <c r="EB268" s="4"/>
      <c r="EC268" s="4"/>
      <c r="ED268" s="4"/>
      <c r="EE268" s="4"/>
      <c r="EF268">
        <v>180</v>
      </c>
      <c r="EG268">
        <v>1800</v>
      </c>
      <c r="EH268">
        <v>8</v>
      </c>
      <c r="EI268" s="8">
        <v>0.95</v>
      </c>
      <c r="EJ268">
        <v>2</v>
      </c>
      <c r="EK268">
        <v>75</v>
      </c>
      <c r="EL268" s="10">
        <f>ROUND(3600/EK268*EH268*EJ268*EI268,0)</f>
        <v>730</v>
      </c>
      <c r="EU268" s="4">
        <f t="shared" si="260"/>
        <v>2.4657534246575343</v>
      </c>
      <c r="EV268" s="4"/>
      <c r="EW268" s="4"/>
      <c r="GR268" s="8">
        <v>0.1</v>
      </c>
      <c r="GS268" s="4">
        <f t="shared" si="244"/>
        <v>0.35846334246575345</v>
      </c>
      <c r="GT268" s="9">
        <v>1.2500000000000001E-2</v>
      </c>
      <c r="GU268" s="4">
        <f t="shared" si="245"/>
        <v>4.4807917808219182E-2</v>
      </c>
      <c r="GV268" s="8">
        <v>0.02</v>
      </c>
      <c r="GW268" s="4">
        <f t="shared" si="246"/>
        <v>4.9315068493150691E-2</v>
      </c>
      <c r="GX268" s="4">
        <f t="shared" si="247"/>
        <v>0.45258632876712335</v>
      </c>
      <c r="GY268" t="s">
        <v>43</v>
      </c>
      <c r="GZ268" t="s">
        <v>87</v>
      </c>
      <c r="HA268">
        <v>650</v>
      </c>
      <c r="HB268">
        <v>450</v>
      </c>
      <c r="HC268">
        <v>210</v>
      </c>
      <c r="HD268">
        <v>40</v>
      </c>
      <c r="HE268">
        <v>40</v>
      </c>
      <c r="HF268" s="4">
        <f t="shared" si="248"/>
        <v>1</v>
      </c>
      <c r="HG268">
        <v>5</v>
      </c>
      <c r="HH268" s="4">
        <f t="shared" si="249"/>
        <v>5</v>
      </c>
      <c r="HI268">
        <v>550</v>
      </c>
      <c r="HJ268" s="4">
        <f t="shared" si="250"/>
        <v>2750</v>
      </c>
      <c r="HM268" s="4">
        <v>2</v>
      </c>
      <c r="HN268" s="10">
        <f t="shared" si="251"/>
        <v>24000</v>
      </c>
      <c r="HO268" s="4">
        <f t="shared" si="252"/>
        <v>0.11458333333333333</v>
      </c>
      <c r="HP268" s="4">
        <v>160</v>
      </c>
      <c r="HV268" s="4">
        <f t="shared" si="261"/>
        <v>0.11458333333333333</v>
      </c>
      <c r="HW268" s="4"/>
      <c r="HX268" s="4">
        <v>2917</v>
      </c>
      <c r="HY268" s="4">
        <v>1689</v>
      </c>
      <c r="HZ268" s="4">
        <v>1842</v>
      </c>
      <c r="IA268" s="4">
        <v>4</v>
      </c>
      <c r="IB268" s="4">
        <v>3</v>
      </c>
      <c r="IC268" s="4">
        <v>8</v>
      </c>
      <c r="ID268" s="8">
        <v>1</v>
      </c>
      <c r="IE268" s="7">
        <f>ROUND(PRODUCT(IA268:ID268),0)-42</f>
        <v>54</v>
      </c>
      <c r="IF268" s="4">
        <v>500</v>
      </c>
      <c r="IG268" s="4">
        <f t="shared" si="255"/>
        <v>0.23148148148148148</v>
      </c>
      <c r="IH268" s="4"/>
    </row>
    <row r="269" spans="1:242" ht="45">
      <c r="A269">
        <v>255</v>
      </c>
      <c r="B269" t="s">
        <v>468</v>
      </c>
      <c r="C269" s="170" t="s">
        <v>1000</v>
      </c>
      <c r="D269" s="28" t="s">
        <v>712</v>
      </c>
      <c r="E269" s="27" t="s">
        <v>713</v>
      </c>
      <c r="F269" s="5" t="s">
        <v>2182</v>
      </c>
      <c r="G269" s="27" t="s">
        <v>101</v>
      </c>
      <c r="I269" s="27" t="s">
        <v>121</v>
      </c>
      <c r="J269" s="28">
        <v>21480</v>
      </c>
      <c r="K269" s="27" t="s">
        <v>97</v>
      </c>
      <c r="N269" s="28"/>
      <c r="O269" s="28"/>
      <c r="P269" s="28"/>
      <c r="Q269" s="28" t="s">
        <v>1040</v>
      </c>
      <c r="R269" s="28" t="s">
        <v>1034</v>
      </c>
      <c r="S269" s="27"/>
      <c r="T269" s="27"/>
      <c r="U269" s="27"/>
      <c r="W269" s="72" t="s">
        <v>1001</v>
      </c>
      <c r="X269" s="72"/>
      <c r="Y269" s="72"/>
      <c r="Z269" s="72"/>
      <c r="AA269" s="51" t="s">
        <v>1002</v>
      </c>
      <c r="AB269" s="66">
        <v>156.66</v>
      </c>
      <c r="AC269">
        <v>20</v>
      </c>
      <c r="AD269" s="6" t="s">
        <v>935</v>
      </c>
      <c r="AE269" s="7">
        <f t="shared" si="231"/>
        <v>19.169179999999997</v>
      </c>
      <c r="AF269" s="7"/>
      <c r="AG269" s="7">
        <f t="shared" si="232"/>
        <v>5.7565789473684212</v>
      </c>
      <c r="AH269" s="7">
        <f t="shared" si="233"/>
        <v>0</v>
      </c>
      <c r="AI269" s="7">
        <f t="shared" si="234"/>
        <v>0</v>
      </c>
      <c r="AJ269" s="7">
        <f t="shared" si="235"/>
        <v>0.11513157894736843</v>
      </c>
      <c r="AK269" s="7">
        <f t="shared" si="236"/>
        <v>0.31157198684210524</v>
      </c>
      <c r="AL269" s="7">
        <f t="shared" si="237"/>
        <v>2.4925758947368419</v>
      </c>
      <c r="AM269" s="7">
        <f t="shared" si="238"/>
        <v>0.22916666666666666</v>
      </c>
      <c r="AN269" s="7">
        <f t="shared" si="239"/>
        <v>0.37037037037037035</v>
      </c>
      <c r="AO269" s="6">
        <v>0</v>
      </c>
      <c r="AP269" s="6"/>
      <c r="AQ269" s="7">
        <f t="shared" si="240"/>
        <v>28.444575444931772</v>
      </c>
      <c r="AR269" s="7"/>
      <c r="AS269" s="7"/>
      <c r="AT269" s="6">
        <v>0</v>
      </c>
      <c r="AU269">
        <f>28.53-28.44</f>
        <v>8.9999999999999858E-2</v>
      </c>
      <c r="AV269" s="7">
        <f t="shared" si="241"/>
        <v>28.534575444931772</v>
      </c>
      <c r="AW269">
        <v>0.123</v>
      </c>
      <c r="AX269">
        <v>0.11799999999999999</v>
      </c>
      <c r="AY269" s="8">
        <v>1</v>
      </c>
      <c r="AZ269">
        <f t="shared" si="242"/>
        <v>5.0000000000000044E-3</v>
      </c>
      <c r="BA269" s="4">
        <f t="shared" si="243"/>
        <v>19.169179999999997</v>
      </c>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DM269">
        <f>CH269+CM269+CR269+DB269+DG269+DL269</f>
        <v>0</v>
      </c>
      <c r="DP269" s="4">
        <f>DM269+DO269</f>
        <v>0</v>
      </c>
      <c r="DQ269" s="4"/>
      <c r="DR269" s="4"/>
      <c r="DS269" s="4"/>
      <c r="DT269" s="4"/>
      <c r="DU269" s="4"/>
      <c r="DV269" s="4"/>
      <c r="DW269" s="4"/>
      <c r="DX269" s="4"/>
      <c r="DY269" s="4"/>
      <c r="DZ269" s="4"/>
      <c r="EA269" s="4"/>
      <c r="EB269" s="4"/>
      <c r="EC269" s="4"/>
      <c r="ED269" s="4"/>
      <c r="EE269" s="4"/>
      <c r="EF269">
        <v>250</v>
      </c>
      <c r="EG269">
        <v>2500</v>
      </c>
      <c r="EH269">
        <v>8</v>
      </c>
      <c r="EI269" s="8">
        <v>0.95</v>
      </c>
      <c r="EJ269">
        <v>1</v>
      </c>
      <c r="EK269">
        <v>63</v>
      </c>
      <c r="EL269" s="10">
        <f t="shared" ref="EL269:EL283" si="262">3600/EK269*EH269*EJ269*EI269</f>
        <v>434.28571428571428</v>
      </c>
      <c r="EU269" s="4">
        <f t="shared" si="260"/>
        <v>5.7565789473684212</v>
      </c>
      <c r="EV269" s="4"/>
      <c r="EW269" s="4"/>
      <c r="GR269" s="8">
        <v>0.1</v>
      </c>
      <c r="GS269" s="4">
        <f t="shared" si="244"/>
        <v>2.4925758947368419</v>
      </c>
      <c r="GT269" s="9">
        <v>1.2500000000000001E-2</v>
      </c>
      <c r="GU269" s="4">
        <f t="shared" si="245"/>
        <v>0.31157198684210524</v>
      </c>
      <c r="GV269" s="8">
        <v>0.02</v>
      </c>
      <c r="GW269" s="4">
        <f t="shared" si="246"/>
        <v>0.11513157894736843</v>
      </c>
      <c r="GX269" s="4">
        <f t="shared" si="247"/>
        <v>2.9192794605263157</v>
      </c>
      <c r="GY269" t="s">
        <v>43</v>
      </c>
      <c r="GZ269" t="s">
        <v>87</v>
      </c>
      <c r="HA269">
        <v>650</v>
      </c>
      <c r="HB269">
        <v>450</v>
      </c>
      <c r="HC269">
        <v>210</v>
      </c>
      <c r="HD269">
        <v>25</v>
      </c>
      <c r="HE269">
        <v>40</v>
      </c>
      <c r="HF269" s="4">
        <f t="shared" si="248"/>
        <v>2</v>
      </c>
      <c r="HG269">
        <v>5</v>
      </c>
      <c r="HH269" s="4">
        <f t="shared" si="249"/>
        <v>10</v>
      </c>
      <c r="HI269">
        <v>550</v>
      </c>
      <c r="HJ269" s="4">
        <f t="shared" si="250"/>
        <v>5500</v>
      </c>
      <c r="HM269" s="4">
        <v>2</v>
      </c>
      <c r="HN269" s="10">
        <f t="shared" si="251"/>
        <v>24000</v>
      </c>
      <c r="HO269" s="4">
        <f t="shared" si="252"/>
        <v>0.22916666666666666</v>
      </c>
      <c r="HP269" s="4">
        <v>160</v>
      </c>
      <c r="HV269" s="4">
        <f t="shared" si="261"/>
        <v>0.22916666666666666</v>
      </c>
      <c r="HW269" s="4"/>
      <c r="HX269" s="4">
        <v>2917</v>
      </c>
      <c r="HY269" s="4">
        <v>1689</v>
      </c>
      <c r="HZ269" s="4">
        <v>1842</v>
      </c>
      <c r="IA269" s="4">
        <v>4</v>
      </c>
      <c r="IB269" s="4">
        <v>3</v>
      </c>
      <c r="IC269" s="4">
        <v>8</v>
      </c>
      <c r="ID269" s="8">
        <v>1</v>
      </c>
      <c r="IE269" s="7">
        <f>ROUND(PRODUCT(IA269:ID269),0)-42</f>
        <v>54</v>
      </c>
      <c r="IF269" s="4">
        <v>500</v>
      </c>
      <c r="IG269" s="4">
        <f t="shared" si="255"/>
        <v>0.37037037037037035</v>
      </c>
      <c r="IH269" s="4"/>
    </row>
    <row r="270" spans="1:242" ht="45">
      <c r="A270">
        <v>256</v>
      </c>
      <c r="B270" t="s">
        <v>468</v>
      </c>
      <c r="C270" s="170" t="s">
        <v>1003</v>
      </c>
      <c r="D270" s="28" t="s">
        <v>714</v>
      </c>
      <c r="E270" s="27" t="s">
        <v>715</v>
      </c>
      <c r="F270" s="5" t="s">
        <v>2182</v>
      </c>
      <c r="G270" s="27" t="s">
        <v>101</v>
      </c>
      <c r="I270" s="27" t="s">
        <v>121</v>
      </c>
      <c r="J270" s="28">
        <v>21480</v>
      </c>
      <c r="K270" s="27" t="s">
        <v>97</v>
      </c>
      <c r="N270" s="28"/>
      <c r="O270" s="28"/>
      <c r="P270" s="28"/>
      <c r="Q270" s="28" t="s">
        <v>1040</v>
      </c>
      <c r="R270" s="28" t="s">
        <v>1034</v>
      </c>
      <c r="S270" s="27"/>
      <c r="T270" s="27"/>
      <c r="U270" s="27"/>
      <c r="W270" s="72" t="s">
        <v>1004</v>
      </c>
      <c r="X270" s="72"/>
      <c r="Y270" s="72"/>
      <c r="Z270" s="72"/>
      <c r="AA270" s="51" t="s">
        <v>1005</v>
      </c>
      <c r="AB270" s="66">
        <v>452</v>
      </c>
      <c r="AC270">
        <v>20</v>
      </c>
      <c r="AD270" s="6" t="s">
        <v>935</v>
      </c>
      <c r="AE270" s="7">
        <f t="shared" si="231"/>
        <v>3.556</v>
      </c>
      <c r="AF270" s="7"/>
      <c r="AG270" s="7">
        <f t="shared" si="232"/>
        <v>2.5438596491228069</v>
      </c>
      <c r="AH270" s="7">
        <f t="shared" si="233"/>
        <v>0</v>
      </c>
      <c r="AI270" s="7">
        <f t="shared" si="234"/>
        <v>0</v>
      </c>
      <c r="AJ270" s="7">
        <f t="shared" si="235"/>
        <v>5.0877192982456139E-2</v>
      </c>
      <c r="AK270" s="7">
        <f t="shared" si="236"/>
        <v>7.6248245614035093E-2</v>
      </c>
      <c r="AL270" s="7">
        <f t="shared" si="237"/>
        <v>0.60998596491228074</v>
      </c>
      <c r="AM270" s="7">
        <f t="shared" si="238"/>
        <v>0.11458333333333333</v>
      </c>
      <c r="AN270" s="7">
        <f t="shared" si="239"/>
        <v>0.18518518518518517</v>
      </c>
      <c r="AO270" s="6">
        <v>0</v>
      </c>
      <c r="AP270" s="6"/>
      <c r="AQ270" s="7">
        <f t="shared" si="240"/>
        <v>7.1367395711500983</v>
      </c>
      <c r="AR270" s="7"/>
      <c r="AS270" s="7"/>
      <c r="AT270" s="6">
        <v>0</v>
      </c>
      <c r="AU270">
        <f>7.18-7.14</f>
        <v>4.0000000000000036E-2</v>
      </c>
      <c r="AV270" s="7">
        <f t="shared" si="241"/>
        <v>7.1767395711500983</v>
      </c>
      <c r="AW270">
        <v>8.0000000000000002E-3</v>
      </c>
      <c r="AX270">
        <v>5.0000000000000001E-3</v>
      </c>
      <c r="AY270" s="8">
        <v>1</v>
      </c>
      <c r="AZ270">
        <f t="shared" si="242"/>
        <v>3.0000000000000001E-3</v>
      </c>
      <c r="BA270" s="4">
        <f t="shared" si="243"/>
        <v>3.556</v>
      </c>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EF270">
        <v>120</v>
      </c>
      <c r="EG270">
        <v>1200</v>
      </c>
      <c r="EH270">
        <v>8</v>
      </c>
      <c r="EI270" s="8">
        <v>0.95</v>
      </c>
      <c r="EJ270">
        <v>1</v>
      </c>
      <c r="EK270">
        <v>58</v>
      </c>
      <c r="EL270" s="10">
        <f t="shared" si="262"/>
        <v>471.72413793103448</v>
      </c>
      <c r="EU270" s="4">
        <f t="shared" si="260"/>
        <v>2.5438596491228069</v>
      </c>
      <c r="EV270" s="4"/>
      <c r="EW270" s="4"/>
      <c r="GR270" s="8">
        <v>0.1</v>
      </c>
      <c r="GS270" s="4">
        <f t="shared" si="244"/>
        <v>0.60998596491228074</v>
      </c>
      <c r="GT270" s="9">
        <v>1.2500000000000001E-2</v>
      </c>
      <c r="GU270" s="4">
        <f t="shared" si="245"/>
        <v>7.6248245614035093E-2</v>
      </c>
      <c r="GV270" s="8">
        <v>0.02</v>
      </c>
      <c r="GW270" s="4">
        <f t="shared" si="246"/>
        <v>5.0877192982456139E-2</v>
      </c>
      <c r="GX270" s="4">
        <f t="shared" si="247"/>
        <v>0.73711140350877202</v>
      </c>
      <c r="GY270" t="s">
        <v>43</v>
      </c>
      <c r="GZ270" t="s">
        <v>87</v>
      </c>
      <c r="HA270">
        <v>650</v>
      </c>
      <c r="HB270">
        <v>450</v>
      </c>
      <c r="HC270">
        <v>315</v>
      </c>
      <c r="HD270">
        <v>50</v>
      </c>
      <c r="HE270">
        <v>40</v>
      </c>
      <c r="HF270" s="4">
        <f t="shared" si="248"/>
        <v>1</v>
      </c>
      <c r="HG270">
        <v>5</v>
      </c>
      <c r="HH270" s="4">
        <f t="shared" si="249"/>
        <v>5</v>
      </c>
      <c r="HI270">
        <v>550</v>
      </c>
      <c r="HJ270" s="4">
        <f t="shared" si="250"/>
        <v>2750</v>
      </c>
      <c r="HM270" s="4">
        <v>2</v>
      </c>
      <c r="HN270" s="10">
        <f t="shared" si="251"/>
        <v>24000</v>
      </c>
      <c r="HO270" s="4">
        <f t="shared" si="252"/>
        <v>0.11458333333333333</v>
      </c>
      <c r="HP270" s="4">
        <v>160</v>
      </c>
      <c r="HV270" s="4">
        <f t="shared" si="261"/>
        <v>0.11458333333333333</v>
      </c>
      <c r="HW270" s="4"/>
      <c r="HX270" s="4">
        <v>2917</v>
      </c>
      <c r="HY270" s="4">
        <v>1689</v>
      </c>
      <c r="HZ270" s="4">
        <v>1842</v>
      </c>
      <c r="IA270" s="4">
        <v>4</v>
      </c>
      <c r="IB270" s="4">
        <v>3</v>
      </c>
      <c r="IC270" s="4">
        <v>5</v>
      </c>
      <c r="ID270" s="8">
        <v>1</v>
      </c>
      <c r="IE270" s="7">
        <f>ROUND(PRODUCT(IA270:ID270),0)-6</f>
        <v>54</v>
      </c>
      <c r="IF270" s="4">
        <v>500</v>
      </c>
      <c r="IG270" s="4">
        <f t="shared" si="255"/>
        <v>0.18518518518518517</v>
      </c>
      <c r="IH270" s="4"/>
    </row>
    <row r="271" spans="1:242" ht="45">
      <c r="A271">
        <v>257</v>
      </c>
      <c r="B271" t="s">
        <v>468</v>
      </c>
      <c r="C271" s="170" t="s">
        <v>1006</v>
      </c>
      <c r="D271" s="28" t="s">
        <v>716</v>
      </c>
      <c r="E271" s="27" t="s">
        <v>717</v>
      </c>
      <c r="F271" s="5" t="s">
        <v>2182</v>
      </c>
      <c r="G271" s="27" t="s">
        <v>101</v>
      </c>
      <c r="I271" s="27" t="s">
        <v>121</v>
      </c>
      <c r="J271" s="28">
        <v>21480</v>
      </c>
      <c r="K271" s="27" t="s">
        <v>97</v>
      </c>
      <c r="N271" s="28"/>
      <c r="O271" s="28"/>
      <c r="P271" s="28"/>
      <c r="Q271" s="28" t="s">
        <v>1040</v>
      </c>
      <c r="R271" s="28" t="s">
        <v>1034</v>
      </c>
      <c r="S271" s="27"/>
      <c r="T271" s="27"/>
      <c r="U271" s="27"/>
      <c r="W271" s="72" t="s">
        <v>1007</v>
      </c>
      <c r="X271" s="72"/>
      <c r="Y271" s="72"/>
      <c r="Z271" s="72"/>
      <c r="AA271" s="51" t="s">
        <v>1008</v>
      </c>
      <c r="AB271" s="66">
        <v>156.66</v>
      </c>
      <c r="AC271">
        <v>20</v>
      </c>
      <c r="AD271" s="6" t="s">
        <v>935</v>
      </c>
      <c r="AE271" s="7">
        <f t="shared" si="231"/>
        <v>9.4962599999999995</v>
      </c>
      <c r="AF271" s="7"/>
      <c r="AG271" s="7">
        <f t="shared" si="232"/>
        <v>3.3991228070175441</v>
      </c>
      <c r="AH271" s="7">
        <f t="shared" si="233"/>
        <v>0</v>
      </c>
      <c r="AI271" s="7">
        <f t="shared" si="234"/>
        <v>0</v>
      </c>
      <c r="AJ271" s="7">
        <f t="shared" si="235"/>
        <v>6.798245614035088E-2</v>
      </c>
      <c r="AK271" s="7">
        <f t="shared" si="236"/>
        <v>0.16119228508771932</v>
      </c>
      <c r="AL271" s="7">
        <f t="shared" si="237"/>
        <v>1.2895382807017546</v>
      </c>
      <c r="AM271" s="7">
        <f t="shared" si="238"/>
        <v>0.22916666666666666</v>
      </c>
      <c r="AN271" s="7">
        <f t="shared" si="239"/>
        <v>0.30864197530864196</v>
      </c>
      <c r="AO271" s="6">
        <v>0</v>
      </c>
      <c r="AP271" s="6"/>
      <c r="AQ271" s="7">
        <f t="shared" si="240"/>
        <v>14.951904470922676</v>
      </c>
      <c r="AR271" s="7"/>
      <c r="AS271" s="7"/>
      <c r="AT271" s="6">
        <v>0</v>
      </c>
      <c r="AU271">
        <f>15.04-14.95</f>
        <v>8.9999999999999858E-2</v>
      </c>
      <c r="AV271" s="7">
        <f t="shared" si="241"/>
        <v>15.041904470922676</v>
      </c>
      <c r="AW271">
        <v>6.1000000000000006E-2</v>
      </c>
      <c r="AX271">
        <v>5.8000000000000003E-2</v>
      </c>
      <c r="AY271" s="8">
        <v>1</v>
      </c>
      <c r="AZ271">
        <f t="shared" si="242"/>
        <v>3.0000000000000027E-3</v>
      </c>
      <c r="BA271" s="4">
        <f t="shared" si="243"/>
        <v>9.4962599999999995</v>
      </c>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EF271">
        <v>150</v>
      </c>
      <c r="EG271">
        <v>1500</v>
      </c>
      <c r="EH271">
        <v>8</v>
      </c>
      <c r="EI271" s="8">
        <v>0.95</v>
      </c>
      <c r="EJ271">
        <v>1</v>
      </c>
      <c r="EK271">
        <v>62</v>
      </c>
      <c r="EL271" s="10">
        <f t="shared" si="262"/>
        <v>441.29032258064512</v>
      </c>
      <c r="EU271" s="4">
        <f t="shared" si="260"/>
        <v>3.3991228070175441</v>
      </c>
      <c r="EV271" s="4"/>
      <c r="EW271" s="4"/>
      <c r="GR271" s="8">
        <v>0.1</v>
      </c>
      <c r="GS271" s="4">
        <f t="shared" si="244"/>
        <v>1.2895382807017546</v>
      </c>
      <c r="GT271" s="9">
        <v>1.2500000000000001E-2</v>
      </c>
      <c r="GU271" s="4">
        <f t="shared" si="245"/>
        <v>0.16119228508771932</v>
      </c>
      <c r="GV271" s="8">
        <v>0.02</v>
      </c>
      <c r="GW271" s="4">
        <f t="shared" si="246"/>
        <v>6.798245614035088E-2</v>
      </c>
      <c r="GX271" s="4">
        <f t="shared" si="247"/>
        <v>1.5187130219298248</v>
      </c>
      <c r="GY271" t="s">
        <v>43</v>
      </c>
      <c r="GZ271" t="s">
        <v>87</v>
      </c>
      <c r="HA271">
        <v>650</v>
      </c>
      <c r="HB271">
        <v>450</v>
      </c>
      <c r="HC271">
        <v>210</v>
      </c>
      <c r="HD271">
        <v>30</v>
      </c>
      <c r="HE271">
        <v>40</v>
      </c>
      <c r="HF271" s="4">
        <f t="shared" si="248"/>
        <v>2</v>
      </c>
      <c r="HG271">
        <v>5</v>
      </c>
      <c r="HH271" s="4">
        <f t="shared" si="249"/>
        <v>10</v>
      </c>
      <c r="HI271">
        <v>550</v>
      </c>
      <c r="HJ271" s="4">
        <f t="shared" si="250"/>
        <v>5500</v>
      </c>
      <c r="HM271" s="4">
        <v>2</v>
      </c>
      <c r="HN271" s="10">
        <f t="shared" si="251"/>
        <v>24000</v>
      </c>
      <c r="HO271" s="4">
        <f t="shared" si="252"/>
        <v>0.22916666666666666</v>
      </c>
      <c r="HP271" s="4">
        <v>160</v>
      </c>
      <c r="HV271" s="4">
        <f t="shared" si="261"/>
        <v>0.22916666666666666</v>
      </c>
      <c r="HW271" s="4"/>
      <c r="HX271" s="4">
        <v>2917</v>
      </c>
      <c r="HY271" s="4">
        <v>1689</v>
      </c>
      <c r="HZ271" s="4">
        <v>1842</v>
      </c>
      <c r="IA271" s="4">
        <v>4</v>
      </c>
      <c r="IB271" s="4">
        <v>3</v>
      </c>
      <c r="IC271" s="4">
        <v>8</v>
      </c>
      <c r="ID271" s="8">
        <v>1</v>
      </c>
      <c r="IE271" s="4">
        <f>ROUND(PRODUCT(IA271:ID271),0)-42</f>
        <v>54</v>
      </c>
      <c r="IF271" s="4">
        <v>500</v>
      </c>
      <c r="IG271" s="4">
        <f t="shared" si="255"/>
        <v>0.30864197530864196</v>
      </c>
      <c r="IH271" s="4"/>
    </row>
    <row r="272" spans="1:242" ht="45">
      <c r="A272">
        <v>258</v>
      </c>
      <c r="B272" t="s">
        <v>468</v>
      </c>
      <c r="C272" s="170" t="s">
        <v>1009</v>
      </c>
      <c r="D272" s="28" t="s">
        <v>718</v>
      </c>
      <c r="E272" s="27" t="s">
        <v>719</v>
      </c>
      <c r="F272" s="5" t="s">
        <v>2182</v>
      </c>
      <c r="G272" s="27" t="s">
        <v>101</v>
      </c>
      <c r="I272" s="27" t="s">
        <v>121</v>
      </c>
      <c r="J272" s="28">
        <v>21480</v>
      </c>
      <c r="K272" s="27" t="s">
        <v>97</v>
      </c>
      <c r="N272" s="28"/>
      <c r="O272" s="28"/>
      <c r="P272" s="28"/>
      <c r="Q272" s="28" t="s">
        <v>1040</v>
      </c>
      <c r="R272" s="28" t="s">
        <v>1034</v>
      </c>
      <c r="S272" s="27"/>
      <c r="T272" s="27"/>
      <c r="U272" s="27"/>
      <c r="W272" s="72" t="s">
        <v>1010</v>
      </c>
      <c r="X272" s="72"/>
      <c r="Y272" s="72"/>
      <c r="Z272" s="72"/>
      <c r="AA272" s="51" t="s">
        <v>417</v>
      </c>
      <c r="AB272" s="66">
        <v>132.28</v>
      </c>
      <c r="AC272">
        <v>20</v>
      </c>
      <c r="AD272" s="6" t="s">
        <v>935</v>
      </c>
      <c r="AE272" s="7">
        <f t="shared" si="231"/>
        <v>3.1870000000000003</v>
      </c>
      <c r="AF272" s="7"/>
      <c r="AG272" s="7">
        <f t="shared" si="232"/>
        <v>4.9342105263157903</v>
      </c>
      <c r="AH272" s="7">
        <f t="shared" si="233"/>
        <v>0.25</v>
      </c>
      <c r="AI272" s="7">
        <f t="shared" si="234"/>
        <v>0</v>
      </c>
      <c r="AJ272" s="7">
        <f t="shared" si="235"/>
        <v>9.8684210526315805E-2</v>
      </c>
      <c r="AK272" s="7">
        <f t="shared" si="236"/>
        <v>0.10151513157894738</v>
      </c>
      <c r="AL272" s="7">
        <f t="shared" si="237"/>
        <v>0.81212105263157908</v>
      </c>
      <c r="AM272" s="7">
        <f t="shared" si="238"/>
        <v>0.22916666666666666</v>
      </c>
      <c r="AN272" s="7">
        <f t="shared" si="239"/>
        <v>0.30864197530864196</v>
      </c>
      <c r="AO272" s="6">
        <v>0</v>
      </c>
      <c r="AP272" s="6"/>
      <c r="AQ272" s="7">
        <f t="shared" si="240"/>
        <v>9.9213395630279404</v>
      </c>
      <c r="AR272" s="7"/>
      <c r="AS272" s="7"/>
      <c r="AT272" s="6">
        <v>0</v>
      </c>
      <c r="AU272">
        <f>10-9.92</f>
        <v>8.0000000000000071E-2</v>
      </c>
      <c r="AV272" s="7">
        <f t="shared" si="241"/>
        <v>10.00133956302794</v>
      </c>
      <c r="AW272">
        <v>2.5000000000000001E-2</v>
      </c>
      <c r="AX272">
        <v>1.9E-2</v>
      </c>
      <c r="AY272" s="8">
        <v>1</v>
      </c>
      <c r="AZ272">
        <f t="shared" si="242"/>
        <v>6.0000000000000019E-3</v>
      </c>
      <c r="BA272" s="4">
        <f t="shared" si="243"/>
        <v>3.1870000000000003</v>
      </c>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F272">
        <v>1</v>
      </c>
      <c r="CG272">
        <v>0.25</v>
      </c>
      <c r="CH272">
        <f>CF272*CG272</f>
        <v>0.25</v>
      </c>
      <c r="DM272">
        <f>CH272+CM272+CR272+DB272+DG272+DL272</f>
        <v>0.25</v>
      </c>
      <c r="DP272" s="4">
        <f>DM272+DO272</f>
        <v>0.25</v>
      </c>
      <c r="DQ272" s="4"/>
      <c r="DR272" s="4"/>
      <c r="DS272" s="4"/>
      <c r="DT272" s="4"/>
      <c r="DU272" s="4"/>
      <c r="DV272" s="4"/>
      <c r="DW272" s="4"/>
      <c r="DX272" s="4"/>
      <c r="DY272" s="4"/>
      <c r="DZ272" s="4"/>
      <c r="EA272" s="4"/>
      <c r="EB272" s="4"/>
      <c r="EC272" s="4"/>
      <c r="ED272" s="4"/>
      <c r="EE272" s="4"/>
      <c r="EF272">
        <v>180</v>
      </c>
      <c r="EG272">
        <v>1800</v>
      </c>
      <c r="EH272">
        <v>8</v>
      </c>
      <c r="EI272" s="8">
        <v>0.95</v>
      </c>
      <c r="EJ272">
        <v>1</v>
      </c>
      <c r="EK272">
        <v>75</v>
      </c>
      <c r="EL272" s="10">
        <f t="shared" si="262"/>
        <v>364.79999999999995</v>
      </c>
      <c r="EU272" s="4">
        <f t="shared" si="260"/>
        <v>4.9342105263157903</v>
      </c>
      <c r="EV272" s="4"/>
      <c r="EW272" s="4"/>
      <c r="GR272" s="8">
        <v>0.1</v>
      </c>
      <c r="GS272" s="4">
        <f t="shared" si="244"/>
        <v>0.81212105263157908</v>
      </c>
      <c r="GT272" s="9">
        <v>1.2500000000000001E-2</v>
      </c>
      <c r="GU272" s="4">
        <f t="shared" si="245"/>
        <v>0.10151513157894738</v>
      </c>
      <c r="GV272" s="8">
        <v>0.02</v>
      </c>
      <c r="GW272" s="4">
        <f t="shared" si="246"/>
        <v>9.8684210526315805E-2</v>
      </c>
      <c r="GX272" s="4">
        <f t="shared" si="247"/>
        <v>1.0123203947368422</v>
      </c>
      <c r="GY272" t="s">
        <v>43</v>
      </c>
      <c r="GZ272" t="s">
        <v>87</v>
      </c>
      <c r="HA272">
        <v>650</v>
      </c>
      <c r="HB272">
        <v>450</v>
      </c>
      <c r="HC272">
        <v>210</v>
      </c>
      <c r="HD272">
        <v>30</v>
      </c>
      <c r="HE272">
        <v>40</v>
      </c>
      <c r="HF272" s="4">
        <f t="shared" si="248"/>
        <v>2</v>
      </c>
      <c r="HG272">
        <v>5</v>
      </c>
      <c r="HH272" s="4">
        <f t="shared" si="249"/>
        <v>10</v>
      </c>
      <c r="HI272">
        <v>550</v>
      </c>
      <c r="HJ272" s="4">
        <f t="shared" si="250"/>
        <v>5500</v>
      </c>
      <c r="HM272" s="4">
        <v>2</v>
      </c>
      <c r="HN272" s="10">
        <f t="shared" si="251"/>
        <v>24000</v>
      </c>
      <c r="HO272" s="4">
        <f t="shared" si="252"/>
        <v>0.22916666666666666</v>
      </c>
      <c r="HP272" s="4">
        <v>160</v>
      </c>
      <c r="HV272" s="4">
        <f t="shared" si="261"/>
        <v>0.22916666666666666</v>
      </c>
      <c r="HW272" s="4"/>
      <c r="HX272" s="4">
        <v>2917</v>
      </c>
      <c r="HY272" s="4">
        <v>1689</v>
      </c>
      <c r="HZ272" s="4">
        <v>1842</v>
      </c>
      <c r="IA272" s="4">
        <v>4</v>
      </c>
      <c r="IB272" s="4">
        <v>3</v>
      </c>
      <c r="IC272" s="4">
        <v>8</v>
      </c>
      <c r="ID272" s="8">
        <v>1</v>
      </c>
      <c r="IE272" s="4">
        <f>ROUND(PRODUCT(IA272:ID272),0)-42</f>
        <v>54</v>
      </c>
      <c r="IF272" s="4">
        <v>500</v>
      </c>
      <c r="IG272" s="4">
        <f t="shared" si="255"/>
        <v>0.30864197530864196</v>
      </c>
      <c r="IH272" s="4"/>
    </row>
    <row r="273" spans="1:302" ht="45">
      <c r="A273">
        <v>259</v>
      </c>
      <c r="B273" t="s">
        <v>468</v>
      </c>
      <c r="C273" s="170" t="s">
        <v>1011</v>
      </c>
      <c r="D273" s="28" t="s">
        <v>720</v>
      </c>
      <c r="E273" s="27" t="s">
        <v>721</v>
      </c>
      <c r="F273" s="5" t="s">
        <v>2182</v>
      </c>
      <c r="G273" s="27" t="s">
        <v>101</v>
      </c>
      <c r="I273" s="27" t="s">
        <v>121</v>
      </c>
      <c r="J273" s="28">
        <v>21480</v>
      </c>
      <c r="K273" s="27" t="s">
        <v>97</v>
      </c>
      <c r="N273" s="28"/>
      <c r="O273" s="28"/>
      <c r="P273" s="28"/>
      <c r="Q273" s="28" t="s">
        <v>1040</v>
      </c>
      <c r="R273" s="28" t="s">
        <v>1034</v>
      </c>
      <c r="S273" s="27"/>
      <c r="T273" s="27"/>
      <c r="U273" s="27"/>
      <c r="W273" s="72" t="s">
        <v>981</v>
      </c>
      <c r="X273" s="72"/>
      <c r="Y273" s="72"/>
      <c r="Z273" s="72"/>
      <c r="AA273" s="51" t="s">
        <v>1012</v>
      </c>
      <c r="AB273" s="66">
        <v>133.86000000000001</v>
      </c>
      <c r="AC273">
        <v>20</v>
      </c>
      <c r="AD273" s="6" t="s">
        <v>935</v>
      </c>
      <c r="AE273" s="7">
        <f t="shared" si="231"/>
        <v>2.6172000000000004</v>
      </c>
      <c r="AF273" s="7"/>
      <c r="AG273" s="7">
        <f t="shared" si="232"/>
        <v>2.1198830409356724</v>
      </c>
      <c r="AH273" s="7">
        <f t="shared" si="233"/>
        <v>0.25</v>
      </c>
      <c r="AI273" s="7">
        <f t="shared" si="234"/>
        <v>0</v>
      </c>
      <c r="AJ273" s="7">
        <f t="shared" si="235"/>
        <v>4.2397660818713448E-2</v>
      </c>
      <c r="AK273" s="7">
        <f t="shared" si="236"/>
        <v>5.9213538011695911E-2</v>
      </c>
      <c r="AL273" s="7">
        <f t="shared" si="237"/>
        <v>0.47370830409356729</v>
      </c>
      <c r="AM273" s="7">
        <f t="shared" si="238"/>
        <v>0.16458333333333333</v>
      </c>
      <c r="AN273" s="7">
        <f t="shared" si="239"/>
        <v>0.18518518518518517</v>
      </c>
      <c r="AO273" s="6">
        <v>0</v>
      </c>
      <c r="AP273" s="6"/>
      <c r="AQ273" s="7">
        <f t="shared" si="240"/>
        <v>5.9121710623781691</v>
      </c>
      <c r="AR273" s="7"/>
      <c r="AS273" s="7"/>
      <c r="AT273" s="6">
        <v>0</v>
      </c>
      <c r="AU273">
        <f>5.95-5.91</f>
        <v>4.0000000000000036E-2</v>
      </c>
      <c r="AV273" s="7">
        <f t="shared" si="241"/>
        <v>5.9521710623781692</v>
      </c>
      <c r="AW273">
        <v>0.02</v>
      </c>
      <c r="AX273">
        <v>1.7000000000000001E-2</v>
      </c>
      <c r="AY273" s="8">
        <v>1</v>
      </c>
      <c r="AZ273">
        <f t="shared" si="242"/>
        <v>2.9999999999999992E-3</v>
      </c>
      <c r="BA273" s="4">
        <f t="shared" si="243"/>
        <v>2.6172000000000004</v>
      </c>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F273">
        <v>1</v>
      </c>
      <c r="CG273">
        <v>0.25</v>
      </c>
      <c r="CH273">
        <f>CF273*CG273</f>
        <v>0.25</v>
      </c>
      <c r="DM273">
        <f>CH273+CM273+CR273+DB273+DG273+DL273</f>
        <v>0.25</v>
      </c>
      <c r="DP273" s="4">
        <f>DM273+DO273</f>
        <v>0.25</v>
      </c>
      <c r="DQ273" s="4"/>
      <c r="DR273" s="4"/>
      <c r="DS273" s="4"/>
      <c r="DT273" s="4"/>
      <c r="DU273" s="4"/>
      <c r="DV273" s="4"/>
      <c r="DW273" s="4"/>
      <c r="DX273" s="4"/>
      <c r="DY273" s="4"/>
      <c r="DZ273" s="4"/>
      <c r="EA273" s="4"/>
      <c r="EB273" s="4"/>
      <c r="EC273" s="4"/>
      <c r="ED273" s="4"/>
      <c r="EE273" s="4"/>
      <c r="EF273">
        <v>100</v>
      </c>
      <c r="EG273">
        <v>1000</v>
      </c>
      <c r="EH273">
        <v>8</v>
      </c>
      <c r="EI273" s="8">
        <v>0.95</v>
      </c>
      <c r="EJ273">
        <v>1</v>
      </c>
      <c r="EK273">
        <v>58</v>
      </c>
      <c r="EL273" s="10">
        <f t="shared" si="262"/>
        <v>471.72413793103448</v>
      </c>
      <c r="EU273" s="4">
        <f t="shared" si="260"/>
        <v>2.1198830409356724</v>
      </c>
      <c r="EV273" s="4"/>
      <c r="EW273" s="4"/>
      <c r="GR273" s="8">
        <v>0.1</v>
      </c>
      <c r="GS273" s="4">
        <f t="shared" si="244"/>
        <v>0.47370830409356729</v>
      </c>
      <c r="GT273" s="9">
        <v>1.2500000000000001E-2</v>
      </c>
      <c r="GU273" s="4">
        <f t="shared" si="245"/>
        <v>5.9213538011695911E-2</v>
      </c>
      <c r="GV273" s="8">
        <v>0.02</v>
      </c>
      <c r="GW273" s="4">
        <f t="shared" si="246"/>
        <v>4.2397660818713448E-2</v>
      </c>
      <c r="GX273" s="4">
        <f t="shared" si="247"/>
        <v>0.5753195029239766</v>
      </c>
      <c r="GY273" t="s">
        <v>43</v>
      </c>
      <c r="GZ273" t="s">
        <v>87</v>
      </c>
      <c r="HA273">
        <v>650</v>
      </c>
      <c r="HB273">
        <v>450</v>
      </c>
      <c r="HC273">
        <v>210</v>
      </c>
      <c r="HD273">
        <v>50</v>
      </c>
      <c r="HE273">
        <v>40</v>
      </c>
      <c r="HF273" s="4">
        <f t="shared" si="248"/>
        <v>1</v>
      </c>
      <c r="HG273">
        <v>5</v>
      </c>
      <c r="HH273" s="4">
        <f t="shared" si="249"/>
        <v>5</v>
      </c>
      <c r="HI273">
        <v>550</v>
      </c>
      <c r="HJ273" s="4">
        <f t="shared" si="250"/>
        <v>2750</v>
      </c>
      <c r="HM273" s="4">
        <v>2</v>
      </c>
      <c r="HN273" s="10">
        <f t="shared" si="251"/>
        <v>24000</v>
      </c>
      <c r="HO273" s="4">
        <f t="shared" si="252"/>
        <v>0.11458333333333333</v>
      </c>
      <c r="HP273" s="4">
        <v>160</v>
      </c>
      <c r="HR273">
        <v>0.05</v>
      </c>
      <c r="HS273">
        <v>1</v>
      </c>
      <c r="HT273" s="4">
        <f>HR273/HS273</f>
        <v>0.05</v>
      </c>
      <c r="HU273" s="4"/>
      <c r="HV273" s="4">
        <f t="shared" si="261"/>
        <v>0.16458333333333333</v>
      </c>
      <c r="HW273" s="4"/>
      <c r="HX273" s="4">
        <v>2917</v>
      </c>
      <c r="HY273" s="4">
        <v>1689</v>
      </c>
      <c r="HZ273" s="4">
        <v>1842</v>
      </c>
      <c r="IA273" s="4">
        <v>4</v>
      </c>
      <c r="IB273" s="4">
        <v>3</v>
      </c>
      <c r="IC273" s="4">
        <v>8</v>
      </c>
      <c r="ID273" s="8">
        <v>1</v>
      </c>
      <c r="IE273" s="4">
        <f>ROUND(PRODUCT(IA273:ID273),0)-42</f>
        <v>54</v>
      </c>
      <c r="IF273" s="4">
        <v>500</v>
      </c>
      <c r="IG273" s="4">
        <f t="shared" si="255"/>
        <v>0.18518518518518517</v>
      </c>
      <c r="IH273" s="4"/>
    </row>
    <row r="274" spans="1:302" ht="45">
      <c r="A274">
        <v>260</v>
      </c>
      <c r="B274" t="s">
        <v>468</v>
      </c>
      <c r="C274" s="170" t="s">
        <v>1013</v>
      </c>
      <c r="D274" s="28" t="s">
        <v>722</v>
      </c>
      <c r="E274" s="27" t="s">
        <v>723</v>
      </c>
      <c r="F274" s="5" t="s">
        <v>2182</v>
      </c>
      <c r="G274" s="27" t="s">
        <v>101</v>
      </c>
      <c r="I274" s="27" t="s">
        <v>121</v>
      </c>
      <c r="J274" s="28">
        <v>21480</v>
      </c>
      <c r="K274" s="27" t="s">
        <v>97</v>
      </c>
      <c r="N274" s="28"/>
      <c r="O274" s="28"/>
      <c r="P274" s="28"/>
      <c r="Q274" s="28" t="s">
        <v>1040</v>
      </c>
      <c r="R274" s="28" t="s">
        <v>1034</v>
      </c>
      <c r="S274" s="27"/>
      <c r="T274" s="27"/>
      <c r="U274" s="27"/>
      <c r="W274" s="72" t="s">
        <v>981</v>
      </c>
      <c r="X274" s="72"/>
      <c r="Y274" s="72"/>
      <c r="Z274" s="72"/>
      <c r="AA274" s="51" t="s">
        <v>417</v>
      </c>
      <c r="AB274" s="66">
        <v>132.28</v>
      </c>
      <c r="AC274">
        <v>20</v>
      </c>
      <c r="AD274" s="6" t="s">
        <v>935</v>
      </c>
      <c r="AE274" s="7">
        <f t="shared" si="231"/>
        <v>3.9806799999999996</v>
      </c>
      <c r="AF274" s="7"/>
      <c r="AG274" s="7">
        <f t="shared" si="232"/>
        <v>4.9342105263157903</v>
      </c>
      <c r="AH274" s="7">
        <f t="shared" si="233"/>
        <v>0.25</v>
      </c>
      <c r="AI274" s="7">
        <f t="shared" si="234"/>
        <v>0</v>
      </c>
      <c r="AJ274" s="7">
        <f t="shared" si="235"/>
        <v>9.8684210526315805E-2</v>
      </c>
      <c r="AK274" s="7">
        <f t="shared" si="236"/>
        <v>0.11143613157894738</v>
      </c>
      <c r="AL274" s="7">
        <f t="shared" si="237"/>
        <v>0.89148905263157907</v>
      </c>
      <c r="AM274" s="7">
        <f t="shared" si="238"/>
        <v>0.11458333333333333</v>
      </c>
      <c r="AN274" s="7">
        <f t="shared" si="239"/>
        <v>0.23148148148148148</v>
      </c>
      <c r="AO274" s="6">
        <v>0</v>
      </c>
      <c r="AP274" s="6"/>
      <c r="AQ274" s="7">
        <f t="shared" si="240"/>
        <v>10.612564735867448</v>
      </c>
      <c r="AR274" s="7"/>
      <c r="AS274" s="7"/>
      <c r="AT274" s="6">
        <v>0</v>
      </c>
      <c r="AU274">
        <f>10.65-10.61</f>
        <v>4.0000000000000924E-2</v>
      </c>
      <c r="AV274" s="7">
        <f t="shared" si="241"/>
        <v>10.652564735867449</v>
      </c>
      <c r="AW274">
        <v>3.1E-2</v>
      </c>
      <c r="AX274">
        <v>2.5000000000000001E-2</v>
      </c>
      <c r="AY274" s="8">
        <v>1</v>
      </c>
      <c r="AZ274">
        <f t="shared" si="242"/>
        <v>5.9999999999999984E-3</v>
      </c>
      <c r="BA274" s="4">
        <f t="shared" si="243"/>
        <v>3.9806799999999996</v>
      </c>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F274">
        <v>1</v>
      </c>
      <c r="CG274">
        <v>0.25</v>
      </c>
      <c r="CH274">
        <f>CF274*CG274</f>
        <v>0.25</v>
      </c>
      <c r="DM274">
        <f>CH274+CM274+CR274+DB274+DG274+DL274</f>
        <v>0.25</v>
      </c>
      <c r="DP274" s="4">
        <f>DM274+DO274</f>
        <v>0.25</v>
      </c>
      <c r="DQ274" s="4"/>
      <c r="DR274" s="4"/>
      <c r="DS274" s="4"/>
      <c r="DT274" s="4"/>
      <c r="DU274" s="4"/>
      <c r="DV274" s="4"/>
      <c r="DW274" s="4"/>
      <c r="DX274" s="4"/>
      <c r="DY274" s="4"/>
      <c r="DZ274" s="4"/>
      <c r="EA274" s="4"/>
      <c r="EB274" s="4"/>
      <c r="EC274" s="4"/>
      <c r="ED274" s="4"/>
      <c r="EE274" s="4"/>
      <c r="EF274">
        <v>180</v>
      </c>
      <c r="EG274">
        <v>1800</v>
      </c>
      <c r="EH274">
        <v>8</v>
      </c>
      <c r="EI274" s="8">
        <v>0.95</v>
      </c>
      <c r="EJ274">
        <v>1</v>
      </c>
      <c r="EK274">
        <v>75</v>
      </c>
      <c r="EL274" s="10">
        <f t="shared" si="262"/>
        <v>364.79999999999995</v>
      </c>
      <c r="EU274" s="4">
        <f t="shared" si="260"/>
        <v>4.9342105263157903</v>
      </c>
      <c r="EV274" s="4"/>
      <c r="EW274" s="4"/>
      <c r="GR274" s="8">
        <v>0.1</v>
      </c>
      <c r="GS274" s="4">
        <f t="shared" si="244"/>
        <v>0.89148905263157907</v>
      </c>
      <c r="GT274" s="9">
        <v>1.2500000000000001E-2</v>
      </c>
      <c r="GU274" s="4">
        <f t="shared" si="245"/>
        <v>0.11143613157894738</v>
      </c>
      <c r="GV274" s="8">
        <v>0.02</v>
      </c>
      <c r="GW274" s="4">
        <f t="shared" si="246"/>
        <v>9.8684210526315805E-2</v>
      </c>
      <c r="GX274" s="4">
        <f t="shared" si="247"/>
        <v>1.1016093947368422</v>
      </c>
      <c r="GY274" t="s">
        <v>43</v>
      </c>
      <c r="GZ274" t="s">
        <v>87</v>
      </c>
      <c r="HA274">
        <v>650</v>
      </c>
      <c r="HB274">
        <v>450</v>
      </c>
      <c r="HC274">
        <v>210</v>
      </c>
      <c r="HD274">
        <v>40</v>
      </c>
      <c r="HE274">
        <v>40</v>
      </c>
      <c r="HF274" s="4">
        <f t="shared" si="248"/>
        <v>1</v>
      </c>
      <c r="HG274">
        <v>5</v>
      </c>
      <c r="HH274" s="4">
        <f t="shared" si="249"/>
        <v>5</v>
      </c>
      <c r="HI274">
        <v>550</v>
      </c>
      <c r="HJ274" s="4">
        <f t="shared" si="250"/>
        <v>2750</v>
      </c>
      <c r="HM274" s="4">
        <v>2</v>
      </c>
      <c r="HN274" s="10">
        <f t="shared" si="251"/>
        <v>24000</v>
      </c>
      <c r="HO274" s="4">
        <f t="shared" si="252"/>
        <v>0.11458333333333333</v>
      </c>
      <c r="HP274" s="4">
        <v>160</v>
      </c>
      <c r="HV274" s="4">
        <f t="shared" si="261"/>
        <v>0.11458333333333333</v>
      </c>
      <c r="HW274" s="4"/>
      <c r="HX274" s="4">
        <v>2917</v>
      </c>
      <c r="HY274" s="4">
        <v>1689</v>
      </c>
      <c r="HZ274" s="4">
        <v>1842</v>
      </c>
      <c r="IA274" s="4">
        <v>4</v>
      </c>
      <c r="IB274" s="4">
        <v>3</v>
      </c>
      <c r="IC274" s="4">
        <v>8</v>
      </c>
      <c r="ID274" s="8">
        <v>1</v>
      </c>
      <c r="IE274" s="4">
        <f>ROUND(PRODUCT(IA274:ID274),0)-42</f>
        <v>54</v>
      </c>
      <c r="IF274" s="4">
        <v>500</v>
      </c>
      <c r="IG274" s="4">
        <f t="shared" si="255"/>
        <v>0.23148148148148148</v>
      </c>
      <c r="IH274" s="4"/>
    </row>
    <row r="275" spans="1:302" ht="45">
      <c r="A275">
        <v>261</v>
      </c>
      <c r="B275" t="s">
        <v>468</v>
      </c>
      <c r="C275" s="170" t="s">
        <v>1014</v>
      </c>
      <c r="D275" s="28" t="s">
        <v>724</v>
      </c>
      <c r="E275" s="27" t="s">
        <v>725</v>
      </c>
      <c r="F275" s="5" t="s">
        <v>2182</v>
      </c>
      <c r="G275" s="27" t="s">
        <v>101</v>
      </c>
      <c r="I275" s="27" t="s">
        <v>121</v>
      </c>
      <c r="J275" s="28">
        <v>21480</v>
      </c>
      <c r="K275" s="27" t="s">
        <v>97</v>
      </c>
      <c r="N275" s="28"/>
      <c r="O275" s="28"/>
      <c r="P275" s="28"/>
      <c r="Q275" s="28" t="s">
        <v>1040</v>
      </c>
      <c r="R275" s="28" t="s">
        <v>1034</v>
      </c>
      <c r="S275" s="27"/>
      <c r="T275" s="27"/>
      <c r="U275" s="27"/>
      <c r="W275" s="72" t="s">
        <v>981</v>
      </c>
      <c r="X275" s="72"/>
      <c r="Y275" s="72"/>
      <c r="Z275" s="72"/>
      <c r="AA275" s="51" t="s">
        <v>937</v>
      </c>
      <c r="AB275" s="66">
        <v>236.33</v>
      </c>
      <c r="AC275">
        <v>20</v>
      </c>
      <c r="AD275" s="6" t="s">
        <v>935</v>
      </c>
      <c r="AE275" s="7">
        <f t="shared" si="231"/>
        <v>1.37798</v>
      </c>
      <c r="AF275" s="7"/>
      <c r="AG275" s="7">
        <f t="shared" si="232"/>
        <v>1.0051169590643274</v>
      </c>
      <c r="AH275" s="7">
        <f t="shared" si="233"/>
        <v>0</v>
      </c>
      <c r="AI275" s="7">
        <f t="shared" si="234"/>
        <v>0</v>
      </c>
      <c r="AJ275" s="7">
        <f t="shared" si="235"/>
        <v>2.0102339181286549E-2</v>
      </c>
      <c r="AK275" s="7">
        <f t="shared" si="236"/>
        <v>2.9788711988304097E-2</v>
      </c>
      <c r="AL275" s="7">
        <f t="shared" si="237"/>
        <v>0.23830969590643278</v>
      </c>
      <c r="AM275" s="7">
        <f t="shared" si="238"/>
        <v>0.11458333333333333</v>
      </c>
      <c r="AN275" s="7">
        <f t="shared" si="239"/>
        <v>0.18518518518518517</v>
      </c>
      <c r="AO275" s="6">
        <v>0</v>
      </c>
      <c r="AP275" s="6"/>
      <c r="AQ275" s="7">
        <f t="shared" si="240"/>
        <v>2.9710662246588697</v>
      </c>
      <c r="AR275" s="7"/>
      <c r="AS275" s="7"/>
      <c r="AT275" s="6">
        <v>0</v>
      </c>
      <c r="AU275">
        <f>3.01-2.97</f>
        <v>3.9999999999999591E-2</v>
      </c>
      <c r="AV275" s="7">
        <f t="shared" si="241"/>
        <v>3.0110662246588693</v>
      </c>
      <c r="AW275">
        <v>6.0000000000000001E-3</v>
      </c>
      <c r="AX275">
        <v>4.0000000000000001E-3</v>
      </c>
      <c r="AY275" s="8">
        <v>1</v>
      </c>
      <c r="AZ275">
        <f t="shared" si="242"/>
        <v>2E-3</v>
      </c>
      <c r="BA275" s="4">
        <f t="shared" si="243"/>
        <v>1.37798</v>
      </c>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EF275">
        <v>100</v>
      </c>
      <c r="EG275">
        <v>1000</v>
      </c>
      <c r="EH275">
        <v>8</v>
      </c>
      <c r="EI275" s="8">
        <v>0.95</v>
      </c>
      <c r="EJ275">
        <v>2</v>
      </c>
      <c r="EK275">
        <v>55</v>
      </c>
      <c r="EL275" s="10">
        <f t="shared" si="262"/>
        <v>994.90909090909088</v>
      </c>
      <c r="EU275" s="4">
        <f t="shared" si="260"/>
        <v>1.0051169590643274</v>
      </c>
      <c r="EV275" s="4"/>
      <c r="EW275" s="4"/>
      <c r="GR275" s="8">
        <v>0.1</v>
      </c>
      <c r="GS275" s="4">
        <f t="shared" si="244"/>
        <v>0.23830969590643278</v>
      </c>
      <c r="GT275" s="9">
        <v>1.2500000000000001E-2</v>
      </c>
      <c r="GU275" s="4">
        <f t="shared" si="245"/>
        <v>2.9788711988304097E-2</v>
      </c>
      <c r="GV275" s="8">
        <v>0.02</v>
      </c>
      <c r="GW275" s="4">
        <f t="shared" si="246"/>
        <v>2.0102339181286549E-2</v>
      </c>
      <c r="GX275" s="4">
        <f t="shared" si="247"/>
        <v>0.28820074707602344</v>
      </c>
      <c r="GY275" t="s">
        <v>43</v>
      </c>
      <c r="GZ275" t="s">
        <v>87</v>
      </c>
      <c r="HA275">
        <v>650</v>
      </c>
      <c r="HB275">
        <v>450</v>
      </c>
      <c r="HC275">
        <v>210</v>
      </c>
      <c r="HD275">
        <v>50</v>
      </c>
      <c r="HE275">
        <v>40</v>
      </c>
      <c r="HF275" s="4">
        <f t="shared" si="248"/>
        <v>1</v>
      </c>
      <c r="HG275">
        <v>5</v>
      </c>
      <c r="HH275" s="4">
        <f t="shared" si="249"/>
        <v>5</v>
      </c>
      <c r="HI275">
        <v>550</v>
      </c>
      <c r="HJ275" s="4">
        <f t="shared" si="250"/>
        <v>2750</v>
      </c>
      <c r="HM275" s="4">
        <v>2</v>
      </c>
      <c r="HN275" s="10">
        <f t="shared" si="251"/>
        <v>24000</v>
      </c>
      <c r="HO275" s="4">
        <f t="shared" si="252"/>
        <v>0.11458333333333333</v>
      </c>
      <c r="HP275" s="4">
        <v>160</v>
      </c>
      <c r="HV275" s="4">
        <f t="shared" si="261"/>
        <v>0.11458333333333333</v>
      </c>
      <c r="HW275" s="4"/>
      <c r="HX275" s="4">
        <v>2917</v>
      </c>
      <c r="HY275" s="4">
        <v>1689</v>
      </c>
      <c r="HZ275" s="4">
        <v>1842</v>
      </c>
      <c r="IA275" s="4">
        <v>4</v>
      </c>
      <c r="IB275" s="4">
        <v>3</v>
      </c>
      <c r="IC275" s="4">
        <v>8</v>
      </c>
      <c r="ID275" s="8">
        <v>1</v>
      </c>
      <c r="IE275" s="4">
        <f>ROUND(PRODUCT(IA275:ID275),0)-42</f>
        <v>54</v>
      </c>
      <c r="IF275" s="4">
        <v>500</v>
      </c>
      <c r="IG275" s="4">
        <f t="shared" si="255"/>
        <v>0.18518518518518517</v>
      </c>
      <c r="IH275" s="4"/>
    </row>
    <row r="276" spans="1:302">
      <c r="A276">
        <v>262</v>
      </c>
      <c r="B276" t="s">
        <v>468</v>
      </c>
      <c r="C276" t="s">
        <v>1015</v>
      </c>
      <c r="D276" s="28" t="s">
        <v>726</v>
      </c>
      <c r="E276" s="27" t="s">
        <v>727</v>
      </c>
      <c r="F276" s="5" t="s">
        <v>2182</v>
      </c>
      <c r="G276" s="27" t="s">
        <v>101</v>
      </c>
      <c r="I276" s="27" t="s">
        <v>121</v>
      </c>
      <c r="J276" s="28">
        <v>21480</v>
      </c>
      <c r="K276" s="27" t="s">
        <v>97</v>
      </c>
      <c r="N276" s="28"/>
      <c r="O276" s="28"/>
      <c r="P276" s="28"/>
      <c r="Q276" s="28" t="s">
        <v>1041</v>
      </c>
      <c r="R276" s="28" t="s">
        <v>1194</v>
      </c>
      <c r="S276" s="27"/>
      <c r="T276" s="27"/>
      <c r="U276" s="27"/>
      <c r="AA276" s="51" t="s">
        <v>504</v>
      </c>
      <c r="AB276" s="66">
        <v>134.28</v>
      </c>
      <c r="AC276">
        <v>20</v>
      </c>
      <c r="AD276" s="6" t="s">
        <v>310</v>
      </c>
      <c r="AE276" s="7">
        <f t="shared" si="231"/>
        <v>33.73856</v>
      </c>
      <c r="AF276" s="7"/>
      <c r="AG276" s="7">
        <f t="shared" si="232"/>
        <v>5.3453947368421053</v>
      </c>
      <c r="AH276" s="7">
        <f t="shared" si="233"/>
        <v>0</v>
      </c>
      <c r="AI276" s="7">
        <f t="shared" si="234"/>
        <v>0</v>
      </c>
      <c r="AJ276" s="7">
        <f t="shared" si="235"/>
        <v>0.1069078947368421</v>
      </c>
      <c r="AK276" s="7">
        <f t="shared" si="236"/>
        <v>0.48854943421052632</v>
      </c>
      <c r="AL276" s="7">
        <f t="shared" si="237"/>
        <v>4.2992350210526311</v>
      </c>
      <c r="AM276" s="7">
        <f t="shared" si="238"/>
        <v>0.30937500000000001</v>
      </c>
      <c r="AN276" s="7">
        <f t="shared" si="239"/>
        <v>0.38759689922480622</v>
      </c>
      <c r="AO276" s="6">
        <v>0</v>
      </c>
      <c r="AP276" s="6"/>
      <c r="AQ276" s="7">
        <f t="shared" si="240"/>
        <v>44.675618986066908</v>
      </c>
      <c r="AR276" s="7"/>
      <c r="AS276" s="7"/>
      <c r="AT276" s="6">
        <v>0</v>
      </c>
      <c r="AV276" s="7">
        <f t="shared" si="241"/>
        <v>44.675618986066908</v>
      </c>
      <c r="AW276">
        <v>0.252</v>
      </c>
      <c r="AX276">
        <v>0.247</v>
      </c>
      <c r="AY276" s="8">
        <v>1</v>
      </c>
      <c r="AZ276">
        <f t="shared" si="242"/>
        <v>5.0000000000000044E-3</v>
      </c>
      <c r="BA276" s="4">
        <f t="shared" si="243"/>
        <v>33.73856</v>
      </c>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EF276">
        <v>450</v>
      </c>
      <c r="EG276">
        <v>4500</v>
      </c>
      <c r="EH276">
        <v>8</v>
      </c>
      <c r="EI276" s="8">
        <v>0.95</v>
      </c>
      <c r="EJ276">
        <v>2</v>
      </c>
      <c r="EK276">
        <v>65</v>
      </c>
      <c r="EL276" s="10">
        <f t="shared" si="262"/>
        <v>841.84615384615381</v>
      </c>
      <c r="EU276" s="4">
        <f t="shared" si="260"/>
        <v>5.3453947368421053</v>
      </c>
      <c r="EV276" s="4"/>
      <c r="EW276" s="4"/>
      <c r="GR276" s="8">
        <v>0.11</v>
      </c>
      <c r="GS276" s="4">
        <f t="shared" si="244"/>
        <v>4.2992350210526311</v>
      </c>
      <c r="GT276" s="9">
        <v>1.2500000000000001E-2</v>
      </c>
      <c r="GU276" s="4">
        <f t="shared" si="245"/>
        <v>0.48854943421052632</v>
      </c>
      <c r="GV276" s="8">
        <v>0.02</v>
      </c>
      <c r="GW276" s="4">
        <f t="shared" si="246"/>
        <v>0.1069078947368421</v>
      </c>
      <c r="GX276" s="4">
        <f t="shared" si="247"/>
        <v>4.8946923499999997</v>
      </c>
      <c r="GY276" t="s">
        <v>418</v>
      </c>
      <c r="GZ276" t="s">
        <v>87</v>
      </c>
      <c r="HA276">
        <v>650</v>
      </c>
      <c r="HB276">
        <v>450</v>
      </c>
      <c r="HC276">
        <v>480</v>
      </c>
      <c r="HD276">
        <v>15</v>
      </c>
      <c r="HE276">
        <v>400</v>
      </c>
      <c r="HF276" s="4">
        <f t="shared" si="248"/>
        <v>27</v>
      </c>
      <c r="HG276">
        <v>5</v>
      </c>
      <c r="HH276" s="4">
        <f t="shared" si="249"/>
        <v>135</v>
      </c>
      <c r="HI276">
        <v>550</v>
      </c>
      <c r="HJ276" s="4">
        <f t="shared" si="250"/>
        <v>74250</v>
      </c>
      <c r="HM276" s="4">
        <v>2</v>
      </c>
      <c r="HN276" s="10">
        <f t="shared" si="251"/>
        <v>240000</v>
      </c>
      <c r="HO276" s="4">
        <f t="shared" si="252"/>
        <v>0.30937500000000001</v>
      </c>
      <c r="HP276" s="4">
        <v>160</v>
      </c>
      <c r="HV276" s="4">
        <f t="shared" si="261"/>
        <v>0.30937500000000001</v>
      </c>
      <c r="HW276" s="4"/>
      <c r="HX276" s="4">
        <v>4200</v>
      </c>
      <c r="HY276" s="4">
        <v>1900</v>
      </c>
      <c r="HZ276" s="4">
        <v>1975</v>
      </c>
      <c r="IA276" s="4">
        <v>6</v>
      </c>
      <c r="IB276" s="4">
        <v>4</v>
      </c>
      <c r="IC276" s="4">
        <v>4</v>
      </c>
      <c r="ID276" s="8">
        <v>1</v>
      </c>
      <c r="IE276" s="4">
        <f>PRODUCT(IA276:ID276)-10</f>
        <v>86</v>
      </c>
      <c r="IF276" s="4">
        <v>500</v>
      </c>
      <c r="IG276" s="4">
        <f t="shared" si="255"/>
        <v>0.38759689922480622</v>
      </c>
      <c r="IH276" s="4"/>
    </row>
    <row r="277" spans="1:302" ht="45">
      <c r="A277">
        <v>263</v>
      </c>
      <c r="B277" t="s">
        <v>468</v>
      </c>
      <c r="C277" s="170" t="s">
        <v>1016</v>
      </c>
      <c r="D277" s="28" t="s">
        <v>728</v>
      </c>
      <c r="E277" s="27" t="s">
        <v>729</v>
      </c>
      <c r="F277" s="5" t="s">
        <v>2182</v>
      </c>
      <c r="G277" s="27" t="s">
        <v>101</v>
      </c>
      <c r="I277" s="27" t="s">
        <v>121</v>
      </c>
      <c r="J277" s="28">
        <v>21480</v>
      </c>
      <c r="K277" s="27" t="s">
        <v>97</v>
      </c>
      <c r="N277" s="28"/>
      <c r="O277" s="28"/>
      <c r="P277" s="28"/>
      <c r="Q277" s="28" t="s">
        <v>1040</v>
      </c>
      <c r="R277" s="28" t="s">
        <v>1034</v>
      </c>
      <c r="S277" s="27"/>
      <c r="T277" s="27"/>
      <c r="U277" s="27"/>
      <c r="W277" s="72" t="s">
        <v>1017</v>
      </c>
      <c r="X277" s="72"/>
      <c r="Y277" s="72"/>
      <c r="Z277" s="72"/>
      <c r="AA277" s="51" t="s">
        <v>939</v>
      </c>
      <c r="AB277" s="66">
        <v>102.02</v>
      </c>
      <c r="AC277" s="171">
        <f>AB277-5</f>
        <v>97.02</v>
      </c>
      <c r="AD277" s="6" t="s">
        <v>935</v>
      </c>
      <c r="AE277" s="7">
        <f t="shared" si="231"/>
        <v>1.8613599999999999</v>
      </c>
      <c r="AF277" s="7"/>
      <c r="AG277" s="7">
        <f t="shared" si="232"/>
        <v>1.8128654970760236</v>
      </c>
      <c r="AH277" s="7">
        <f t="shared" si="233"/>
        <v>0.25</v>
      </c>
      <c r="AI277" s="7">
        <f t="shared" si="234"/>
        <v>0</v>
      </c>
      <c r="AJ277" s="7">
        <f t="shared" si="235"/>
        <v>3.6257309941520474E-2</v>
      </c>
      <c r="AK277" s="7">
        <f t="shared" si="236"/>
        <v>4.5927818713450301E-2</v>
      </c>
      <c r="AL277" s="7">
        <f t="shared" si="237"/>
        <v>0.36742254970760241</v>
      </c>
      <c r="AM277" s="7">
        <f t="shared" si="238"/>
        <v>0.22916666666666666</v>
      </c>
      <c r="AN277" s="7">
        <f t="shared" si="239"/>
        <v>0.30864197530864196</v>
      </c>
      <c r="AO277" s="6">
        <v>0</v>
      </c>
      <c r="AP277" s="6"/>
      <c r="AQ277" s="7">
        <f t="shared" si="240"/>
        <v>4.9116418174139058</v>
      </c>
      <c r="AR277" s="7"/>
      <c r="AS277" s="7"/>
      <c r="AT277" s="6">
        <v>0</v>
      </c>
      <c r="AU277">
        <f>4.99-4.91</f>
        <v>8.0000000000000071E-2</v>
      </c>
      <c r="AV277" s="7">
        <f t="shared" si="241"/>
        <v>4.9916418174139059</v>
      </c>
      <c r="AW277">
        <v>2.3E-2</v>
      </c>
      <c r="AX277">
        <v>1.7999999999999999E-2</v>
      </c>
      <c r="AY277" s="8">
        <v>1</v>
      </c>
      <c r="AZ277">
        <f t="shared" si="242"/>
        <v>5.000000000000001E-3</v>
      </c>
      <c r="BA277" s="4">
        <f t="shared" si="243"/>
        <v>1.8613599999999999</v>
      </c>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F277">
        <v>1</v>
      </c>
      <c r="CG277">
        <v>0.25</v>
      </c>
      <c r="CH277">
        <f>CF277*CG277</f>
        <v>0.25</v>
      </c>
      <c r="DM277">
        <f>CH277+CM277+CR277+DB277+DG277+DL277</f>
        <v>0.25</v>
      </c>
      <c r="DP277" s="4">
        <f>DM277+DO277</f>
        <v>0.25</v>
      </c>
      <c r="DQ277" s="4"/>
      <c r="DR277" s="4"/>
      <c r="DS277" s="4"/>
      <c r="DT277" s="4"/>
      <c r="DU277" s="4"/>
      <c r="DV277" s="4"/>
      <c r="DW277" s="4"/>
      <c r="DX277" s="4"/>
      <c r="DY277" s="4"/>
      <c r="DZ277" s="4"/>
      <c r="EA277" s="4"/>
      <c r="EB277" s="4"/>
      <c r="EC277" s="4"/>
      <c r="ED277" s="4"/>
      <c r="EE277" s="4"/>
      <c r="EF277">
        <v>160</v>
      </c>
      <c r="EG277">
        <v>1600</v>
      </c>
      <c r="EH277">
        <v>8</v>
      </c>
      <c r="EI277" s="8">
        <v>0.95</v>
      </c>
      <c r="EJ277">
        <v>2</v>
      </c>
      <c r="EK277">
        <v>62</v>
      </c>
      <c r="EL277" s="10">
        <f t="shared" si="262"/>
        <v>882.58064516129025</v>
      </c>
      <c r="EU277" s="4">
        <f t="shared" si="260"/>
        <v>1.8128654970760236</v>
      </c>
      <c r="EV277" s="4"/>
      <c r="EW277" s="4"/>
      <c r="GR277" s="8">
        <v>0.1</v>
      </c>
      <c r="GS277" s="4">
        <f t="shared" si="244"/>
        <v>0.36742254970760241</v>
      </c>
      <c r="GT277" s="9">
        <v>1.2500000000000001E-2</v>
      </c>
      <c r="GU277" s="4">
        <f t="shared" si="245"/>
        <v>4.5927818713450301E-2</v>
      </c>
      <c r="GV277" s="8">
        <v>0.02</v>
      </c>
      <c r="GW277" s="4">
        <f t="shared" si="246"/>
        <v>3.6257309941520474E-2</v>
      </c>
      <c r="GX277" s="4">
        <f t="shared" si="247"/>
        <v>0.4496076783625732</v>
      </c>
      <c r="GY277" t="s">
        <v>43</v>
      </c>
      <c r="GZ277" t="s">
        <v>87</v>
      </c>
      <c r="HA277">
        <v>650</v>
      </c>
      <c r="HB277">
        <v>450</v>
      </c>
      <c r="HC277">
        <v>315</v>
      </c>
      <c r="HD277">
        <v>30</v>
      </c>
      <c r="HE277">
        <v>40</v>
      </c>
      <c r="HF277" s="4">
        <f t="shared" si="248"/>
        <v>2</v>
      </c>
      <c r="HG277">
        <v>5</v>
      </c>
      <c r="HH277" s="4">
        <f t="shared" si="249"/>
        <v>10</v>
      </c>
      <c r="HI277">
        <v>550</v>
      </c>
      <c r="HJ277" s="4">
        <f t="shared" si="250"/>
        <v>5500</v>
      </c>
      <c r="HM277" s="4">
        <v>2</v>
      </c>
      <c r="HN277" s="10">
        <f t="shared" si="251"/>
        <v>24000</v>
      </c>
      <c r="HO277" s="4">
        <f t="shared" si="252"/>
        <v>0.22916666666666666</v>
      </c>
      <c r="HP277" s="4">
        <v>160</v>
      </c>
      <c r="HV277" s="4">
        <f t="shared" si="261"/>
        <v>0.22916666666666666</v>
      </c>
      <c r="HW277" s="4"/>
      <c r="HX277" s="4">
        <v>2917</v>
      </c>
      <c r="HY277" s="4">
        <v>1689</v>
      </c>
      <c r="HZ277" s="4">
        <v>1842</v>
      </c>
      <c r="IA277" s="4">
        <v>4</v>
      </c>
      <c r="IB277" s="4">
        <v>3</v>
      </c>
      <c r="IC277" s="4">
        <v>5</v>
      </c>
      <c r="ID277" s="8">
        <v>1</v>
      </c>
      <c r="IE277" s="4">
        <f>ROUND(PRODUCT(IA277:ID277),0)-6</f>
        <v>54</v>
      </c>
      <c r="IF277" s="4">
        <v>500</v>
      </c>
      <c r="IG277" s="4">
        <f t="shared" si="255"/>
        <v>0.30864197530864196</v>
      </c>
      <c r="IH277" s="4"/>
    </row>
    <row r="278" spans="1:302">
      <c r="A278">
        <v>264</v>
      </c>
      <c r="B278" t="s">
        <v>468</v>
      </c>
      <c r="C278" s="170" t="s">
        <v>1018</v>
      </c>
      <c r="D278" s="28" t="s">
        <v>730</v>
      </c>
      <c r="E278" s="27" t="s">
        <v>731</v>
      </c>
      <c r="F278" s="5" t="s">
        <v>2182</v>
      </c>
      <c r="G278" s="27" t="s">
        <v>101</v>
      </c>
      <c r="I278" s="27" t="s">
        <v>121</v>
      </c>
      <c r="J278" s="28">
        <v>21480</v>
      </c>
      <c r="K278" s="27" t="s">
        <v>97</v>
      </c>
      <c r="N278" s="28"/>
      <c r="O278" s="28"/>
      <c r="P278" s="28"/>
      <c r="Q278" s="28" t="s">
        <v>1040</v>
      </c>
      <c r="R278" s="28" t="s">
        <v>1034</v>
      </c>
      <c r="S278" s="27"/>
      <c r="T278" s="27"/>
      <c r="U278" s="27"/>
      <c r="W278" t="s">
        <v>1019</v>
      </c>
      <c r="X278"/>
      <c r="Y278"/>
      <c r="Z278"/>
      <c r="AA278" s="51" t="s">
        <v>1020</v>
      </c>
      <c r="AB278" s="66">
        <v>256.25</v>
      </c>
      <c r="AC278">
        <v>20</v>
      </c>
      <c r="AD278"/>
      <c r="AE278" s="7">
        <f t="shared" si="231"/>
        <v>32.5</v>
      </c>
      <c r="AF278" s="7"/>
      <c r="AG278" s="7">
        <f t="shared" si="232"/>
        <v>5.939327485380117</v>
      </c>
      <c r="AH278" s="7">
        <f t="shared" si="233"/>
        <v>0</v>
      </c>
      <c r="AI278" s="7">
        <f t="shared" si="234"/>
        <v>0</v>
      </c>
      <c r="AJ278" s="7">
        <f t="shared" si="235"/>
        <v>0.11878654970760234</v>
      </c>
      <c r="AK278" s="7">
        <f t="shared" si="236"/>
        <v>0.48049159356725152</v>
      </c>
      <c r="AL278" s="7">
        <f t="shared" si="237"/>
        <v>4.228326023391813</v>
      </c>
      <c r="AM278" s="7">
        <f t="shared" si="238"/>
        <v>0.16041666666666668</v>
      </c>
      <c r="AN278" s="7">
        <f t="shared" si="239"/>
        <v>0.27777777777777779</v>
      </c>
      <c r="AO278" s="6">
        <v>0</v>
      </c>
      <c r="AP278" s="6"/>
      <c r="AQ278" s="7">
        <f t="shared" si="240"/>
        <v>43.705126096491234</v>
      </c>
      <c r="AR278" s="7"/>
      <c r="AS278" s="7"/>
      <c r="AT278" s="6">
        <v>0</v>
      </c>
      <c r="AU278">
        <f>44.38-43.71</f>
        <v>0.67000000000000171</v>
      </c>
      <c r="AV278" s="7">
        <f t="shared" si="241"/>
        <v>44.375126096491236</v>
      </c>
      <c r="AW278">
        <v>0.128</v>
      </c>
      <c r="AX278">
        <v>0.113</v>
      </c>
      <c r="AY278" s="8">
        <v>1</v>
      </c>
      <c r="AZ278">
        <f t="shared" si="242"/>
        <v>1.4999999999999999E-2</v>
      </c>
      <c r="BA278" s="4">
        <f t="shared" si="243"/>
        <v>32.5</v>
      </c>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EF278">
        <v>250</v>
      </c>
      <c r="EG278">
        <v>2500</v>
      </c>
      <c r="EH278">
        <v>8</v>
      </c>
      <c r="EI278" s="8">
        <v>0.95</v>
      </c>
      <c r="EJ278">
        <v>1</v>
      </c>
      <c r="EK278">
        <v>65</v>
      </c>
      <c r="EL278" s="10">
        <f t="shared" si="262"/>
        <v>420.92307692307691</v>
      </c>
      <c r="EU278" s="4">
        <f t="shared" si="260"/>
        <v>5.939327485380117</v>
      </c>
      <c r="EV278" s="4"/>
      <c r="EW278" s="4"/>
      <c r="GR278" s="8">
        <v>0.11</v>
      </c>
      <c r="GS278" s="4">
        <f t="shared" si="244"/>
        <v>4.228326023391813</v>
      </c>
      <c r="GT278" s="9">
        <v>1.2500000000000001E-2</v>
      </c>
      <c r="GU278" s="4">
        <f t="shared" si="245"/>
        <v>0.48049159356725152</v>
      </c>
      <c r="GV278" s="8">
        <v>0.02</v>
      </c>
      <c r="GW278" s="4">
        <f t="shared" si="246"/>
        <v>0.11878654970760234</v>
      </c>
      <c r="GX278" s="4">
        <f t="shared" si="247"/>
        <v>4.8276041666666663</v>
      </c>
      <c r="GY278" t="s">
        <v>418</v>
      </c>
      <c r="GZ278" t="s">
        <v>87</v>
      </c>
      <c r="HA278">
        <v>650</v>
      </c>
      <c r="HB278">
        <v>450</v>
      </c>
      <c r="HC278">
        <v>480</v>
      </c>
      <c r="HD278">
        <v>30</v>
      </c>
      <c r="HE278">
        <v>400</v>
      </c>
      <c r="HF278" s="4">
        <f t="shared" si="248"/>
        <v>14</v>
      </c>
      <c r="HG278">
        <v>5</v>
      </c>
      <c r="HH278" s="4">
        <f t="shared" si="249"/>
        <v>70</v>
      </c>
      <c r="HI278">
        <v>550</v>
      </c>
      <c r="HJ278" s="4">
        <f t="shared" si="250"/>
        <v>38500</v>
      </c>
      <c r="HM278" s="4">
        <v>2</v>
      </c>
      <c r="HN278" s="10">
        <f t="shared" si="251"/>
        <v>240000</v>
      </c>
      <c r="HO278" s="4">
        <f t="shared" si="252"/>
        <v>0.16041666666666668</v>
      </c>
      <c r="HP278" s="4">
        <v>160</v>
      </c>
      <c r="HV278" s="4">
        <f t="shared" si="261"/>
        <v>0.16041666666666668</v>
      </c>
      <c r="HW278" s="4"/>
      <c r="HX278" s="4">
        <v>2917</v>
      </c>
      <c r="HY278" s="4">
        <v>1689</v>
      </c>
      <c r="HZ278" s="4">
        <v>1842</v>
      </c>
      <c r="IA278" s="4">
        <v>4</v>
      </c>
      <c r="IB278" s="4">
        <v>3</v>
      </c>
      <c r="IC278" s="4">
        <v>5</v>
      </c>
      <c r="ID278" s="8">
        <v>1</v>
      </c>
      <c r="IE278" s="4">
        <f>ROUND(PRODUCT(IA278:ID278),0)</f>
        <v>60</v>
      </c>
      <c r="IF278" s="4">
        <v>500</v>
      </c>
      <c r="IG278" s="4">
        <f t="shared" si="255"/>
        <v>0.27777777777777779</v>
      </c>
      <c r="IH278" s="4"/>
    </row>
    <row r="279" spans="1:302" ht="60">
      <c r="A279">
        <v>265</v>
      </c>
      <c r="B279" t="s">
        <v>468</v>
      </c>
      <c r="C279" s="187" t="s">
        <v>1021</v>
      </c>
      <c r="D279" s="28" t="s">
        <v>732</v>
      </c>
      <c r="E279" s="27" t="s">
        <v>733</v>
      </c>
      <c r="F279" s="5" t="s">
        <v>2182</v>
      </c>
      <c r="G279" s="27" t="s">
        <v>101</v>
      </c>
      <c r="I279" s="27" t="s">
        <v>121</v>
      </c>
      <c r="J279" s="28">
        <v>21480</v>
      </c>
      <c r="K279" s="27" t="s">
        <v>97</v>
      </c>
      <c r="N279" s="28"/>
      <c r="O279" s="28"/>
      <c r="P279" s="28"/>
      <c r="Q279" s="28" t="s">
        <v>1041</v>
      </c>
      <c r="R279" s="28" t="s">
        <v>1034</v>
      </c>
      <c r="S279" s="27"/>
      <c r="T279" s="27"/>
      <c r="U279" s="27"/>
      <c r="W279" s="72" t="s">
        <v>1022</v>
      </c>
      <c r="X279" s="72"/>
      <c r="Y279" s="72"/>
      <c r="Z279" s="72"/>
      <c r="AA279" s="228" t="s">
        <v>2714</v>
      </c>
      <c r="AB279" s="66">
        <v>380</v>
      </c>
      <c r="AC279">
        <v>20</v>
      </c>
      <c r="AD279" s="6" t="s">
        <v>281</v>
      </c>
      <c r="AE279" s="7">
        <f t="shared" si="231"/>
        <v>125.24000000000001</v>
      </c>
      <c r="AF279" s="7"/>
      <c r="AG279" s="7">
        <f>EU279+EX279</f>
        <v>6.4583978328173375</v>
      </c>
      <c r="AH279" s="7">
        <f t="shared" si="233"/>
        <v>18.220000000000002</v>
      </c>
      <c r="AI279" s="7">
        <f t="shared" si="234"/>
        <v>0.54660000000000009</v>
      </c>
      <c r="AJ279" s="7">
        <f t="shared" si="235"/>
        <v>0.10894736842105264</v>
      </c>
      <c r="AK279" s="7">
        <f t="shared" si="236"/>
        <v>1.6335921052631581</v>
      </c>
      <c r="AL279" s="7">
        <f t="shared" si="237"/>
        <v>14.375610526315791</v>
      </c>
      <c r="AM279" s="7">
        <f t="shared" si="238"/>
        <v>0.16041666666666668</v>
      </c>
      <c r="AN279" s="7">
        <f t="shared" si="239"/>
        <v>0.19379844961240311</v>
      </c>
      <c r="AO279" s="6">
        <v>0</v>
      </c>
      <c r="AP279" s="7">
        <f>EZ279</f>
        <v>0.24387111111111112</v>
      </c>
      <c r="AQ279" s="7">
        <f t="shared" si="240"/>
        <v>167.18123406020752</v>
      </c>
      <c r="AR279" s="7"/>
      <c r="AS279" s="7"/>
      <c r="AT279" s="6">
        <v>0</v>
      </c>
      <c r="AU279">
        <f>166.93-167.18</f>
        <v>-0.25</v>
      </c>
      <c r="AV279" s="7">
        <f t="shared" si="241"/>
        <v>166.93123406020752</v>
      </c>
      <c r="AW279">
        <v>0.33</v>
      </c>
      <c r="AX279">
        <v>0.32200000000000001</v>
      </c>
      <c r="AY279" s="8">
        <v>1</v>
      </c>
      <c r="AZ279">
        <f t="shared" si="242"/>
        <v>8.0000000000000071E-3</v>
      </c>
      <c r="BA279" s="4">
        <f t="shared" si="243"/>
        <v>125.24000000000001</v>
      </c>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J279" t="s">
        <v>1023</v>
      </c>
      <c r="CK279">
        <v>6</v>
      </c>
      <c r="CL279">
        <v>1.8</v>
      </c>
      <c r="CM279">
        <f>CK279*CL279</f>
        <v>10.8</v>
      </c>
      <c r="CO279" t="s">
        <v>1024</v>
      </c>
      <c r="CP279">
        <v>2</v>
      </c>
      <c r="CQ279">
        <v>1.91</v>
      </c>
      <c r="CR279">
        <f>CP279*CQ279</f>
        <v>3.82</v>
      </c>
      <c r="CT279" t="s">
        <v>1025</v>
      </c>
      <c r="CU279">
        <v>2</v>
      </c>
      <c r="CV279">
        <v>1.8</v>
      </c>
      <c r="CW279">
        <f>CU279*CV279</f>
        <v>3.6</v>
      </c>
      <c r="DM279">
        <f>CH279+CM279+CR279+DB279+DG279+DL279+CW279</f>
        <v>18.220000000000002</v>
      </c>
      <c r="DN279" s="8">
        <v>0.03</v>
      </c>
      <c r="DO279" s="4">
        <f>DM279*DN279</f>
        <v>0.54660000000000009</v>
      </c>
      <c r="DP279" s="4">
        <f>DM279+DO279</f>
        <v>18.766600000000004</v>
      </c>
      <c r="DQ279" s="4"/>
      <c r="DR279" s="4"/>
      <c r="DS279" s="4"/>
      <c r="DT279" s="4"/>
      <c r="DU279" s="4"/>
      <c r="DV279" s="4"/>
      <c r="DW279" s="4"/>
      <c r="DX279" s="4"/>
      <c r="DY279" s="4"/>
      <c r="DZ279" s="4"/>
      <c r="EA279" s="4"/>
      <c r="EB279" s="4"/>
      <c r="EC279" s="4"/>
      <c r="ED279" s="4"/>
      <c r="EE279" s="4"/>
      <c r="EF279">
        <v>450</v>
      </c>
      <c r="EG279">
        <v>4140</v>
      </c>
      <c r="EH279">
        <v>8</v>
      </c>
      <c r="EI279" s="8">
        <v>0.95</v>
      </c>
      <c r="EJ279">
        <v>2</v>
      </c>
      <c r="EK279">
        <v>72</v>
      </c>
      <c r="EL279" s="10">
        <f t="shared" si="262"/>
        <v>760</v>
      </c>
      <c r="EU279" s="4">
        <f t="shared" si="260"/>
        <v>5.4473684210526319</v>
      </c>
      <c r="EV279" s="4"/>
      <c r="EW279" s="4"/>
      <c r="EX279" s="4">
        <f>68.75/(3600/45*85%)</f>
        <v>1.0110294117647058</v>
      </c>
      <c r="EZ279" s="4">
        <f>43896.8/(600*300)</f>
        <v>0.24387111111111112</v>
      </c>
      <c r="FA279" s="4">
        <f>EX279+EZ279</f>
        <v>1.254900522875817</v>
      </c>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8">
        <v>0.11</v>
      </c>
      <c r="GS279" s="4">
        <f t="shared" si="244"/>
        <v>14.375610526315791</v>
      </c>
      <c r="GT279" s="9">
        <v>1.2500000000000001E-2</v>
      </c>
      <c r="GU279" s="4">
        <f t="shared" si="245"/>
        <v>1.6335921052631581</v>
      </c>
      <c r="GV279" s="8">
        <v>0.02</v>
      </c>
      <c r="GW279" s="4">
        <f t="shared" si="246"/>
        <v>0.10894736842105264</v>
      </c>
      <c r="GX279" s="4">
        <f t="shared" si="247"/>
        <v>16.11815</v>
      </c>
      <c r="GY279" t="s">
        <v>418</v>
      </c>
      <c r="GZ279" t="s">
        <v>87</v>
      </c>
      <c r="HA279">
        <v>650</v>
      </c>
      <c r="HB279">
        <v>450</v>
      </c>
      <c r="HC279">
        <v>480</v>
      </c>
      <c r="HD279">
        <v>30</v>
      </c>
      <c r="HE279">
        <v>400</v>
      </c>
      <c r="HF279" s="4">
        <f t="shared" si="248"/>
        <v>14</v>
      </c>
      <c r="HG279">
        <v>5</v>
      </c>
      <c r="HH279">
        <f t="shared" si="249"/>
        <v>70</v>
      </c>
      <c r="HI279">
        <v>550</v>
      </c>
      <c r="HJ279" s="4">
        <f t="shared" si="250"/>
        <v>38500</v>
      </c>
      <c r="HM279" s="4">
        <v>2</v>
      </c>
      <c r="HN279" s="10">
        <f t="shared" si="251"/>
        <v>240000</v>
      </c>
      <c r="HO279" s="4">
        <f t="shared" si="252"/>
        <v>0.16041666666666668</v>
      </c>
      <c r="HP279" s="4">
        <v>160</v>
      </c>
      <c r="HV279" s="4">
        <f t="shared" si="261"/>
        <v>0.16041666666666668</v>
      </c>
      <c r="HW279" s="4"/>
      <c r="HX279">
        <v>4200</v>
      </c>
      <c r="HY279">
        <v>1900</v>
      </c>
      <c r="HZ279">
        <v>1975</v>
      </c>
      <c r="IA279">
        <v>6</v>
      </c>
      <c r="IB279">
        <v>4</v>
      </c>
      <c r="IC279">
        <v>4</v>
      </c>
      <c r="ID279" s="8">
        <v>0.9</v>
      </c>
      <c r="IE279" s="4">
        <f>ROUND(PRODUCT(IA279:ID279),0)</f>
        <v>86</v>
      </c>
      <c r="IF279" s="4">
        <v>500</v>
      </c>
      <c r="IG279" s="4">
        <f t="shared" si="255"/>
        <v>0.19379844961240311</v>
      </c>
      <c r="IH279" s="4"/>
    </row>
    <row r="280" spans="1:302">
      <c r="A280">
        <v>266</v>
      </c>
      <c r="B280" t="s">
        <v>468</v>
      </c>
      <c r="C280" t="s">
        <v>1026</v>
      </c>
      <c r="D280" s="28" t="s">
        <v>734</v>
      </c>
      <c r="E280" s="27" t="s">
        <v>735</v>
      </c>
      <c r="F280" s="5" t="s">
        <v>2182</v>
      </c>
      <c r="G280" s="27" t="s">
        <v>101</v>
      </c>
      <c r="I280" s="27" t="s">
        <v>121</v>
      </c>
      <c r="J280" s="28">
        <v>21480</v>
      </c>
      <c r="K280" s="27" t="s">
        <v>97</v>
      </c>
      <c r="N280" s="28"/>
      <c r="O280" s="28"/>
      <c r="P280" s="28"/>
      <c r="Q280" s="28" t="s">
        <v>1041</v>
      </c>
      <c r="R280" s="28" t="s">
        <v>1034</v>
      </c>
      <c r="S280" s="27"/>
      <c r="T280" s="27"/>
      <c r="U280" s="27"/>
      <c r="W280" s="72"/>
      <c r="X280" s="72"/>
      <c r="Y280" s="72"/>
      <c r="Z280" s="72"/>
      <c r="AA280" s="51" t="s">
        <v>1027</v>
      </c>
      <c r="AB280" s="66">
        <v>380</v>
      </c>
      <c r="AC280">
        <v>20</v>
      </c>
      <c r="AD280" s="6" t="s">
        <v>281</v>
      </c>
      <c r="AE280" s="7">
        <f t="shared" si="231"/>
        <v>117.64</v>
      </c>
      <c r="AF280" s="7"/>
      <c r="AG280" s="7">
        <f>EU280+EX280</f>
        <v>6.4583978328173375</v>
      </c>
      <c r="AH280" s="7">
        <f t="shared" si="233"/>
        <v>3.6</v>
      </c>
      <c r="AI280" s="7">
        <f t="shared" si="234"/>
        <v>0.108</v>
      </c>
      <c r="AJ280" s="7">
        <f t="shared" si="235"/>
        <v>0.10894736842105264</v>
      </c>
      <c r="AK280" s="7">
        <f t="shared" si="236"/>
        <v>1.5385921052631579</v>
      </c>
      <c r="AL280" s="7">
        <f t="shared" si="237"/>
        <v>13.539610526315789</v>
      </c>
      <c r="AM280" s="7">
        <f t="shared" si="238"/>
        <v>0.16041666666666668</v>
      </c>
      <c r="AN280" s="7">
        <f t="shared" si="239"/>
        <v>0.19379844961240311</v>
      </c>
      <c r="AO280" s="6">
        <v>0</v>
      </c>
      <c r="AP280" s="7">
        <f>EZ280</f>
        <v>0.24387111111111112</v>
      </c>
      <c r="AQ280" s="7">
        <f t="shared" si="240"/>
        <v>143.59163406020753</v>
      </c>
      <c r="AR280" s="7"/>
      <c r="AS280" s="7"/>
      <c r="AV280" s="7">
        <f t="shared" si="241"/>
        <v>143.59163406020753</v>
      </c>
      <c r="AW280">
        <v>0.31</v>
      </c>
      <c r="AX280">
        <v>0.30199999999999999</v>
      </c>
      <c r="AY280" s="8">
        <v>1</v>
      </c>
      <c r="AZ280">
        <f t="shared" si="242"/>
        <v>8.0000000000000071E-3</v>
      </c>
      <c r="BA280" s="4">
        <f t="shared" si="243"/>
        <v>117.64</v>
      </c>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F280">
        <v>2</v>
      </c>
      <c r="CG280">
        <v>1.8</v>
      </c>
      <c r="CH280">
        <f>CF280*CG280</f>
        <v>3.6</v>
      </c>
      <c r="DM280">
        <f>CH280+CM280+CR280+DB280+DG280+DL280+CW280</f>
        <v>3.6</v>
      </c>
      <c r="DN280" s="8">
        <v>0.03</v>
      </c>
      <c r="DO280" s="4">
        <f>DN280*DM280</f>
        <v>0.108</v>
      </c>
      <c r="DP280" s="4">
        <f>DM280+DO280</f>
        <v>3.7080000000000002</v>
      </c>
      <c r="DQ280" s="4"/>
      <c r="DR280" s="4"/>
      <c r="DS280" s="4"/>
      <c r="DT280" s="4"/>
      <c r="DU280" s="4"/>
      <c r="DV280" s="4"/>
      <c r="DW280" s="4"/>
      <c r="DX280" s="4"/>
      <c r="DY280" s="4"/>
      <c r="DZ280" s="4"/>
      <c r="EA280" s="4"/>
      <c r="EB280" s="4"/>
      <c r="EC280" s="4"/>
      <c r="ED280" s="4"/>
      <c r="EE280" s="4"/>
      <c r="EF280">
        <v>450</v>
      </c>
      <c r="EG280">
        <v>4140</v>
      </c>
      <c r="EH280">
        <v>8</v>
      </c>
      <c r="EI280" s="8">
        <v>0.95</v>
      </c>
      <c r="EJ280">
        <v>2</v>
      </c>
      <c r="EK280">
        <v>72</v>
      </c>
      <c r="EL280" s="10">
        <f t="shared" si="262"/>
        <v>760</v>
      </c>
      <c r="EU280" s="4">
        <f t="shared" si="260"/>
        <v>5.4473684210526319</v>
      </c>
      <c r="EV280" s="4"/>
      <c r="EW280" s="4"/>
      <c r="EX280" s="4">
        <f>68.75/(3600/45*85%)</f>
        <v>1.0110294117647058</v>
      </c>
      <c r="EZ280" s="4">
        <f>43896.8/(600*300)</f>
        <v>0.24387111111111112</v>
      </c>
      <c r="FA280" s="4">
        <f>EX280+EZ280</f>
        <v>1.254900522875817</v>
      </c>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8">
        <v>0.11</v>
      </c>
      <c r="GS280" s="4">
        <f t="shared" si="244"/>
        <v>13.539610526315789</v>
      </c>
      <c r="GT280" s="9">
        <v>1.2500000000000001E-2</v>
      </c>
      <c r="GU280" s="4">
        <f t="shared" si="245"/>
        <v>1.5385921052631579</v>
      </c>
      <c r="GV280" s="8">
        <v>0.02</v>
      </c>
      <c r="GW280" s="4">
        <f t="shared" si="246"/>
        <v>0.10894736842105264</v>
      </c>
      <c r="GX280" s="4">
        <f t="shared" si="247"/>
        <v>15.187149999999999</v>
      </c>
      <c r="GY280" t="s">
        <v>418</v>
      </c>
      <c r="GZ280" t="s">
        <v>87</v>
      </c>
      <c r="HA280">
        <v>650</v>
      </c>
      <c r="HB280">
        <v>450</v>
      </c>
      <c r="HC280">
        <v>480</v>
      </c>
      <c r="HD280">
        <v>30</v>
      </c>
      <c r="HE280">
        <v>400</v>
      </c>
      <c r="HF280" s="4">
        <f t="shared" si="248"/>
        <v>14</v>
      </c>
      <c r="HG280">
        <v>5</v>
      </c>
      <c r="HH280">
        <f t="shared" si="249"/>
        <v>70</v>
      </c>
      <c r="HI280">
        <v>550</v>
      </c>
      <c r="HJ280" s="4">
        <f t="shared" si="250"/>
        <v>38500</v>
      </c>
      <c r="HM280" s="4">
        <v>2</v>
      </c>
      <c r="HN280" s="10">
        <f t="shared" si="251"/>
        <v>240000</v>
      </c>
      <c r="HO280" s="4">
        <f t="shared" si="252"/>
        <v>0.16041666666666668</v>
      </c>
      <c r="HP280" s="4">
        <v>160</v>
      </c>
      <c r="HV280" s="4">
        <f t="shared" si="261"/>
        <v>0.16041666666666668</v>
      </c>
      <c r="HW280" s="4"/>
      <c r="HX280">
        <v>4200</v>
      </c>
      <c r="HY280">
        <v>1900</v>
      </c>
      <c r="HZ280">
        <v>1975</v>
      </c>
      <c r="IA280">
        <v>6</v>
      </c>
      <c r="IB280">
        <v>4</v>
      </c>
      <c r="IC280">
        <v>4</v>
      </c>
      <c r="ID280" s="8">
        <v>0.9</v>
      </c>
      <c r="IE280" s="4">
        <f>ROUND(PRODUCT(IA280:ID280),0)</f>
        <v>86</v>
      </c>
      <c r="IF280" s="4">
        <v>500</v>
      </c>
      <c r="IG280" s="4">
        <f t="shared" si="255"/>
        <v>0.19379844961240311</v>
      </c>
      <c r="IH280" s="4"/>
    </row>
    <row r="281" spans="1:302">
      <c r="A281">
        <v>267</v>
      </c>
      <c r="B281" t="s">
        <v>468</v>
      </c>
      <c r="C281" t="s">
        <v>1028</v>
      </c>
      <c r="D281" s="28" t="s">
        <v>736</v>
      </c>
      <c r="E281" s="27" t="s">
        <v>737</v>
      </c>
      <c r="F281" s="5" t="s">
        <v>2182</v>
      </c>
      <c r="G281" s="27" t="s">
        <v>101</v>
      </c>
      <c r="I281" s="27" t="s">
        <v>94</v>
      </c>
      <c r="J281" s="28">
        <v>21591</v>
      </c>
      <c r="K281" s="27" t="s">
        <v>97</v>
      </c>
      <c r="N281" s="28"/>
      <c r="O281" s="28"/>
      <c r="P281" s="28"/>
      <c r="Q281" s="28" t="s">
        <v>1036</v>
      </c>
      <c r="R281" s="28" t="s">
        <v>1038</v>
      </c>
      <c r="S281" s="27"/>
      <c r="T281" s="27"/>
      <c r="U281" s="27"/>
      <c r="W281"/>
      <c r="X281"/>
      <c r="Y281"/>
      <c r="Z281"/>
      <c r="AA281" s="51" t="s">
        <v>440</v>
      </c>
      <c r="AB281" s="66">
        <v>117.66</v>
      </c>
      <c r="AC281" s="11">
        <f t="shared" ref="AC281:AC294" si="263">AB281-5</f>
        <v>112.66</v>
      </c>
      <c r="AD281" s="6" t="s">
        <v>24</v>
      </c>
      <c r="AE281" s="7">
        <f t="shared" si="231"/>
        <v>29.228477999999999</v>
      </c>
      <c r="AF281" s="7"/>
      <c r="AG281" s="7">
        <f>EU281</f>
        <v>8.7426900584795337</v>
      </c>
      <c r="AH281" s="7">
        <f t="shared" si="233"/>
        <v>0</v>
      </c>
      <c r="AI281" s="7">
        <f t="shared" si="234"/>
        <v>0</v>
      </c>
      <c r="AJ281" s="7">
        <f t="shared" si="235"/>
        <v>0.17485380116959068</v>
      </c>
      <c r="AK281" s="7">
        <f t="shared" si="236"/>
        <v>0.4746396007309942</v>
      </c>
      <c r="AL281" s="7">
        <f t="shared" si="237"/>
        <v>4.18</v>
      </c>
      <c r="AM281" s="7">
        <f t="shared" si="238"/>
        <v>0.17499999999999999</v>
      </c>
      <c r="AN281" s="7">
        <f t="shared" si="239"/>
        <v>1.0850694444444444</v>
      </c>
      <c r="AO281" s="6">
        <v>0</v>
      </c>
      <c r="AP281" s="6"/>
      <c r="AQ281" s="7">
        <f t="shared" si="240"/>
        <v>44.06073090482456</v>
      </c>
      <c r="AR281" s="7"/>
      <c r="AS281" s="7"/>
      <c r="AT281" s="6">
        <v>0</v>
      </c>
      <c r="AV281" s="7">
        <f t="shared" si="241"/>
        <v>44.06073090482456</v>
      </c>
      <c r="AW281">
        <v>0.251</v>
      </c>
      <c r="AX281">
        <v>0.248</v>
      </c>
      <c r="AY281" s="8">
        <v>0.9</v>
      </c>
      <c r="AZ281">
        <f t="shared" si="242"/>
        <v>2.7000000000000023E-3</v>
      </c>
      <c r="BA281" s="4">
        <f t="shared" si="243"/>
        <v>29.228477999999999</v>
      </c>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EF281">
        <v>500</v>
      </c>
      <c r="EG281">
        <v>4600</v>
      </c>
      <c r="EH281">
        <v>8</v>
      </c>
      <c r="EI281" s="8">
        <v>0.95</v>
      </c>
      <c r="EJ281">
        <v>1</v>
      </c>
      <c r="EK281">
        <v>52</v>
      </c>
      <c r="EL281" s="10">
        <f t="shared" si="262"/>
        <v>526.15384615384608</v>
      </c>
      <c r="EU281" s="4">
        <f t="shared" si="260"/>
        <v>8.7426900584795337</v>
      </c>
      <c r="EV281" s="4"/>
      <c r="EW281" s="4"/>
      <c r="GR281" s="8">
        <v>0.11</v>
      </c>
      <c r="GS281" s="4">
        <f>ROUNDUP(GR281*(BA281+EU281),2)</f>
        <v>4.18</v>
      </c>
      <c r="GT281" s="9">
        <v>1.2500000000000001E-2</v>
      </c>
      <c r="GU281" s="4">
        <f t="shared" si="245"/>
        <v>0.4746396007309942</v>
      </c>
      <c r="GV281" s="8">
        <v>0.02</v>
      </c>
      <c r="GW281" s="4">
        <f t="shared" si="246"/>
        <v>0.17485380116959068</v>
      </c>
      <c r="GX281" s="4">
        <f t="shared" si="247"/>
        <v>4.8294934019005851</v>
      </c>
      <c r="GY281" t="s">
        <v>418</v>
      </c>
      <c r="GZ281" t="s">
        <v>87</v>
      </c>
      <c r="HA281">
        <v>980</v>
      </c>
      <c r="HB281">
        <v>700</v>
      </c>
      <c r="HC281">
        <v>450</v>
      </c>
      <c r="HD281">
        <v>32</v>
      </c>
      <c r="HE281">
        <v>650</v>
      </c>
      <c r="HF281" s="4">
        <f t="shared" si="248"/>
        <v>21</v>
      </c>
      <c r="HG281">
        <v>5</v>
      </c>
      <c r="HH281" s="4">
        <f t="shared" si="249"/>
        <v>105</v>
      </c>
      <c r="HI281">
        <v>650</v>
      </c>
      <c r="HJ281" s="4">
        <f t="shared" si="250"/>
        <v>68250</v>
      </c>
      <c r="HM281" s="4">
        <v>2</v>
      </c>
      <c r="HN281" s="10">
        <f t="shared" si="251"/>
        <v>390000</v>
      </c>
      <c r="HO281" s="4">
        <f t="shared" si="252"/>
        <v>0.17499999999999999</v>
      </c>
      <c r="HP281" s="4">
        <v>160</v>
      </c>
      <c r="HV281" s="4">
        <f t="shared" si="261"/>
        <v>0.17499999999999999</v>
      </c>
      <c r="HW281" s="4"/>
      <c r="HX281" s="4">
        <v>2917</v>
      </c>
      <c r="HY281" s="4">
        <v>1689</v>
      </c>
      <c r="HZ281" s="4">
        <v>1842</v>
      </c>
      <c r="IA281" s="4">
        <v>2</v>
      </c>
      <c r="IB281" s="4">
        <v>2</v>
      </c>
      <c r="IC281" s="4">
        <v>4</v>
      </c>
      <c r="ID281" s="8">
        <v>0.9</v>
      </c>
      <c r="IE281" s="4">
        <f>ROUND(PRODUCT(IA281:ID281),0)+0.4</f>
        <v>14.4</v>
      </c>
      <c r="IF281" s="4">
        <v>500</v>
      </c>
      <c r="IG281" s="4">
        <f t="shared" si="255"/>
        <v>1.0850694444444444</v>
      </c>
      <c r="IH281" s="4"/>
    </row>
    <row r="282" spans="1:302">
      <c r="A282">
        <v>268</v>
      </c>
      <c r="B282" t="s">
        <v>468</v>
      </c>
      <c r="C282" t="s">
        <v>1029</v>
      </c>
      <c r="D282" s="28" t="s">
        <v>738</v>
      </c>
      <c r="E282" s="27" t="s">
        <v>739</v>
      </c>
      <c r="F282" s="5" t="s">
        <v>2182</v>
      </c>
      <c r="G282" s="27" t="s">
        <v>101</v>
      </c>
      <c r="I282" s="27" t="s">
        <v>94</v>
      </c>
      <c r="J282" s="28">
        <v>21591</v>
      </c>
      <c r="K282" s="27" t="s">
        <v>97</v>
      </c>
      <c r="N282" s="28"/>
      <c r="O282" s="28"/>
      <c r="P282" s="28"/>
      <c r="Q282" s="28" t="s">
        <v>1036</v>
      </c>
      <c r="R282" s="28" t="s">
        <v>1038</v>
      </c>
      <c r="S282" s="27"/>
      <c r="T282" s="27"/>
      <c r="U282" s="27"/>
      <c r="AA282" s="51" t="s">
        <v>560</v>
      </c>
      <c r="AB282" s="66">
        <v>158.96</v>
      </c>
      <c r="AC282" s="11">
        <f t="shared" si="263"/>
        <v>153.96</v>
      </c>
      <c r="AD282" s="6" t="s">
        <v>24</v>
      </c>
      <c r="AE282" s="7">
        <f t="shared" si="231"/>
        <v>28.653592</v>
      </c>
      <c r="AF282" s="7"/>
      <c r="AG282" s="7">
        <f>EU282</f>
        <v>10.592105263157896</v>
      </c>
      <c r="AH282" s="7">
        <f t="shared" si="233"/>
        <v>3.6</v>
      </c>
      <c r="AI282" s="7">
        <f t="shared" si="234"/>
        <v>4.5000000000000005E-2</v>
      </c>
      <c r="AJ282" s="7">
        <f t="shared" si="235"/>
        <v>0.21184210526315791</v>
      </c>
      <c r="AK282" s="7">
        <f t="shared" si="236"/>
        <v>0.49057121578947371</v>
      </c>
      <c r="AL282" s="7">
        <f t="shared" si="237"/>
        <v>4.3199999999999994</v>
      </c>
      <c r="AM282" s="7">
        <f t="shared" si="238"/>
        <v>1.6198717948717949</v>
      </c>
      <c r="AN282" s="7">
        <f t="shared" si="239"/>
        <v>0.86805555555555558</v>
      </c>
      <c r="AO282" s="6">
        <v>0</v>
      </c>
      <c r="AP282" s="6"/>
      <c r="AQ282" s="7">
        <f t="shared" si="240"/>
        <v>50.401037934637884</v>
      </c>
      <c r="AR282" s="7"/>
      <c r="AS282" s="7"/>
      <c r="AT282" s="6">
        <v>0</v>
      </c>
      <c r="AV282" s="7">
        <f t="shared" si="241"/>
        <v>50.401037934637884</v>
      </c>
      <c r="AW282">
        <v>0.182</v>
      </c>
      <c r="AX282">
        <v>0.18</v>
      </c>
      <c r="AY282" s="8">
        <v>0.9</v>
      </c>
      <c r="AZ282">
        <f t="shared" si="242"/>
        <v>1.8000000000000017E-3</v>
      </c>
      <c r="BA282" s="4">
        <f t="shared" si="243"/>
        <v>28.653592</v>
      </c>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F282">
        <v>2</v>
      </c>
      <c r="CG282">
        <v>1.8</v>
      </c>
      <c r="CH282">
        <f>CF282*CG282</f>
        <v>3.6</v>
      </c>
      <c r="DM282">
        <f>CH282+CM282+CR282+DB282+DG282+DL282</f>
        <v>3.6</v>
      </c>
      <c r="DN282" s="9">
        <v>1.2500000000000001E-2</v>
      </c>
      <c r="DO282" s="4">
        <f>DM282*DN282</f>
        <v>4.5000000000000005E-2</v>
      </c>
      <c r="DP282" s="4">
        <f>DM282+DO282</f>
        <v>3.645</v>
      </c>
      <c r="DQ282" s="4"/>
      <c r="DR282" s="4"/>
      <c r="DS282" s="4"/>
      <c r="DT282" s="4"/>
      <c r="DU282" s="4"/>
      <c r="DV282" s="4"/>
      <c r="DW282" s="4"/>
      <c r="DX282" s="4"/>
      <c r="DY282" s="4"/>
      <c r="DZ282" s="4"/>
      <c r="EA282" s="4"/>
      <c r="EB282" s="4"/>
      <c r="EC282" s="4"/>
      <c r="ED282" s="4"/>
      <c r="EE282" s="4"/>
      <c r="EF282">
        <v>450</v>
      </c>
      <c r="EG282">
        <v>4140</v>
      </c>
      <c r="EH282">
        <v>8</v>
      </c>
      <c r="EI282" s="8">
        <v>0.95</v>
      </c>
      <c r="EJ282">
        <v>1</v>
      </c>
      <c r="EK282">
        <v>70</v>
      </c>
      <c r="EL282" s="10">
        <f t="shared" si="262"/>
        <v>390.85714285714283</v>
      </c>
      <c r="EU282" s="4">
        <f t="shared" si="260"/>
        <v>10.592105263157896</v>
      </c>
      <c r="EV282" s="4"/>
      <c r="EW282" s="4"/>
      <c r="GR282" s="8">
        <v>0.11</v>
      </c>
      <c r="GS282" s="4">
        <f>ROUNDUP(GR282*(BA282+EU282),2)</f>
        <v>4.3199999999999994</v>
      </c>
      <c r="GT282" s="9">
        <v>1.2500000000000001E-2</v>
      </c>
      <c r="GU282" s="4">
        <f t="shared" si="245"/>
        <v>0.49057121578947371</v>
      </c>
      <c r="GV282" s="8">
        <v>0.02</v>
      </c>
      <c r="GW282" s="4">
        <f t="shared" si="246"/>
        <v>0.21184210526315791</v>
      </c>
      <c r="GX282" s="4">
        <f t="shared" si="247"/>
        <v>5.0224133210526309</v>
      </c>
      <c r="GY282" t="s">
        <v>418</v>
      </c>
      <c r="GZ282" t="s">
        <v>87</v>
      </c>
      <c r="HA282">
        <v>980</v>
      </c>
      <c r="HB282">
        <v>700</v>
      </c>
      <c r="HC282">
        <v>450</v>
      </c>
      <c r="HD282">
        <v>40</v>
      </c>
      <c r="HE282">
        <v>650</v>
      </c>
      <c r="HF282" s="4">
        <f t="shared" si="248"/>
        <v>17</v>
      </c>
      <c r="HG282">
        <v>5</v>
      </c>
      <c r="HH282" s="4">
        <f t="shared" si="249"/>
        <v>85</v>
      </c>
      <c r="HI282">
        <v>550</v>
      </c>
      <c r="HJ282" s="4">
        <f t="shared" si="250"/>
        <v>46750</v>
      </c>
      <c r="HM282" s="4">
        <v>2</v>
      </c>
      <c r="HN282" s="10">
        <f t="shared" si="251"/>
        <v>390000</v>
      </c>
      <c r="HO282" s="4">
        <f t="shared" si="252"/>
        <v>0.11987179487179488</v>
      </c>
      <c r="HP282" s="4">
        <v>160</v>
      </c>
      <c r="HR282">
        <v>1.5</v>
      </c>
      <c r="HS282">
        <v>1</v>
      </c>
      <c r="HT282" s="4">
        <f>HR282/HS282</f>
        <v>1.5</v>
      </c>
      <c r="HU282" s="4"/>
      <c r="HV282" s="4">
        <f>(HO282+HT282)</f>
        <v>1.6198717948717949</v>
      </c>
      <c r="HW282" s="4"/>
      <c r="HX282" s="4">
        <v>2917</v>
      </c>
      <c r="HY282" s="4">
        <v>1689</v>
      </c>
      <c r="HZ282" s="4">
        <v>1842</v>
      </c>
      <c r="IA282" s="4">
        <v>2</v>
      </c>
      <c r="IB282" s="4">
        <v>2</v>
      </c>
      <c r="IC282" s="4">
        <v>4</v>
      </c>
      <c r="ID282" s="8">
        <v>0.9</v>
      </c>
      <c r="IE282" s="4">
        <f>ROUND(PRODUCT(IA282:ID282),0)+0.4</f>
        <v>14.4</v>
      </c>
      <c r="IF282" s="4">
        <v>500</v>
      </c>
      <c r="IG282" s="4">
        <f t="shared" si="255"/>
        <v>0.86805555555555558</v>
      </c>
      <c r="IH282" s="4"/>
    </row>
    <row r="283" spans="1:302">
      <c r="A283">
        <v>269</v>
      </c>
      <c r="B283" t="s">
        <v>468</v>
      </c>
      <c r="C283" t="s">
        <v>1030</v>
      </c>
      <c r="D283" s="28" t="s">
        <v>740</v>
      </c>
      <c r="E283" s="27" t="s">
        <v>174</v>
      </c>
      <c r="F283" s="5" t="s">
        <v>2182</v>
      </c>
      <c r="G283" s="27" t="s">
        <v>101</v>
      </c>
      <c r="I283" s="27" t="s">
        <v>94</v>
      </c>
      <c r="J283" s="28">
        <v>21591</v>
      </c>
      <c r="K283" s="27" t="s">
        <v>97</v>
      </c>
      <c r="N283" s="28"/>
      <c r="O283" s="28"/>
      <c r="P283" s="28"/>
      <c r="Q283" s="28" t="s">
        <v>1036</v>
      </c>
      <c r="R283" s="28" t="s">
        <v>1038</v>
      </c>
      <c r="S283" s="27"/>
      <c r="T283" s="27"/>
      <c r="U283" s="27"/>
      <c r="AA283" s="51" t="s">
        <v>562</v>
      </c>
      <c r="AB283" s="66">
        <v>370</v>
      </c>
      <c r="AC283" s="11">
        <f t="shared" si="263"/>
        <v>365</v>
      </c>
      <c r="AD283" s="6" t="s">
        <v>24</v>
      </c>
      <c r="AE283" s="7">
        <f t="shared" si="231"/>
        <v>41.771999999999998</v>
      </c>
      <c r="AF283" s="7"/>
      <c r="AG283" s="7">
        <f>EU283</f>
        <v>3.7828947368421058</v>
      </c>
      <c r="AH283" s="7">
        <f t="shared" si="233"/>
        <v>0</v>
      </c>
      <c r="AI283" s="7">
        <f t="shared" si="234"/>
        <v>0</v>
      </c>
      <c r="AJ283" s="7">
        <f t="shared" si="235"/>
        <v>7.5657894736842118E-2</v>
      </c>
      <c r="AK283" s="7">
        <f t="shared" si="236"/>
        <v>0.56943618421052633</v>
      </c>
      <c r="AL283" s="7">
        <f t="shared" si="237"/>
        <v>5.0110384210526311</v>
      </c>
      <c r="AM283" s="7">
        <f t="shared" si="238"/>
        <v>1.5916666666666666</v>
      </c>
      <c r="AN283" s="7">
        <f t="shared" si="239"/>
        <v>0.18518518518518517</v>
      </c>
      <c r="AO283" s="6">
        <v>0</v>
      </c>
      <c r="AP283" s="6"/>
      <c r="AQ283" s="7">
        <f t="shared" si="240"/>
        <v>52.987879088693951</v>
      </c>
      <c r="AR283" s="7"/>
      <c r="AS283" s="7"/>
      <c r="AT283" s="6">
        <v>0</v>
      </c>
      <c r="AV283" s="7">
        <f t="shared" si="241"/>
        <v>52.987879088693951</v>
      </c>
      <c r="AW283">
        <v>0.12</v>
      </c>
      <c r="AX283">
        <v>0.112</v>
      </c>
      <c r="AY283" s="8">
        <v>0.9</v>
      </c>
      <c r="AZ283">
        <f t="shared" si="242"/>
        <v>7.1999999999999937E-3</v>
      </c>
      <c r="BA283" s="4">
        <f t="shared" si="243"/>
        <v>41.771999999999998</v>
      </c>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EF283">
        <v>450</v>
      </c>
      <c r="EG283">
        <v>4140</v>
      </c>
      <c r="EH283">
        <v>8</v>
      </c>
      <c r="EI283" s="8">
        <v>0.95</v>
      </c>
      <c r="EJ283">
        <v>2</v>
      </c>
      <c r="EK283">
        <v>50</v>
      </c>
      <c r="EL283" s="10">
        <f t="shared" si="262"/>
        <v>1094.3999999999999</v>
      </c>
      <c r="EU283" s="4">
        <f t="shared" si="260"/>
        <v>3.7828947368421058</v>
      </c>
      <c r="EV283" s="4"/>
      <c r="EW283" s="4"/>
      <c r="GR283" s="8">
        <v>0.11</v>
      </c>
      <c r="GS283" s="4">
        <f t="shared" ref="GS283:GS291" si="264">GR283*(BA283+EU283)</f>
        <v>5.0110384210526311</v>
      </c>
      <c r="GT283" s="9">
        <v>1.2500000000000001E-2</v>
      </c>
      <c r="GU283" s="4">
        <f t="shared" si="245"/>
        <v>0.56943618421052633</v>
      </c>
      <c r="GV283" s="8">
        <v>0.02</v>
      </c>
      <c r="GW283" s="4">
        <f t="shared" si="246"/>
        <v>7.5657894736842118E-2</v>
      </c>
      <c r="GX283" s="4">
        <f t="shared" si="247"/>
        <v>5.6561325</v>
      </c>
      <c r="GY283" t="s">
        <v>418</v>
      </c>
      <c r="GZ283" t="s">
        <v>87</v>
      </c>
      <c r="HA283">
        <v>650</v>
      </c>
      <c r="HB283">
        <v>450</v>
      </c>
      <c r="HC283">
        <v>320</v>
      </c>
      <c r="HD283">
        <v>50</v>
      </c>
      <c r="HE283">
        <v>650</v>
      </c>
      <c r="HF283" s="4">
        <f t="shared" si="248"/>
        <v>13</v>
      </c>
      <c r="HG283">
        <v>5</v>
      </c>
      <c r="HH283" s="4">
        <f t="shared" si="249"/>
        <v>65</v>
      </c>
      <c r="HI283">
        <v>550</v>
      </c>
      <c r="HJ283" s="4">
        <f t="shared" si="250"/>
        <v>35750</v>
      </c>
      <c r="HM283" s="4">
        <v>2</v>
      </c>
      <c r="HN283" s="10">
        <f t="shared" si="251"/>
        <v>390000</v>
      </c>
      <c r="HO283" s="4">
        <f t="shared" si="252"/>
        <v>9.166666666666666E-2</v>
      </c>
      <c r="HP283" s="4">
        <v>160</v>
      </c>
      <c r="HR283">
        <v>1.5</v>
      </c>
      <c r="HS283">
        <v>1</v>
      </c>
      <c r="HT283" s="4">
        <f>HR283/HS283</f>
        <v>1.5</v>
      </c>
      <c r="HU283" s="4"/>
      <c r="HV283" s="4">
        <f>(HO283+HT283)</f>
        <v>1.5916666666666666</v>
      </c>
      <c r="HW283" s="4"/>
      <c r="HX283">
        <v>2917</v>
      </c>
      <c r="HY283" s="4">
        <v>1689</v>
      </c>
      <c r="HZ283" s="4">
        <v>1842</v>
      </c>
      <c r="IA283" s="4">
        <v>4</v>
      </c>
      <c r="IB283" s="4">
        <v>3</v>
      </c>
      <c r="IC283" s="4">
        <v>5</v>
      </c>
      <c r="ID283" s="8">
        <v>0.9</v>
      </c>
      <c r="IE283" s="4">
        <f>ROUND(PRODUCT(IA283:ID283),0)</f>
        <v>54</v>
      </c>
      <c r="IF283" s="4">
        <v>500</v>
      </c>
      <c r="IG283" s="4">
        <f t="shared" si="255"/>
        <v>0.18518518518518517</v>
      </c>
      <c r="IH283" s="4"/>
    </row>
    <row r="284" spans="1:302">
      <c r="A284">
        <v>270</v>
      </c>
      <c r="B284" t="s">
        <v>468</v>
      </c>
      <c r="C284" s="202" t="s">
        <v>1173</v>
      </c>
      <c r="D284" s="28" t="s">
        <v>741</v>
      </c>
      <c r="E284" s="27" t="s">
        <v>742</v>
      </c>
      <c r="F284" s="5" t="s">
        <v>2182</v>
      </c>
      <c r="G284" s="27" t="s">
        <v>102</v>
      </c>
      <c r="I284" s="27" t="s">
        <v>94</v>
      </c>
      <c r="J284" s="28">
        <v>21591</v>
      </c>
      <c r="K284" s="27" t="s">
        <v>97</v>
      </c>
      <c r="N284" s="28"/>
      <c r="O284" s="28"/>
      <c r="P284" s="28"/>
      <c r="Q284" s="28" t="s">
        <v>1036</v>
      </c>
      <c r="R284" s="28" t="s">
        <v>1038</v>
      </c>
      <c r="S284" s="27"/>
      <c r="T284" s="27"/>
      <c r="U284" s="27"/>
      <c r="W284" s="201"/>
      <c r="X284" s="201"/>
      <c r="Y284" s="201"/>
      <c r="Z284" s="201"/>
      <c r="AA284" s="202" t="s">
        <v>1172</v>
      </c>
      <c r="AB284" s="201">
        <v>104.59</v>
      </c>
      <c r="AC284" s="203">
        <f t="shared" si="263"/>
        <v>99.59</v>
      </c>
      <c r="AD284" s="122" t="s">
        <v>24</v>
      </c>
      <c r="AE284" s="204">
        <f t="shared" si="231"/>
        <v>47.603409000000006</v>
      </c>
      <c r="AF284" s="204"/>
      <c r="AG284" s="204">
        <f t="shared" ref="AG284:AG293" si="265">EU284+EM284+EV284+EX284</f>
        <v>14.629156010230179</v>
      </c>
      <c r="AH284" s="204">
        <f t="shared" si="233"/>
        <v>0</v>
      </c>
      <c r="AI284" s="204">
        <f t="shared" si="234"/>
        <v>0</v>
      </c>
      <c r="AJ284" s="204">
        <f t="shared" si="235"/>
        <v>0.29258312020460359</v>
      </c>
      <c r="AK284" s="204">
        <f t="shared" si="236"/>
        <v>0.77790706262787745</v>
      </c>
      <c r="AL284" s="204">
        <f t="shared" si="237"/>
        <v>6.8455821511253205</v>
      </c>
      <c r="AM284" s="204">
        <f t="shared" si="238"/>
        <v>1.8416666666666668</v>
      </c>
      <c r="AN284" s="204">
        <f t="shared" si="239"/>
        <v>2.1701388888888888</v>
      </c>
      <c r="AO284" s="205">
        <v>0</v>
      </c>
      <c r="AP284" s="205"/>
      <c r="AQ284" s="204">
        <f t="shared" ref="AQ284:AQ293" si="266">SUM(AE284:AO284)</f>
        <v>74.160442899743543</v>
      </c>
      <c r="AR284" s="204"/>
      <c r="AS284" s="204"/>
      <c r="AT284" s="205">
        <v>0</v>
      </c>
      <c r="AU284" s="103"/>
      <c r="AV284" s="206">
        <f t="shared" ref="AV284:AV293" si="267">AQ284+AT284</f>
        <v>74.160442899743543</v>
      </c>
      <c r="AW284" s="122">
        <v>0.45600000000000002</v>
      </c>
      <c r="AX284" s="122">
        <v>0.45500000000000002</v>
      </c>
      <c r="AY284" s="207">
        <v>0.9</v>
      </c>
      <c r="AZ284" s="103">
        <f t="shared" ref="AZ284:AZ294" si="268">AW284-AX284</f>
        <v>1.0000000000000009E-3</v>
      </c>
      <c r="BA284" s="203">
        <f t="shared" ref="BA284:BA290" si="269">AW284*AB284-(AZ284*AC284)*AY284</f>
        <v>47.603409000000006</v>
      </c>
      <c r="BB284" s="203"/>
      <c r="BC284" s="203"/>
      <c r="BD284" s="203"/>
      <c r="BE284" s="203"/>
      <c r="BF284" s="203"/>
      <c r="BG284" s="203"/>
      <c r="BH284" s="203"/>
      <c r="BI284" s="203"/>
      <c r="BJ284" s="203"/>
      <c r="BK284" s="203"/>
      <c r="BL284" s="203"/>
      <c r="BM284" s="203"/>
      <c r="BN284" s="203"/>
      <c r="BO284" s="203"/>
      <c r="BP284" s="203"/>
      <c r="BQ284" s="203"/>
      <c r="BR284" s="203"/>
      <c r="BS284" s="203"/>
      <c r="BT284" s="203"/>
      <c r="BU284" s="203"/>
      <c r="BV284" s="203"/>
      <c r="BW284" s="203"/>
      <c r="BX284" s="203"/>
      <c r="BY284" s="203"/>
      <c r="BZ284" s="203"/>
      <c r="CA284" s="203"/>
      <c r="CB284" s="203"/>
      <c r="CC284" s="203"/>
      <c r="CD284" s="122"/>
      <c r="CE284" s="103">
        <v>0</v>
      </c>
      <c r="CF284" s="103">
        <v>0</v>
      </c>
      <c r="CG284" s="103">
        <v>0</v>
      </c>
      <c r="CH284" s="103">
        <v>0</v>
      </c>
      <c r="CI284" s="122"/>
      <c r="CJ284" s="122"/>
      <c r="CK284" s="122"/>
      <c r="CL284" s="122"/>
      <c r="CM284" s="122"/>
      <c r="CN284" s="122"/>
      <c r="CO284" s="122"/>
      <c r="CP284" s="122"/>
      <c r="CQ284" s="122"/>
      <c r="CR284" s="122"/>
      <c r="CS284" s="122"/>
      <c r="CT284" s="122"/>
      <c r="CU284" s="122"/>
      <c r="CV284" s="122"/>
      <c r="CW284" s="122"/>
      <c r="CX284" s="122"/>
      <c r="CY284" s="122"/>
      <c r="CZ284" s="122"/>
      <c r="DA284" s="122"/>
      <c r="DB284" s="122"/>
      <c r="DC284" s="122"/>
      <c r="DD284" s="122"/>
      <c r="DE284" s="122"/>
      <c r="DF284" s="122"/>
      <c r="DG284" s="122"/>
      <c r="DH284" s="122"/>
      <c r="DI284" s="122"/>
      <c r="DJ284" s="122"/>
      <c r="DK284" s="122"/>
      <c r="DL284" s="122"/>
      <c r="DM284" s="103">
        <f>CM284+CR284+CW284+DB284+DG284+DL284+CH284</f>
        <v>0</v>
      </c>
      <c r="DN284" s="208">
        <v>1.2500000000000001E-2</v>
      </c>
      <c r="DO284" s="203">
        <f t="shared" ref="DO284:DO290" si="270">DN284*CG284*CF284</f>
        <v>0</v>
      </c>
      <c r="DP284" s="203">
        <f t="shared" ref="DP284:DP293" si="271">CG284*CF284</f>
        <v>0</v>
      </c>
      <c r="DQ284" s="203"/>
      <c r="DR284" s="203"/>
      <c r="DS284" s="203"/>
      <c r="DT284" s="203"/>
      <c r="DU284" s="203"/>
      <c r="DV284" s="203"/>
      <c r="DW284" s="203"/>
      <c r="DX284" s="203"/>
      <c r="DY284" s="203"/>
      <c r="DZ284" s="203"/>
      <c r="EA284" s="203"/>
      <c r="EB284" s="203"/>
      <c r="EC284" s="203"/>
      <c r="ED284" s="203"/>
      <c r="EE284" s="203"/>
      <c r="EF284" s="103">
        <v>650</v>
      </c>
      <c r="EG284" s="103">
        <v>5720</v>
      </c>
      <c r="EH284" s="103">
        <v>8</v>
      </c>
      <c r="EI284" s="207">
        <v>0.95</v>
      </c>
      <c r="EJ284" s="103">
        <v>1</v>
      </c>
      <c r="EK284" s="103">
        <v>70</v>
      </c>
      <c r="EL284" s="209">
        <f>ROUND(3600/EK284*EH284*EJ284*EI284,0)</f>
        <v>391</v>
      </c>
      <c r="EM284" s="122"/>
      <c r="EN284" s="122"/>
      <c r="EO284" s="122"/>
      <c r="EP284" s="209"/>
      <c r="EQ284" s="209"/>
      <c r="ER284" s="209"/>
      <c r="ES284" s="209"/>
      <c r="ET284" s="209"/>
      <c r="EU284" s="203">
        <f t="shared" si="260"/>
        <v>14.629156010230179</v>
      </c>
      <c r="EV284" s="122"/>
      <c r="EW284" s="122"/>
      <c r="EX284" s="122"/>
      <c r="EY284" s="122"/>
      <c r="EZ284" s="122"/>
      <c r="FA284" s="122"/>
      <c r="FB284" s="122"/>
      <c r="FC284" s="122"/>
      <c r="FD284" s="122"/>
      <c r="FE284" s="122"/>
      <c r="FF284" s="122"/>
      <c r="FG284" s="122"/>
      <c r="FH284" s="122"/>
      <c r="FI284" s="122"/>
      <c r="FJ284" s="122"/>
      <c r="FK284" s="122"/>
      <c r="FL284" s="122"/>
      <c r="FM284" s="122"/>
      <c r="FN284" s="122"/>
      <c r="FO284" s="122"/>
      <c r="FP284" s="122"/>
      <c r="FQ284" s="122"/>
      <c r="FR284" s="122"/>
      <c r="FS284" s="122"/>
      <c r="FT284" s="122"/>
      <c r="FU284" s="122"/>
      <c r="FV284" s="122"/>
      <c r="FW284" s="122"/>
      <c r="FX284" s="122"/>
      <c r="FY284" s="122"/>
      <c r="FZ284" s="122"/>
      <c r="GA284" s="122"/>
      <c r="GB284" s="122"/>
      <c r="GC284" s="122"/>
      <c r="GD284" s="122"/>
      <c r="GE284" s="122"/>
      <c r="GF284" s="122"/>
      <c r="GG284" s="122"/>
      <c r="GH284" s="122"/>
      <c r="GI284" s="122"/>
      <c r="GJ284" s="122"/>
      <c r="GK284" s="122"/>
      <c r="GL284" s="122"/>
      <c r="GM284" s="122"/>
      <c r="GN284" s="122"/>
      <c r="GO284" s="122"/>
      <c r="GP284" s="122"/>
      <c r="GQ284" s="122"/>
      <c r="GR284" s="207">
        <v>0.11</v>
      </c>
      <c r="GS284" s="203">
        <f t="shared" si="264"/>
        <v>6.8455821511253205</v>
      </c>
      <c r="GT284" s="208">
        <v>1.2500000000000001E-2</v>
      </c>
      <c r="GU284" s="203">
        <f t="shared" si="245"/>
        <v>0.77790706262787745</v>
      </c>
      <c r="GV284" s="207">
        <v>0.02</v>
      </c>
      <c r="GW284" s="203">
        <f t="shared" ref="GW284:GW294" si="272">GV284*EU284</f>
        <v>0.29258312020460359</v>
      </c>
      <c r="GX284" s="203">
        <f t="shared" si="247"/>
        <v>7.9160723339578007</v>
      </c>
      <c r="GY284" s="122" t="s">
        <v>43</v>
      </c>
      <c r="GZ284" s="122" t="s">
        <v>87</v>
      </c>
      <c r="HA284" s="203">
        <v>980</v>
      </c>
      <c r="HB284" s="203">
        <v>700</v>
      </c>
      <c r="HC284" s="103">
        <v>450</v>
      </c>
      <c r="HD284" s="103">
        <v>16</v>
      </c>
      <c r="HE284" s="103">
        <v>650</v>
      </c>
      <c r="HF284" s="203">
        <f t="shared" si="248"/>
        <v>41</v>
      </c>
      <c r="HG284" s="103">
        <v>5</v>
      </c>
      <c r="HH284" s="202">
        <f t="shared" si="249"/>
        <v>205</v>
      </c>
      <c r="HI284" s="103">
        <v>650</v>
      </c>
      <c r="HJ284" s="203">
        <f t="shared" si="250"/>
        <v>133250</v>
      </c>
      <c r="HK284" s="203"/>
      <c r="HL284" s="203"/>
      <c r="HM284" s="203">
        <v>2</v>
      </c>
      <c r="HN284" s="209">
        <f t="shared" si="251"/>
        <v>390000</v>
      </c>
      <c r="HO284" s="203">
        <f t="shared" si="252"/>
        <v>0.34166666666666667</v>
      </c>
      <c r="HP284" s="203">
        <v>160</v>
      </c>
      <c r="HQ284" s="103">
        <v>0</v>
      </c>
      <c r="HR284" s="103">
        <v>0</v>
      </c>
      <c r="HS284" s="203">
        <v>1</v>
      </c>
      <c r="HT284" s="103">
        <v>1.5</v>
      </c>
      <c r="HU284" s="103"/>
      <c r="HV284" s="203">
        <f t="shared" ref="HV284:HV294" si="273">HO284+HT284</f>
        <v>1.8416666666666668</v>
      </c>
      <c r="HW284" s="203"/>
      <c r="HX284" s="203">
        <v>2917</v>
      </c>
      <c r="HY284" s="203">
        <v>1689</v>
      </c>
      <c r="HZ284" s="203">
        <v>1842</v>
      </c>
      <c r="IA284" s="203">
        <f t="shared" ref="IA284:IA294" si="274">ROUNDDOWN(HX284/HA284,0)</f>
        <v>2</v>
      </c>
      <c r="IB284" s="203">
        <f t="shared" ref="IB284:IB294" si="275">ROUNDDOWN(HY284/HB284,0)</f>
        <v>2</v>
      </c>
      <c r="IC284" s="203">
        <f t="shared" ref="IC284:IC294" si="276">ROUNDDOWN(HZ284/HC284,0)</f>
        <v>4</v>
      </c>
      <c r="ID284" s="207">
        <v>0.9</v>
      </c>
      <c r="IE284" s="203">
        <f>(PRODUCT(IA284:ID284))</f>
        <v>14.4</v>
      </c>
      <c r="IF284" s="203">
        <v>500</v>
      </c>
      <c r="IG284" s="202">
        <f t="shared" si="255"/>
        <v>2.1701388888888888</v>
      </c>
      <c r="IH284" s="202"/>
      <c r="II284" s="122"/>
      <c r="IJ284" s="122"/>
      <c r="IK284" s="122"/>
      <c r="IL284" s="122"/>
      <c r="IM284" s="122"/>
      <c r="IN284" s="122"/>
      <c r="IO284" s="122"/>
      <c r="IP284" s="122"/>
      <c r="IQ284" s="122"/>
      <c r="IR284" s="122"/>
      <c r="IS284" s="122"/>
      <c r="IT284" s="122"/>
      <c r="IU284" s="122"/>
      <c r="IV284" s="122"/>
      <c r="IW284" s="122"/>
      <c r="IX284" s="122"/>
      <c r="IY284" s="122"/>
      <c r="IZ284" s="122"/>
      <c r="JA284" s="122"/>
      <c r="JB284" s="122"/>
      <c r="JC284" s="122"/>
      <c r="JD284" s="122"/>
      <c r="JE284" s="122"/>
      <c r="JF284" s="122"/>
      <c r="JG284" s="122"/>
      <c r="JH284" s="122"/>
      <c r="JI284" s="122"/>
      <c r="JJ284" s="122"/>
      <c r="JK284" s="122"/>
      <c r="JL284" s="122"/>
      <c r="JM284" s="122"/>
      <c r="JN284" s="122"/>
      <c r="JO284" s="122"/>
      <c r="JP284" s="122"/>
      <c r="JQ284" s="122"/>
      <c r="JR284" s="122"/>
      <c r="JS284" s="122"/>
      <c r="JT284" s="122"/>
      <c r="JU284" s="122"/>
      <c r="JV284" s="122"/>
      <c r="JW284" s="122"/>
      <c r="JX284" s="122"/>
      <c r="JY284" s="122"/>
      <c r="JZ284" s="122"/>
      <c r="KA284" s="122"/>
      <c r="KB284" s="122"/>
      <c r="KC284" s="412"/>
      <c r="KD284" s="412"/>
      <c r="KE284" s="412"/>
      <c r="KF284" s="122"/>
      <c r="KG284" s="122"/>
      <c r="KH284" s="122"/>
      <c r="KI284" s="122"/>
      <c r="KJ284" s="122"/>
      <c r="KK284" s="122"/>
      <c r="KL284" s="122"/>
      <c r="KM284" s="122"/>
      <c r="KN284" s="122"/>
      <c r="KO284" s="122"/>
      <c r="KP284" s="122"/>
    </row>
    <row r="285" spans="1:302">
      <c r="A285">
        <v>271</v>
      </c>
      <c r="B285" t="s">
        <v>468</v>
      </c>
      <c r="C285" s="202" t="s">
        <v>1174</v>
      </c>
      <c r="D285" s="28" t="s">
        <v>743</v>
      </c>
      <c r="E285" s="27" t="s">
        <v>744</v>
      </c>
      <c r="F285" s="5" t="s">
        <v>2182</v>
      </c>
      <c r="G285" s="27" t="s">
        <v>102</v>
      </c>
      <c r="I285" s="27" t="s">
        <v>94</v>
      </c>
      <c r="J285" s="28">
        <v>21591</v>
      </c>
      <c r="K285" s="27" t="s">
        <v>97</v>
      </c>
      <c r="N285" s="28"/>
      <c r="O285" s="28"/>
      <c r="P285" s="28"/>
      <c r="Q285" s="28" t="s">
        <v>1036</v>
      </c>
      <c r="R285" s="28" t="s">
        <v>1038</v>
      </c>
      <c r="S285" s="27"/>
      <c r="T285" s="27"/>
      <c r="U285" s="27"/>
      <c r="W285" s="201"/>
      <c r="X285" s="201"/>
      <c r="Y285" s="201"/>
      <c r="Z285" s="201"/>
      <c r="AA285" s="202" t="s">
        <v>560</v>
      </c>
      <c r="AB285" s="201">
        <v>158.96</v>
      </c>
      <c r="AC285" s="203">
        <f t="shared" si="263"/>
        <v>153.96</v>
      </c>
      <c r="AD285" s="122" t="s">
        <v>24</v>
      </c>
      <c r="AE285" s="204">
        <f t="shared" si="231"/>
        <v>22.099648000000002</v>
      </c>
      <c r="AF285" s="204"/>
      <c r="AG285" s="204">
        <f t="shared" si="265"/>
        <v>5.5482456140350873</v>
      </c>
      <c r="AH285" s="204">
        <f t="shared" si="233"/>
        <v>0</v>
      </c>
      <c r="AI285" s="204">
        <f t="shared" si="234"/>
        <v>0</v>
      </c>
      <c r="AJ285" s="204">
        <f t="shared" si="235"/>
        <v>0.11096491228070175</v>
      </c>
      <c r="AK285" s="204">
        <f t="shared" si="236"/>
        <v>0.34559867017543866</v>
      </c>
      <c r="AL285" s="204">
        <f t="shared" si="237"/>
        <v>3.0412682975438599</v>
      </c>
      <c r="AM285" s="204">
        <f t="shared" si="238"/>
        <v>1.6416666666666666</v>
      </c>
      <c r="AN285" s="204">
        <f t="shared" si="239"/>
        <v>0.38580246913580246</v>
      </c>
      <c r="AO285" s="205">
        <v>0</v>
      </c>
      <c r="AP285" s="205"/>
      <c r="AQ285" s="204">
        <f t="shared" si="266"/>
        <v>33.17319462983756</v>
      </c>
      <c r="AR285" s="204"/>
      <c r="AS285" s="204"/>
      <c r="AT285" s="205">
        <v>0</v>
      </c>
      <c r="AU285" s="103"/>
      <c r="AV285" s="206">
        <f t="shared" si="267"/>
        <v>33.17319462983756</v>
      </c>
      <c r="AW285" s="122">
        <v>0.14600000000000002</v>
      </c>
      <c r="AX285" s="122">
        <v>0.13800000000000001</v>
      </c>
      <c r="AY285" s="207">
        <v>0.9</v>
      </c>
      <c r="AZ285" s="103">
        <f t="shared" si="268"/>
        <v>8.0000000000000071E-3</v>
      </c>
      <c r="BA285" s="203">
        <f t="shared" si="269"/>
        <v>22.099648000000002</v>
      </c>
      <c r="BB285" s="203"/>
      <c r="BC285" s="203"/>
      <c r="BD285" s="203"/>
      <c r="BE285" s="203"/>
      <c r="BF285" s="203"/>
      <c r="BG285" s="203"/>
      <c r="BH285" s="203"/>
      <c r="BI285" s="203"/>
      <c r="BJ285" s="203"/>
      <c r="BK285" s="203"/>
      <c r="BL285" s="203"/>
      <c r="BM285" s="203"/>
      <c r="BN285" s="203"/>
      <c r="BO285" s="203"/>
      <c r="BP285" s="203"/>
      <c r="BQ285" s="203"/>
      <c r="BR285" s="203"/>
      <c r="BS285" s="203"/>
      <c r="BT285" s="203"/>
      <c r="BU285" s="203"/>
      <c r="BV285" s="203"/>
      <c r="BW285" s="203"/>
      <c r="BX285" s="203"/>
      <c r="BY285" s="203"/>
      <c r="BZ285" s="203"/>
      <c r="CA285" s="203"/>
      <c r="CB285" s="203"/>
      <c r="CC285" s="203"/>
      <c r="CD285" s="122"/>
      <c r="CE285" s="122">
        <v>0</v>
      </c>
      <c r="CF285" s="122">
        <v>0</v>
      </c>
      <c r="CG285" s="122">
        <v>0</v>
      </c>
      <c r="CH285" s="122">
        <v>0</v>
      </c>
      <c r="CI285" s="122"/>
      <c r="CJ285" s="122"/>
      <c r="CK285" s="122"/>
      <c r="CL285" s="122"/>
      <c r="CM285" s="122"/>
      <c r="CN285" s="122"/>
      <c r="CO285" s="122"/>
      <c r="CP285" s="122"/>
      <c r="CQ285" s="122"/>
      <c r="CR285" s="122"/>
      <c r="CS285" s="122"/>
      <c r="CT285" s="122"/>
      <c r="CU285" s="122"/>
      <c r="CV285" s="122"/>
      <c r="CW285" s="122"/>
      <c r="CX285" s="122"/>
      <c r="CY285" s="122"/>
      <c r="CZ285" s="122"/>
      <c r="DA285" s="122"/>
      <c r="DB285" s="122"/>
      <c r="DC285" s="122"/>
      <c r="DD285" s="122"/>
      <c r="DE285" s="122"/>
      <c r="DF285" s="122"/>
      <c r="DG285" s="122"/>
      <c r="DH285" s="122"/>
      <c r="DI285" s="122"/>
      <c r="DJ285" s="122"/>
      <c r="DK285" s="122"/>
      <c r="DL285" s="122"/>
      <c r="DM285" s="122">
        <v>0</v>
      </c>
      <c r="DN285" s="208">
        <v>1.2500000000000001E-2</v>
      </c>
      <c r="DO285" s="203">
        <f t="shared" si="270"/>
        <v>0</v>
      </c>
      <c r="DP285" s="203">
        <f t="shared" si="271"/>
        <v>0</v>
      </c>
      <c r="DQ285" s="203"/>
      <c r="DR285" s="203"/>
      <c r="DS285" s="203"/>
      <c r="DT285" s="203"/>
      <c r="DU285" s="203"/>
      <c r="DV285" s="203"/>
      <c r="DW285" s="203"/>
      <c r="DX285" s="203"/>
      <c r="DY285" s="203"/>
      <c r="DZ285" s="203"/>
      <c r="EA285" s="203"/>
      <c r="EB285" s="203"/>
      <c r="EC285" s="203"/>
      <c r="ED285" s="203"/>
      <c r="EE285" s="203"/>
      <c r="EF285" s="122">
        <v>550</v>
      </c>
      <c r="EG285" s="122">
        <v>5060</v>
      </c>
      <c r="EH285" s="122">
        <v>8</v>
      </c>
      <c r="EI285" s="207">
        <v>0.95</v>
      </c>
      <c r="EJ285" s="122">
        <v>2</v>
      </c>
      <c r="EK285" s="122">
        <v>60</v>
      </c>
      <c r="EL285" s="209">
        <f>ROUND(3600/EK285*EH285*EJ285*EI285,0)</f>
        <v>912</v>
      </c>
      <c r="EM285" s="122"/>
      <c r="EN285" s="122"/>
      <c r="EO285" s="122"/>
      <c r="EP285" s="209"/>
      <c r="EQ285" s="209"/>
      <c r="ER285" s="209"/>
      <c r="ES285" s="209"/>
      <c r="ET285" s="209"/>
      <c r="EU285" s="203">
        <f t="shared" si="260"/>
        <v>5.5482456140350873</v>
      </c>
      <c r="EV285" s="122"/>
      <c r="EW285" s="122"/>
      <c r="EX285" s="122"/>
      <c r="EY285" s="122"/>
      <c r="EZ285" s="122"/>
      <c r="FA285" s="122"/>
      <c r="FB285" s="122"/>
      <c r="FC285" s="122"/>
      <c r="FD285" s="122"/>
      <c r="FE285" s="122"/>
      <c r="FF285" s="122"/>
      <c r="FG285" s="122"/>
      <c r="FH285" s="122"/>
      <c r="FI285" s="122"/>
      <c r="FJ285" s="122"/>
      <c r="FK285" s="122"/>
      <c r="FL285" s="122"/>
      <c r="FM285" s="122"/>
      <c r="FN285" s="122"/>
      <c r="FO285" s="122"/>
      <c r="FP285" s="122"/>
      <c r="FQ285" s="122"/>
      <c r="FR285" s="122"/>
      <c r="FS285" s="122"/>
      <c r="FT285" s="122"/>
      <c r="FU285" s="122"/>
      <c r="FV285" s="122"/>
      <c r="FW285" s="122"/>
      <c r="FX285" s="122"/>
      <c r="FY285" s="122"/>
      <c r="FZ285" s="122"/>
      <c r="GA285" s="122"/>
      <c r="GB285" s="122"/>
      <c r="GC285" s="122"/>
      <c r="GD285" s="122"/>
      <c r="GE285" s="122"/>
      <c r="GF285" s="122"/>
      <c r="GG285" s="122"/>
      <c r="GH285" s="122"/>
      <c r="GI285" s="122"/>
      <c r="GJ285" s="122"/>
      <c r="GK285" s="122"/>
      <c r="GL285" s="122"/>
      <c r="GM285" s="122"/>
      <c r="GN285" s="122"/>
      <c r="GO285" s="122"/>
      <c r="GP285" s="122"/>
      <c r="GQ285" s="122"/>
      <c r="GR285" s="207">
        <v>0.11</v>
      </c>
      <c r="GS285" s="203">
        <f t="shared" si="264"/>
        <v>3.0412682975438599</v>
      </c>
      <c r="GT285" s="208">
        <v>1.2500000000000001E-2</v>
      </c>
      <c r="GU285" s="203">
        <f t="shared" si="245"/>
        <v>0.34559867017543866</v>
      </c>
      <c r="GV285" s="207">
        <v>0.02</v>
      </c>
      <c r="GW285" s="203">
        <f t="shared" si="272"/>
        <v>0.11096491228070175</v>
      </c>
      <c r="GX285" s="203">
        <f t="shared" si="247"/>
        <v>3.4978318800000001</v>
      </c>
      <c r="GY285" s="122" t="s">
        <v>43</v>
      </c>
      <c r="GZ285" s="122" t="s">
        <v>87</v>
      </c>
      <c r="HA285" s="203">
        <v>650</v>
      </c>
      <c r="HB285" s="203">
        <v>450</v>
      </c>
      <c r="HC285" s="122">
        <v>480</v>
      </c>
      <c r="HD285" s="122">
        <v>40</v>
      </c>
      <c r="HE285" s="122">
        <v>650</v>
      </c>
      <c r="HF285" s="203">
        <f t="shared" si="248"/>
        <v>17</v>
      </c>
      <c r="HG285" s="122">
        <v>5</v>
      </c>
      <c r="HH285" s="202">
        <f t="shared" si="249"/>
        <v>85</v>
      </c>
      <c r="HI285" s="122">
        <v>650</v>
      </c>
      <c r="HJ285" s="203">
        <f t="shared" si="250"/>
        <v>55250</v>
      </c>
      <c r="HK285" s="203"/>
      <c r="HL285" s="203"/>
      <c r="HM285" s="203">
        <v>2</v>
      </c>
      <c r="HN285" s="209">
        <f t="shared" si="251"/>
        <v>390000</v>
      </c>
      <c r="HO285" s="203">
        <f t="shared" si="252"/>
        <v>0.14166666666666666</v>
      </c>
      <c r="HP285" s="203">
        <v>160</v>
      </c>
      <c r="HQ285" s="122">
        <v>0</v>
      </c>
      <c r="HR285" s="122"/>
      <c r="HS285" s="203">
        <v>1</v>
      </c>
      <c r="HT285" s="103">
        <v>1.5</v>
      </c>
      <c r="HU285" s="103"/>
      <c r="HV285" s="203">
        <f t="shared" si="273"/>
        <v>1.6416666666666666</v>
      </c>
      <c r="HW285" s="203"/>
      <c r="HX285" s="203">
        <v>2917</v>
      </c>
      <c r="HY285" s="203">
        <v>1689</v>
      </c>
      <c r="HZ285" s="203">
        <v>1842</v>
      </c>
      <c r="IA285" s="203">
        <f t="shared" si="274"/>
        <v>4</v>
      </c>
      <c r="IB285" s="203">
        <f t="shared" si="275"/>
        <v>3</v>
      </c>
      <c r="IC285" s="203">
        <f t="shared" si="276"/>
        <v>3</v>
      </c>
      <c r="ID285" s="207">
        <v>0.9</v>
      </c>
      <c r="IE285" s="203">
        <f>(PRODUCT(IA285:ID285))</f>
        <v>32.4</v>
      </c>
      <c r="IF285" s="203">
        <v>500</v>
      </c>
      <c r="IG285" s="202">
        <f t="shared" si="255"/>
        <v>0.38580246913580246</v>
      </c>
      <c r="IH285" s="20"/>
    </row>
    <row r="286" spans="1:302">
      <c r="A286">
        <v>272</v>
      </c>
      <c r="B286" t="s">
        <v>468</v>
      </c>
      <c r="C286" s="202" t="s">
        <v>1175</v>
      </c>
      <c r="D286" s="28" t="s">
        <v>745</v>
      </c>
      <c r="E286" s="27" t="s">
        <v>746</v>
      </c>
      <c r="F286" s="5" t="s">
        <v>2182</v>
      </c>
      <c r="G286" s="27" t="s">
        <v>102</v>
      </c>
      <c r="I286" s="27" t="s">
        <v>94</v>
      </c>
      <c r="J286" s="28">
        <v>21591</v>
      </c>
      <c r="K286" s="27" t="s">
        <v>97</v>
      </c>
      <c r="N286" s="28"/>
      <c r="O286" s="28"/>
      <c r="P286" s="28"/>
      <c r="Q286" s="28" t="s">
        <v>1036</v>
      </c>
      <c r="R286" s="28" t="s">
        <v>1038</v>
      </c>
      <c r="S286" s="27"/>
      <c r="T286" s="27"/>
      <c r="U286" s="27"/>
      <c r="AA286" s="202" t="s">
        <v>1121</v>
      </c>
      <c r="AB286" s="201">
        <v>158.96</v>
      </c>
      <c r="AC286" s="203">
        <f t="shared" si="263"/>
        <v>153.96</v>
      </c>
      <c r="AD286" s="122" t="s">
        <v>24</v>
      </c>
      <c r="AE286" s="204">
        <f t="shared" si="231"/>
        <v>22.099648000000002</v>
      </c>
      <c r="AF286" s="204"/>
      <c r="AG286" s="204">
        <f t="shared" si="265"/>
        <v>5.5482456140350873</v>
      </c>
      <c r="AH286" s="204">
        <f t="shared" si="233"/>
        <v>0</v>
      </c>
      <c r="AI286" s="204">
        <f t="shared" si="234"/>
        <v>0</v>
      </c>
      <c r="AJ286" s="204">
        <f t="shared" si="235"/>
        <v>0.11096491228070175</v>
      </c>
      <c r="AK286" s="204">
        <f t="shared" si="236"/>
        <v>0.34559867017543866</v>
      </c>
      <c r="AL286" s="204">
        <f t="shared" si="237"/>
        <v>3.0412682975438599</v>
      </c>
      <c r="AM286" s="204">
        <f t="shared" si="238"/>
        <v>1.6416666666666666</v>
      </c>
      <c r="AN286" s="204">
        <f t="shared" si="239"/>
        <v>0.38580246913580246</v>
      </c>
      <c r="AO286" s="205">
        <v>0</v>
      </c>
      <c r="AP286" s="205"/>
      <c r="AQ286" s="204">
        <f t="shared" si="266"/>
        <v>33.17319462983756</v>
      </c>
      <c r="AR286" s="204"/>
      <c r="AS286" s="204"/>
      <c r="AT286" s="205">
        <v>0</v>
      </c>
      <c r="AU286" s="103"/>
      <c r="AV286" s="206">
        <f t="shared" si="267"/>
        <v>33.17319462983756</v>
      </c>
      <c r="AW286" s="122">
        <v>0.14600000000000002</v>
      </c>
      <c r="AX286" s="122">
        <v>0.13800000000000001</v>
      </c>
      <c r="AY286" s="207">
        <v>0.9</v>
      </c>
      <c r="AZ286" s="103">
        <f t="shared" si="268"/>
        <v>8.0000000000000071E-3</v>
      </c>
      <c r="BA286" s="203">
        <f t="shared" si="269"/>
        <v>22.099648000000002</v>
      </c>
      <c r="BB286" s="203"/>
      <c r="BC286" s="203"/>
      <c r="BD286" s="203"/>
      <c r="BE286" s="203"/>
      <c r="BF286" s="203"/>
      <c r="BG286" s="203"/>
      <c r="BH286" s="203"/>
      <c r="BI286" s="203"/>
      <c r="BJ286" s="203"/>
      <c r="BK286" s="203"/>
      <c r="BL286" s="203"/>
      <c r="BM286" s="203"/>
      <c r="BN286" s="203"/>
      <c r="BO286" s="203"/>
      <c r="BP286" s="203"/>
      <c r="BQ286" s="203"/>
      <c r="BR286" s="203"/>
      <c r="BS286" s="203"/>
      <c r="BT286" s="203"/>
      <c r="BU286" s="203"/>
      <c r="BV286" s="203"/>
      <c r="BW286" s="203"/>
      <c r="BX286" s="203"/>
      <c r="BY286" s="203"/>
      <c r="BZ286" s="203"/>
      <c r="CA286" s="203"/>
      <c r="CB286" s="203"/>
      <c r="CC286" s="203"/>
      <c r="CD286" s="122"/>
      <c r="CE286" s="122">
        <v>0</v>
      </c>
      <c r="CF286" s="122">
        <v>0</v>
      </c>
      <c r="CG286" s="122">
        <v>0</v>
      </c>
      <c r="CH286" s="122">
        <v>0</v>
      </c>
      <c r="CI286" s="122"/>
      <c r="CJ286" s="122"/>
      <c r="CK286" s="122"/>
      <c r="CL286" s="122"/>
      <c r="CM286" s="122"/>
      <c r="CN286" s="122"/>
      <c r="CO286" s="122"/>
      <c r="CP286" s="122"/>
      <c r="CQ286" s="122"/>
      <c r="CR286" s="122"/>
      <c r="CS286" s="122"/>
      <c r="CT286" s="122"/>
      <c r="CU286" s="122"/>
      <c r="CV286" s="122"/>
      <c r="CW286" s="122"/>
      <c r="CX286" s="122"/>
      <c r="CY286" s="122"/>
      <c r="CZ286" s="122"/>
      <c r="DA286" s="122"/>
      <c r="DB286" s="122"/>
      <c r="DC286" s="122"/>
      <c r="DD286" s="122"/>
      <c r="DE286" s="122"/>
      <c r="DF286" s="122"/>
      <c r="DG286" s="122"/>
      <c r="DH286" s="122"/>
      <c r="DI286" s="122"/>
      <c r="DJ286" s="122"/>
      <c r="DK286" s="122"/>
      <c r="DL286" s="122"/>
      <c r="DM286" s="122">
        <v>0</v>
      </c>
      <c r="DN286" s="208">
        <v>1.2500000000000001E-2</v>
      </c>
      <c r="DO286" s="203">
        <f t="shared" si="270"/>
        <v>0</v>
      </c>
      <c r="DP286" s="203">
        <f t="shared" si="271"/>
        <v>0</v>
      </c>
      <c r="DQ286" s="203"/>
      <c r="DR286" s="203"/>
      <c r="DS286" s="203"/>
      <c r="DT286" s="203"/>
      <c r="DU286" s="203"/>
      <c r="DV286" s="203"/>
      <c r="DW286" s="203"/>
      <c r="DX286" s="203"/>
      <c r="DY286" s="203"/>
      <c r="DZ286" s="203"/>
      <c r="EA286" s="203"/>
      <c r="EB286" s="203"/>
      <c r="EC286" s="203"/>
      <c r="ED286" s="203"/>
      <c r="EE286" s="203"/>
      <c r="EF286" s="122">
        <v>550</v>
      </c>
      <c r="EG286" s="122">
        <v>5060</v>
      </c>
      <c r="EH286" s="122">
        <v>8</v>
      </c>
      <c r="EI286" s="207">
        <v>0.95</v>
      </c>
      <c r="EJ286" s="122">
        <v>2</v>
      </c>
      <c r="EK286" s="122">
        <v>60</v>
      </c>
      <c r="EL286" s="209">
        <f>ROUND(3600/EK286*EH286*EJ286*EI286,0)</f>
        <v>912</v>
      </c>
      <c r="EM286" s="122"/>
      <c r="EN286" s="122"/>
      <c r="EO286" s="122"/>
      <c r="EP286" s="209"/>
      <c r="EQ286" s="209"/>
      <c r="ER286" s="209"/>
      <c r="ES286" s="209"/>
      <c r="ET286" s="209"/>
      <c r="EU286" s="203">
        <f t="shared" si="260"/>
        <v>5.5482456140350873</v>
      </c>
      <c r="EV286" s="122"/>
      <c r="EW286" s="122"/>
      <c r="EX286" s="122"/>
      <c r="EY286" s="122"/>
      <c r="EZ286" s="122"/>
      <c r="FA286" s="122"/>
      <c r="FB286" s="122"/>
      <c r="FC286" s="122"/>
      <c r="FD286" s="122"/>
      <c r="FE286" s="122"/>
      <c r="FF286" s="122"/>
      <c r="FG286" s="122"/>
      <c r="FH286" s="122"/>
      <c r="FI286" s="122"/>
      <c r="FJ286" s="122"/>
      <c r="FK286" s="122"/>
      <c r="FL286" s="122"/>
      <c r="FM286" s="122"/>
      <c r="FN286" s="122"/>
      <c r="FO286" s="122"/>
      <c r="FP286" s="122"/>
      <c r="FQ286" s="122"/>
      <c r="FR286" s="122"/>
      <c r="FS286" s="122"/>
      <c r="FT286" s="122"/>
      <c r="FU286" s="122"/>
      <c r="FV286" s="122"/>
      <c r="FW286" s="122"/>
      <c r="FX286" s="122"/>
      <c r="FY286" s="122"/>
      <c r="FZ286" s="122"/>
      <c r="GA286" s="122"/>
      <c r="GB286" s="122"/>
      <c r="GC286" s="122"/>
      <c r="GD286" s="122"/>
      <c r="GE286" s="122"/>
      <c r="GF286" s="122"/>
      <c r="GG286" s="122"/>
      <c r="GH286" s="122"/>
      <c r="GI286" s="122"/>
      <c r="GJ286" s="122"/>
      <c r="GK286" s="122"/>
      <c r="GL286" s="122"/>
      <c r="GM286" s="122"/>
      <c r="GN286" s="122"/>
      <c r="GO286" s="122"/>
      <c r="GP286" s="122"/>
      <c r="GQ286" s="122"/>
      <c r="GR286" s="207">
        <v>0.11</v>
      </c>
      <c r="GS286" s="203">
        <f t="shared" si="264"/>
        <v>3.0412682975438599</v>
      </c>
      <c r="GT286" s="208">
        <v>1.2500000000000001E-2</v>
      </c>
      <c r="GU286" s="203">
        <f t="shared" si="245"/>
        <v>0.34559867017543866</v>
      </c>
      <c r="GV286" s="207">
        <v>0.02</v>
      </c>
      <c r="GW286" s="203">
        <f t="shared" si="272"/>
        <v>0.11096491228070175</v>
      </c>
      <c r="GX286" s="203">
        <f t="shared" si="247"/>
        <v>3.4978318800000001</v>
      </c>
      <c r="GY286" s="122" t="s">
        <v>43</v>
      </c>
      <c r="GZ286" s="122" t="s">
        <v>43</v>
      </c>
      <c r="HA286" s="203">
        <v>650</v>
      </c>
      <c r="HB286" s="203">
        <v>450</v>
      </c>
      <c r="HC286" s="122">
        <v>480</v>
      </c>
      <c r="HD286" s="122">
        <v>40</v>
      </c>
      <c r="HE286" s="122">
        <v>650</v>
      </c>
      <c r="HF286" s="203">
        <f t="shared" si="248"/>
        <v>17</v>
      </c>
      <c r="HG286" s="122">
        <v>5</v>
      </c>
      <c r="HH286" s="202">
        <f t="shared" si="249"/>
        <v>85</v>
      </c>
      <c r="HI286" s="122">
        <v>650</v>
      </c>
      <c r="HJ286" s="203">
        <f t="shared" si="250"/>
        <v>55250</v>
      </c>
      <c r="HK286" s="203"/>
      <c r="HL286" s="203"/>
      <c r="HM286" s="203">
        <v>2</v>
      </c>
      <c r="HN286" s="209">
        <f t="shared" si="251"/>
        <v>390000</v>
      </c>
      <c r="HO286" s="203">
        <f t="shared" si="252"/>
        <v>0.14166666666666666</v>
      </c>
      <c r="HP286" s="203">
        <v>160</v>
      </c>
      <c r="HQ286" s="122">
        <v>0</v>
      </c>
      <c r="HR286" s="122"/>
      <c r="HS286" s="203">
        <v>1</v>
      </c>
      <c r="HT286" s="103">
        <v>1.5</v>
      </c>
      <c r="HU286" s="103"/>
      <c r="HV286" s="203">
        <f t="shared" si="273"/>
        <v>1.6416666666666666</v>
      </c>
      <c r="HW286" s="203"/>
      <c r="HX286" s="203">
        <v>2917</v>
      </c>
      <c r="HY286" s="203">
        <v>1689</v>
      </c>
      <c r="HZ286" s="203">
        <v>1842</v>
      </c>
      <c r="IA286" s="203">
        <f t="shared" si="274"/>
        <v>4</v>
      </c>
      <c r="IB286" s="203">
        <f t="shared" si="275"/>
        <v>3</v>
      </c>
      <c r="IC286" s="203">
        <f t="shared" si="276"/>
        <v>3</v>
      </c>
      <c r="ID286" s="207">
        <v>0.9</v>
      </c>
      <c r="IE286" s="203">
        <f>(PRODUCT(IA286:ID286))</f>
        <v>32.4</v>
      </c>
      <c r="IF286" s="203">
        <v>500</v>
      </c>
      <c r="IG286" s="202">
        <f t="shared" si="255"/>
        <v>0.38580246913580246</v>
      </c>
      <c r="IH286" s="202"/>
      <c r="II286" s="122"/>
      <c r="IJ286" s="122"/>
      <c r="IK286" s="122"/>
      <c r="IL286" s="122"/>
      <c r="IM286" s="122"/>
      <c r="IN286" s="122"/>
      <c r="IO286" s="122"/>
      <c r="IP286" s="122"/>
      <c r="IQ286" s="122"/>
      <c r="IR286" s="122"/>
      <c r="IS286" s="122"/>
      <c r="IT286" s="122"/>
      <c r="IU286" s="122"/>
      <c r="IV286" s="122"/>
      <c r="IW286" s="122"/>
      <c r="IX286" s="122"/>
      <c r="IY286" s="122"/>
      <c r="IZ286" s="122"/>
      <c r="JA286" s="122"/>
      <c r="JB286" s="122"/>
      <c r="JC286" s="122"/>
      <c r="JD286" s="122"/>
      <c r="JE286" s="122"/>
      <c r="JF286" s="122"/>
      <c r="JG286" s="122"/>
      <c r="JH286" s="122"/>
      <c r="JI286" s="122"/>
      <c r="JJ286" s="122"/>
      <c r="JK286" s="122"/>
      <c r="JL286" s="122"/>
      <c r="JM286" s="122"/>
      <c r="JN286" s="122"/>
      <c r="JO286" s="122"/>
      <c r="JP286" s="122"/>
      <c r="JQ286" s="122"/>
      <c r="JR286" s="122"/>
      <c r="JS286" s="122"/>
      <c r="JT286" s="122"/>
      <c r="JU286" s="122"/>
      <c r="JV286" s="122"/>
      <c r="JW286" s="122"/>
      <c r="JX286" s="122"/>
      <c r="JY286" s="122"/>
      <c r="JZ286" s="122"/>
      <c r="KA286" s="122"/>
      <c r="KB286" s="122"/>
      <c r="KC286" s="412"/>
      <c r="KD286" s="412"/>
      <c r="KE286" s="412"/>
      <c r="KF286" s="122"/>
      <c r="KG286" s="122"/>
      <c r="KH286" s="122"/>
      <c r="KI286" s="122"/>
      <c r="KJ286" s="122"/>
      <c r="KK286" s="122"/>
      <c r="KL286" s="122"/>
      <c r="KM286" s="122"/>
      <c r="KN286" s="122"/>
      <c r="KO286" s="122"/>
      <c r="KP286" s="122"/>
    </row>
    <row r="287" spans="1:302">
      <c r="A287">
        <v>273</v>
      </c>
      <c r="B287" t="s">
        <v>468</v>
      </c>
      <c r="C287" s="202" t="s">
        <v>1176</v>
      </c>
      <c r="D287" s="28" t="s">
        <v>747</v>
      </c>
      <c r="E287" s="27" t="s">
        <v>166</v>
      </c>
      <c r="F287" s="5" t="s">
        <v>2182</v>
      </c>
      <c r="G287" s="27" t="s">
        <v>102</v>
      </c>
      <c r="I287" s="27" t="s">
        <v>94</v>
      </c>
      <c r="J287" s="28">
        <v>21591</v>
      </c>
      <c r="K287" s="27" t="s">
        <v>97</v>
      </c>
      <c r="N287" s="28"/>
      <c r="O287" s="28"/>
      <c r="P287" s="28"/>
      <c r="Q287" s="28" t="s">
        <v>1036</v>
      </c>
      <c r="R287" s="28" t="s">
        <v>1038</v>
      </c>
      <c r="S287" s="27"/>
      <c r="T287" s="27"/>
      <c r="U287" s="27"/>
      <c r="W287" s="201"/>
      <c r="X287" s="201"/>
      <c r="Y287" s="201"/>
      <c r="Z287" s="201"/>
      <c r="AA287" s="202" t="s">
        <v>440</v>
      </c>
      <c r="AB287" s="201">
        <v>117.66</v>
      </c>
      <c r="AC287" s="203">
        <f t="shared" si="263"/>
        <v>112.66</v>
      </c>
      <c r="AD287" s="122" t="s">
        <v>24</v>
      </c>
      <c r="AE287" s="204">
        <f t="shared" si="231"/>
        <v>78.913530000000009</v>
      </c>
      <c r="AF287" s="204"/>
      <c r="AG287" s="204">
        <f t="shared" si="265"/>
        <v>14.216374269005849</v>
      </c>
      <c r="AH287" s="204">
        <f t="shared" si="233"/>
        <v>0</v>
      </c>
      <c r="AI287" s="204">
        <f t="shared" si="234"/>
        <v>0</v>
      </c>
      <c r="AJ287" s="204">
        <f t="shared" si="235"/>
        <v>0.28432748538011698</v>
      </c>
      <c r="AK287" s="204">
        <f t="shared" si="236"/>
        <v>1.1641238033625734</v>
      </c>
      <c r="AL287" s="204">
        <f t="shared" si="237"/>
        <v>10.244289469590646</v>
      </c>
      <c r="AM287" s="204">
        <f t="shared" si="238"/>
        <v>2.0416666666666665</v>
      </c>
      <c r="AN287" s="204">
        <f t="shared" si="239"/>
        <v>3.4722222222222223</v>
      </c>
      <c r="AO287" s="205">
        <v>0</v>
      </c>
      <c r="AP287" s="205"/>
      <c r="AQ287" s="204">
        <f t="shared" si="266"/>
        <v>110.33653391622809</v>
      </c>
      <c r="AR287" s="204"/>
      <c r="AS287" s="204"/>
      <c r="AT287" s="205">
        <v>0</v>
      </c>
      <c r="AU287" s="103"/>
      <c r="AV287" s="206">
        <f t="shared" si="267"/>
        <v>110.33653391622809</v>
      </c>
      <c r="AW287" s="122">
        <v>0.67500000000000004</v>
      </c>
      <c r="AX287" s="122">
        <v>0.67</v>
      </c>
      <c r="AY287" s="207">
        <v>0.9</v>
      </c>
      <c r="AZ287" s="103">
        <f t="shared" si="268"/>
        <v>5.0000000000000044E-3</v>
      </c>
      <c r="BA287" s="203">
        <f t="shared" si="269"/>
        <v>78.913530000000009</v>
      </c>
      <c r="BB287" s="203"/>
      <c r="BC287" s="203"/>
      <c r="BD287" s="203"/>
      <c r="BE287" s="203"/>
      <c r="BF287" s="203"/>
      <c r="BG287" s="203"/>
      <c r="BH287" s="203"/>
      <c r="BI287" s="203"/>
      <c r="BJ287" s="203"/>
      <c r="BK287" s="203"/>
      <c r="BL287" s="203"/>
      <c r="BM287" s="203"/>
      <c r="BN287" s="203"/>
      <c r="BO287" s="203"/>
      <c r="BP287" s="203"/>
      <c r="BQ287" s="203"/>
      <c r="BR287" s="203"/>
      <c r="BS287" s="203"/>
      <c r="BT287" s="203"/>
      <c r="BU287" s="203"/>
      <c r="BV287" s="203"/>
      <c r="BW287" s="203"/>
      <c r="BX287" s="203"/>
      <c r="BY287" s="203"/>
      <c r="BZ287" s="203"/>
      <c r="CA287" s="203"/>
      <c r="CB287" s="203"/>
      <c r="CC287" s="203"/>
      <c r="CD287" s="122"/>
      <c r="CE287" s="122">
        <v>0</v>
      </c>
      <c r="CF287" s="122">
        <v>0</v>
      </c>
      <c r="CG287" s="122">
        <v>0</v>
      </c>
      <c r="CH287" s="122">
        <v>0</v>
      </c>
      <c r="CI287" s="122"/>
      <c r="CJ287" s="122"/>
      <c r="CK287" s="122"/>
      <c r="CL287" s="122"/>
      <c r="CM287" s="122"/>
      <c r="CN287" s="122"/>
      <c r="CO287" s="122"/>
      <c r="CP287" s="122"/>
      <c r="CQ287" s="122"/>
      <c r="CR287" s="122"/>
      <c r="CS287" s="122"/>
      <c r="CT287" s="122"/>
      <c r="CU287" s="122"/>
      <c r="CV287" s="122"/>
      <c r="CW287" s="122"/>
      <c r="CX287" s="122"/>
      <c r="CY287" s="122"/>
      <c r="CZ287" s="122"/>
      <c r="DA287" s="122"/>
      <c r="DB287" s="122"/>
      <c r="DC287" s="122"/>
      <c r="DD287" s="122"/>
      <c r="DE287" s="122"/>
      <c r="DF287" s="122"/>
      <c r="DG287" s="122"/>
      <c r="DH287" s="122"/>
      <c r="DI287" s="122"/>
      <c r="DJ287" s="122"/>
      <c r="DK287" s="122"/>
      <c r="DL287" s="122"/>
      <c r="DM287" s="122">
        <v>0</v>
      </c>
      <c r="DN287" s="208">
        <v>1.2500000000000001E-2</v>
      </c>
      <c r="DO287" s="203">
        <f t="shared" si="270"/>
        <v>0</v>
      </c>
      <c r="DP287" s="203">
        <f t="shared" si="271"/>
        <v>0</v>
      </c>
      <c r="DQ287" s="203"/>
      <c r="DR287" s="203"/>
      <c r="DS287" s="203"/>
      <c r="DT287" s="203"/>
      <c r="DU287" s="203"/>
      <c r="DV287" s="203"/>
      <c r="DW287" s="203"/>
      <c r="DX287" s="203"/>
      <c r="DY287" s="203"/>
      <c r="DZ287" s="203"/>
      <c r="EA287" s="203"/>
      <c r="EB287" s="203"/>
      <c r="EC287" s="203"/>
      <c r="ED287" s="203"/>
      <c r="EE287" s="203"/>
      <c r="EF287" s="122">
        <v>650</v>
      </c>
      <c r="EG287" s="122">
        <v>5720</v>
      </c>
      <c r="EH287" s="122">
        <v>8</v>
      </c>
      <c r="EI287" s="207">
        <v>0.95</v>
      </c>
      <c r="EJ287" s="122">
        <v>1</v>
      </c>
      <c r="EK287" s="122">
        <v>68</v>
      </c>
      <c r="EL287" s="209">
        <f>(3600/EK287*EH287*EJ287*EI287)</f>
        <v>402.35294117647055</v>
      </c>
      <c r="EM287" s="122"/>
      <c r="EN287" s="122"/>
      <c r="EO287" s="122"/>
      <c r="EP287" s="209"/>
      <c r="EQ287" s="209"/>
      <c r="ER287" s="209"/>
      <c r="ES287" s="209"/>
      <c r="ET287" s="209"/>
      <c r="EU287" s="203">
        <f t="shared" si="260"/>
        <v>14.216374269005849</v>
      </c>
      <c r="EV287" s="122"/>
      <c r="EW287" s="122"/>
      <c r="EX287" s="122"/>
      <c r="EY287" s="122"/>
      <c r="EZ287" s="122"/>
      <c r="FA287" s="122"/>
      <c r="FB287" s="122"/>
      <c r="FC287" s="122"/>
      <c r="FD287" s="122"/>
      <c r="FE287" s="122"/>
      <c r="FF287" s="122"/>
      <c r="FG287" s="122"/>
      <c r="FH287" s="122"/>
      <c r="FI287" s="122"/>
      <c r="FJ287" s="122"/>
      <c r="FK287" s="122"/>
      <c r="FL287" s="122"/>
      <c r="FM287" s="122"/>
      <c r="FN287" s="122"/>
      <c r="FO287" s="122"/>
      <c r="FP287" s="122"/>
      <c r="FQ287" s="122"/>
      <c r="FR287" s="122"/>
      <c r="FS287" s="122"/>
      <c r="FT287" s="122"/>
      <c r="FU287" s="122"/>
      <c r="FV287" s="122"/>
      <c r="FW287" s="122"/>
      <c r="FX287" s="122"/>
      <c r="FY287" s="122"/>
      <c r="FZ287" s="122"/>
      <c r="GA287" s="122"/>
      <c r="GB287" s="122"/>
      <c r="GC287" s="122"/>
      <c r="GD287" s="122"/>
      <c r="GE287" s="122"/>
      <c r="GF287" s="122"/>
      <c r="GG287" s="122"/>
      <c r="GH287" s="122"/>
      <c r="GI287" s="122"/>
      <c r="GJ287" s="122"/>
      <c r="GK287" s="122"/>
      <c r="GL287" s="122"/>
      <c r="GM287" s="122"/>
      <c r="GN287" s="122"/>
      <c r="GO287" s="122"/>
      <c r="GP287" s="122"/>
      <c r="GQ287" s="122"/>
      <c r="GR287" s="207">
        <v>0.11</v>
      </c>
      <c r="GS287" s="203">
        <f t="shared" si="264"/>
        <v>10.244289469590646</v>
      </c>
      <c r="GT287" s="208">
        <v>1.2500000000000001E-2</v>
      </c>
      <c r="GU287" s="203">
        <f t="shared" si="245"/>
        <v>1.1641238033625734</v>
      </c>
      <c r="GV287" s="207">
        <v>0.02</v>
      </c>
      <c r="GW287" s="203">
        <f t="shared" si="272"/>
        <v>0.28432748538011698</v>
      </c>
      <c r="GX287" s="203">
        <f t="shared" si="247"/>
        <v>11.692740758333336</v>
      </c>
      <c r="GY287" s="122" t="s">
        <v>43</v>
      </c>
      <c r="GZ287" s="122" t="s">
        <v>87</v>
      </c>
      <c r="HA287" s="203">
        <v>980</v>
      </c>
      <c r="HB287" s="203">
        <v>700</v>
      </c>
      <c r="HC287" s="122">
        <v>450</v>
      </c>
      <c r="HD287" s="122">
        <v>10</v>
      </c>
      <c r="HE287" s="122">
        <v>650</v>
      </c>
      <c r="HF287" s="203">
        <f t="shared" si="248"/>
        <v>65</v>
      </c>
      <c r="HG287" s="122">
        <v>5</v>
      </c>
      <c r="HH287" s="202">
        <f t="shared" si="249"/>
        <v>325</v>
      </c>
      <c r="HI287" s="122">
        <v>650</v>
      </c>
      <c r="HJ287" s="203">
        <f t="shared" si="250"/>
        <v>211250</v>
      </c>
      <c r="HK287" s="203"/>
      <c r="HL287" s="203"/>
      <c r="HM287" s="203">
        <v>2</v>
      </c>
      <c r="HN287" s="209">
        <f t="shared" si="251"/>
        <v>390000</v>
      </c>
      <c r="HO287" s="203">
        <f t="shared" si="252"/>
        <v>0.54166666666666663</v>
      </c>
      <c r="HP287" s="203">
        <v>160</v>
      </c>
      <c r="HQ287" s="122">
        <v>0</v>
      </c>
      <c r="HR287" s="122"/>
      <c r="HS287" s="203">
        <v>1</v>
      </c>
      <c r="HT287" s="103">
        <v>1.5</v>
      </c>
      <c r="HU287" s="103"/>
      <c r="HV287" s="203">
        <f t="shared" si="273"/>
        <v>2.0416666666666665</v>
      </c>
      <c r="HW287" s="203"/>
      <c r="HX287" s="203">
        <v>2917</v>
      </c>
      <c r="HY287" s="203">
        <v>1689</v>
      </c>
      <c r="HZ287" s="203">
        <v>1842</v>
      </c>
      <c r="IA287" s="203">
        <f t="shared" si="274"/>
        <v>2</v>
      </c>
      <c r="IB287" s="203">
        <f t="shared" si="275"/>
        <v>2</v>
      </c>
      <c r="IC287" s="203">
        <f t="shared" si="276"/>
        <v>4</v>
      </c>
      <c r="ID287" s="207">
        <v>0.9</v>
      </c>
      <c r="IE287" s="203">
        <f>(PRODUCT(IA287:ID287))</f>
        <v>14.4</v>
      </c>
      <c r="IF287" s="203">
        <v>500</v>
      </c>
      <c r="IG287" s="202">
        <f t="shared" si="255"/>
        <v>3.4722222222222223</v>
      </c>
      <c r="IH287" s="202"/>
      <c r="II287" s="122"/>
      <c r="IJ287" s="122"/>
      <c r="IK287" s="122"/>
      <c r="IL287" s="122"/>
      <c r="IM287" s="122"/>
      <c r="IN287" s="122"/>
      <c r="IO287" s="122"/>
      <c r="IP287" s="122"/>
      <c r="IQ287" s="122"/>
      <c r="IR287" s="122"/>
      <c r="IS287" s="122"/>
      <c r="IT287" s="122"/>
      <c r="IU287" s="122"/>
      <c r="IV287" s="122"/>
      <c r="IW287" s="122"/>
      <c r="IX287" s="122"/>
      <c r="IY287" s="122"/>
      <c r="IZ287" s="122"/>
      <c r="JA287" s="122"/>
      <c r="JB287" s="122"/>
      <c r="JC287" s="122"/>
      <c r="JD287" s="122"/>
      <c r="JE287" s="122"/>
      <c r="JF287" s="122"/>
      <c r="JG287" s="122"/>
      <c r="JH287" s="122"/>
      <c r="JI287" s="122"/>
      <c r="JJ287" s="122"/>
      <c r="JK287" s="122"/>
      <c r="JL287" s="122"/>
      <c r="JM287" s="122"/>
      <c r="JN287" s="122"/>
      <c r="JO287" s="122"/>
      <c r="JP287" s="122"/>
      <c r="JQ287" s="122"/>
      <c r="JR287" s="122"/>
      <c r="JS287" s="122"/>
      <c r="JT287" s="122"/>
      <c r="JU287" s="122"/>
      <c r="JV287" s="122"/>
      <c r="JW287" s="122"/>
      <c r="JX287" s="122"/>
      <c r="JY287" s="122"/>
      <c r="JZ287" s="122"/>
      <c r="KA287" s="122"/>
      <c r="KB287" s="122"/>
      <c r="KC287" s="412"/>
      <c r="KD287" s="412"/>
      <c r="KE287" s="412"/>
      <c r="KF287" s="122"/>
      <c r="KG287" s="122"/>
      <c r="KH287" s="122"/>
      <c r="KI287" s="122"/>
      <c r="KJ287" s="122"/>
      <c r="KK287" s="122"/>
      <c r="KL287" s="122"/>
      <c r="KM287" s="122"/>
      <c r="KN287" s="122"/>
      <c r="KO287" s="122"/>
      <c r="KP287" s="122"/>
    </row>
    <row r="288" spans="1:302">
      <c r="A288">
        <v>274</v>
      </c>
      <c r="B288" t="s">
        <v>468</v>
      </c>
      <c r="C288" s="202" t="s">
        <v>1177</v>
      </c>
      <c r="D288" s="28" t="s">
        <v>748</v>
      </c>
      <c r="E288" s="27" t="s">
        <v>749</v>
      </c>
      <c r="F288" s="5" t="s">
        <v>2182</v>
      </c>
      <c r="G288" s="27" t="s">
        <v>102</v>
      </c>
      <c r="I288" s="27" t="s">
        <v>94</v>
      </c>
      <c r="J288" s="28">
        <v>21591</v>
      </c>
      <c r="K288" s="27" t="s">
        <v>97</v>
      </c>
      <c r="N288" s="28"/>
      <c r="O288" s="28"/>
      <c r="P288" s="28"/>
      <c r="Q288" s="28" t="s">
        <v>1036</v>
      </c>
      <c r="R288" s="28" t="s">
        <v>1038</v>
      </c>
      <c r="S288" s="27"/>
      <c r="T288" s="27"/>
      <c r="U288" s="27"/>
      <c r="W288" s="201"/>
      <c r="X288" s="201"/>
      <c r="Y288" s="201"/>
      <c r="Z288" s="201"/>
      <c r="AA288" s="202" t="s">
        <v>440</v>
      </c>
      <c r="AB288" s="201">
        <v>117.66</v>
      </c>
      <c r="AC288" s="203">
        <f t="shared" si="263"/>
        <v>112.66</v>
      </c>
      <c r="AD288" s="122" t="s">
        <v>24</v>
      </c>
      <c r="AE288" s="204">
        <f t="shared" si="231"/>
        <v>58.172837999999999</v>
      </c>
      <c r="AF288" s="204"/>
      <c r="AG288" s="204">
        <f t="shared" si="265"/>
        <v>9.0789473684210531</v>
      </c>
      <c r="AH288" s="204">
        <f t="shared" si="233"/>
        <v>0</v>
      </c>
      <c r="AI288" s="204">
        <f t="shared" si="234"/>
        <v>0</v>
      </c>
      <c r="AJ288" s="204">
        <f t="shared" si="235"/>
        <v>0.18157894736842106</v>
      </c>
      <c r="AK288" s="204">
        <f t="shared" si="236"/>
        <v>0.84064731710526319</v>
      </c>
      <c r="AL288" s="204">
        <f t="shared" si="237"/>
        <v>7.397696390526316</v>
      </c>
      <c r="AM288" s="204">
        <f t="shared" si="238"/>
        <v>4.8782051282051277</v>
      </c>
      <c r="AN288" s="204">
        <f t="shared" si="239"/>
        <v>3.125</v>
      </c>
      <c r="AO288" s="205">
        <v>0</v>
      </c>
      <c r="AP288" s="205"/>
      <c r="AQ288" s="204">
        <f t="shared" si="266"/>
        <v>83.674913151626185</v>
      </c>
      <c r="AR288" s="204"/>
      <c r="AS288" s="204"/>
      <c r="AT288" s="205">
        <v>0</v>
      </c>
      <c r="AU288" s="103"/>
      <c r="AV288" s="206">
        <f t="shared" si="267"/>
        <v>83.674913151626185</v>
      </c>
      <c r="AW288" s="122">
        <v>0.497</v>
      </c>
      <c r="AX288" s="122">
        <v>0.49399999999999999</v>
      </c>
      <c r="AY288" s="207">
        <v>0.9</v>
      </c>
      <c r="AZ288" s="103">
        <f t="shared" si="268"/>
        <v>3.0000000000000027E-3</v>
      </c>
      <c r="BA288" s="203">
        <f t="shared" si="269"/>
        <v>58.172837999999999</v>
      </c>
      <c r="BB288" s="203"/>
      <c r="BC288" s="203"/>
      <c r="BD288" s="203"/>
      <c r="BE288" s="203"/>
      <c r="BF288" s="203"/>
      <c r="BG288" s="203"/>
      <c r="BH288" s="203"/>
      <c r="BI288" s="203"/>
      <c r="BJ288" s="203"/>
      <c r="BK288" s="203"/>
      <c r="BL288" s="203"/>
      <c r="BM288" s="203"/>
      <c r="BN288" s="203"/>
      <c r="BO288" s="203"/>
      <c r="BP288" s="203"/>
      <c r="BQ288" s="203"/>
      <c r="BR288" s="203"/>
      <c r="BS288" s="203"/>
      <c r="BT288" s="203"/>
      <c r="BU288" s="203"/>
      <c r="BV288" s="203"/>
      <c r="BW288" s="203"/>
      <c r="BX288" s="203"/>
      <c r="BY288" s="203"/>
      <c r="BZ288" s="203"/>
      <c r="CA288" s="203"/>
      <c r="CB288" s="203"/>
      <c r="CC288" s="203"/>
      <c r="CD288" s="122"/>
      <c r="CE288" s="122">
        <v>0</v>
      </c>
      <c r="CF288" s="122">
        <v>0</v>
      </c>
      <c r="CG288" s="122">
        <v>0</v>
      </c>
      <c r="CH288" s="122">
        <v>0</v>
      </c>
      <c r="CI288" s="122"/>
      <c r="CJ288" s="122"/>
      <c r="CK288" s="122"/>
      <c r="CL288" s="122"/>
      <c r="CM288" s="122"/>
      <c r="CN288" s="122"/>
      <c r="CO288" s="122"/>
      <c r="CP288" s="122"/>
      <c r="CQ288" s="122"/>
      <c r="CR288" s="122"/>
      <c r="CS288" s="122"/>
      <c r="CT288" s="122"/>
      <c r="CU288" s="122"/>
      <c r="CV288" s="122"/>
      <c r="CW288" s="122"/>
      <c r="CX288" s="122"/>
      <c r="CY288" s="122"/>
      <c r="CZ288" s="122"/>
      <c r="DA288" s="122"/>
      <c r="DB288" s="122"/>
      <c r="DC288" s="122"/>
      <c r="DD288" s="122"/>
      <c r="DE288" s="122"/>
      <c r="DF288" s="122"/>
      <c r="DG288" s="122"/>
      <c r="DH288" s="122"/>
      <c r="DI288" s="122"/>
      <c r="DJ288" s="122"/>
      <c r="DK288" s="122"/>
      <c r="DL288" s="122"/>
      <c r="DM288" s="122">
        <v>0</v>
      </c>
      <c r="DN288" s="208">
        <v>1.2500000000000001E-2</v>
      </c>
      <c r="DO288" s="203">
        <f t="shared" si="270"/>
        <v>0</v>
      </c>
      <c r="DP288" s="203">
        <f t="shared" si="271"/>
        <v>0</v>
      </c>
      <c r="DQ288" s="203"/>
      <c r="DR288" s="203"/>
      <c r="DS288" s="203"/>
      <c r="DT288" s="203"/>
      <c r="DU288" s="203"/>
      <c r="DV288" s="203"/>
      <c r="DW288" s="203"/>
      <c r="DX288" s="203"/>
      <c r="DY288" s="203"/>
      <c r="DZ288" s="203"/>
      <c r="EA288" s="203"/>
      <c r="EB288" s="203"/>
      <c r="EC288" s="203"/>
      <c r="ED288" s="203"/>
      <c r="EE288" s="203"/>
      <c r="EF288" s="122">
        <v>450</v>
      </c>
      <c r="EG288" s="122">
        <v>4140</v>
      </c>
      <c r="EH288" s="122">
        <v>8</v>
      </c>
      <c r="EI288" s="207">
        <v>0.95</v>
      </c>
      <c r="EJ288" s="122">
        <v>1</v>
      </c>
      <c r="EK288" s="122">
        <v>60</v>
      </c>
      <c r="EL288" s="209">
        <f>ROUND(3600/EK288*EH288*EJ288*EI288,0)</f>
        <v>456</v>
      </c>
      <c r="EM288" s="122"/>
      <c r="EN288" s="122"/>
      <c r="EO288" s="122"/>
      <c r="EP288" s="209"/>
      <c r="EQ288" s="209"/>
      <c r="ER288" s="209"/>
      <c r="ES288" s="209"/>
      <c r="ET288" s="209"/>
      <c r="EU288" s="203">
        <f t="shared" si="260"/>
        <v>9.0789473684210531</v>
      </c>
      <c r="EV288" s="122"/>
      <c r="EW288" s="122"/>
      <c r="EX288" s="122"/>
      <c r="EY288" s="122"/>
      <c r="EZ288" s="122"/>
      <c r="FA288" s="122"/>
      <c r="FB288" s="122"/>
      <c r="FC288" s="122"/>
      <c r="FD288" s="122"/>
      <c r="FE288" s="122"/>
      <c r="FF288" s="122"/>
      <c r="FG288" s="122"/>
      <c r="FH288" s="122"/>
      <c r="FI288" s="122"/>
      <c r="FJ288" s="122"/>
      <c r="FK288" s="122"/>
      <c r="FL288" s="122"/>
      <c r="FM288" s="122"/>
      <c r="FN288" s="122"/>
      <c r="FO288" s="122"/>
      <c r="FP288" s="122"/>
      <c r="FQ288" s="122"/>
      <c r="FR288" s="122"/>
      <c r="FS288" s="122"/>
      <c r="FT288" s="122"/>
      <c r="FU288" s="122"/>
      <c r="FV288" s="122"/>
      <c r="FW288" s="122"/>
      <c r="FX288" s="122"/>
      <c r="FY288" s="122"/>
      <c r="FZ288" s="122"/>
      <c r="GA288" s="122"/>
      <c r="GB288" s="122"/>
      <c r="GC288" s="122"/>
      <c r="GD288" s="122"/>
      <c r="GE288" s="122"/>
      <c r="GF288" s="122"/>
      <c r="GG288" s="122"/>
      <c r="GH288" s="122"/>
      <c r="GI288" s="122"/>
      <c r="GJ288" s="122"/>
      <c r="GK288" s="122"/>
      <c r="GL288" s="122"/>
      <c r="GM288" s="122"/>
      <c r="GN288" s="122"/>
      <c r="GO288" s="122"/>
      <c r="GP288" s="122"/>
      <c r="GQ288" s="122"/>
      <c r="GR288" s="207">
        <v>0.11</v>
      </c>
      <c r="GS288" s="203">
        <f t="shared" si="264"/>
        <v>7.397696390526316</v>
      </c>
      <c r="GT288" s="208">
        <v>1.2500000000000001E-2</v>
      </c>
      <c r="GU288" s="203">
        <f t="shared" si="245"/>
        <v>0.84064731710526319</v>
      </c>
      <c r="GV288" s="207">
        <v>0.02</v>
      </c>
      <c r="GW288" s="203">
        <f t="shared" si="272"/>
        <v>0.18157894736842106</v>
      </c>
      <c r="GX288" s="203">
        <f t="shared" si="247"/>
        <v>8.4199226550000006</v>
      </c>
      <c r="GY288" s="122" t="s">
        <v>130</v>
      </c>
      <c r="GZ288" s="122" t="s">
        <v>130</v>
      </c>
      <c r="HA288" s="203">
        <v>1600</v>
      </c>
      <c r="HB288" s="203">
        <v>950</v>
      </c>
      <c r="HC288" s="122">
        <v>1200</v>
      </c>
      <c r="HD288" s="122">
        <v>40</v>
      </c>
      <c r="HE288" s="122">
        <v>650</v>
      </c>
      <c r="HF288" s="203">
        <f t="shared" si="248"/>
        <v>17</v>
      </c>
      <c r="HG288" s="122">
        <v>5</v>
      </c>
      <c r="HH288" s="202">
        <f t="shared" si="249"/>
        <v>85</v>
      </c>
      <c r="HI288" s="122">
        <v>15500</v>
      </c>
      <c r="HJ288" s="203">
        <f t="shared" si="250"/>
        <v>1317500</v>
      </c>
      <c r="HK288" s="203"/>
      <c r="HL288" s="203"/>
      <c r="HM288" s="203">
        <v>2</v>
      </c>
      <c r="HN288" s="209">
        <f t="shared" si="251"/>
        <v>390000</v>
      </c>
      <c r="HO288" s="203">
        <f t="shared" si="252"/>
        <v>3.3782051282051282</v>
      </c>
      <c r="HP288" s="203">
        <v>160</v>
      </c>
      <c r="HQ288" s="122">
        <v>0</v>
      </c>
      <c r="HR288" s="203">
        <v>0</v>
      </c>
      <c r="HS288" s="203">
        <v>1</v>
      </c>
      <c r="HT288" s="103">
        <v>1.5</v>
      </c>
      <c r="HU288" s="103"/>
      <c r="HV288" s="203">
        <f t="shared" si="273"/>
        <v>4.8782051282051277</v>
      </c>
      <c r="HW288" s="203"/>
      <c r="HX288" s="203">
        <v>2917</v>
      </c>
      <c r="HY288" s="203">
        <v>1689</v>
      </c>
      <c r="HZ288" s="203">
        <v>1842</v>
      </c>
      <c r="IA288" s="203">
        <f t="shared" si="274"/>
        <v>1</v>
      </c>
      <c r="IB288" s="203">
        <f t="shared" si="275"/>
        <v>1</v>
      </c>
      <c r="IC288" s="203">
        <f t="shared" si="276"/>
        <v>1</v>
      </c>
      <c r="ID288" s="207">
        <v>1</v>
      </c>
      <c r="IE288" s="203">
        <v>4</v>
      </c>
      <c r="IF288" s="203">
        <v>500</v>
      </c>
      <c r="IG288" s="203">
        <f t="shared" si="255"/>
        <v>3.125</v>
      </c>
      <c r="IH288" s="203"/>
      <c r="II288" s="122"/>
      <c r="IJ288" s="122"/>
      <c r="IK288" s="122"/>
      <c r="IL288" s="122"/>
      <c r="IM288" s="122"/>
      <c r="IN288" s="122"/>
      <c r="IO288" s="122"/>
      <c r="IP288" s="122"/>
      <c r="IQ288" s="122"/>
      <c r="IR288" s="122"/>
      <c r="IS288" s="122"/>
      <c r="IT288" s="122"/>
      <c r="IU288" s="122"/>
      <c r="IV288" s="122"/>
      <c r="IW288" s="122"/>
      <c r="IX288" s="122"/>
      <c r="IY288" s="122"/>
      <c r="IZ288" s="122"/>
      <c r="JA288" s="122"/>
      <c r="JB288" s="122"/>
      <c r="JC288" s="122"/>
      <c r="JD288" s="122"/>
      <c r="JE288" s="122"/>
      <c r="JF288" s="122"/>
      <c r="JG288" s="122"/>
      <c r="JH288" s="122"/>
      <c r="JI288" s="122"/>
      <c r="JJ288" s="122"/>
      <c r="JK288" s="122"/>
      <c r="JL288" s="122"/>
      <c r="JM288" s="122"/>
      <c r="JN288" s="122"/>
      <c r="JO288" s="122"/>
      <c r="JP288" s="122"/>
      <c r="JQ288" s="122"/>
      <c r="JR288" s="122"/>
      <c r="JS288" s="122"/>
      <c r="JT288" s="122"/>
      <c r="JU288" s="122"/>
      <c r="JV288" s="122"/>
      <c r="JW288" s="122"/>
      <c r="JX288" s="122"/>
      <c r="JY288" s="122"/>
      <c r="JZ288" s="122"/>
      <c r="KA288" s="122"/>
      <c r="KB288" s="122"/>
      <c r="KC288" s="412"/>
      <c r="KD288" s="412"/>
      <c r="KE288" s="412"/>
      <c r="KF288" s="122"/>
      <c r="KG288" s="122"/>
      <c r="KH288" s="122"/>
      <c r="KI288" s="122"/>
      <c r="KJ288" s="122"/>
      <c r="KK288" s="122"/>
      <c r="KL288" s="122"/>
      <c r="KM288" s="122"/>
      <c r="KN288" s="122"/>
      <c r="KO288" s="122"/>
      <c r="KP288" s="122"/>
    </row>
    <row r="289" spans="1:302">
      <c r="A289">
        <v>275</v>
      </c>
      <c r="B289" t="s">
        <v>468</v>
      </c>
      <c r="C289" s="202" t="s">
        <v>1178</v>
      </c>
      <c r="D289" s="28" t="s">
        <v>750</v>
      </c>
      <c r="E289" s="27" t="s">
        <v>186</v>
      </c>
      <c r="F289" s="5" t="s">
        <v>2182</v>
      </c>
      <c r="G289" s="27" t="s">
        <v>102</v>
      </c>
      <c r="I289" s="27" t="s">
        <v>94</v>
      </c>
      <c r="J289" s="28">
        <v>21591</v>
      </c>
      <c r="K289" s="27" t="s">
        <v>97</v>
      </c>
      <c r="N289" s="28"/>
      <c r="O289" s="28"/>
      <c r="P289" s="28"/>
      <c r="Q289" s="28" t="s">
        <v>1036</v>
      </c>
      <c r="R289" s="28" t="s">
        <v>1038</v>
      </c>
      <c r="S289" s="27"/>
      <c r="T289" s="27"/>
      <c r="U289" s="27"/>
      <c r="W289" s="201"/>
      <c r="X289" s="201"/>
      <c r="Y289" s="201"/>
      <c r="Z289" s="201"/>
      <c r="AA289" s="202" t="s">
        <v>899</v>
      </c>
      <c r="AB289" s="201">
        <v>108.48</v>
      </c>
      <c r="AC289" s="203">
        <f t="shared" si="263"/>
        <v>103.48</v>
      </c>
      <c r="AD289" s="122" t="s">
        <v>24</v>
      </c>
      <c r="AE289" s="204">
        <f t="shared" si="231"/>
        <v>39.284064000000001</v>
      </c>
      <c r="AF289" s="204"/>
      <c r="AG289" s="204">
        <f t="shared" si="265"/>
        <v>6.8092105263157894</v>
      </c>
      <c r="AH289" s="204">
        <f t="shared" si="233"/>
        <v>0</v>
      </c>
      <c r="AI289" s="204">
        <f t="shared" si="234"/>
        <v>0</v>
      </c>
      <c r="AJ289" s="204">
        <f t="shared" si="235"/>
        <v>0.1361842105263158</v>
      </c>
      <c r="AK289" s="204">
        <f t="shared" si="236"/>
        <v>0.57616593157894735</v>
      </c>
      <c r="AL289" s="204">
        <f t="shared" si="237"/>
        <v>5.0702601978947364</v>
      </c>
      <c r="AM289" s="204">
        <f t="shared" si="238"/>
        <v>0.27500000000000002</v>
      </c>
      <c r="AN289" s="204">
        <f t="shared" si="239"/>
        <v>1.7361111111111112</v>
      </c>
      <c r="AO289" s="205">
        <v>0</v>
      </c>
      <c r="AP289" s="205"/>
      <c r="AQ289" s="204">
        <f t="shared" si="266"/>
        <v>53.886995977426899</v>
      </c>
      <c r="AR289" s="204"/>
      <c r="AS289" s="204"/>
      <c r="AT289" s="205">
        <v>0</v>
      </c>
      <c r="AU289" s="103"/>
      <c r="AV289" s="206">
        <f t="shared" si="267"/>
        <v>53.886995977426899</v>
      </c>
      <c r="AW289" s="122">
        <v>0.36899999999999999</v>
      </c>
      <c r="AX289" s="122">
        <v>0.36099999999999999</v>
      </c>
      <c r="AY289" s="207">
        <v>0.9</v>
      </c>
      <c r="AZ289" s="103">
        <f t="shared" si="268"/>
        <v>8.0000000000000071E-3</v>
      </c>
      <c r="BA289" s="203">
        <f t="shared" si="269"/>
        <v>39.284064000000001</v>
      </c>
      <c r="BB289" s="203"/>
      <c r="BC289" s="203"/>
      <c r="BD289" s="203"/>
      <c r="BE289" s="203"/>
      <c r="BF289" s="203"/>
      <c r="BG289" s="203"/>
      <c r="BH289" s="203"/>
      <c r="BI289" s="203"/>
      <c r="BJ289" s="203"/>
      <c r="BK289" s="203"/>
      <c r="BL289" s="203"/>
      <c r="BM289" s="203"/>
      <c r="BN289" s="203"/>
      <c r="BO289" s="203"/>
      <c r="BP289" s="203"/>
      <c r="BQ289" s="203"/>
      <c r="BR289" s="203"/>
      <c r="BS289" s="203"/>
      <c r="BT289" s="203"/>
      <c r="BU289" s="203"/>
      <c r="BV289" s="203"/>
      <c r="BW289" s="203"/>
      <c r="BX289" s="203"/>
      <c r="BY289" s="203"/>
      <c r="BZ289" s="203"/>
      <c r="CA289" s="203"/>
      <c r="CB289" s="203"/>
      <c r="CC289" s="203"/>
      <c r="CD289" s="122"/>
      <c r="CE289" s="122">
        <v>0</v>
      </c>
      <c r="CF289" s="122">
        <v>0</v>
      </c>
      <c r="CG289" s="122">
        <v>0</v>
      </c>
      <c r="CH289" s="122">
        <v>0</v>
      </c>
      <c r="CI289" s="122"/>
      <c r="CJ289" s="122"/>
      <c r="CK289" s="122"/>
      <c r="CL289" s="122"/>
      <c r="CM289" s="122"/>
      <c r="CN289" s="122"/>
      <c r="CO289" s="122"/>
      <c r="CP289" s="122"/>
      <c r="CQ289" s="122"/>
      <c r="CR289" s="122"/>
      <c r="CS289" s="122"/>
      <c r="CT289" s="122"/>
      <c r="CU289" s="122"/>
      <c r="CV289" s="122"/>
      <c r="CW289" s="122"/>
      <c r="CX289" s="122"/>
      <c r="CY289" s="122"/>
      <c r="CZ289" s="122"/>
      <c r="DA289" s="122"/>
      <c r="DB289" s="122"/>
      <c r="DC289" s="122"/>
      <c r="DD289" s="122"/>
      <c r="DE289" s="122"/>
      <c r="DF289" s="122"/>
      <c r="DG289" s="122"/>
      <c r="DH289" s="122"/>
      <c r="DI289" s="122"/>
      <c r="DJ289" s="122"/>
      <c r="DK289" s="122"/>
      <c r="DL289" s="122"/>
      <c r="DM289" s="122">
        <v>0</v>
      </c>
      <c r="DN289" s="208">
        <v>1.2500000000000001E-2</v>
      </c>
      <c r="DO289" s="203">
        <f t="shared" si="270"/>
        <v>0</v>
      </c>
      <c r="DP289" s="203">
        <f t="shared" si="271"/>
        <v>0</v>
      </c>
      <c r="DQ289" s="203"/>
      <c r="DR289" s="203"/>
      <c r="DS289" s="203"/>
      <c r="DT289" s="203"/>
      <c r="DU289" s="203"/>
      <c r="DV289" s="203"/>
      <c r="DW289" s="203"/>
      <c r="DX289" s="203"/>
      <c r="DY289" s="203"/>
      <c r="DZ289" s="203"/>
      <c r="EA289" s="203"/>
      <c r="EB289" s="203"/>
      <c r="EC289" s="203"/>
      <c r="ED289" s="203"/>
      <c r="EE289" s="203"/>
      <c r="EF289" s="122">
        <v>450</v>
      </c>
      <c r="EG289" s="122">
        <v>4140</v>
      </c>
      <c r="EH289" s="122">
        <v>8</v>
      </c>
      <c r="EI289" s="207">
        <v>0.95</v>
      </c>
      <c r="EJ289" s="122">
        <v>1</v>
      </c>
      <c r="EK289" s="122">
        <v>45</v>
      </c>
      <c r="EL289" s="209">
        <f>ROUND(3600/EK289*EH289*EJ289*EI289,0)</f>
        <v>608</v>
      </c>
      <c r="EM289" s="122"/>
      <c r="EN289" s="122"/>
      <c r="EO289" s="122"/>
      <c r="EP289" s="209"/>
      <c r="EQ289" s="209"/>
      <c r="ER289" s="209"/>
      <c r="ES289" s="209"/>
      <c r="ET289" s="209"/>
      <c r="EU289" s="203">
        <f t="shared" si="260"/>
        <v>6.8092105263157894</v>
      </c>
      <c r="EV289" s="122"/>
      <c r="EW289" s="122"/>
      <c r="EX289" s="122"/>
      <c r="EY289" s="122"/>
      <c r="EZ289" s="122"/>
      <c r="FA289" s="122"/>
      <c r="FB289" s="122"/>
      <c r="FC289" s="122"/>
      <c r="FD289" s="122"/>
      <c r="FE289" s="122"/>
      <c r="FF289" s="122"/>
      <c r="FG289" s="122"/>
      <c r="FH289" s="122"/>
      <c r="FI289" s="122"/>
      <c r="FJ289" s="122"/>
      <c r="FK289" s="122"/>
      <c r="FL289" s="122"/>
      <c r="FM289" s="122"/>
      <c r="FN289" s="122"/>
      <c r="FO289" s="122"/>
      <c r="FP289" s="122"/>
      <c r="FQ289" s="122"/>
      <c r="FR289" s="122"/>
      <c r="FS289" s="122"/>
      <c r="FT289" s="122"/>
      <c r="FU289" s="122"/>
      <c r="FV289" s="122"/>
      <c r="FW289" s="122"/>
      <c r="FX289" s="122"/>
      <c r="FY289" s="122"/>
      <c r="FZ289" s="122"/>
      <c r="GA289" s="122"/>
      <c r="GB289" s="122"/>
      <c r="GC289" s="122"/>
      <c r="GD289" s="122"/>
      <c r="GE289" s="122"/>
      <c r="GF289" s="122"/>
      <c r="GG289" s="122"/>
      <c r="GH289" s="122"/>
      <c r="GI289" s="122"/>
      <c r="GJ289" s="122"/>
      <c r="GK289" s="122"/>
      <c r="GL289" s="122"/>
      <c r="GM289" s="122"/>
      <c r="GN289" s="122"/>
      <c r="GO289" s="122"/>
      <c r="GP289" s="122"/>
      <c r="GQ289" s="122"/>
      <c r="GR289" s="207">
        <v>0.11</v>
      </c>
      <c r="GS289" s="203">
        <f t="shared" si="264"/>
        <v>5.0702601978947364</v>
      </c>
      <c r="GT289" s="208">
        <v>1.2500000000000001E-2</v>
      </c>
      <c r="GU289" s="203">
        <f t="shared" si="245"/>
        <v>0.57616593157894735</v>
      </c>
      <c r="GV289" s="207">
        <v>0.02</v>
      </c>
      <c r="GW289" s="203">
        <f t="shared" si="272"/>
        <v>0.1361842105263158</v>
      </c>
      <c r="GX289" s="203">
        <f t="shared" si="247"/>
        <v>5.7826103399999988</v>
      </c>
      <c r="GY289" s="122" t="s">
        <v>43</v>
      </c>
      <c r="GZ289" s="122" t="s">
        <v>87</v>
      </c>
      <c r="HA289" s="203">
        <v>980</v>
      </c>
      <c r="HB289" s="203">
        <v>700</v>
      </c>
      <c r="HC289" s="122">
        <v>450</v>
      </c>
      <c r="HD289" s="122">
        <v>20</v>
      </c>
      <c r="HE289" s="122">
        <v>650</v>
      </c>
      <c r="HF289" s="203">
        <f t="shared" si="248"/>
        <v>33</v>
      </c>
      <c r="HG289" s="122">
        <v>5</v>
      </c>
      <c r="HH289" s="202">
        <f t="shared" si="249"/>
        <v>165</v>
      </c>
      <c r="HI289" s="122">
        <v>650</v>
      </c>
      <c r="HJ289" s="203">
        <f t="shared" si="250"/>
        <v>107250</v>
      </c>
      <c r="HK289" s="203"/>
      <c r="HL289" s="203"/>
      <c r="HM289" s="203">
        <v>2</v>
      </c>
      <c r="HN289" s="209">
        <f t="shared" si="251"/>
        <v>390000</v>
      </c>
      <c r="HO289" s="203">
        <f t="shared" si="252"/>
        <v>0.27500000000000002</v>
      </c>
      <c r="HP289" s="203">
        <v>160</v>
      </c>
      <c r="HQ289" s="122">
        <v>0</v>
      </c>
      <c r="HR289" s="203">
        <v>0</v>
      </c>
      <c r="HS289" s="203">
        <v>0</v>
      </c>
      <c r="HT289" s="103">
        <v>0</v>
      </c>
      <c r="HU289" s="103"/>
      <c r="HV289" s="203">
        <f t="shared" si="273"/>
        <v>0.27500000000000002</v>
      </c>
      <c r="HW289" s="203"/>
      <c r="HX289" s="203">
        <v>2917</v>
      </c>
      <c r="HY289" s="203">
        <v>1689</v>
      </c>
      <c r="HZ289" s="203">
        <v>1842</v>
      </c>
      <c r="IA289" s="203">
        <f t="shared" si="274"/>
        <v>2</v>
      </c>
      <c r="IB289" s="203">
        <f t="shared" si="275"/>
        <v>2</v>
      </c>
      <c r="IC289" s="203">
        <f t="shared" si="276"/>
        <v>4</v>
      </c>
      <c r="ID289" s="207">
        <v>0.9</v>
      </c>
      <c r="IE289" s="203">
        <f>(PRODUCT(IA289:ID289))</f>
        <v>14.4</v>
      </c>
      <c r="IF289" s="203">
        <v>500</v>
      </c>
      <c r="IG289" s="202">
        <f t="shared" si="255"/>
        <v>1.7361111111111112</v>
      </c>
      <c r="IH289" s="20"/>
    </row>
    <row r="290" spans="1:302">
      <c r="A290">
        <v>276</v>
      </c>
      <c r="B290" t="s">
        <v>468</v>
      </c>
      <c r="C290" s="202" t="s">
        <v>1179</v>
      </c>
      <c r="D290" s="28" t="s">
        <v>751</v>
      </c>
      <c r="E290" s="27" t="s">
        <v>339</v>
      </c>
      <c r="F290" s="5" t="s">
        <v>2182</v>
      </c>
      <c r="G290" s="27" t="s">
        <v>102</v>
      </c>
      <c r="I290" s="27" t="s">
        <v>94</v>
      </c>
      <c r="J290" s="28">
        <v>21591</v>
      </c>
      <c r="K290" s="27" t="s">
        <v>97</v>
      </c>
      <c r="N290" s="28"/>
      <c r="O290" s="28"/>
      <c r="P290" s="28"/>
      <c r="Q290" s="28" t="s">
        <v>1036</v>
      </c>
      <c r="R290" s="28" t="s">
        <v>1038</v>
      </c>
      <c r="S290" s="27"/>
      <c r="T290" s="27"/>
      <c r="U290" s="27"/>
      <c r="W290" s="201"/>
      <c r="X290" s="201"/>
      <c r="Y290" s="201"/>
      <c r="Z290" s="201"/>
      <c r="AA290" s="202" t="s">
        <v>440</v>
      </c>
      <c r="AB290" s="201">
        <v>117.66</v>
      </c>
      <c r="AC290" s="203">
        <f t="shared" si="263"/>
        <v>112.66</v>
      </c>
      <c r="AD290" s="122" t="s">
        <v>24</v>
      </c>
      <c r="AE290" s="204">
        <f t="shared" si="231"/>
        <v>26.23818</v>
      </c>
      <c r="AF290" s="204"/>
      <c r="AG290" s="204">
        <f t="shared" si="265"/>
        <v>7.5685557586837291</v>
      </c>
      <c r="AH290" s="204">
        <f t="shared" si="233"/>
        <v>1.8</v>
      </c>
      <c r="AI290" s="204">
        <f t="shared" si="234"/>
        <v>2.2500000000000003E-2</v>
      </c>
      <c r="AJ290" s="204">
        <f t="shared" si="235"/>
        <v>0.15137111517367458</v>
      </c>
      <c r="AK290" s="204">
        <f t="shared" si="236"/>
        <v>0.42258419698354666</v>
      </c>
      <c r="AL290" s="204">
        <f t="shared" si="237"/>
        <v>3.7187409334552104</v>
      </c>
      <c r="AM290" s="204">
        <f t="shared" si="238"/>
        <v>0.59166666666666667</v>
      </c>
      <c r="AN290" s="204">
        <f t="shared" si="239"/>
        <v>0.57870370370370372</v>
      </c>
      <c r="AO290" s="205">
        <v>0</v>
      </c>
      <c r="AP290" s="205"/>
      <c r="AQ290" s="204">
        <f t="shared" si="266"/>
        <v>41.092302374666531</v>
      </c>
      <c r="AR290" s="204"/>
      <c r="AS290" s="204"/>
      <c r="AT290" s="205">
        <v>0</v>
      </c>
      <c r="AU290" s="103"/>
      <c r="AV290" s="206">
        <f t="shared" si="267"/>
        <v>41.092302374666531</v>
      </c>
      <c r="AW290" s="122">
        <v>0.223</v>
      </c>
      <c r="AX290" s="122">
        <v>0.223</v>
      </c>
      <c r="AY290" s="207">
        <v>0.9</v>
      </c>
      <c r="AZ290" s="103">
        <f t="shared" si="268"/>
        <v>0</v>
      </c>
      <c r="BA290" s="203">
        <f t="shared" si="269"/>
        <v>26.23818</v>
      </c>
      <c r="BB290" s="203"/>
      <c r="BC290" s="203"/>
      <c r="BD290" s="203"/>
      <c r="BE290" s="203"/>
      <c r="BF290" s="203"/>
      <c r="BG290" s="203"/>
      <c r="BH290" s="203"/>
      <c r="BI290" s="203"/>
      <c r="BJ290" s="203"/>
      <c r="BK290" s="203"/>
      <c r="BL290" s="203"/>
      <c r="BM290" s="203"/>
      <c r="BN290" s="203"/>
      <c r="BO290" s="203"/>
      <c r="BP290" s="203"/>
      <c r="BQ290" s="203"/>
      <c r="BR290" s="203"/>
      <c r="BS290" s="203"/>
      <c r="BT290" s="203"/>
      <c r="BU290" s="203"/>
      <c r="BV290" s="203"/>
      <c r="BW290" s="203"/>
      <c r="BX290" s="203"/>
      <c r="BY290" s="203"/>
      <c r="BZ290" s="203"/>
      <c r="CA290" s="203"/>
      <c r="CB290" s="203"/>
      <c r="CC290" s="203"/>
      <c r="CD290" s="122"/>
      <c r="CE290" s="122"/>
      <c r="CF290" s="122">
        <v>1</v>
      </c>
      <c r="CG290" s="122">
        <v>1.8</v>
      </c>
      <c r="CH290" s="103">
        <f>CG290*CF290</f>
        <v>1.8</v>
      </c>
      <c r="CI290" s="122"/>
      <c r="CJ290" s="122"/>
      <c r="CK290" s="122"/>
      <c r="CL290" s="122"/>
      <c r="CM290" s="122"/>
      <c r="CN290" s="122"/>
      <c r="CO290" s="122"/>
      <c r="CP290" s="122"/>
      <c r="CQ290" s="122"/>
      <c r="CR290" s="122"/>
      <c r="CS290" s="122"/>
      <c r="CT290" s="122"/>
      <c r="CU290" s="122"/>
      <c r="CV290" s="122"/>
      <c r="CW290" s="122"/>
      <c r="CX290" s="122"/>
      <c r="CY290" s="122"/>
      <c r="CZ290" s="122"/>
      <c r="DA290" s="122"/>
      <c r="DB290" s="122"/>
      <c r="DC290" s="122"/>
      <c r="DD290" s="122"/>
      <c r="DE290" s="122"/>
      <c r="DF290" s="122"/>
      <c r="DG290" s="122"/>
      <c r="DH290" s="122"/>
      <c r="DI290" s="122"/>
      <c r="DJ290" s="122"/>
      <c r="DK290" s="122"/>
      <c r="DL290" s="122"/>
      <c r="DM290" s="103">
        <f>CM290+CR290+CW290+DB290+DG290+DL290+CH290</f>
        <v>1.8</v>
      </c>
      <c r="DN290" s="208">
        <v>1.2500000000000001E-2</v>
      </c>
      <c r="DO290" s="202">
        <f t="shared" si="270"/>
        <v>2.2500000000000003E-2</v>
      </c>
      <c r="DP290" s="203">
        <f t="shared" si="271"/>
        <v>1.8</v>
      </c>
      <c r="DQ290" s="203"/>
      <c r="DR290" s="203"/>
      <c r="DS290" s="203"/>
      <c r="DT290" s="203"/>
      <c r="DU290" s="203"/>
      <c r="DV290" s="203"/>
      <c r="DW290" s="203"/>
      <c r="DX290" s="203"/>
      <c r="DY290" s="203"/>
      <c r="DZ290" s="203"/>
      <c r="EA290" s="203"/>
      <c r="EB290" s="203"/>
      <c r="EC290" s="203"/>
      <c r="ED290" s="203"/>
      <c r="EE290" s="203"/>
      <c r="EF290" s="122">
        <v>450</v>
      </c>
      <c r="EG290" s="122">
        <v>4140</v>
      </c>
      <c r="EH290" s="122">
        <v>8</v>
      </c>
      <c r="EI290" s="207">
        <v>0.95</v>
      </c>
      <c r="EJ290" s="122">
        <v>1</v>
      </c>
      <c r="EK290" s="122">
        <v>50</v>
      </c>
      <c r="EL290" s="209">
        <f>ROUND(3600/EK290*EH290*EJ290*EI290,0)</f>
        <v>547</v>
      </c>
      <c r="EM290" s="122"/>
      <c r="EN290" s="122"/>
      <c r="EO290" s="122"/>
      <c r="EP290" s="209"/>
      <c r="EQ290" s="209"/>
      <c r="ER290" s="209"/>
      <c r="ES290" s="209"/>
      <c r="ET290" s="209"/>
      <c r="EU290" s="203">
        <f t="shared" si="260"/>
        <v>7.5685557586837291</v>
      </c>
      <c r="EV290" s="122"/>
      <c r="EW290" s="122"/>
      <c r="EX290" s="122"/>
      <c r="EY290" s="122"/>
      <c r="EZ290" s="122"/>
      <c r="FA290" s="122"/>
      <c r="FB290" s="122"/>
      <c r="FC290" s="122"/>
      <c r="FD290" s="122"/>
      <c r="FE290" s="122"/>
      <c r="FF290" s="122"/>
      <c r="FG290" s="122"/>
      <c r="FH290" s="122"/>
      <c r="FI290" s="122"/>
      <c r="FJ290" s="122"/>
      <c r="FK290" s="122"/>
      <c r="FL290" s="122"/>
      <c r="FM290" s="122"/>
      <c r="FN290" s="122"/>
      <c r="FO290" s="122"/>
      <c r="FP290" s="122"/>
      <c r="FQ290" s="122"/>
      <c r="FR290" s="122"/>
      <c r="FS290" s="122"/>
      <c r="FT290" s="122"/>
      <c r="FU290" s="122"/>
      <c r="FV290" s="122"/>
      <c r="FW290" s="122"/>
      <c r="FX290" s="122"/>
      <c r="FY290" s="122"/>
      <c r="FZ290" s="122"/>
      <c r="GA290" s="122"/>
      <c r="GB290" s="122"/>
      <c r="GC290" s="122"/>
      <c r="GD290" s="122"/>
      <c r="GE290" s="122"/>
      <c r="GF290" s="122"/>
      <c r="GG290" s="122"/>
      <c r="GH290" s="122"/>
      <c r="GI290" s="122"/>
      <c r="GJ290" s="122"/>
      <c r="GK290" s="122"/>
      <c r="GL290" s="122"/>
      <c r="GM290" s="122"/>
      <c r="GN290" s="122"/>
      <c r="GO290" s="122"/>
      <c r="GP290" s="122"/>
      <c r="GQ290" s="122"/>
      <c r="GR290" s="207">
        <v>0.11</v>
      </c>
      <c r="GS290" s="203">
        <f t="shared" si="264"/>
        <v>3.7187409334552104</v>
      </c>
      <c r="GT290" s="208">
        <v>1.2500000000000001E-2</v>
      </c>
      <c r="GU290" s="203">
        <f t="shared" si="245"/>
        <v>0.42258419698354666</v>
      </c>
      <c r="GV290" s="207">
        <v>0.02</v>
      </c>
      <c r="GW290" s="203">
        <f t="shared" si="272"/>
        <v>0.15137111517367458</v>
      </c>
      <c r="GX290" s="203">
        <f t="shared" si="247"/>
        <v>4.2926962456124311</v>
      </c>
      <c r="GY290" s="122" t="s">
        <v>43</v>
      </c>
      <c r="GZ290" s="122" t="s">
        <v>87</v>
      </c>
      <c r="HA290" s="203">
        <v>980</v>
      </c>
      <c r="HB290" s="203">
        <v>700</v>
      </c>
      <c r="HC290" s="122">
        <v>450</v>
      </c>
      <c r="HD290" s="122">
        <v>60</v>
      </c>
      <c r="HE290" s="122">
        <v>650</v>
      </c>
      <c r="HF290" s="203">
        <f t="shared" si="248"/>
        <v>11</v>
      </c>
      <c r="HG290" s="122">
        <v>5</v>
      </c>
      <c r="HH290" s="202">
        <f t="shared" si="249"/>
        <v>55</v>
      </c>
      <c r="HI290" s="122">
        <v>650</v>
      </c>
      <c r="HJ290" s="203">
        <f t="shared" si="250"/>
        <v>35750</v>
      </c>
      <c r="HK290" s="203"/>
      <c r="HL290" s="203"/>
      <c r="HM290" s="203">
        <v>2</v>
      </c>
      <c r="HN290" s="209">
        <f t="shared" si="251"/>
        <v>390000</v>
      </c>
      <c r="HO290" s="203">
        <f t="shared" si="252"/>
        <v>9.166666666666666E-2</v>
      </c>
      <c r="HP290" s="203">
        <v>160</v>
      </c>
      <c r="HQ290" s="122">
        <v>0</v>
      </c>
      <c r="HR290" s="203">
        <v>0</v>
      </c>
      <c r="HS290" s="203">
        <v>1</v>
      </c>
      <c r="HT290" s="103">
        <v>0.5</v>
      </c>
      <c r="HU290" s="103"/>
      <c r="HV290" s="203">
        <f t="shared" si="273"/>
        <v>0.59166666666666667</v>
      </c>
      <c r="HW290" s="203"/>
      <c r="HX290" s="203">
        <v>2917</v>
      </c>
      <c r="HY290" s="203">
        <v>1689</v>
      </c>
      <c r="HZ290" s="203">
        <v>1842</v>
      </c>
      <c r="IA290" s="203">
        <f t="shared" si="274"/>
        <v>2</v>
      </c>
      <c r="IB290" s="203">
        <f t="shared" si="275"/>
        <v>2</v>
      </c>
      <c r="IC290" s="203">
        <f t="shared" si="276"/>
        <v>4</v>
      </c>
      <c r="ID290" s="207">
        <v>0.9</v>
      </c>
      <c r="IE290" s="203">
        <f>(PRODUCT(IA290:ID290))</f>
        <v>14.4</v>
      </c>
      <c r="IF290" s="203">
        <v>500</v>
      </c>
      <c r="IG290" s="202">
        <f t="shared" si="255"/>
        <v>0.57870370370370372</v>
      </c>
      <c r="IH290" s="20"/>
    </row>
    <row r="291" spans="1:302">
      <c r="A291">
        <v>277</v>
      </c>
      <c r="B291" t="s">
        <v>468</v>
      </c>
      <c r="C291" s="202" t="s">
        <v>1180</v>
      </c>
      <c r="D291" s="28" t="s">
        <v>752</v>
      </c>
      <c r="E291" s="27" t="s">
        <v>753</v>
      </c>
      <c r="F291" s="5" t="s">
        <v>2182</v>
      </c>
      <c r="G291" s="27" t="s">
        <v>102</v>
      </c>
      <c r="I291" s="27" t="s">
        <v>121</v>
      </c>
      <c r="J291" s="28">
        <v>21480</v>
      </c>
      <c r="K291" s="27" t="s">
        <v>97</v>
      </c>
      <c r="N291" s="28"/>
      <c r="O291" s="28"/>
      <c r="P291" s="28"/>
      <c r="Q291" s="28" t="s">
        <v>1036</v>
      </c>
      <c r="R291" s="28" t="s">
        <v>1037</v>
      </c>
      <c r="S291" s="27"/>
      <c r="T291" s="27"/>
      <c r="U291" s="27"/>
      <c r="W291" s="201"/>
      <c r="X291" s="201"/>
      <c r="Y291" s="201"/>
      <c r="Z291" s="201"/>
      <c r="AA291" s="202" t="s">
        <v>469</v>
      </c>
      <c r="AB291" s="201">
        <v>84.32</v>
      </c>
      <c r="AC291" s="203">
        <f t="shared" si="263"/>
        <v>79.319999999999993</v>
      </c>
      <c r="AD291" s="122"/>
      <c r="AE291" s="204">
        <f t="shared" si="231"/>
        <v>0.68955999999999995</v>
      </c>
      <c r="AF291" s="204"/>
      <c r="AG291" s="204">
        <f t="shared" si="265"/>
        <v>0.4020100502512563</v>
      </c>
      <c r="AH291" s="204">
        <f t="shared" si="233"/>
        <v>0</v>
      </c>
      <c r="AI291" s="204">
        <f t="shared" si="234"/>
        <v>0</v>
      </c>
      <c r="AJ291" s="204">
        <f t="shared" si="235"/>
        <v>8.0402010050251264E-3</v>
      </c>
      <c r="AK291" s="204">
        <f t="shared" si="236"/>
        <v>1.3644625628140703E-2</v>
      </c>
      <c r="AL291" s="204">
        <f t="shared" si="237"/>
        <v>0.12007270552763818</v>
      </c>
      <c r="AM291" s="204">
        <f t="shared" si="238"/>
        <v>1.5277777777777777E-2</v>
      </c>
      <c r="AN291" s="204">
        <f t="shared" si="239"/>
        <v>2.7777777777777776E-2</v>
      </c>
      <c r="AO291" s="205">
        <v>0</v>
      </c>
      <c r="AP291" s="205"/>
      <c r="AQ291" s="204">
        <f t="shared" si="266"/>
        <v>1.2763831379676156</v>
      </c>
      <c r="AR291" s="204"/>
      <c r="AS291" s="204"/>
      <c r="AT291" s="205">
        <v>0</v>
      </c>
      <c r="AU291" s="103"/>
      <c r="AV291" s="206">
        <f t="shared" si="267"/>
        <v>1.2763831379676156</v>
      </c>
      <c r="AW291" s="122">
        <v>1.0999999999999999E-2</v>
      </c>
      <c r="AX291" s="122">
        <v>8.0000000000000002E-3</v>
      </c>
      <c r="AY291" s="210">
        <v>0.9</v>
      </c>
      <c r="AZ291" s="122">
        <f t="shared" si="268"/>
        <v>2.9999999999999992E-3</v>
      </c>
      <c r="BA291" s="202">
        <f>AW291*AB291-AZ291*AC291</f>
        <v>0.68955999999999995</v>
      </c>
      <c r="BB291" s="202"/>
      <c r="BC291" s="202"/>
      <c r="BD291" s="202"/>
      <c r="BE291" s="202"/>
      <c r="BF291" s="202"/>
      <c r="BG291" s="202"/>
      <c r="BH291" s="202"/>
      <c r="BI291" s="202"/>
      <c r="BJ291" s="202"/>
      <c r="BK291" s="202"/>
      <c r="BL291" s="202"/>
      <c r="BM291" s="202"/>
      <c r="BN291" s="202"/>
      <c r="BO291" s="202"/>
      <c r="BP291" s="202"/>
      <c r="BQ291" s="202"/>
      <c r="BR291" s="202"/>
      <c r="BS291" s="202"/>
      <c r="BT291" s="202"/>
      <c r="BU291" s="202"/>
      <c r="BV291" s="202"/>
      <c r="BW291" s="202"/>
      <c r="BX291" s="202"/>
      <c r="BY291" s="202"/>
      <c r="BZ291" s="202"/>
      <c r="CA291" s="202"/>
      <c r="CB291" s="202"/>
      <c r="CC291" s="202"/>
      <c r="CD291" s="122"/>
      <c r="CE291" s="122">
        <v>0</v>
      </c>
      <c r="CF291" s="122">
        <v>0</v>
      </c>
      <c r="CG291" s="122">
        <v>0</v>
      </c>
      <c r="CH291" s="122">
        <v>0</v>
      </c>
      <c r="CI291" s="122"/>
      <c r="CJ291" s="122"/>
      <c r="CK291" s="122"/>
      <c r="CL291" s="122"/>
      <c r="CM291" s="122"/>
      <c r="CN291" s="122"/>
      <c r="CO291" s="122"/>
      <c r="CP291" s="122"/>
      <c r="CQ291" s="122"/>
      <c r="CR291" s="122"/>
      <c r="CS291" s="122"/>
      <c r="CT291" s="122"/>
      <c r="CU291" s="122"/>
      <c r="CV291" s="122"/>
      <c r="CW291" s="122"/>
      <c r="CX291" s="122"/>
      <c r="CY291" s="122"/>
      <c r="CZ291" s="122"/>
      <c r="DA291" s="122"/>
      <c r="DB291" s="122"/>
      <c r="DC291" s="122"/>
      <c r="DD291" s="122"/>
      <c r="DE291" s="122"/>
      <c r="DF291" s="122"/>
      <c r="DG291" s="122"/>
      <c r="DH291" s="122"/>
      <c r="DI291" s="122"/>
      <c r="DJ291" s="122"/>
      <c r="DK291" s="122"/>
      <c r="DL291" s="122"/>
      <c r="DM291" s="103">
        <f>CM291+CR291+CW291+DB291+DG291+DL291+CH291</f>
        <v>0</v>
      </c>
      <c r="DN291" s="211">
        <v>0.03</v>
      </c>
      <c r="DO291" s="202">
        <f>CF291*CE291</f>
        <v>0</v>
      </c>
      <c r="DP291" s="202">
        <f t="shared" si="271"/>
        <v>0</v>
      </c>
      <c r="DQ291" s="202"/>
      <c r="DR291" s="202"/>
      <c r="DS291" s="202"/>
      <c r="DT291" s="202"/>
      <c r="DU291" s="202"/>
      <c r="DV291" s="202"/>
      <c r="DW291" s="202"/>
      <c r="DX291" s="202"/>
      <c r="DY291" s="202"/>
      <c r="DZ291" s="202"/>
      <c r="EA291" s="202"/>
      <c r="EB291" s="202"/>
      <c r="EC291" s="202"/>
      <c r="ED291" s="202"/>
      <c r="EE291" s="202"/>
      <c r="EF291" s="122">
        <v>80</v>
      </c>
      <c r="EG291" s="122">
        <v>800</v>
      </c>
      <c r="EH291" s="122">
        <v>8</v>
      </c>
      <c r="EI291" s="207">
        <v>0.95</v>
      </c>
      <c r="EJ291" s="122">
        <v>4</v>
      </c>
      <c r="EK291" s="122">
        <v>55</v>
      </c>
      <c r="EL291" s="209">
        <f>ROUND(3600/EK291*EH291*EJ291*EI291,0)</f>
        <v>1990</v>
      </c>
      <c r="EM291" s="122"/>
      <c r="EN291" s="122"/>
      <c r="EO291" s="122"/>
      <c r="EP291" s="209"/>
      <c r="EQ291" s="209"/>
      <c r="ER291" s="209"/>
      <c r="ES291" s="209"/>
      <c r="ET291" s="209"/>
      <c r="EU291" s="203">
        <f t="shared" si="260"/>
        <v>0.4020100502512563</v>
      </c>
      <c r="EV291" s="122"/>
      <c r="EW291" s="122"/>
      <c r="EX291" s="122"/>
      <c r="EY291" s="122"/>
      <c r="EZ291" s="122"/>
      <c r="FA291" s="122"/>
      <c r="FB291" s="122"/>
      <c r="FC291" s="122"/>
      <c r="FD291" s="122"/>
      <c r="FE291" s="122"/>
      <c r="FF291" s="122"/>
      <c r="FG291" s="122"/>
      <c r="FH291" s="122"/>
      <c r="FI291" s="122"/>
      <c r="FJ291" s="122"/>
      <c r="FK291" s="122"/>
      <c r="FL291" s="122"/>
      <c r="FM291" s="122"/>
      <c r="FN291" s="122"/>
      <c r="FO291" s="122"/>
      <c r="FP291" s="122"/>
      <c r="FQ291" s="122"/>
      <c r="FR291" s="122"/>
      <c r="FS291" s="122"/>
      <c r="FT291" s="122"/>
      <c r="FU291" s="122"/>
      <c r="FV291" s="122"/>
      <c r="FW291" s="122"/>
      <c r="FX291" s="122"/>
      <c r="FY291" s="122"/>
      <c r="FZ291" s="122"/>
      <c r="GA291" s="122"/>
      <c r="GB291" s="122"/>
      <c r="GC291" s="122"/>
      <c r="GD291" s="122"/>
      <c r="GE291" s="122"/>
      <c r="GF291" s="122"/>
      <c r="GG291" s="122"/>
      <c r="GH291" s="122"/>
      <c r="GI291" s="122"/>
      <c r="GJ291" s="122"/>
      <c r="GK291" s="122"/>
      <c r="GL291" s="122"/>
      <c r="GM291" s="122"/>
      <c r="GN291" s="122"/>
      <c r="GO291" s="122"/>
      <c r="GP291" s="122"/>
      <c r="GQ291" s="122"/>
      <c r="GR291" s="207">
        <v>0.11</v>
      </c>
      <c r="GS291" s="203">
        <f t="shared" si="264"/>
        <v>0.12007270552763818</v>
      </c>
      <c r="GT291" s="208">
        <v>1.2500000000000001E-2</v>
      </c>
      <c r="GU291" s="203">
        <f t="shared" si="245"/>
        <v>1.3644625628140703E-2</v>
      </c>
      <c r="GV291" s="207">
        <v>0.02</v>
      </c>
      <c r="GW291" s="203">
        <f t="shared" si="272"/>
        <v>8.0402010050251264E-3</v>
      </c>
      <c r="GX291" s="203">
        <f t="shared" si="247"/>
        <v>0.141757532160804</v>
      </c>
      <c r="GY291" s="122" t="s">
        <v>43</v>
      </c>
      <c r="GZ291" s="122" t="s">
        <v>87</v>
      </c>
      <c r="HA291" s="203">
        <v>650</v>
      </c>
      <c r="HB291" s="203">
        <v>450</v>
      </c>
      <c r="HC291" s="122">
        <v>315</v>
      </c>
      <c r="HD291" s="122">
        <v>300</v>
      </c>
      <c r="HE291" s="122">
        <v>600</v>
      </c>
      <c r="HF291" s="203">
        <f t="shared" si="248"/>
        <v>2</v>
      </c>
      <c r="HG291" s="122">
        <v>5</v>
      </c>
      <c r="HH291" s="202">
        <f t="shared" si="249"/>
        <v>10</v>
      </c>
      <c r="HI291" s="122">
        <v>550</v>
      </c>
      <c r="HJ291" s="203">
        <f t="shared" si="250"/>
        <v>5500</v>
      </c>
      <c r="HK291" s="203"/>
      <c r="HL291" s="203"/>
      <c r="HM291" s="203">
        <v>2</v>
      </c>
      <c r="HN291" s="209">
        <f t="shared" si="251"/>
        <v>360000</v>
      </c>
      <c r="HO291" s="203">
        <f t="shared" si="252"/>
        <v>1.5277777777777777E-2</v>
      </c>
      <c r="HP291" s="203">
        <v>160</v>
      </c>
      <c r="HQ291" s="122">
        <v>0</v>
      </c>
      <c r="HR291" s="203">
        <v>0</v>
      </c>
      <c r="HS291" s="203">
        <v>0</v>
      </c>
      <c r="HT291" s="103">
        <v>0</v>
      </c>
      <c r="HU291" s="103"/>
      <c r="HV291" s="203">
        <f t="shared" si="273"/>
        <v>1.5277777777777777E-2</v>
      </c>
      <c r="HW291" s="203"/>
      <c r="HX291" s="203">
        <v>2916</v>
      </c>
      <c r="HY291" s="203">
        <v>1688</v>
      </c>
      <c r="HZ291" s="203">
        <v>1842</v>
      </c>
      <c r="IA291" s="203">
        <f t="shared" si="274"/>
        <v>4</v>
      </c>
      <c r="IB291" s="203">
        <f t="shared" si="275"/>
        <v>3</v>
      </c>
      <c r="IC291" s="203">
        <f t="shared" si="276"/>
        <v>5</v>
      </c>
      <c r="ID291" s="210">
        <v>1</v>
      </c>
      <c r="IE291" s="203">
        <f>(PRODUCT(IA291:ID291))</f>
        <v>60</v>
      </c>
      <c r="IF291" s="203">
        <v>500</v>
      </c>
      <c r="IG291" s="202">
        <f t="shared" si="255"/>
        <v>2.7777777777777776E-2</v>
      </c>
      <c r="IH291" s="20"/>
    </row>
    <row r="292" spans="1:302">
      <c r="A292">
        <v>278</v>
      </c>
      <c r="B292" t="s">
        <v>468</v>
      </c>
      <c r="C292" s="203" t="s">
        <v>1181</v>
      </c>
      <c r="D292" s="28" t="s">
        <v>754</v>
      </c>
      <c r="E292" s="27" t="s">
        <v>683</v>
      </c>
      <c r="F292" s="5" t="s">
        <v>2182</v>
      </c>
      <c r="G292" s="27" t="s">
        <v>102</v>
      </c>
      <c r="I292" s="27" t="s">
        <v>121</v>
      </c>
      <c r="J292" s="28">
        <v>21480</v>
      </c>
      <c r="K292" s="27" t="s">
        <v>97</v>
      </c>
      <c r="N292" s="28"/>
      <c r="O292" s="28"/>
      <c r="P292" s="28"/>
      <c r="Q292" s="28" t="s">
        <v>1036</v>
      </c>
      <c r="R292" s="28" t="s">
        <v>1034</v>
      </c>
      <c r="S292" s="27"/>
      <c r="T292" s="27"/>
      <c r="U292" s="27"/>
      <c r="W292" s="212"/>
      <c r="X292" s="212"/>
      <c r="Y292" s="212"/>
      <c r="Z292" s="212"/>
      <c r="AA292" s="203" t="s">
        <v>1069</v>
      </c>
      <c r="AB292" s="212">
        <v>124.59</v>
      </c>
      <c r="AC292" s="203">
        <f t="shared" si="263"/>
        <v>119.59</v>
      </c>
      <c r="AD292" s="103" t="s">
        <v>1182</v>
      </c>
      <c r="AE292" s="204">
        <f t="shared" si="231"/>
        <v>61.049100000000003</v>
      </c>
      <c r="AF292" s="204"/>
      <c r="AG292" s="204">
        <f t="shared" si="265"/>
        <v>10.171783625730994</v>
      </c>
      <c r="AH292" s="204">
        <f t="shared" si="233"/>
        <v>0</v>
      </c>
      <c r="AI292" s="204">
        <f t="shared" si="234"/>
        <v>0</v>
      </c>
      <c r="AJ292" s="204">
        <f t="shared" si="235"/>
        <v>0.20343567251461989</v>
      </c>
      <c r="AK292" s="204">
        <f t="shared" si="236"/>
        <v>0.89026104532163741</v>
      </c>
      <c r="AL292" s="204">
        <f t="shared" si="237"/>
        <v>6.02</v>
      </c>
      <c r="AM292" s="204">
        <f t="shared" si="238"/>
        <v>0.76541666666666663</v>
      </c>
      <c r="AN292" s="204">
        <f t="shared" si="239"/>
        <v>0.86805555555555558</v>
      </c>
      <c r="AO292" s="205">
        <v>0</v>
      </c>
      <c r="AP292" s="205"/>
      <c r="AQ292" s="204">
        <f t="shared" si="266"/>
        <v>79.968052565789463</v>
      </c>
      <c r="AR292" s="204"/>
      <c r="AS292" s="204"/>
      <c r="AT292" s="205">
        <v>0</v>
      </c>
      <c r="AU292" s="103"/>
      <c r="AV292" s="206">
        <f t="shared" si="267"/>
        <v>79.968052565789463</v>
      </c>
      <c r="AW292" s="103">
        <v>0.49</v>
      </c>
      <c r="AX292" s="103">
        <v>0.49</v>
      </c>
      <c r="AY292" s="207">
        <v>0.9</v>
      </c>
      <c r="AZ292" s="103">
        <f t="shared" si="268"/>
        <v>0</v>
      </c>
      <c r="BA292" s="203">
        <f>AW292*AB292-AZ292*AC292</f>
        <v>61.049100000000003</v>
      </c>
      <c r="BB292" s="203"/>
      <c r="BC292" s="203"/>
      <c r="BD292" s="203"/>
      <c r="BE292" s="203"/>
      <c r="BF292" s="203"/>
      <c r="BG292" s="203"/>
      <c r="BH292" s="203"/>
      <c r="BI292" s="203"/>
      <c r="BJ292" s="203"/>
      <c r="BK292" s="203"/>
      <c r="BL292" s="203"/>
      <c r="BM292" s="203"/>
      <c r="BN292" s="203"/>
      <c r="BO292" s="203"/>
      <c r="BP292" s="203"/>
      <c r="BQ292" s="203"/>
      <c r="BR292" s="203"/>
      <c r="BS292" s="203"/>
      <c r="BT292" s="203"/>
      <c r="BU292" s="203"/>
      <c r="BV292" s="203"/>
      <c r="BW292" s="203"/>
      <c r="BX292" s="203"/>
      <c r="BY292" s="203"/>
      <c r="BZ292" s="203"/>
      <c r="CA292" s="203"/>
      <c r="CB292" s="203"/>
      <c r="CC292" s="203"/>
      <c r="CD292" s="103"/>
      <c r="CE292" s="103">
        <v>0</v>
      </c>
      <c r="CF292" s="103">
        <v>0</v>
      </c>
      <c r="CG292" s="103">
        <v>0</v>
      </c>
      <c r="CH292" s="103">
        <v>0</v>
      </c>
      <c r="CI292" s="103"/>
      <c r="CJ292" s="103"/>
      <c r="CK292" s="103"/>
      <c r="CL292" s="103"/>
      <c r="CM292" s="103"/>
      <c r="CN292" s="103"/>
      <c r="CO292" s="103"/>
      <c r="CP292" s="103"/>
      <c r="CQ292" s="103"/>
      <c r="CR292" s="103"/>
      <c r="CS292" s="103"/>
      <c r="CT292" s="103"/>
      <c r="CU292" s="103"/>
      <c r="CV292" s="103"/>
      <c r="CW292" s="103"/>
      <c r="CX292" s="103"/>
      <c r="CY292" s="103"/>
      <c r="CZ292" s="103"/>
      <c r="DA292" s="103"/>
      <c r="DB292" s="103"/>
      <c r="DC292" s="103"/>
      <c r="DD292" s="103"/>
      <c r="DE292" s="103"/>
      <c r="DF292" s="103"/>
      <c r="DG292" s="103"/>
      <c r="DH292" s="103"/>
      <c r="DI292" s="103"/>
      <c r="DJ292" s="103"/>
      <c r="DK292" s="103"/>
      <c r="DL292" s="103"/>
      <c r="DM292" s="103">
        <f>CM292+CR292+CW292+DB292+DG292+DL292+CH292</f>
        <v>0</v>
      </c>
      <c r="DN292" s="208">
        <v>0.03</v>
      </c>
      <c r="DO292" s="203">
        <f>CF292*CE292</f>
        <v>0</v>
      </c>
      <c r="DP292" s="203">
        <f t="shared" si="271"/>
        <v>0</v>
      </c>
      <c r="DQ292" s="203"/>
      <c r="DR292" s="203"/>
      <c r="DS292" s="203"/>
      <c r="DT292" s="203"/>
      <c r="DU292" s="203"/>
      <c r="DV292" s="203"/>
      <c r="DW292" s="203"/>
      <c r="DX292" s="203"/>
      <c r="DY292" s="203"/>
      <c r="DZ292" s="203"/>
      <c r="EA292" s="203"/>
      <c r="EB292" s="203"/>
      <c r="EC292" s="203"/>
      <c r="ED292" s="203"/>
      <c r="EE292" s="203"/>
      <c r="EF292" s="103">
        <v>550</v>
      </c>
      <c r="EG292" s="103">
        <v>5060</v>
      </c>
      <c r="EH292" s="103">
        <v>8</v>
      </c>
      <c r="EI292" s="207">
        <v>0.95</v>
      </c>
      <c r="EJ292" s="103">
        <v>1</v>
      </c>
      <c r="EK292" s="103">
        <v>55</v>
      </c>
      <c r="EL292" s="209">
        <f>(3600/EK292*EH292*EJ292*EI292)</f>
        <v>497.45454545454544</v>
      </c>
      <c r="EM292" s="103"/>
      <c r="EN292" s="103"/>
      <c r="EO292" s="103"/>
      <c r="EP292" s="209"/>
      <c r="EQ292" s="209"/>
      <c r="ER292" s="209"/>
      <c r="ES292" s="209"/>
      <c r="ET292" s="209"/>
      <c r="EU292" s="203">
        <f t="shared" si="260"/>
        <v>10.171783625730994</v>
      </c>
      <c r="EV292" s="103"/>
      <c r="EW292" s="103"/>
      <c r="EX292" s="103"/>
      <c r="EY292" s="103"/>
      <c r="EZ292" s="103"/>
      <c r="FA292" s="103"/>
      <c r="FB292" s="103"/>
      <c r="FC292" s="103"/>
      <c r="FD292" s="103"/>
      <c r="FE292" s="103"/>
      <c r="FF292" s="103"/>
      <c r="FG292" s="103"/>
      <c r="FH292" s="103"/>
      <c r="FI292" s="103"/>
      <c r="FJ292" s="103"/>
      <c r="FK292" s="103"/>
      <c r="FL292" s="103"/>
      <c r="FM292" s="103"/>
      <c r="FN292" s="103"/>
      <c r="FO292" s="103"/>
      <c r="FP292" s="103"/>
      <c r="FQ292" s="103"/>
      <c r="FR292" s="103"/>
      <c r="FS292" s="103"/>
      <c r="FT292" s="103"/>
      <c r="FU292" s="103"/>
      <c r="FV292" s="103"/>
      <c r="FW292" s="103"/>
      <c r="FX292" s="103"/>
      <c r="FY292" s="103"/>
      <c r="FZ292" s="103"/>
      <c r="GA292" s="103"/>
      <c r="GB292" s="103"/>
      <c r="GC292" s="103"/>
      <c r="GD292" s="103"/>
      <c r="GE292" s="103"/>
      <c r="GF292" s="103"/>
      <c r="GG292" s="103"/>
      <c r="GH292" s="103"/>
      <c r="GI292" s="103"/>
      <c r="GJ292" s="103"/>
      <c r="GK292" s="103"/>
      <c r="GL292" s="103"/>
      <c r="GM292" s="103"/>
      <c r="GN292" s="103"/>
      <c r="GO292" s="103"/>
      <c r="GP292" s="103"/>
      <c r="GQ292" s="103"/>
      <c r="GR292" s="207">
        <v>0.11</v>
      </c>
      <c r="GS292" s="213">
        <v>6.02</v>
      </c>
      <c r="GT292" s="208">
        <v>1.2500000000000001E-2</v>
      </c>
      <c r="GU292" s="203">
        <f t="shared" si="245"/>
        <v>0.89026104532163741</v>
      </c>
      <c r="GV292" s="207">
        <v>0.02</v>
      </c>
      <c r="GW292" s="203">
        <f t="shared" si="272"/>
        <v>0.20343567251461989</v>
      </c>
      <c r="GX292" s="203">
        <f t="shared" si="247"/>
        <v>7.1136967178362571</v>
      </c>
      <c r="GY292" s="103" t="s">
        <v>43</v>
      </c>
      <c r="GZ292" s="103" t="s">
        <v>87</v>
      </c>
      <c r="HA292" s="203">
        <v>810</v>
      </c>
      <c r="HB292" s="203">
        <v>580</v>
      </c>
      <c r="HC292" s="103">
        <v>425</v>
      </c>
      <c r="HD292" s="103">
        <v>12</v>
      </c>
      <c r="HE292" s="103">
        <v>4000</v>
      </c>
      <c r="HF292" s="203">
        <f t="shared" si="248"/>
        <v>334</v>
      </c>
      <c r="HG292" s="103">
        <v>5</v>
      </c>
      <c r="HH292" s="203">
        <f t="shared" si="249"/>
        <v>1670</v>
      </c>
      <c r="HI292" s="103">
        <v>1100</v>
      </c>
      <c r="HJ292" s="203">
        <f t="shared" si="250"/>
        <v>1837000</v>
      </c>
      <c r="HK292" s="203"/>
      <c r="HL292" s="203"/>
      <c r="HM292" s="203">
        <v>2</v>
      </c>
      <c r="HN292" s="209">
        <f t="shared" si="251"/>
        <v>2400000</v>
      </c>
      <c r="HO292" s="203">
        <f t="shared" si="252"/>
        <v>0.76541666666666663</v>
      </c>
      <c r="HP292" s="203">
        <v>160</v>
      </c>
      <c r="HQ292" s="103">
        <v>0</v>
      </c>
      <c r="HR292" s="203">
        <v>0</v>
      </c>
      <c r="HS292" s="203">
        <v>0</v>
      </c>
      <c r="HT292" s="103">
        <v>0</v>
      </c>
      <c r="HU292" s="103"/>
      <c r="HV292" s="203">
        <f t="shared" si="273"/>
        <v>0.76541666666666663</v>
      </c>
      <c r="HW292" s="203"/>
      <c r="HX292" s="203">
        <v>4200</v>
      </c>
      <c r="HY292" s="203">
        <v>1900</v>
      </c>
      <c r="HZ292" s="203">
        <v>1975</v>
      </c>
      <c r="IA292" s="203">
        <f t="shared" si="274"/>
        <v>5</v>
      </c>
      <c r="IB292" s="203">
        <f t="shared" si="275"/>
        <v>3</v>
      </c>
      <c r="IC292" s="203">
        <f t="shared" si="276"/>
        <v>4</v>
      </c>
      <c r="ID292" s="207">
        <v>0.8</v>
      </c>
      <c r="IE292" s="203">
        <f>(PRODUCT(IA292:ID292))</f>
        <v>48</v>
      </c>
      <c r="IF292" s="203">
        <v>500</v>
      </c>
      <c r="IG292" s="203">
        <f t="shared" si="255"/>
        <v>0.86805555555555558</v>
      </c>
      <c r="IH292" s="368"/>
    </row>
    <row r="293" spans="1:302">
      <c r="A293">
        <v>279</v>
      </c>
      <c r="B293" t="s">
        <v>468</v>
      </c>
      <c r="C293" s="202" t="s">
        <v>1183</v>
      </c>
      <c r="D293" s="28" t="s">
        <v>755</v>
      </c>
      <c r="E293" s="27" t="s">
        <v>756</v>
      </c>
      <c r="F293" s="5" t="s">
        <v>2182</v>
      </c>
      <c r="G293" s="27" t="s">
        <v>102</v>
      </c>
      <c r="I293" s="27" t="s">
        <v>121</v>
      </c>
      <c r="J293" s="28">
        <v>21480</v>
      </c>
      <c r="K293" s="27" t="s">
        <v>97</v>
      </c>
      <c r="N293" s="28"/>
      <c r="O293" s="28"/>
      <c r="P293" s="28"/>
      <c r="Q293" s="28" t="s">
        <v>1036</v>
      </c>
      <c r="R293" s="28" t="s">
        <v>1034</v>
      </c>
      <c r="S293" s="27"/>
      <c r="T293" s="27"/>
      <c r="U293" s="27"/>
      <c r="W293" s="201"/>
      <c r="X293" s="201"/>
      <c r="Y293" s="201"/>
      <c r="Z293" s="201"/>
      <c r="AA293" s="202" t="s">
        <v>912</v>
      </c>
      <c r="AB293" s="201">
        <v>109.62</v>
      </c>
      <c r="AC293" s="203">
        <f t="shared" si="263"/>
        <v>104.62</v>
      </c>
      <c r="AD293" s="122"/>
      <c r="AE293" s="204">
        <f t="shared" si="231"/>
        <v>1.445522</v>
      </c>
      <c r="AF293" s="204"/>
      <c r="AG293" s="204">
        <f t="shared" si="265"/>
        <v>1.7814726840855106</v>
      </c>
      <c r="AH293" s="204">
        <f t="shared" si="233"/>
        <v>8.3000000000000007</v>
      </c>
      <c r="AI293" s="204">
        <f t="shared" si="234"/>
        <v>0.10375000000000001</v>
      </c>
      <c r="AJ293" s="204">
        <f t="shared" si="235"/>
        <v>3.5629453681710214E-2</v>
      </c>
      <c r="AK293" s="204">
        <f t="shared" si="236"/>
        <v>4.0337433551068884E-2</v>
      </c>
      <c r="AL293" s="204">
        <f t="shared" si="237"/>
        <v>0.35496941524940612</v>
      </c>
      <c r="AM293" s="204">
        <f t="shared" si="238"/>
        <v>3.0555555555555555E-2</v>
      </c>
      <c r="AN293" s="204">
        <f t="shared" si="239"/>
        <v>6.1728395061728392E-2</v>
      </c>
      <c r="AO293" s="205">
        <v>0</v>
      </c>
      <c r="AP293" s="205"/>
      <c r="AQ293" s="204">
        <f t="shared" si="266"/>
        <v>12.15396493718498</v>
      </c>
      <c r="AR293" s="204"/>
      <c r="AS293" s="204"/>
      <c r="AT293" s="205">
        <v>0</v>
      </c>
      <c r="AU293" s="103"/>
      <c r="AV293" s="206">
        <f t="shared" si="267"/>
        <v>12.15396493718498</v>
      </c>
      <c r="AW293" s="122">
        <v>1.4999999999999999E-2</v>
      </c>
      <c r="AX293" s="122">
        <v>1.2999999999999999E-2</v>
      </c>
      <c r="AY293" s="210">
        <v>0.95</v>
      </c>
      <c r="AZ293" s="122">
        <f t="shared" si="268"/>
        <v>2E-3</v>
      </c>
      <c r="BA293" s="203">
        <f>AW293*AB293-(AZ293*AC293)*AY293</f>
        <v>1.445522</v>
      </c>
      <c r="BB293" s="203"/>
      <c r="BC293" s="203"/>
      <c r="BD293" s="203"/>
      <c r="BE293" s="203"/>
      <c r="BF293" s="203"/>
      <c r="BG293" s="203"/>
      <c r="BH293" s="203"/>
      <c r="BI293" s="203"/>
      <c r="BJ293" s="203"/>
      <c r="BK293" s="203"/>
      <c r="BL293" s="203"/>
      <c r="BM293" s="203"/>
      <c r="BN293" s="203"/>
      <c r="BO293" s="203"/>
      <c r="BP293" s="203"/>
      <c r="BQ293" s="203"/>
      <c r="BR293" s="203"/>
      <c r="BS293" s="203"/>
      <c r="BT293" s="203"/>
      <c r="BU293" s="203"/>
      <c r="BV293" s="203"/>
      <c r="BW293" s="203"/>
      <c r="BX293" s="203"/>
      <c r="BY293" s="203"/>
      <c r="BZ293" s="203"/>
      <c r="CA293" s="203"/>
      <c r="CB293" s="203"/>
      <c r="CC293" s="203"/>
      <c r="CD293" s="122"/>
      <c r="CE293" s="122">
        <v>0</v>
      </c>
      <c r="CF293" s="122">
        <v>1</v>
      </c>
      <c r="CG293" s="122">
        <v>8.3000000000000007</v>
      </c>
      <c r="CH293" s="103">
        <f>CG293*CF293</f>
        <v>8.3000000000000007</v>
      </c>
      <c r="CI293" s="122"/>
      <c r="CJ293" s="122"/>
      <c r="CK293" s="122"/>
      <c r="CL293" s="122"/>
      <c r="CM293" s="122"/>
      <c r="CN293" s="122"/>
      <c r="CO293" s="122"/>
      <c r="CP293" s="122"/>
      <c r="CQ293" s="122"/>
      <c r="CR293" s="122"/>
      <c r="CS293" s="122"/>
      <c r="CT293" s="122"/>
      <c r="CU293" s="122"/>
      <c r="CV293" s="122"/>
      <c r="CW293" s="122"/>
      <c r="CX293" s="122"/>
      <c r="CY293" s="122"/>
      <c r="CZ293" s="122"/>
      <c r="DA293" s="122"/>
      <c r="DB293" s="122"/>
      <c r="DC293" s="122"/>
      <c r="DD293" s="122"/>
      <c r="DE293" s="122"/>
      <c r="DF293" s="122"/>
      <c r="DG293" s="122"/>
      <c r="DH293" s="122"/>
      <c r="DI293" s="122"/>
      <c r="DJ293" s="122"/>
      <c r="DK293" s="122"/>
      <c r="DL293" s="122"/>
      <c r="DM293" s="103">
        <f>CM293+CR293+CW293+DB293+DG293+DL293+CH293</f>
        <v>8.3000000000000007</v>
      </c>
      <c r="DN293" s="208">
        <v>1.2500000000000001E-2</v>
      </c>
      <c r="DO293" s="202">
        <f>DN293*CG293*CF293</f>
        <v>0.10375000000000001</v>
      </c>
      <c r="DP293" s="203">
        <f t="shared" si="271"/>
        <v>8.3000000000000007</v>
      </c>
      <c r="DQ293" s="203"/>
      <c r="DR293" s="203"/>
      <c r="DS293" s="203"/>
      <c r="DT293" s="203"/>
      <c r="DU293" s="203"/>
      <c r="DV293" s="203"/>
      <c r="DW293" s="203"/>
      <c r="DX293" s="203"/>
      <c r="DY293" s="203"/>
      <c r="DZ293" s="203"/>
      <c r="EA293" s="203"/>
      <c r="EB293" s="203"/>
      <c r="EC293" s="203"/>
      <c r="ED293" s="203"/>
      <c r="EE293" s="203"/>
      <c r="EF293" s="122">
        <v>150</v>
      </c>
      <c r="EG293" s="122">
        <v>1500</v>
      </c>
      <c r="EH293" s="122">
        <v>8</v>
      </c>
      <c r="EI293" s="210">
        <v>0.95</v>
      </c>
      <c r="EJ293" s="122">
        <v>2</v>
      </c>
      <c r="EK293" s="122">
        <v>65</v>
      </c>
      <c r="EL293" s="209">
        <f>ROUND(3600/EK293*EH293*EJ293*EI293,0)</f>
        <v>842</v>
      </c>
      <c r="EM293" s="122"/>
      <c r="EN293" s="122"/>
      <c r="EO293" s="122"/>
      <c r="EP293" s="209"/>
      <c r="EQ293" s="209"/>
      <c r="ER293" s="209"/>
      <c r="ES293" s="209"/>
      <c r="ET293" s="209"/>
      <c r="EU293" s="203">
        <f t="shared" si="260"/>
        <v>1.7814726840855106</v>
      </c>
      <c r="EV293" s="122"/>
      <c r="EW293" s="122"/>
      <c r="EX293" s="122"/>
      <c r="EY293" s="122"/>
      <c r="EZ293" s="122"/>
      <c r="FA293" s="122"/>
      <c r="FB293" s="122"/>
      <c r="FC293" s="122"/>
      <c r="FD293" s="122"/>
      <c r="FE293" s="122"/>
      <c r="FF293" s="122"/>
      <c r="FG293" s="122"/>
      <c r="FH293" s="122"/>
      <c r="FI293" s="122"/>
      <c r="FJ293" s="122"/>
      <c r="FK293" s="122"/>
      <c r="FL293" s="122"/>
      <c r="FM293" s="122"/>
      <c r="FN293" s="122"/>
      <c r="FO293" s="122"/>
      <c r="FP293" s="122"/>
      <c r="FQ293" s="122"/>
      <c r="FR293" s="122"/>
      <c r="FS293" s="122"/>
      <c r="FT293" s="122"/>
      <c r="FU293" s="122"/>
      <c r="FV293" s="122"/>
      <c r="FW293" s="122"/>
      <c r="FX293" s="122"/>
      <c r="FY293" s="122"/>
      <c r="FZ293" s="122"/>
      <c r="GA293" s="122"/>
      <c r="GB293" s="122"/>
      <c r="GC293" s="122"/>
      <c r="GD293" s="122"/>
      <c r="GE293" s="122"/>
      <c r="GF293" s="122"/>
      <c r="GG293" s="122"/>
      <c r="GH293" s="122"/>
      <c r="GI293" s="122"/>
      <c r="GJ293" s="122"/>
      <c r="GK293" s="122"/>
      <c r="GL293" s="122"/>
      <c r="GM293" s="122"/>
      <c r="GN293" s="122"/>
      <c r="GO293" s="122"/>
      <c r="GP293" s="122"/>
      <c r="GQ293" s="122"/>
      <c r="GR293" s="210">
        <v>0.11</v>
      </c>
      <c r="GS293" s="203">
        <f>GR293*(BA293+EU293)</f>
        <v>0.35496941524940612</v>
      </c>
      <c r="GT293" s="208">
        <v>1.2500000000000001E-2</v>
      </c>
      <c r="GU293" s="203">
        <f t="shared" si="245"/>
        <v>4.0337433551068884E-2</v>
      </c>
      <c r="GV293" s="207">
        <v>0.02</v>
      </c>
      <c r="GW293" s="203">
        <f t="shared" si="272"/>
        <v>3.5629453681710214E-2</v>
      </c>
      <c r="GX293" s="203">
        <f t="shared" si="247"/>
        <v>0.43093630248218523</v>
      </c>
      <c r="GY293" s="122" t="s">
        <v>43</v>
      </c>
      <c r="GZ293" s="122" t="s">
        <v>87</v>
      </c>
      <c r="HA293" s="203">
        <v>650</v>
      </c>
      <c r="HB293" s="203">
        <v>450</v>
      </c>
      <c r="HC293" s="122">
        <v>320</v>
      </c>
      <c r="HD293" s="122">
        <v>150</v>
      </c>
      <c r="HE293" s="122">
        <v>600</v>
      </c>
      <c r="HF293" s="203">
        <f t="shared" si="248"/>
        <v>4</v>
      </c>
      <c r="HG293" s="122">
        <v>5</v>
      </c>
      <c r="HH293" s="202">
        <f t="shared" si="249"/>
        <v>20</v>
      </c>
      <c r="HI293" s="122">
        <v>550</v>
      </c>
      <c r="HJ293" s="203">
        <f t="shared" si="250"/>
        <v>11000</v>
      </c>
      <c r="HK293" s="203"/>
      <c r="HL293" s="203"/>
      <c r="HM293" s="203">
        <v>2</v>
      </c>
      <c r="HN293" s="209">
        <f t="shared" si="251"/>
        <v>360000</v>
      </c>
      <c r="HO293" s="203">
        <f t="shared" si="252"/>
        <v>3.0555555555555555E-2</v>
      </c>
      <c r="HP293" s="203">
        <v>160</v>
      </c>
      <c r="HQ293" s="122">
        <v>0</v>
      </c>
      <c r="HR293" s="203">
        <v>0</v>
      </c>
      <c r="HS293" s="203">
        <v>0</v>
      </c>
      <c r="HT293" s="103">
        <v>0</v>
      </c>
      <c r="HU293" s="103"/>
      <c r="HV293" s="203">
        <f t="shared" si="273"/>
        <v>3.0555555555555555E-2</v>
      </c>
      <c r="HW293" s="203"/>
      <c r="HX293" s="203">
        <v>2917</v>
      </c>
      <c r="HY293" s="203">
        <v>1689</v>
      </c>
      <c r="HZ293" s="203">
        <v>1842</v>
      </c>
      <c r="IA293" s="203">
        <f t="shared" si="274"/>
        <v>4</v>
      </c>
      <c r="IB293" s="203">
        <f t="shared" si="275"/>
        <v>3</v>
      </c>
      <c r="IC293" s="203">
        <f t="shared" si="276"/>
        <v>5</v>
      </c>
      <c r="ID293" s="207">
        <v>0.9</v>
      </c>
      <c r="IE293" s="203">
        <f>(PRODUCT(IA293:ID293))</f>
        <v>54</v>
      </c>
      <c r="IF293" s="203">
        <v>500</v>
      </c>
      <c r="IG293" s="202">
        <f t="shared" si="255"/>
        <v>6.1728395061728392E-2</v>
      </c>
      <c r="IH293" s="20"/>
    </row>
    <row r="294" spans="1:302">
      <c r="A294">
        <v>280</v>
      </c>
      <c r="B294" t="s">
        <v>468</v>
      </c>
      <c r="C294" s="232" t="s">
        <v>1184</v>
      </c>
      <c r="D294" s="28" t="s">
        <v>757</v>
      </c>
      <c r="E294" s="27" t="s">
        <v>758</v>
      </c>
      <c r="F294" s="5" t="s">
        <v>2182</v>
      </c>
      <c r="G294" s="27" t="s">
        <v>102</v>
      </c>
      <c r="I294" s="27" t="s">
        <v>121</v>
      </c>
      <c r="J294" s="28">
        <v>21480</v>
      </c>
      <c r="K294" s="27" t="s">
        <v>97</v>
      </c>
      <c r="N294" s="28"/>
      <c r="O294" s="28"/>
      <c r="P294" s="28"/>
      <c r="Q294" s="28" t="s">
        <v>1033</v>
      </c>
      <c r="R294" s="28" t="s">
        <v>1194</v>
      </c>
      <c r="S294" s="27"/>
      <c r="T294" s="27"/>
      <c r="U294" s="27"/>
      <c r="W294" s="214" t="s">
        <v>1185</v>
      </c>
      <c r="X294" s="214"/>
      <c r="Y294" s="214"/>
      <c r="Z294" s="214"/>
      <c r="AA294" s="203" t="s">
        <v>1186</v>
      </c>
      <c r="AB294" s="212">
        <v>164.52</v>
      </c>
      <c r="AC294" s="203">
        <f t="shared" si="263"/>
        <v>159.52000000000001</v>
      </c>
      <c r="AD294" s="103"/>
      <c r="AE294" s="204">
        <f t="shared" si="231"/>
        <v>7.9269600000000011</v>
      </c>
      <c r="AF294" s="204">
        <f>DU294</f>
        <v>2.6320260233918127</v>
      </c>
      <c r="AG294" s="204">
        <f>EU294+EM294+EV294+EX294+FA294</f>
        <v>4.0629453681710217</v>
      </c>
      <c r="AH294" s="204">
        <f t="shared" si="233"/>
        <v>3.2</v>
      </c>
      <c r="AI294" s="204">
        <f t="shared" si="234"/>
        <v>9.6000000000000002E-2</v>
      </c>
      <c r="AJ294" s="204">
        <f t="shared" si="235"/>
        <v>7.1258907363420429E-2</v>
      </c>
      <c r="AK294" s="204">
        <f t="shared" si="236"/>
        <v>0.14362381710213779</v>
      </c>
      <c r="AL294" s="204">
        <f t="shared" si="237"/>
        <v>1.2638895904988126</v>
      </c>
      <c r="AM294" s="204">
        <f t="shared" si="238"/>
        <v>0.31694444444444442</v>
      </c>
      <c r="AN294" s="204">
        <f t="shared" si="239"/>
        <v>0.20576131687242799</v>
      </c>
      <c r="AO294" s="205">
        <v>0</v>
      </c>
      <c r="AP294" s="204">
        <f>EZ294</f>
        <v>3.761574074074074</v>
      </c>
      <c r="AQ294" s="204">
        <f>SUM(AE294:AP294)</f>
        <v>23.680983541918156</v>
      </c>
      <c r="AR294" s="204"/>
      <c r="AS294" s="204"/>
      <c r="AT294" s="205">
        <v>0</v>
      </c>
      <c r="AU294" s="204">
        <f>25.84-23.68</f>
        <v>2.16</v>
      </c>
      <c r="AV294" s="206">
        <f>AQ294+AT294+AU294</f>
        <v>25.840983541918156</v>
      </c>
      <c r="AW294" s="103">
        <v>5.3999999999999999E-2</v>
      </c>
      <c r="AX294" s="103">
        <v>4.8000000000000001E-2</v>
      </c>
      <c r="AY294" s="207">
        <v>1</v>
      </c>
      <c r="AZ294" s="103">
        <f t="shared" si="268"/>
        <v>5.9999999999999984E-3</v>
      </c>
      <c r="BA294" s="203">
        <f>AW294*AB294-(AZ294*AC294)*AY294</f>
        <v>7.9269600000000011</v>
      </c>
      <c r="BB294" s="203"/>
      <c r="BC294" s="203"/>
      <c r="BD294" s="203"/>
      <c r="BE294" s="203"/>
      <c r="BF294" s="203"/>
      <c r="BG294" s="203"/>
      <c r="BH294" s="203"/>
      <c r="BI294" s="203"/>
      <c r="BJ294" s="203"/>
      <c r="BK294" s="203"/>
      <c r="BL294" s="203"/>
      <c r="BM294" s="203"/>
      <c r="BN294" s="203"/>
      <c r="BO294" s="203"/>
      <c r="BP294" s="203"/>
      <c r="BQ294" s="203"/>
      <c r="BR294" s="203"/>
      <c r="BS294" s="203"/>
      <c r="BT294" s="203"/>
      <c r="BU294" s="203"/>
      <c r="BV294" s="203"/>
      <c r="BW294" s="203"/>
      <c r="BX294" s="203"/>
      <c r="BY294" s="203"/>
      <c r="BZ294" s="203"/>
      <c r="CA294" s="203"/>
      <c r="CB294" s="203"/>
      <c r="CC294" s="203"/>
      <c r="CD294" s="103"/>
      <c r="CE294" s="103"/>
      <c r="CF294" s="103">
        <v>2</v>
      </c>
      <c r="CG294" s="103">
        <f>1.5+0.2/2</f>
        <v>1.6</v>
      </c>
      <c r="CH294" s="203">
        <f>CG294*CF294</f>
        <v>3.2</v>
      </c>
      <c r="CI294" s="122"/>
      <c r="CJ294" s="122"/>
      <c r="CK294" s="122"/>
      <c r="CL294" s="122"/>
      <c r="CM294" s="122"/>
      <c r="CN294" s="103"/>
      <c r="CO294" s="103"/>
      <c r="CP294" s="103"/>
      <c r="CQ294" s="103"/>
      <c r="CR294" s="103"/>
      <c r="CS294" s="103"/>
      <c r="CT294" s="103"/>
      <c r="CU294" s="103"/>
      <c r="CV294" s="103"/>
      <c r="CW294" s="103"/>
      <c r="CX294" s="103"/>
      <c r="CY294" s="103"/>
      <c r="CZ294" s="103"/>
      <c r="DA294" s="103"/>
      <c r="DB294" s="103"/>
      <c r="DC294" s="103"/>
      <c r="DD294" s="103"/>
      <c r="DE294" s="103"/>
      <c r="DF294" s="103"/>
      <c r="DG294" s="103"/>
      <c r="DH294" s="103"/>
      <c r="DI294" s="103"/>
      <c r="DJ294" s="103"/>
      <c r="DK294" s="103"/>
      <c r="DL294" s="103"/>
      <c r="DM294" s="103">
        <f>CM294+CR294+CW294+DB294+DG294+DL294+CH294</f>
        <v>3.2</v>
      </c>
      <c r="DN294" s="208">
        <v>0.03</v>
      </c>
      <c r="DO294" s="203">
        <f>DN294*DM294</f>
        <v>9.6000000000000002E-2</v>
      </c>
      <c r="DP294" s="203">
        <f>DM294+DO294</f>
        <v>3.2960000000000003</v>
      </c>
      <c r="DQ294" s="203" t="s">
        <v>1187</v>
      </c>
      <c r="DR294" s="203" t="s">
        <v>1188</v>
      </c>
      <c r="DS294" s="203">
        <v>1</v>
      </c>
      <c r="DT294" s="203">
        <f>KP294</f>
        <v>2.6320260233918127</v>
      </c>
      <c r="DU294" s="203">
        <f>DS294*DT294</f>
        <v>2.6320260233918127</v>
      </c>
      <c r="DV294" s="203"/>
      <c r="DW294" s="203"/>
      <c r="DX294" s="203"/>
      <c r="DY294" s="203"/>
      <c r="DZ294" s="203"/>
      <c r="EA294" s="203"/>
      <c r="EB294" s="203"/>
      <c r="EC294" s="203"/>
      <c r="ED294" s="203"/>
      <c r="EE294" s="203"/>
      <c r="EF294" s="103">
        <v>150</v>
      </c>
      <c r="EG294" s="103">
        <v>1500</v>
      </c>
      <c r="EH294" s="103">
        <v>8</v>
      </c>
      <c r="EI294" s="207">
        <v>0.95</v>
      </c>
      <c r="EJ294" s="103">
        <v>1</v>
      </c>
      <c r="EK294" s="103">
        <v>65</v>
      </c>
      <c r="EL294" s="209">
        <f>ROUND(3600/EK294*EH294*EJ294*EI294,0)</f>
        <v>421</v>
      </c>
      <c r="EM294" s="103"/>
      <c r="EN294" s="103"/>
      <c r="EO294" s="103"/>
      <c r="EP294" s="209"/>
      <c r="EQ294" s="209"/>
      <c r="ER294" s="209"/>
      <c r="ES294" s="209"/>
      <c r="ET294" s="209"/>
      <c r="EU294" s="203">
        <f t="shared" si="260"/>
        <v>3.5629453681710213</v>
      </c>
      <c r="EV294" s="103"/>
      <c r="EW294" s="103"/>
      <c r="EX294" s="103"/>
      <c r="EY294" s="103"/>
      <c r="EZ294" s="62">
        <f>650000/(600*24*12)</f>
        <v>3.761574074074074</v>
      </c>
      <c r="FA294" s="103">
        <f>0.27+0.23</f>
        <v>0.5</v>
      </c>
      <c r="FB294" s="103"/>
      <c r="FC294" s="103"/>
      <c r="FD294" s="103"/>
      <c r="FE294" s="103"/>
      <c r="FF294" s="103"/>
      <c r="FG294" s="103"/>
      <c r="FH294" s="103"/>
      <c r="FI294" s="103"/>
      <c r="FJ294" s="103"/>
      <c r="FK294" s="103"/>
      <c r="FL294" s="103"/>
      <c r="FM294" s="103"/>
      <c r="FN294" s="103"/>
      <c r="FO294" s="103"/>
      <c r="FP294" s="103"/>
      <c r="FQ294" s="103"/>
      <c r="FR294" s="103"/>
      <c r="FS294" s="103"/>
      <c r="FT294" s="103"/>
      <c r="FU294" s="103"/>
      <c r="FV294" s="103"/>
      <c r="FW294" s="103"/>
      <c r="FX294" s="103"/>
      <c r="FY294" s="103"/>
      <c r="FZ294" s="103"/>
      <c r="GA294" s="103"/>
      <c r="GB294" s="103"/>
      <c r="GC294" s="103"/>
      <c r="GD294" s="103"/>
      <c r="GE294" s="103"/>
      <c r="GF294" s="103"/>
      <c r="GG294" s="103"/>
      <c r="GH294" s="103"/>
      <c r="GI294" s="103"/>
      <c r="GJ294" s="103"/>
      <c r="GK294" s="103"/>
      <c r="GL294" s="103"/>
      <c r="GM294" s="103"/>
      <c r="GN294" s="103"/>
      <c r="GO294" s="103"/>
      <c r="GP294" s="103"/>
      <c r="GQ294" s="103"/>
      <c r="GR294" s="207">
        <v>0.11</v>
      </c>
      <c r="GS294" s="203">
        <f>GR294*(BA294+EU294)</f>
        <v>1.2638895904988126</v>
      </c>
      <c r="GT294" s="208">
        <v>1.2500000000000001E-2</v>
      </c>
      <c r="GU294" s="203">
        <f t="shared" si="245"/>
        <v>0.14362381710213779</v>
      </c>
      <c r="GV294" s="207">
        <v>0.02</v>
      </c>
      <c r="GW294" s="203">
        <f t="shared" si="272"/>
        <v>7.1258907363420429E-2</v>
      </c>
      <c r="GX294" s="203">
        <f t="shared" si="247"/>
        <v>1.4787723149643708</v>
      </c>
      <c r="GY294" s="103" t="s">
        <v>43</v>
      </c>
      <c r="GZ294" s="103" t="s">
        <v>87</v>
      </c>
      <c r="HA294" s="203">
        <v>650</v>
      </c>
      <c r="HB294" s="203">
        <v>450</v>
      </c>
      <c r="HC294" s="103">
        <v>280</v>
      </c>
      <c r="HD294" s="103">
        <v>45</v>
      </c>
      <c r="HE294" s="103">
        <v>600</v>
      </c>
      <c r="HF294" s="203">
        <f t="shared" si="248"/>
        <v>14</v>
      </c>
      <c r="HG294" s="103">
        <v>5</v>
      </c>
      <c r="HH294" s="203">
        <f t="shared" si="249"/>
        <v>70</v>
      </c>
      <c r="HI294" s="103">
        <v>550</v>
      </c>
      <c r="HJ294" s="203">
        <f t="shared" si="250"/>
        <v>38500</v>
      </c>
      <c r="HK294" s="203"/>
      <c r="HL294" s="203"/>
      <c r="HM294" s="203">
        <v>2</v>
      </c>
      <c r="HN294" s="209">
        <f t="shared" si="251"/>
        <v>360000</v>
      </c>
      <c r="HO294" s="203">
        <f t="shared" si="252"/>
        <v>0.10694444444444444</v>
      </c>
      <c r="HP294" s="203">
        <v>160</v>
      </c>
      <c r="HQ294" s="103">
        <v>0</v>
      </c>
      <c r="HR294" s="203">
        <v>0</v>
      </c>
      <c r="HS294" s="203">
        <v>1</v>
      </c>
      <c r="HT294" s="103">
        <v>0.21</v>
      </c>
      <c r="HU294" s="103"/>
      <c r="HV294" s="203">
        <f t="shared" si="273"/>
        <v>0.31694444444444442</v>
      </c>
      <c r="HW294" s="203"/>
      <c r="HX294" s="203">
        <v>2200</v>
      </c>
      <c r="HY294" s="203">
        <v>1676</v>
      </c>
      <c r="HZ294" s="203">
        <v>2023</v>
      </c>
      <c r="IA294" s="203">
        <f t="shared" si="274"/>
        <v>3</v>
      </c>
      <c r="IB294" s="203">
        <f t="shared" si="275"/>
        <v>3</v>
      </c>
      <c r="IC294" s="203">
        <f t="shared" si="276"/>
        <v>7</v>
      </c>
      <c r="ID294" s="207">
        <v>1</v>
      </c>
      <c r="IE294" s="203">
        <f>ROUND(PRODUCT(IA294:ID294),0)-9</f>
        <v>54</v>
      </c>
      <c r="IF294" s="203">
        <v>500</v>
      </c>
      <c r="IG294" s="203">
        <f t="shared" si="255"/>
        <v>0.20576131687242799</v>
      </c>
      <c r="IH294" s="203"/>
      <c r="II294" s="103"/>
      <c r="IJ294" s="103"/>
      <c r="IK294" s="103"/>
      <c r="IL294" s="103"/>
      <c r="IM294" s="103" t="s">
        <v>1189</v>
      </c>
      <c r="IN294" s="103">
        <v>282</v>
      </c>
      <c r="IO294" s="103">
        <v>20</v>
      </c>
      <c r="IP294" s="103"/>
      <c r="IQ294" s="103">
        <v>5.0000000000000001E-3</v>
      </c>
      <c r="IR294" s="103">
        <v>4.0000000000000001E-3</v>
      </c>
      <c r="IS294" s="207">
        <v>1</v>
      </c>
      <c r="IT294" s="103">
        <f>(IQ294-IR294)*IS294</f>
        <v>1E-3</v>
      </c>
      <c r="IU294" s="103">
        <f>IQ294*IN294-IT294*IO294</f>
        <v>1.39</v>
      </c>
      <c r="IV294" s="103"/>
      <c r="IW294" s="103"/>
      <c r="IX294" s="103"/>
      <c r="IY294" s="103"/>
      <c r="IZ294" s="103"/>
      <c r="JA294" s="103"/>
      <c r="JB294" s="103"/>
      <c r="JC294" s="103"/>
      <c r="JD294" s="103"/>
      <c r="JE294" s="103"/>
      <c r="JF294" s="103"/>
      <c r="JG294" s="103"/>
      <c r="JH294" s="103"/>
      <c r="JI294" s="103"/>
      <c r="JJ294" s="103"/>
      <c r="JK294" s="103"/>
      <c r="JL294" s="103"/>
      <c r="JM294" s="103"/>
      <c r="JN294" s="103"/>
      <c r="JO294" s="103"/>
      <c r="JP294" s="103"/>
      <c r="JQ294" s="103"/>
      <c r="JR294" s="103"/>
      <c r="JS294" s="103"/>
      <c r="JT294" s="103"/>
      <c r="JU294" s="103"/>
      <c r="JV294" s="103"/>
      <c r="JW294" s="103">
        <v>100</v>
      </c>
      <c r="JX294" s="103">
        <v>1000</v>
      </c>
      <c r="JY294" s="103">
        <v>8</v>
      </c>
      <c r="JZ294" s="207">
        <v>0.95</v>
      </c>
      <c r="KA294" s="103">
        <v>2</v>
      </c>
      <c r="KB294" s="103"/>
      <c r="KC294" s="413">
        <v>50</v>
      </c>
      <c r="KD294" s="413">
        <f>3600/KC294*JY294*KA294*JZ294</f>
        <v>1094.3999999999999</v>
      </c>
      <c r="KE294" s="414">
        <f>JX294/KD294</f>
        <v>0.91374269005847963</v>
      </c>
      <c r="KF294" s="203"/>
      <c r="KG294" s="207">
        <v>0.11</v>
      </c>
      <c r="KH294" s="203">
        <f>KG294*(KE294+IU294)</f>
        <v>0.25341169590643275</v>
      </c>
      <c r="KI294" s="208">
        <v>1.2500000000000001E-2</v>
      </c>
      <c r="KJ294" s="203">
        <f>KI294*(KE294+IU294)</f>
        <v>2.8796783625730994E-2</v>
      </c>
      <c r="KK294" s="203"/>
      <c r="KL294" s="203"/>
      <c r="KM294" s="203"/>
      <c r="KN294" s="207">
        <v>0.02</v>
      </c>
      <c r="KO294" s="203">
        <f>KN294*(KE294+IU294)</f>
        <v>4.6074853801169588E-2</v>
      </c>
      <c r="KP294" s="203">
        <f>KO294+KJ294+KH294+KE294+IU294</f>
        <v>2.6320260233918127</v>
      </c>
    </row>
    <row r="295" spans="1:302">
      <c r="A295">
        <v>281</v>
      </c>
      <c r="B295" t="s">
        <v>468</v>
      </c>
      <c r="C295" s="215" t="s">
        <v>567</v>
      </c>
      <c r="D295" s="28" t="s">
        <v>757</v>
      </c>
      <c r="E295" s="27" t="s">
        <v>759</v>
      </c>
      <c r="F295" s="27"/>
      <c r="G295" s="27" t="s">
        <v>102</v>
      </c>
      <c r="I295" s="27" t="s">
        <v>226</v>
      </c>
      <c r="J295" s="28">
        <v>21480</v>
      </c>
      <c r="K295" s="27" t="s">
        <v>97</v>
      </c>
      <c r="N295" s="28" t="s">
        <v>1835</v>
      </c>
      <c r="O295" s="28" t="s">
        <v>1943</v>
      </c>
      <c r="P295" s="331">
        <v>45266</v>
      </c>
      <c r="Q295" s="28"/>
      <c r="R295" s="28"/>
      <c r="S295" s="27"/>
      <c r="T295" s="27"/>
      <c r="U295" s="27"/>
      <c r="W295" s="13" t="s">
        <v>1192</v>
      </c>
    </row>
    <row r="296" spans="1:302">
      <c r="A296">
        <v>281.10000000000002</v>
      </c>
      <c r="B296" t="s">
        <v>468</v>
      </c>
      <c r="C296" s="103" t="s">
        <v>1191</v>
      </c>
      <c r="D296" s="28" t="s">
        <v>757</v>
      </c>
      <c r="E296" s="27" t="s">
        <v>759</v>
      </c>
      <c r="F296" s="5" t="s">
        <v>2182</v>
      </c>
      <c r="G296" s="27" t="s">
        <v>102</v>
      </c>
      <c r="I296" s="27" t="s">
        <v>226</v>
      </c>
      <c r="J296" s="28">
        <v>21691</v>
      </c>
      <c r="K296" s="27" t="s">
        <v>404</v>
      </c>
      <c r="N296" s="28"/>
      <c r="O296" s="28"/>
      <c r="P296" s="28"/>
      <c r="Q296" s="28" t="s">
        <v>1033</v>
      </c>
      <c r="R296" s="28" t="s">
        <v>1193</v>
      </c>
      <c r="S296" s="27"/>
      <c r="T296" s="27"/>
      <c r="U296" s="27"/>
      <c r="AA296" s="103"/>
      <c r="AB296" s="212">
        <v>134.28</v>
      </c>
      <c r="AC296" s="103">
        <v>20</v>
      </c>
      <c r="AD296" s="103" t="s">
        <v>310</v>
      </c>
      <c r="AE296" s="204">
        <f>BA296</f>
        <v>6.0568799999999996</v>
      </c>
      <c r="AF296" s="204"/>
      <c r="AG296" s="204">
        <f>EU296+EM296+EV296+EX296</f>
        <v>2.8451439055154224</v>
      </c>
      <c r="AH296" s="204">
        <f>DM296</f>
        <v>7.08</v>
      </c>
      <c r="AI296" s="204">
        <f>DO296</f>
        <v>8.8500000000000009E-2</v>
      </c>
      <c r="AJ296" s="204">
        <f>GW296</f>
        <v>3.9473684210526314E-2</v>
      </c>
      <c r="AK296" s="204">
        <f>GU296</f>
        <v>0.10038205263157894</v>
      </c>
      <c r="AL296" s="204">
        <f>GS296</f>
        <v>0.88336206315789456</v>
      </c>
      <c r="AM296" s="204">
        <f>HV296</f>
        <v>1.3634259259259258</v>
      </c>
      <c r="AN296" s="204">
        <f>IG296</f>
        <v>8.3333333333333329E-2</v>
      </c>
      <c r="AO296" s="205">
        <v>0</v>
      </c>
      <c r="AP296" s="204">
        <f>EZ296</f>
        <v>3.5258222222222222</v>
      </c>
      <c r="AQ296" s="204">
        <f>SUM(AE296:AO296)+AP296</f>
        <v>22.066323186996904</v>
      </c>
      <c r="AR296" s="204"/>
      <c r="AS296" s="204"/>
      <c r="AT296" s="205">
        <v>0</v>
      </c>
      <c r="AU296" s="204">
        <f>22.33-22.07</f>
        <v>0.25999999999999801</v>
      </c>
      <c r="AV296" s="206">
        <f>AQ296+AT296+AU296</f>
        <v>22.326323186996902</v>
      </c>
      <c r="AW296" s="103">
        <v>4.5999999999999999E-2</v>
      </c>
      <c r="AX296" s="103">
        <v>0.04</v>
      </c>
      <c r="AY296" s="207">
        <v>1</v>
      </c>
      <c r="AZ296" s="103">
        <f>AW296-AX296</f>
        <v>5.9999999999999984E-3</v>
      </c>
      <c r="BA296" s="203">
        <f>AW296*AB296-AZ296*AC296</f>
        <v>6.0568799999999996</v>
      </c>
      <c r="BB296" s="203"/>
      <c r="BC296" s="203"/>
      <c r="BD296" s="203"/>
      <c r="BE296" s="203"/>
      <c r="BF296" s="203"/>
      <c r="BG296" s="203"/>
      <c r="BH296" s="203"/>
      <c r="BI296" s="203"/>
      <c r="BJ296" s="203"/>
      <c r="BK296" s="203"/>
      <c r="BL296" s="203"/>
      <c r="BM296" s="203"/>
      <c r="BN296" s="203"/>
      <c r="BO296" s="203"/>
      <c r="BP296" s="203"/>
      <c r="BQ296" s="203"/>
      <c r="BR296" s="203"/>
      <c r="BS296" s="203"/>
      <c r="BT296" s="203"/>
      <c r="BU296" s="203"/>
      <c r="BV296" s="203"/>
      <c r="BW296" s="203"/>
      <c r="BX296" s="203"/>
      <c r="BY296" s="203"/>
      <c r="BZ296" s="203"/>
      <c r="CA296" s="203"/>
      <c r="CB296" s="203"/>
      <c r="CC296" s="203"/>
      <c r="CD296" s="103"/>
      <c r="CE296" s="103">
        <v>0</v>
      </c>
      <c r="CF296" s="103">
        <v>2</v>
      </c>
      <c r="CG296" s="103">
        <f>2.08+0.2/2</f>
        <v>2.1800000000000002</v>
      </c>
      <c r="CH296" s="216">
        <f>CG296*CF296</f>
        <v>4.3600000000000003</v>
      </c>
      <c r="CI296" s="122" t="s">
        <v>1195</v>
      </c>
      <c r="CJ296" s="122" t="s">
        <v>1196</v>
      </c>
      <c r="CK296" s="122">
        <v>1</v>
      </c>
      <c r="CL296" s="122">
        <v>2.72</v>
      </c>
      <c r="CM296" s="122">
        <f>CK296*CL296</f>
        <v>2.72</v>
      </c>
      <c r="CN296" s="217"/>
      <c r="CO296" s="103"/>
      <c r="CP296" s="103"/>
      <c r="CQ296" s="103"/>
      <c r="CR296" s="103"/>
      <c r="CS296" s="103"/>
      <c r="CT296" s="103"/>
      <c r="CU296" s="103"/>
      <c r="CV296" s="103"/>
      <c r="CW296" s="103"/>
      <c r="CX296" s="103"/>
      <c r="CY296" s="103"/>
      <c r="CZ296" s="103"/>
      <c r="DA296" s="103"/>
      <c r="DB296" s="103"/>
      <c r="DC296" s="103"/>
      <c r="DD296" s="103"/>
      <c r="DE296" s="103"/>
      <c r="DF296" s="103"/>
      <c r="DG296" s="103"/>
      <c r="DH296" s="103"/>
      <c r="DI296" s="103"/>
      <c r="DJ296" s="103"/>
      <c r="DK296" s="103"/>
      <c r="DL296" s="103"/>
      <c r="DM296" s="103">
        <f>CM296+CR296+CW296+DB296+DG296+DL296+CH296</f>
        <v>7.08</v>
      </c>
      <c r="DN296" s="208">
        <v>1.2500000000000001E-2</v>
      </c>
      <c r="DO296" s="203">
        <f>DN296*DM296</f>
        <v>8.8500000000000009E-2</v>
      </c>
      <c r="DP296" s="203">
        <f>DM296+DO296</f>
        <v>7.1684999999999999</v>
      </c>
      <c r="DQ296" s="203"/>
      <c r="DR296" s="203"/>
      <c r="DS296" s="203"/>
      <c r="DT296" s="203"/>
      <c r="DU296" s="203"/>
      <c r="DV296" s="203"/>
      <c r="DW296" s="203"/>
      <c r="DX296" s="203"/>
      <c r="DY296" s="203"/>
      <c r="DZ296" s="203"/>
      <c r="EA296" s="203"/>
      <c r="EB296" s="203"/>
      <c r="EC296" s="203"/>
      <c r="ED296" s="203"/>
      <c r="EE296" s="203"/>
      <c r="EF296" s="103">
        <v>120</v>
      </c>
      <c r="EG296" s="103">
        <v>1200</v>
      </c>
      <c r="EH296" s="103">
        <v>8</v>
      </c>
      <c r="EI296" s="207">
        <v>0.95</v>
      </c>
      <c r="EJ296" s="103">
        <v>1</v>
      </c>
      <c r="EK296" s="103">
        <v>45</v>
      </c>
      <c r="EL296" s="209">
        <f>ROUND(3600/EK296*EH296*EJ296*EI296,0)</f>
        <v>608</v>
      </c>
      <c r="EM296" s="103"/>
      <c r="EN296" s="103"/>
      <c r="EO296" s="103"/>
      <c r="EP296" s="209"/>
      <c r="EQ296" s="209"/>
      <c r="ER296" s="209"/>
      <c r="ES296" s="209"/>
      <c r="ET296" s="209"/>
      <c r="EU296" s="203">
        <f>EG296/EL296</f>
        <v>1.9736842105263157</v>
      </c>
      <c r="EV296" s="103"/>
      <c r="EW296" s="103"/>
      <c r="EX296" s="203">
        <f>500/((60*60*7.5*0.85)/40)</f>
        <v>0.8714596949891068</v>
      </c>
      <c r="EY296" s="103"/>
      <c r="EZ296" s="62">
        <f>634648/(600*25*12)</f>
        <v>3.5258222222222222</v>
      </c>
      <c r="FA296" s="103"/>
      <c r="FB296" s="103"/>
      <c r="FC296" s="103"/>
      <c r="FD296" s="103"/>
      <c r="FE296" s="103"/>
      <c r="FF296" s="103"/>
      <c r="FG296" s="103"/>
      <c r="FH296" s="103"/>
      <c r="FI296" s="103"/>
      <c r="FJ296" s="103"/>
      <c r="FK296" s="103"/>
      <c r="FL296" s="103"/>
      <c r="FM296" s="103"/>
      <c r="FN296" s="103"/>
      <c r="FO296" s="103"/>
      <c r="FP296" s="103"/>
      <c r="FQ296" s="103"/>
      <c r="FR296" s="103"/>
      <c r="FS296" s="103"/>
      <c r="FT296" s="103"/>
      <c r="FU296" s="103"/>
      <c r="FV296" s="103"/>
      <c r="FW296" s="103"/>
      <c r="FX296" s="103"/>
      <c r="FY296" s="103"/>
      <c r="FZ296" s="103"/>
      <c r="GA296" s="103"/>
      <c r="GB296" s="103"/>
      <c r="GC296" s="103"/>
      <c r="GD296" s="103"/>
      <c r="GE296" s="103"/>
      <c r="GF296" s="103"/>
      <c r="GG296" s="103"/>
      <c r="GH296" s="103"/>
      <c r="GI296" s="103"/>
      <c r="GJ296" s="103"/>
      <c r="GK296" s="103"/>
      <c r="GL296" s="103"/>
      <c r="GM296" s="103"/>
      <c r="GN296" s="103"/>
      <c r="GO296" s="103"/>
      <c r="GP296" s="103"/>
      <c r="GQ296" s="103"/>
      <c r="GR296" s="207">
        <v>0.11</v>
      </c>
      <c r="GS296" s="203">
        <f>GR296*(BA296+EU296)</f>
        <v>0.88336206315789456</v>
      </c>
      <c r="GT296" s="208">
        <v>1.2500000000000001E-2</v>
      </c>
      <c r="GU296" s="203">
        <f>GT296*(BA296+EU296)</f>
        <v>0.10038205263157894</v>
      </c>
      <c r="GV296" s="207">
        <v>0.02</v>
      </c>
      <c r="GW296" s="203">
        <f>GV296*EU296</f>
        <v>3.9473684210526314E-2</v>
      </c>
      <c r="GX296" s="203">
        <f>GS296+GU296+GW296</f>
        <v>1.0232177999999998</v>
      </c>
      <c r="GY296" s="103" t="s">
        <v>43</v>
      </c>
      <c r="GZ296" s="103" t="s">
        <v>87</v>
      </c>
      <c r="HA296" s="103">
        <v>650</v>
      </c>
      <c r="HB296" s="103">
        <v>450</v>
      </c>
      <c r="HC296" s="103">
        <v>315</v>
      </c>
      <c r="HD296" s="103">
        <v>120</v>
      </c>
      <c r="HE296" s="103">
        <v>600</v>
      </c>
      <c r="HF296" s="103">
        <f>ROUNDUP(HE296/HD296,0)</f>
        <v>5</v>
      </c>
      <c r="HG296" s="103">
        <v>5</v>
      </c>
      <c r="HH296" s="103">
        <f>HF296*HG296</f>
        <v>25</v>
      </c>
      <c r="HI296" s="103">
        <v>650</v>
      </c>
      <c r="HJ296" s="103">
        <f>HH296*HI296</f>
        <v>16250</v>
      </c>
      <c r="HK296" s="103"/>
      <c r="HL296" s="103"/>
      <c r="HM296" s="103">
        <v>3</v>
      </c>
      <c r="HN296" s="103">
        <f>HM296*12*25*HE296</f>
        <v>540000</v>
      </c>
      <c r="HO296" s="203">
        <f>IF(GY296="carton box",HI296/HD296,HJ296/HN296)</f>
        <v>3.0092592592592591E-2</v>
      </c>
      <c r="HP296" s="103">
        <v>160</v>
      </c>
      <c r="HQ296" s="103">
        <v>0</v>
      </c>
      <c r="HR296" s="103">
        <v>160</v>
      </c>
      <c r="HS296" s="103">
        <v>120</v>
      </c>
      <c r="HT296" s="203">
        <f>HR296/HS296</f>
        <v>1.3333333333333333</v>
      </c>
      <c r="HU296" s="203"/>
      <c r="HV296" s="203">
        <f>HO296+HT296</f>
        <v>1.3634259259259258</v>
      </c>
      <c r="HW296" s="203"/>
      <c r="HX296" s="103">
        <v>5016</v>
      </c>
      <c r="HY296" s="103">
        <v>1976</v>
      </c>
      <c r="HZ296" s="103">
        <v>2280</v>
      </c>
      <c r="IA296" s="203">
        <f t="shared" ref="IA296:IC297" si="277">ROUNDDOWN(HX296/HA296,0)</f>
        <v>7</v>
      </c>
      <c r="IB296" s="203">
        <f t="shared" si="277"/>
        <v>4</v>
      </c>
      <c r="IC296" s="203">
        <f t="shared" si="277"/>
        <v>7</v>
      </c>
      <c r="ID296" s="207">
        <v>1</v>
      </c>
      <c r="IE296" s="203">
        <f>ROUND(PRODUCT(IA296:ID296),0)-146</f>
        <v>50</v>
      </c>
      <c r="IF296" s="103">
        <v>500</v>
      </c>
      <c r="IG296" s="203">
        <f>IF296/(IE296*HD296)</f>
        <v>8.3333333333333329E-2</v>
      </c>
      <c r="IH296" s="203"/>
      <c r="II296" s="103"/>
      <c r="IJ296" s="103"/>
      <c r="IK296" s="103"/>
      <c r="IL296" s="103"/>
      <c r="IM296" s="103"/>
      <c r="IN296" s="103"/>
      <c r="IO296" s="103"/>
      <c r="IP296" s="103"/>
      <c r="IQ296" s="103"/>
      <c r="IR296" s="103"/>
      <c r="IS296" s="103"/>
      <c r="IT296" s="103"/>
      <c r="IU296" s="103"/>
      <c r="IV296" s="103"/>
      <c r="IW296" s="103"/>
      <c r="IX296" s="103"/>
      <c r="IY296" s="103"/>
      <c r="IZ296" s="103"/>
      <c r="JA296" s="103"/>
      <c r="JB296" s="103"/>
      <c r="JC296" s="103"/>
      <c r="JD296" s="103"/>
      <c r="JE296" s="103"/>
      <c r="JF296" s="103"/>
      <c r="JG296" s="103"/>
      <c r="JH296" s="103"/>
      <c r="JI296" s="103"/>
      <c r="JJ296" s="103"/>
      <c r="JK296" s="103"/>
      <c r="JL296" s="103"/>
      <c r="JM296" s="103"/>
      <c r="JN296" s="103"/>
      <c r="JO296" s="103"/>
      <c r="JP296" s="103"/>
      <c r="JQ296" s="103"/>
      <c r="JR296" s="103"/>
      <c r="JS296" s="103"/>
      <c r="JT296" s="103"/>
      <c r="JU296" s="103"/>
      <c r="JV296" s="103"/>
      <c r="JW296" s="103"/>
      <c r="JX296" s="103"/>
      <c r="JY296" s="103"/>
      <c r="JZ296" s="103"/>
      <c r="KA296" s="103"/>
      <c r="KB296" s="103"/>
      <c r="KC296" s="413"/>
      <c r="KD296" s="413"/>
      <c r="KE296" s="413"/>
      <c r="KF296" s="103"/>
      <c r="KG296" s="103"/>
      <c r="KH296" s="103"/>
      <c r="KI296" s="103"/>
      <c r="KJ296" s="103"/>
      <c r="KK296" s="103"/>
      <c r="KL296" s="103"/>
      <c r="KM296" s="103"/>
      <c r="KN296" s="103"/>
      <c r="KO296" s="103"/>
      <c r="KP296" s="103"/>
    </row>
    <row r="297" spans="1:302">
      <c r="A297">
        <v>282</v>
      </c>
      <c r="B297" t="s">
        <v>468</v>
      </c>
      <c r="C297" s="103" t="s">
        <v>1197</v>
      </c>
      <c r="D297" s="28" t="s">
        <v>760</v>
      </c>
      <c r="E297" s="27" t="s">
        <v>761</v>
      </c>
      <c r="F297" s="5" t="s">
        <v>2182</v>
      </c>
      <c r="G297" s="27" t="s">
        <v>102</v>
      </c>
      <c r="I297" s="27" t="s">
        <v>121</v>
      </c>
      <c r="J297" s="28">
        <v>21480</v>
      </c>
      <c r="K297" s="27" t="s">
        <v>97</v>
      </c>
      <c r="N297" s="28"/>
      <c r="O297" s="28"/>
      <c r="P297" s="28"/>
      <c r="Q297" s="28" t="s">
        <v>1033</v>
      </c>
      <c r="R297" s="28" t="s">
        <v>1034</v>
      </c>
      <c r="S297" s="27"/>
      <c r="T297" s="27"/>
      <c r="U297" s="27"/>
      <c r="W297" s="139"/>
      <c r="X297" s="139"/>
      <c r="Y297" s="139"/>
      <c r="Z297" s="139"/>
      <c r="AA297" s="103" t="s">
        <v>891</v>
      </c>
      <c r="AB297" s="212">
        <v>127.69</v>
      </c>
      <c r="AC297" s="203">
        <f>AB297-5</f>
        <v>122.69</v>
      </c>
      <c r="AD297" s="103"/>
      <c r="AE297" s="204">
        <f>BA297</f>
        <v>9.9848200000000009</v>
      </c>
      <c r="AF297" s="204"/>
      <c r="AG297" s="204">
        <f>EU297+EM297+EV297+EX297</f>
        <v>2.8140703517587942</v>
      </c>
      <c r="AH297" s="204">
        <f>DM297</f>
        <v>3.12</v>
      </c>
      <c r="AI297" s="204">
        <f>DO297</f>
        <v>9.3600000000000003E-2</v>
      </c>
      <c r="AJ297" s="204">
        <f>GW297</f>
        <v>5.6281407035175882E-2</v>
      </c>
      <c r="AK297" s="204">
        <f>GU297</f>
        <v>0.15998612939698495</v>
      </c>
      <c r="AL297" s="204">
        <f>GS297</f>
        <v>1.4078779386934674</v>
      </c>
      <c r="AM297" s="204">
        <f>HV297</f>
        <v>0.21638888888888891</v>
      </c>
      <c r="AN297" s="204">
        <f>IG297</f>
        <v>0.13020833333333334</v>
      </c>
      <c r="AO297" s="205">
        <v>0</v>
      </c>
      <c r="AP297" s="205"/>
      <c r="AQ297" s="204">
        <f>SUM(AE297:AO297)</f>
        <v>17.983233049106641</v>
      </c>
      <c r="AR297" s="204"/>
      <c r="AS297" s="204"/>
      <c r="AT297" s="205">
        <v>0</v>
      </c>
      <c r="AU297" s="103"/>
      <c r="AV297" s="206">
        <f>AQ297+AT297</f>
        <v>17.983233049106641</v>
      </c>
      <c r="AW297" s="103">
        <v>8.3000000000000004E-2</v>
      </c>
      <c r="AX297" s="103">
        <v>7.8E-2</v>
      </c>
      <c r="AY297" s="207">
        <v>0.9</v>
      </c>
      <c r="AZ297" s="103">
        <f>AW297-AX297</f>
        <v>5.0000000000000044E-3</v>
      </c>
      <c r="BA297" s="203">
        <f>AW297*AB297-AZ297*AC297</f>
        <v>9.9848200000000009</v>
      </c>
      <c r="BB297" s="203"/>
      <c r="BC297" s="203"/>
      <c r="BD297" s="203"/>
      <c r="BE297" s="203"/>
      <c r="BF297" s="203"/>
      <c r="BG297" s="203"/>
      <c r="BH297" s="203"/>
      <c r="BI297" s="203"/>
      <c r="BJ297" s="203"/>
      <c r="BK297" s="203"/>
      <c r="BL297" s="203"/>
      <c r="BM297" s="203"/>
      <c r="BN297" s="203"/>
      <c r="BO297" s="203"/>
      <c r="BP297" s="203"/>
      <c r="BQ297" s="203"/>
      <c r="BR297" s="203"/>
      <c r="BS297" s="203"/>
      <c r="BT297" s="203"/>
      <c r="BU297" s="203"/>
      <c r="BV297" s="203"/>
      <c r="BW297" s="203"/>
      <c r="BX297" s="203"/>
      <c r="BY297" s="203"/>
      <c r="BZ297" s="203"/>
      <c r="CA297" s="203"/>
      <c r="CB297" s="203"/>
      <c r="CC297" s="203"/>
      <c r="CD297" s="103"/>
      <c r="CE297" s="103">
        <v>0</v>
      </c>
      <c r="CF297" s="103">
        <v>2</v>
      </c>
      <c r="CG297" s="103">
        <v>1.56</v>
      </c>
      <c r="CH297" s="103">
        <f>CG297*CF297</f>
        <v>3.12</v>
      </c>
      <c r="CI297" s="122"/>
      <c r="CJ297" s="122"/>
      <c r="CK297" s="122"/>
      <c r="CL297" s="122"/>
      <c r="CM297" s="122"/>
      <c r="CN297" s="103"/>
      <c r="CO297" s="103"/>
      <c r="CP297" s="103"/>
      <c r="CQ297" s="103"/>
      <c r="CR297" s="103"/>
      <c r="CS297" s="103"/>
      <c r="CT297" s="103"/>
      <c r="CU297" s="103"/>
      <c r="CV297" s="103"/>
      <c r="CW297" s="103"/>
      <c r="CX297" s="103"/>
      <c r="CY297" s="103"/>
      <c r="CZ297" s="103"/>
      <c r="DA297" s="103"/>
      <c r="DB297" s="103"/>
      <c r="DC297" s="103"/>
      <c r="DD297" s="103"/>
      <c r="DE297" s="103"/>
      <c r="DF297" s="103"/>
      <c r="DG297" s="103"/>
      <c r="DH297" s="103"/>
      <c r="DI297" s="103"/>
      <c r="DJ297" s="103"/>
      <c r="DK297" s="103"/>
      <c r="DL297" s="103"/>
      <c r="DM297" s="103">
        <f>CM297+CR297+CW297+DB297+DG297+DL297+CH297</f>
        <v>3.12</v>
      </c>
      <c r="DN297" s="208">
        <v>0.03</v>
      </c>
      <c r="DO297" s="203">
        <f>DN297*CG297*CF297</f>
        <v>9.3600000000000003E-2</v>
      </c>
      <c r="DP297" s="203">
        <f>CG297*CF297</f>
        <v>3.12</v>
      </c>
      <c r="DQ297" s="203"/>
      <c r="DR297" s="203"/>
      <c r="DS297" s="203"/>
      <c r="DT297" s="203"/>
      <c r="DU297" s="203"/>
      <c r="DV297" s="203"/>
      <c r="DW297" s="203"/>
      <c r="DX297" s="203"/>
      <c r="DY297" s="203"/>
      <c r="DZ297" s="203"/>
      <c r="EA297" s="203"/>
      <c r="EB297" s="203"/>
      <c r="EC297" s="203"/>
      <c r="ED297" s="203"/>
      <c r="EE297" s="203"/>
      <c r="EF297" s="103">
        <v>280</v>
      </c>
      <c r="EG297" s="103">
        <v>2800</v>
      </c>
      <c r="EH297" s="103">
        <v>8</v>
      </c>
      <c r="EI297" s="207">
        <v>0.95</v>
      </c>
      <c r="EJ297" s="103">
        <v>2</v>
      </c>
      <c r="EK297" s="103">
        <v>55</v>
      </c>
      <c r="EL297" s="209">
        <f>ROUND(3600/EK297*EH297*EJ297*EI297,0)</f>
        <v>995</v>
      </c>
      <c r="EM297" s="103"/>
      <c r="EN297" s="103"/>
      <c r="EO297" s="103"/>
      <c r="EP297" s="209"/>
      <c r="EQ297" s="209"/>
      <c r="ER297" s="209"/>
      <c r="ES297" s="209"/>
      <c r="ET297" s="209"/>
      <c r="EU297" s="203">
        <f>EG297/EL297</f>
        <v>2.8140703517587942</v>
      </c>
      <c r="EV297" s="103"/>
      <c r="EW297" s="103"/>
      <c r="EX297" s="103"/>
      <c r="EY297" s="103"/>
      <c r="EZ297" s="103"/>
      <c r="FA297" s="103"/>
      <c r="FB297" s="103"/>
      <c r="FC297" s="103"/>
      <c r="FD297" s="103"/>
      <c r="FE297" s="103"/>
      <c r="FF297" s="103"/>
      <c r="FG297" s="103"/>
      <c r="FH297" s="103"/>
      <c r="FI297" s="103"/>
      <c r="FJ297" s="103"/>
      <c r="FK297" s="103"/>
      <c r="FL297" s="103"/>
      <c r="FM297" s="103"/>
      <c r="FN297" s="103"/>
      <c r="FO297" s="103"/>
      <c r="FP297" s="103"/>
      <c r="FQ297" s="103"/>
      <c r="FR297" s="103"/>
      <c r="FS297" s="103"/>
      <c r="FT297" s="103"/>
      <c r="FU297" s="103"/>
      <c r="FV297" s="103"/>
      <c r="FW297" s="103"/>
      <c r="FX297" s="103"/>
      <c r="FY297" s="103"/>
      <c r="FZ297" s="103"/>
      <c r="GA297" s="103"/>
      <c r="GB297" s="103"/>
      <c r="GC297" s="103"/>
      <c r="GD297" s="103"/>
      <c r="GE297" s="103"/>
      <c r="GF297" s="103"/>
      <c r="GG297" s="103"/>
      <c r="GH297" s="103"/>
      <c r="GI297" s="103"/>
      <c r="GJ297" s="103"/>
      <c r="GK297" s="103"/>
      <c r="GL297" s="103"/>
      <c r="GM297" s="103"/>
      <c r="GN297" s="103"/>
      <c r="GO297" s="103"/>
      <c r="GP297" s="103"/>
      <c r="GQ297" s="103"/>
      <c r="GR297" s="207">
        <v>0.11</v>
      </c>
      <c r="GS297" s="203">
        <f>GR297*(BA297+EU297)</f>
        <v>1.4078779386934674</v>
      </c>
      <c r="GT297" s="208">
        <v>1.2500000000000001E-2</v>
      </c>
      <c r="GU297" s="203">
        <f>GT297*(BA297+EU297)</f>
        <v>0.15998612939698495</v>
      </c>
      <c r="GV297" s="207">
        <v>0.02</v>
      </c>
      <c r="GW297" s="203">
        <f>GV297*EU297</f>
        <v>5.6281407035175882E-2</v>
      </c>
      <c r="GX297" s="203">
        <f>GS297+GU297+GW297</f>
        <v>1.6241454751256281</v>
      </c>
      <c r="GY297" s="103" t="s">
        <v>43</v>
      </c>
      <c r="GZ297" s="103" t="s">
        <v>87</v>
      </c>
      <c r="HA297" s="203">
        <v>650</v>
      </c>
      <c r="HB297" s="203">
        <v>450</v>
      </c>
      <c r="HC297" s="103">
        <v>320</v>
      </c>
      <c r="HD297" s="103">
        <v>64</v>
      </c>
      <c r="HE297" s="103">
        <v>600</v>
      </c>
      <c r="HF297" s="203">
        <f>ROUNDUP(HE297/HD297,0)</f>
        <v>10</v>
      </c>
      <c r="HG297" s="103">
        <v>5</v>
      </c>
      <c r="HH297" s="203">
        <f>HF297*HG297</f>
        <v>50</v>
      </c>
      <c r="HI297" s="103">
        <v>550</v>
      </c>
      <c r="HJ297" s="203">
        <f>HH297*HI297</f>
        <v>27500</v>
      </c>
      <c r="HK297" s="203"/>
      <c r="HL297" s="203"/>
      <c r="HM297" s="203">
        <v>2</v>
      </c>
      <c r="HN297" s="209">
        <f>HM297*12*25*HE297</f>
        <v>360000</v>
      </c>
      <c r="HO297" s="203">
        <f>IF(GY297="carton box",HI297/HD297,HJ297/HN297)</f>
        <v>7.6388888888888895E-2</v>
      </c>
      <c r="HP297" s="203">
        <v>160</v>
      </c>
      <c r="HQ297" s="103">
        <v>0</v>
      </c>
      <c r="HR297" s="203">
        <v>0</v>
      </c>
      <c r="HS297" s="203">
        <v>1</v>
      </c>
      <c r="HT297" s="103">
        <v>0.14000000000000001</v>
      </c>
      <c r="HU297" s="103"/>
      <c r="HV297" s="203">
        <f>HO297+HT297</f>
        <v>0.21638888888888891</v>
      </c>
      <c r="HW297" s="203"/>
      <c r="HX297" s="203">
        <v>2917</v>
      </c>
      <c r="HY297" s="203">
        <v>1689</v>
      </c>
      <c r="HZ297" s="203">
        <v>1842</v>
      </c>
      <c r="IA297" s="203">
        <f t="shared" si="277"/>
        <v>4</v>
      </c>
      <c r="IB297" s="203">
        <f t="shared" si="277"/>
        <v>3</v>
      </c>
      <c r="IC297" s="203">
        <f t="shared" si="277"/>
        <v>5</v>
      </c>
      <c r="ID297" s="207">
        <v>1</v>
      </c>
      <c r="IE297" s="203">
        <f>(PRODUCT(IA297:ID297))</f>
        <v>60</v>
      </c>
      <c r="IF297" s="203">
        <v>500</v>
      </c>
      <c r="IG297" s="203">
        <f>IF297/(IE297*HD297)</f>
        <v>0.13020833333333334</v>
      </c>
      <c r="IH297" s="203"/>
      <c r="II297" s="103"/>
      <c r="IJ297" s="103"/>
      <c r="IK297" s="103"/>
      <c r="IL297" s="103"/>
      <c r="IM297" s="103"/>
      <c r="IN297" s="103"/>
      <c r="IO297" s="103"/>
      <c r="IP297" s="103"/>
      <c r="IQ297" s="103"/>
      <c r="IR297" s="103"/>
      <c r="IS297" s="103"/>
      <c r="IT297" s="103"/>
      <c r="IU297" s="103"/>
      <c r="IV297" s="103"/>
      <c r="IW297" s="103"/>
      <c r="IX297" s="103"/>
      <c r="IY297" s="103"/>
      <c r="IZ297" s="103"/>
      <c r="JA297" s="103"/>
      <c r="JB297" s="103"/>
      <c r="JC297" s="103"/>
      <c r="JD297" s="103"/>
      <c r="JE297" s="103"/>
      <c r="JF297" s="103"/>
      <c r="JG297" s="103"/>
      <c r="JH297" s="103"/>
      <c r="JI297" s="103"/>
      <c r="JJ297" s="103"/>
      <c r="JK297" s="103"/>
      <c r="JL297" s="103"/>
      <c r="JM297" s="103"/>
      <c r="JN297" s="103"/>
      <c r="JO297" s="103"/>
      <c r="JP297" s="103"/>
      <c r="JQ297" s="103"/>
      <c r="JR297" s="103"/>
      <c r="JS297" s="103"/>
      <c r="JT297" s="103"/>
      <c r="JU297" s="103"/>
      <c r="JV297" s="103"/>
      <c r="JW297" s="103"/>
      <c r="JX297" s="103"/>
      <c r="JY297" s="103"/>
      <c r="JZ297" s="103"/>
      <c r="KA297" s="103"/>
      <c r="KB297" s="103"/>
      <c r="KC297" s="413"/>
      <c r="KD297" s="413"/>
      <c r="KE297" s="413"/>
      <c r="KF297" s="103"/>
      <c r="KG297" s="103"/>
      <c r="KH297" s="103"/>
      <c r="KI297" s="103"/>
      <c r="KJ297" s="103"/>
      <c r="KK297" s="103"/>
      <c r="KL297" s="103"/>
      <c r="KM297" s="103"/>
      <c r="KN297" s="103"/>
      <c r="KO297" s="103"/>
      <c r="KP297" s="103"/>
    </row>
    <row r="298" spans="1:302" ht="30">
      <c r="A298">
        <v>283</v>
      </c>
      <c r="B298" t="s">
        <v>468</v>
      </c>
      <c r="C298" t="s">
        <v>567</v>
      </c>
      <c r="D298" s="28" t="s">
        <v>760</v>
      </c>
      <c r="E298" s="27" t="s">
        <v>761</v>
      </c>
      <c r="F298" s="27"/>
      <c r="G298" s="27" t="s">
        <v>102</v>
      </c>
      <c r="I298" s="27" t="s">
        <v>226</v>
      </c>
      <c r="J298" s="28">
        <v>21480</v>
      </c>
      <c r="K298" s="27" t="s">
        <v>97</v>
      </c>
      <c r="N298" s="28" t="s">
        <v>1835</v>
      </c>
      <c r="O298" s="28" t="s">
        <v>1943</v>
      </c>
      <c r="P298" s="331">
        <v>45266</v>
      </c>
      <c r="Q298" s="28"/>
      <c r="R298" s="28"/>
      <c r="S298" s="27"/>
      <c r="T298" s="27"/>
      <c r="U298" s="27"/>
      <c r="W298" s="53" t="s">
        <v>1198</v>
      </c>
      <c r="X298" s="53"/>
      <c r="Y298" s="53"/>
      <c r="Z298" s="53"/>
    </row>
    <row r="299" spans="1:302" ht="45">
      <c r="A299">
        <v>283.10000000000002</v>
      </c>
      <c r="B299" t="s">
        <v>468</v>
      </c>
      <c r="C299" s="222" t="s">
        <v>1190</v>
      </c>
      <c r="D299" s="28" t="s">
        <v>760</v>
      </c>
      <c r="E299" s="27" t="s">
        <v>761</v>
      </c>
      <c r="F299" s="5" t="s">
        <v>2182</v>
      </c>
      <c r="G299" s="27" t="s">
        <v>102</v>
      </c>
      <c r="I299" s="27" t="s">
        <v>226</v>
      </c>
      <c r="J299" s="28">
        <v>21590</v>
      </c>
      <c r="K299" s="27" t="s">
        <v>397</v>
      </c>
      <c r="N299" s="28"/>
      <c r="O299" s="28"/>
      <c r="P299" s="28"/>
      <c r="Q299" s="28"/>
      <c r="R299" s="28"/>
      <c r="S299" s="27"/>
      <c r="T299" s="27"/>
      <c r="U299" s="27"/>
      <c r="W299" s="218" t="s">
        <v>1199</v>
      </c>
      <c r="X299" s="218"/>
      <c r="Y299" s="218"/>
      <c r="Z299" s="218"/>
      <c r="AA299" s="122" t="s">
        <v>461</v>
      </c>
      <c r="AB299" s="201">
        <v>109.71</v>
      </c>
      <c r="AC299" s="122">
        <v>20</v>
      </c>
      <c r="AD299" s="122" t="s">
        <v>1200</v>
      </c>
      <c r="AE299" s="219">
        <f>BA299</f>
        <v>7.9707719999999984</v>
      </c>
      <c r="AF299" s="219"/>
      <c r="AG299" s="219">
        <f>EU299+EM299+EV299+EX299</f>
        <v>2.0408163265306123</v>
      </c>
      <c r="AH299" s="219">
        <f>DM299</f>
        <v>2.7</v>
      </c>
      <c r="AI299" s="219">
        <f>DO299</f>
        <v>3.3750000000000002E-2</v>
      </c>
      <c r="AJ299" s="219">
        <f>GW299</f>
        <v>4.0816326530612249E-2</v>
      </c>
      <c r="AK299" s="219">
        <f>GU299</f>
        <v>0.12514485408163264</v>
      </c>
      <c r="AL299" s="219">
        <f>GS299</f>
        <v>1.1012747159183671</v>
      </c>
      <c r="AM299" s="219">
        <f>HV299</f>
        <v>0.29000000000000004</v>
      </c>
      <c r="AN299" s="219">
        <f>IG299</f>
        <v>6.5104166666666671E-2</v>
      </c>
      <c r="AO299" s="220">
        <v>0</v>
      </c>
      <c r="AP299" s="220"/>
      <c r="AQ299" s="219">
        <f>SUM(AE299:AP299)</f>
        <v>14.367678389727887</v>
      </c>
      <c r="AR299" s="219"/>
      <c r="AS299" s="219"/>
      <c r="AT299" s="220">
        <v>0</v>
      </c>
      <c r="AU299" s="122">
        <f>14.41-14.37</f>
        <v>4.0000000000000924E-2</v>
      </c>
      <c r="AV299" s="219">
        <f>AQ299+AT299</f>
        <v>14.367678389727887</v>
      </c>
      <c r="AW299" s="122">
        <v>7.3200000000000001E-2</v>
      </c>
      <c r="AX299" s="122">
        <v>7.0199999999999999E-2</v>
      </c>
      <c r="AY299" s="210">
        <v>1</v>
      </c>
      <c r="AZ299" s="122">
        <f>(AW299-AX299)*AY299</f>
        <v>3.0000000000000027E-3</v>
      </c>
      <c r="BA299" s="202">
        <f>AW299*AB299-AZ299*AC299</f>
        <v>7.9707719999999984</v>
      </c>
      <c r="BB299" s="202"/>
      <c r="BC299" s="202"/>
      <c r="BD299" s="202"/>
      <c r="BE299" s="202"/>
      <c r="BF299" s="202"/>
      <c r="BG299" s="202"/>
      <c r="BH299" s="202"/>
      <c r="BI299" s="202"/>
      <c r="BJ299" s="202"/>
      <c r="BK299" s="202"/>
      <c r="BL299" s="202"/>
      <c r="BM299" s="202"/>
      <c r="BN299" s="202"/>
      <c r="BO299" s="202"/>
      <c r="BP299" s="202"/>
      <c r="BQ299" s="202"/>
      <c r="BR299" s="202"/>
      <c r="BS299" s="202"/>
      <c r="BT299" s="202"/>
      <c r="BU299" s="202"/>
      <c r="BV299" s="202"/>
      <c r="BW299" s="202"/>
      <c r="BX299" s="202"/>
      <c r="BY299" s="202"/>
      <c r="BZ299" s="202"/>
      <c r="CA299" s="202"/>
      <c r="CB299" s="202"/>
      <c r="CC299" s="202"/>
      <c r="CD299" s="122"/>
      <c r="CE299" s="122"/>
      <c r="CF299" s="122">
        <v>2</v>
      </c>
      <c r="CG299" s="122">
        <v>1.35</v>
      </c>
      <c r="CH299" s="122">
        <f>CG299*CF299</f>
        <v>2.7</v>
      </c>
      <c r="CI299" s="122"/>
      <c r="CJ299" s="122"/>
      <c r="CK299" s="122"/>
      <c r="CL299" s="122"/>
      <c r="CM299" s="122"/>
      <c r="CN299" s="122"/>
      <c r="CO299" s="122"/>
      <c r="CP299" s="122"/>
      <c r="CQ299" s="122"/>
      <c r="CR299" s="122"/>
      <c r="CS299" s="122"/>
      <c r="CT299" s="122"/>
      <c r="CU299" s="122"/>
      <c r="CV299" s="122"/>
      <c r="CW299" s="122"/>
      <c r="CX299" s="122"/>
      <c r="CY299" s="122"/>
      <c r="CZ299" s="122"/>
      <c r="DA299" s="122"/>
      <c r="DB299" s="122"/>
      <c r="DC299" s="122"/>
      <c r="DD299" s="122"/>
      <c r="DE299" s="122"/>
      <c r="DF299" s="122"/>
      <c r="DG299" s="122"/>
      <c r="DH299" s="122"/>
      <c r="DI299" s="122"/>
      <c r="DJ299" s="122"/>
      <c r="DK299" s="122"/>
      <c r="DL299" s="122"/>
      <c r="DM299" s="122">
        <f>CM299+CR299+CW299+DB299+DG299+DL299+CH299</f>
        <v>2.7</v>
      </c>
      <c r="DN299" s="211">
        <v>1.2500000000000001E-2</v>
      </c>
      <c r="DO299" s="202">
        <f>DN299*CG299*CF299</f>
        <v>3.3750000000000002E-2</v>
      </c>
      <c r="DP299" s="202">
        <f>CG299*CF299</f>
        <v>2.7</v>
      </c>
      <c r="DQ299" s="202"/>
      <c r="DR299" s="202"/>
      <c r="DS299" s="202"/>
      <c r="DT299" s="202"/>
      <c r="DU299" s="202"/>
      <c r="DV299" s="202"/>
      <c r="DW299" s="202"/>
      <c r="DX299" s="202"/>
      <c r="DY299" s="202"/>
      <c r="DZ299" s="202"/>
      <c r="EA299" s="202"/>
      <c r="EB299" s="202"/>
      <c r="EC299" s="202"/>
      <c r="ED299" s="202"/>
      <c r="EE299" s="202"/>
      <c r="EF299" s="122">
        <v>160</v>
      </c>
      <c r="EG299" s="122">
        <v>1600</v>
      </c>
      <c r="EH299" s="122">
        <v>7.5</v>
      </c>
      <c r="EI299" s="210">
        <v>0.9</v>
      </c>
      <c r="EJ299" s="122">
        <v>2</v>
      </c>
      <c r="EK299" s="122">
        <v>62</v>
      </c>
      <c r="EL299" s="221">
        <f>ROUND(3600/EK299*EH299*EJ299*EI299,0)</f>
        <v>784</v>
      </c>
      <c r="EM299" s="122"/>
      <c r="EN299" s="122"/>
      <c r="EO299" s="122"/>
      <c r="EP299" s="221"/>
      <c r="EQ299" s="221"/>
      <c r="ER299" s="221"/>
      <c r="ES299" s="221"/>
      <c r="ET299" s="221"/>
      <c r="EU299" s="202">
        <f>EG299/EL299</f>
        <v>2.0408163265306123</v>
      </c>
      <c r="EV299" s="122"/>
      <c r="EW299" s="122"/>
      <c r="EX299" s="122"/>
      <c r="EY299" s="122"/>
      <c r="EZ299" s="122"/>
      <c r="FA299" s="122"/>
      <c r="FB299" s="122"/>
      <c r="FC299" s="122"/>
      <c r="FD299" s="122"/>
      <c r="FE299" s="122"/>
      <c r="FF299" s="122"/>
      <c r="FG299" s="122"/>
      <c r="FH299" s="122"/>
      <c r="FI299" s="122"/>
      <c r="FJ299" s="122"/>
      <c r="FK299" s="122"/>
      <c r="FL299" s="122"/>
      <c r="FM299" s="122"/>
      <c r="FN299" s="122"/>
      <c r="FO299" s="122"/>
      <c r="FP299" s="122"/>
      <c r="FQ299" s="122"/>
      <c r="FR299" s="122"/>
      <c r="FS299" s="122"/>
      <c r="FT299" s="122"/>
      <c r="FU299" s="122"/>
      <c r="FV299" s="122"/>
      <c r="FW299" s="122"/>
      <c r="FX299" s="122"/>
      <c r="FY299" s="122"/>
      <c r="FZ299" s="122"/>
      <c r="GA299" s="122"/>
      <c r="GB299" s="122"/>
      <c r="GC299" s="122"/>
      <c r="GD299" s="122"/>
      <c r="GE299" s="122"/>
      <c r="GF299" s="122"/>
      <c r="GG299" s="122"/>
      <c r="GH299" s="122"/>
      <c r="GI299" s="122"/>
      <c r="GJ299" s="122"/>
      <c r="GK299" s="122"/>
      <c r="GL299" s="122"/>
      <c r="GM299" s="122"/>
      <c r="GN299" s="122"/>
      <c r="GO299" s="122"/>
      <c r="GP299" s="122"/>
      <c r="GQ299" s="122"/>
      <c r="GR299" s="210">
        <v>0.11</v>
      </c>
      <c r="GS299" s="202">
        <f>GR299*(BA299+EU299)</f>
        <v>1.1012747159183671</v>
      </c>
      <c r="GT299" s="211">
        <v>1.2500000000000001E-2</v>
      </c>
      <c r="GU299" s="202">
        <f>GT299*(BA299+EU299)</f>
        <v>0.12514485408163264</v>
      </c>
      <c r="GV299" s="210">
        <v>0.02</v>
      </c>
      <c r="GW299" s="202">
        <f>GV299*EU299</f>
        <v>4.0816326530612249E-2</v>
      </c>
      <c r="GX299" s="202">
        <f>GS299+GU299+GW299</f>
        <v>1.2672358965306121</v>
      </c>
      <c r="GY299" s="122" t="s">
        <v>43</v>
      </c>
      <c r="GZ299" s="122" t="s">
        <v>87</v>
      </c>
      <c r="HA299" s="202">
        <v>650</v>
      </c>
      <c r="HB299" s="202">
        <v>450</v>
      </c>
      <c r="HC299" s="122">
        <v>330</v>
      </c>
      <c r="HD299" s="122">
        <v>64</v>
      </c>
      <c r="HE299" s="122">
        <v>400</v>
      </c>
      <c r="HF299" s="202">
        <f>ROUNDUP(HE299/HD299,0)</f>
        <v>7</v>
      </c>
      <c r="HG299" s="122">
        <v>5</v>
      </c>
      <c r="HH299" s="202">
        <f>HF299*HG299</f>
        <v>35</v>
      </c>
      <c r="HI299" s="122">
        <v>650</v>
      </c>
      <c r="HJ299" s="202">
        <f>HH299*HI299</f>
        <v>22750</v>
      </c>
      <c r="HK299" s="202"/>
      <c r="HL299" s="202"/>
      <c r="HM299" s="202">
        <v>2</v>
      </c>
      <c r="HN299" s="221">
        <f>HM299*12*25*HE299</f>
        <v>240000</v>
      </c>
      <c r="HO299" s="202">
        <f>IF(GY299="carton box",HI299/HD299,HJ299/HN299)</f>
        <v>9.4791666666666663E-2</v>
      </c>
      <c r="HP299" s="202">
        <v>160</v>
      </c>
      <c r="HQ299" s="122">
        <v>0</v>
      </c>
      <c r="HR299" s="202">
        <v>0</v>
      </c>
      <c r="HS299" s="202">
        <v>1</v>
      </c>
      <c r="HT299" s="122">
        <v>0.19</v>
      </c>
      <c r="HU299" s="122"/>
      <c r="HV299" s="202">
        <f>ROUNDUP(HO299+HT299,2)</f>
        <v>0.29000000000000004</v>
      </c>
      <c r="HW299" s="202"/>
      <c r="HX299" s="202">
        <v>4200</v>
      </c>
      <c r="HY299" s="202">
        <v>1900</v>
      </c>
      <c r="HZ299" s="202">
        <v>1975</v>
      </c>
      <c r="IA299" s="202">
        <f t="shared" ref="IA299:IC300" si="278">ROUNDDOWN(HX299/HA299,0)</f>
        <v>6</v>
      </c>
      <c r="IB299" s="202">
        <f t="shared" si="278"/>
        <v>4</v>
      </c>
      <c r="IC299" s="202">
        <f t="shared" si="278"/>
        <v>5</v>
      </c>
      <c r="ID299" s="210">
        <v>1</v>
      </c>
      <c r="IE299" s="202">
        <f>(PRODUCT(IA299:ID299))</f>
        <v>120</v>
      </c>
      <c r="IF299" s="202">
        <v>500</v>
      </c>
      <c r="IG299" s="202">
        <f>IF299/(IE299*HD299)</f>
        <v>6.5104166666666671E-2</v>
      </c>
      <c r="IH299" s="20"/>
    </row>
    <row r="300" spans="1:302">
      <c r="A300">
        <v>284</v>
      </c>
      <c r="B300" t="s">
        <v>468</v>
      </c>
      <c r="C300" s="122" t="s">
        <v>1201</v>
      </c>
      <c r="D300" s="28" t="s">
        <v>762</v>
      </c>
      <c r="E300" s="27" t="s">
        <v>763</v>
      </c>
      <c r="F300" s="5" t="s">
        <v>2182</v>
      </c>
      <c r="G300" s="27" t="s">
        <v>102</v>
      </c>
      <c r="I300" s="27" t="s">
        <v>121</v>
      </c>
      <c r="J300" s="28">
        <v>21480</v>
      </c>
      <c r="K300" s="27" t="s">
        <v>97</v>
      </c>
      <c r="N300" s="28"/>
      <c r="O300" s="28"/>
      <c r="P300" s="28"/>
      <c r="Q300" s="28"/>
      <c r="R300" s="28"/>
      <c r="S300" s="27"/>
      <c r="T300" s="27"/>
      <c r="U300" s="27"/>
      <c r="W300" s="115"/>
      <c r="X300" s="115"/>
      <c r="Y300" s="115"/>
      <c r="Z300" s="115"/>
      <c r="AA300" s="122" t="s">
        <v>440</v>
      </c>
      <c r="AB300" s="201">
        <v>85.45</v>
      </c>
      <c r="AC300" s="122">
        <v>20</v>
      </c>
      <c r="AD300" s="122"/>
      <c r="AE300" s="204">
        <f>BA300</f>
        <v>12.073900000000002</v>
      </c>
      <c r="AF300" s="204"/>
      <c r="AG300" s="204">
        <f>EU300+EM300+EV300+EX300</f>
        <v>7.6754385964912277</v>
      </c>
      <c r="AH300" s="204">
        <f>DM300</f>
        <v>0</v>
      </c>
      <c r="AI300" s="204">
        <f>DO300</f>
        <v>0</v>
      </c>
      <c r="AJ300" s="204">
        <f>GW300</f>
        <v>0.15350877192982457</v>
      </c>
      <c r="AK300" s="204">
        <f>GU300</f>
        <v>0.24686673245614035</v>
      </c>
      <c r="AL300" s="204">
        <f>GS300</f>
        <v>2.1724272456140352</v>
      </c>
      <c r="AM300" s="204">
        <f>HV300</f>
        <v>0.22</v>
      </c>
      <c r="AN300" s="204">
        <f>IG300</f>
        <v>0.3968253968253968</v>
      </c>
      <c r="AO300" s="205">
        <v>0</v>
      </c>
      <c r="AP300" s="205"/>
      <c r="AQ300" s="204">
        <f>SUM(AE300:AO300)</f>
        <v>22.938966743316623</v>
      </c>
      <c r="AR300" s="204"/>
      <c r="AS300" s="204"/>
      <c r="AT300" s="205">
        <v>0</v>
      </c>
      <c r="AU300" s="103"/>
      <c r="AV300" s="206">
        <f>AQ300+AT296</f>
        <v>22.938966743316623</v>
      </c>
      <c r="AW300" s="223">
        <v>0.14200000000000002</v>
      </c>
      <c r="AX300" s="122">
        <v>0.13900000000000001</v>
      </c>
      <c r="AY300" s="210">
        <v>1</v>
      </c>
      <c r="AZ300" s="122">
        <f>AW300-AX300</f>
        <v>3.0000000000000027E-3</v>
      </c>
      <c r="BA300" s="203">
        <f>AW300*AB300-(AZ300*AC300)*AY300</f>
        <v>12.073900000000002</v>
      </c>
      <c r="BB300" s="203"/>
      <c r="BC300" s="203"/>
      <c r="BD300" s="203"/>
      <c r="BE300" s="203"/>
      <c r="BF300" s="203"/>
      <c r="BG300" s="203"/>
      <c r="BH300" s="203"/>
      <c r="BI300" s="203"/>
      <c r="BJ300" s="203"/>
      <c r="BK300" s="203"/>
      <c r="BL300" s="203"/>
      <c r="BM300" s="203"/>
      <c r="BN300" s="203"/>
      <c r="BO300" s="203"/>
      <c r="BP300" s="203"/>
      <c r="BQ300" s="203"/>
      <c r="BR300" s="203"/>
      <c r="BS300" s="203"/>
      <c r="BT300" s="203"/>
      <c r="BU300" s="203"/>
      <c r="BV300" s="203"/>
      <c r="BW300" s="203"/>
      <c r="BX300" s="203"/>
      <c r="BY300" s="203"/>
      <c r="BZ300" s="203"/>
      <c r="CA300" s="203"/>
      <c r="CB300" s="203"/>
      <c r="CC300" s="203"/>
      <c r="CD300" s="122"/>
      <c r="CE300" s="122">
        <v>0</v>
      </c>
      <c r="CF300" s="122">
        <v>0</v>
      </c>
      <c r="CG300" s="122">
        <v>0</v>
      </c>
      <c r="CH300" s="103">
        <f>CG300*CF300</f>
        <v>0</v>
      </c>
      <c r="CI300" s="122"/>
      <c r="CJ300" s="122"/>
      <c r="CK300" s="122"/>
      <c r="CL300" s="122"/>
      <c r="CM300" s="122"/>
      <c r="CN300" s="122"/>
      <c r="CO300" s="122"/>
      <c r="CP300" s="122"/>
      <c r="CQ300" s="122"/>
      <c r="CR300" s="122"/>
      <c r="CS300" s="122"/>
      <c r="CT300" s="122"/>
      <c r="CU300" s="122"/>
      <c r="CV300" s="122"/>
      <c r="CW300" s="122"/>
      <c r="CX300" s="122"/>
      <c r="CY300" s="122"/>
      <c r="CZ300" s="122"/>
      <c r="DA300" s="122"/>
      <c r="DB300" s="122"/>
      <c r="DC300" s="122"/>
      <c r="DD300" s="122"/>
      <c r="DE300" s="122"/>
      <c r="DF300" s="122"/>
      <c r="DG300" s="122"/>
      <c r="DH300" s="122"/>
      <c r="DI300" s="122"/>
      <c r="DJ300" s="122"/>
      <c r="DK300" s="122"/>
      <c r="DL300" s="122"/>
      <c r="DM300" s="103">
        <f>CM300+CR300+CW300+DB300+DG300+DL300+CH300</f>
        <v>0</v>
      </c>
      <c r="DN300" s="211">
        <v>0.03</v>
      </c>
      <c r="DO300" s="202">
        <f>DN300*CG300*CF300</f>
        <v>0</v>
      </c>
      <c r="DP300" s="203">
        <f>CG300*CF300</f>
        <v>0</v>
      </c>
      <c r="DQ300" s="203"/>
      <c r="DR300" s="203"/>
      <c r="DS300" s="203"/>
      <c r="DT300" s="203"/>
      <c r="DU300" s="203"/>
      <c r="DV300" s="203"/>
      <c r="DW300" s="203"/>
      <c r="DX300" s="203"/>
      <c r="DY300" s="203"/>
      <c r="DZ300" s="203"/>
      <c r="EA300" s="203"/>
      <c r="EB300" s="203"/>
      <c r="EC300" s="203"/>
      <c r="ED300" s="203"/>
      <c r="EE300" s="203"/>
      <c r="EF300" s="122">
        <v>350</v>
      </c>
      <c r="EG300" s="122">
        <v>3500</v>
      </c>
      <c r="EH300" s="122">
        <v>8</v>
      </c>
      <c r="EI300" s="210">
        <v>0.95</v>
      </c>
      <c r="EJ300" s="122">
        <v>1</v>
      </c>
      <c r="EK300" s="122">
        <v>60</v>
      </c>
      <c r="EL300" s="209">
        <f>ROUND(3600/EK300*EH300*EJ300*EI300,0)</f>
        <v>456</v>
      </c>
      <c r="EM300" s="122"/>
      <c r="EN300" s="122"/>
      <c r="EO300" s="122"/>
      <c r="EP300" s="209"/>
      <c r="EQ300" s="209"/>
      <c r="ER300" s="209"/>
      <c r="ES300" s="209"/>
      <c r="ET300" s="209"/>
      <c r="EU300" s="203">
        <f>EG300/EL300</f>
        <v>7.6754385964912277</v>
      </c>
      <c r="EV300" s="122"/>
      <c r="EW300" s="122"/>
      <c r="EX300" s="122"/>
      <c r="EY300" s="122"/>
      <c r="EZ300" s="122"/>
      <c r="FA300" s="122"/>
      <c r="FB300" s="122"/>
      <c r="FC300" s="122"/>
      <c r="FD300" s="122"/>
      <c r="FE300" s="122"/>
      <c r="FF300" s="122"/>
      <c r="FG300" s="122"/>
      <c r="FH300" s="122"/>
      <c r="FI300" s="122"/>
      <c r="FJ300" s="122"/>
      <c r="FK300" s="122"/>
      <c r="FL300" s="122"/>
      <c r="FM300" s="122"/>
      <c r="FN300" s="122"/>
      <c r="FO300" s="122"/>
      <c r="FP300" s="122"/>
      <c r="FQ300" s="122"/>
      <c r="FR300" s="122"/>
      <c r="FS300" s="122"/>
      <c r="FT300" s="122"/>
      <c r="FU300" s="122"/>
      <c r="FV300" s="122"/>
      <c r="FW300" s="122"/>
      <c r="FX300" s="122"/>
      <c r="FY300" s="122"/>
      <c r="FZ300" s="122"/>
      <c r="GA300" s="122"/>
      <c r="GB300" s="122"/>
      <c r="GC300" s="122"/>
      <c r="GD300" s="122"/>
      <c r="GE300" s="122"/>
      <c r="GF300" s="122"/>
      <c r="GG300" s="122"/>
      <c r="GH300" s="122"/>
      <c r="GI300" s="122"/>
      <c r="GJ300" s="122"/>
      <c r="GK300" s="122"/>
      <c r="GL300" s="122"/>
      <c r="GM300" s="122"/>
      <c r="GN300" s="122"/>
      <c r="GO300" s="122"/>
      <c r="GP300" s="122"/>
      <c r="GQ300" s="122"/>
      <c r="GR300" s="210">
        <v>0.11</v>
      </c>
      <c r="GS300" s="203">
        <f>GR300*(BA300+EU300)</f>
        <v>2.1724272456140352</v>
      </c>
      <c r="GT300" s="208">
        <v>1.2500000000000001E-2</v>
      </c>
      <c r="GU300" s="203">
        <f>GT300*(BA300+EU300)</f>
        <v>0.24686673245614035</v>
      </c>
      <c r="GV300" s="207">
        <v>0.02</v>
      </c>
      <c r="GW300" s="203">
        <f>GV300*EU300</f>
        <v>0.15350877192982457</v>
      </c>
      <c r="GX300" s="203">
        <f>GS300+GU300+GW300</f>
        <v>2.5728027500000001</v>
      </c>
      <c r="GY300" s="122" t="s">
        <v>43</v>
      </c>
      <c r="GZ300" s="122" t="s">
        <v>87</v>
      </c>
      <c r="HA300" s="203">
        <v>650</v>
      </c>
      <c r="HB300" s="203">
        <v>450</v>
      </c>
      <c r="HC300" s="122">
        <v>320</v>
      </c>
      <c r="HD300" s="122">
        <v>21</v>
      </c>
      <c r="HE300" s="122">
        <v>250</v>
      </c>
      <c r="HF300" s="203">
        <f>ROUNDUP(HE300/HD300,0)</f>
        <v>12</v>
      </c>
      <c r="HG300" s="122">
        <v>5</v>
      </c>
      <c r="HH300" s="202">
        <f>HF300*HG300</f>
        <v>60</v>
      </c>
      <c r="HI300" s="122">
        <v>550</v>
      </c>
      <c r="HJ300" s="203">
        <f>HH300*HI300</f>
        <v>33000</v>
      </c>
      <c r="HK300" s="203"/>
      <c r="HL300" s="203"/>
      <c r="HM300" s="203">
        <v>2</v>
      </c>
      <c r="HN300" s="209">
        <f>HM300*12*25*HE300</f>
        <v>150000</v>
      </c>
      <c r="HO300" s="203">
        <f>IF(GY300="carton box",HI300/HD300,HJ300/HN300)</f>
        <v>0.22</v>
      </c>
      <c r="HP300" s="203">
        <v>160</v>
      </c>
      <c r="HQ300" s="122">
        <v>0</v>
      </c>
      <c r="HR300" s="203">
        <v>0</v>
      </c>
      <c r="HS300" s="203">
        <v>1</v>
      </c>
      <c r="HT300" s="103">
        <v>1.0900000000000001</v>
      </c>
      <c r="HU300" s="103"/>
      <c r="HV300" s="203">
        <f>HO300</f>
        <v>0.22</v>
      </c>
      <c r="HW300" s="203"/>
      <c r="HX300" s="203">
        <v>2917</v>
      </c>
      <c r="HY300" s="203">
        <v>1689</v>
      </c>
      <c r="HZ300" s="203">
        <v>1842</v>
      </c>
      <c r="IA300" s="203">
        <f t="shared" si="278"/>
        <v>4</v>
      </c>
      <c r="IB300" s="203">
        <f t="shared" si="278"/>
        <v>3</v>
      </c>
      <c r="IC300" s="203">
        <f t="shared" si="278"/>
        <v>5</v>
      </c>
      <c r="ID300" s="210">
        <v>1</v>
      </c>
      <c r="IE300" s="202">
        <f>ROUND(PRODUCT(IA300:ID300),0)</f>
        <v>60</v>
      </c>
      <c r="IF300" s="203">
        <v>500</v>
      </c>
      <c r="IG300" s="202">
        <f>IF300/(IE300*HD300)</f>
        <v>0.3968253968253968</v>
      </c>
      <c r="IH300" s="20"/>
    </row>
    <row r="301" spans="1:302">
      <c r="A301">
        <v>285</v>
      </c>
      <c r="B301" t="s">
        <v>468</v>
      </c>
      <c r="C301" t="s">
        <v>567</v>
      </c>
      <c r="D301" s="28" t="s">
        <v>762</v>
      </c>
      <c r="E301" s="27" t="s">
        <v>763</v>
      </c>
      <c r="F301" s="27" t="s">
        <v>2444</v>
      </c>
      <c r="G301" s="27" t="s">
        <v>102</v>
      </c>
      <c r="I301" s="27" t="s">
        <v>226</v>
      </c>
      <c r="J301" s="28">
        <v>21480</v>
      </c>
      <c r="K301" s="27" t="s">
        <v>97</v>
      </c>
      <c r="N301" s="28" t="s">
        <v>1835</v>
      </c>
      <c r="O301" s="28" t="s">
        <v>1943</v>
      </c>
      <c r="P301" s="331">
        <v>45266</v>
      </c>
      <c r="Q301" s="28"/>
      <c r="R301" s="28"/>
      <c r="S301" s="27"/>
      <c r="T301" s="27"/>
      <c r="U301" s="27"/>
    </row>
    <row r="302" spans="1:302" ht="30">
      <c r="A302">
        <v>285.10000000000002</v>
      </c>
      <c r="B302" t="s">
        <v>468</v>
      </c>
      <c r="C302" s="122" t="s">
        <v>1202</v>
      </c>
      <c r="D302" s="28" t="s">
        <v>762</v>
      </c>
      <c r="E302" s="27" t="s">
        <v>763</v>
      </c>
      <c r="F302" s="5" t="s">
        <v>2182</v>
      </c>
      <c r="G302" s="27" t="s">
        <v>102</v>
      </c>
      <c r="I302" s="27" t="s">
        <v>226</v>
      </c>
      <c r="J302" s="28">
        <v>21590</v>
      </c>
      <c r="K302" s="27" t="s">
        <v>397</v>
      </c>
      <c r="N302" s="28"/>
      <c r="O302" s="28"/>
      <c r="P302" s="28"/>
      <c r="Q302" s="28"/>
      <c r="R302" s="28"/>
      <c r="S302" s="27"/>
      <c r="T302" s="27"/>
      <c r="U302" s="27"/>
      <c r="W302" s="218" t="s">
        <v>1198</v>
      </c>
      <c r="X302" s="218"/>
      <c r="Y302" s="218"/>
      <c r="Z302" s="218"/>
      <c r="AA302" s="122" t="s">
        <v>1203</v>
      </c>
      <c r="AB302" s="201">
        <v>111.01</v>
      </c>
      <c r="AC302" s="122">
        <v>20</v>
      </c>
      <c r="AD302" s="122" t="s">
        <v>1200</v>
      </c>
      <c r="AE302" s="204">
        <f>BA302</f>
        <v>15.65241</v>
      </c>
      <c r="AF302" s="204"/>
      <c r="AG302" s="204">
        <f>EU302+EM302+EV302+EX302</f>
        <v>6.1728395061728394</v>
      </c>
      <c r="AH302" s="204">
        <f>DM302</f>
        <v>9.5000000000000001E-2</v>
      </c>
      <c r="AI302" s="204">
        <f>DO302</f>
        <v>1.1875000000000002E-3</v>
      </c>
      <c r="AJ302" s="204">
        <f>GW302</f>
        <v>0.1234567901234568</v>
      </c>
      <c r="AK302" s="204">
        <f>GU302</f>
        <v>0.27281561882716049</v>
      </c>
      <c r="AL302" s="204">
        <f>GS302</f>
        <v>2.4007774456790121</v>
      </c>
      <c r="AM302" s="204">
        <f>HV302</f>
        <v>0.23250000000000001</v>
      </c>
      <c r="AN302" s="204">
        <f>IG302</f>
        <v>0.12531328320802004</v>
      </c>
      <c r="AO302" s="205">
        <v>0</v>
      </c>
      <c r="AP302" s="205"/>
      <c r="AQ302" s="204">
        <f>SUM(AE302:AO302)</f>
        <v>25.076300144010485</v>
      </c>
      <c r="AR302" s="204"/>
      <c r="AS302" s="204"/>
      <c r="AT302" s="205">
        <v>0</v>
      </c>
      <c r="AU302" s="103"/>
      <c r="AV302" s="206">
        <f>AQ302+AT302</f>
        <v>25.076300144010485</v>
      </c>
      <c r="AW302" s="223">
        <v>0.14099999999999999</v>
      </c>
      <c r="AX302" s="122">
        <v>0.14099999999999999</v>
      </c>
      <c r="AY302" s="210">
        <v>1</v>
      </c>
      <c r="AZ302" s="122">
        <f>AW302-AX302</f>
        <v>0</v>
      </c>
      <c r="BA302" s="203">
        <f>AW302*AB302-(AZ302*AC302)*AY302</f>
        <v>15.65241</v>
      </c>
      <c r="BB302" s="203"/>
      <c r="BC302" s="203"/>
      <c r="BD302" s="203"/>
      <c r="BE302" s="203"/>
      <c r="BF302" s="203"/>
      <c r="BG302" s="203"/>
      <c r="BH302" s="203"/>
      <c r="BI302" s="203"/>
      <c r="BJ302" s="203"/>
      <c r="BK302" s="203"/>
      <c r="BL302" s="203"/>
      <c r="BM302" s="203"/>
      <c r="BN302" s="203"/>
      <c r="BO302" s="203"/>
      <c r="BP302" s="203"/>
      <c r="BQ302" s="203"/>
      <c r="BR302" s="203"/>
      <c r="BS302" s="203"/>
      <c r="BT302" s="203"/>
      <c r="BU302" s="203"/>
      <c r="BV302" s="203"/>
      <c r="BW302" s="203"/>
      <c r="BX302" s="203"/>
      <c r="BY302" s="203"/>
      <c r="BZ302" s="203"/>
      <c r="CA302" s="203"/>
      <c r="CB302" s="203"/>
      <c r="CC302" s="203"/>
      <c r="CD302" s="122"/>
      <c r="CE302" s="122">
        <v>0</v>
      </c>
      <c r="CF302" s="122">
        <v>1</v>
      </c>
      <c r="CG302" s="122">
        <v>9.5000000000000001E-2</v>
      </c>
      <c r="CH302" s="103">
        <f>CG302*CF302</f>
        <v>9.5000000000000001E-2</v>
      </c>
      <c r="CI302" s="122"/>
      <c r="CJ302" s="122"/>
      <c r="CK302" s="122"/>
      <c r="CL302" s="122"/>
      <c r="CM302" s="122"/>
      <c r="CN302" s="122"/>
      <c r="CO302" s="122"/>
      <c r="CP302" s="122"/>
      <c r="CQ302" s="122"/>
      <c r="CR302" s="122"/>
      <c r="CS302" s="122"/>
      <c r="CT302" s="122"/>
      <c r="CU302" s="122"/>
      <c r="CV302" s="122"/>
      <c r="CW302" s="122"/>
      <c r="CX302" s="122"/>
      <c r="CY302" s="122"/>
      <c r="CZ302" s="122"/>
      <c r="DA302" s="122"/>
      <c r="DB302" s="122"/>
      <c r="DC302" s="122"/>
      <c r="DD302" s="122"/>
      <c r="DE302" s="122"/>
      <c r="DF302" s="122"/>
      <c r="DG302" s="122"/>
      <c r="DH302" s="122"/>
      <c r="DI302" s="122"/>
      <c r="DJ302" s="122"/>
      <c r="DK302" s="122"/>
      <c r="DL302" s="122"/>
      <c r="DM302" s="103">
        <f>CM302+CR302+CW302+DB302+DG302+DL302+CH302</f>
        <v>9.5000000000000001E-2</v>
      </c>
      <c r="DN302" s="211">
        <v>1.2500000000000001E-2</v>
      </c>
      <c r="DO302" s="202">
        <f>DN302*CG302*CF302</f>
        <v>1.1875000000000002E-3</v>
      </c>
      <c r="DP302" s="203">
        <f>CG302*CF302</f>
        <v>9.5000000000000001E-2</v>
      </c>
      <c r="DQ302" s="203"/>
      <c r="DR302" s="203"/>
      <c r="DS302" s="203"/>
      <c r="DT302" s="203"/>
      <c r="DU302" s="203"/>
      <c r="DV302" s="203"/>
      <c r="DW302" s="203"/>
      <c r="DX302" s="203"/>
      <c r="DY302" s="203"/>
      <c r="DZ302" s="203"/>
      <c r="EA302" s="203"/>
      <c r="EB302" s="203"/>
      <c r="EC302" s="203"/>
      <c r="ED302" s="203"/>
      <c r="EE302" s="203"/>
      <c r="EF302" s="122">
        <v>250</v>
      </c>
      <c r="EG302" s="122">
        <v>2500</v>
      </c>
      <c r="EH302" s="122">
        <v>7.5</v>
      </c>
      <c r="EI302" s="210">
        <v>0.9</v>
      </c>
      <c r="EJ302" s="122">
        <v>1</v>
      </c>
      <c r="EK302" s="122">
        <v>60</v>
      </c>
      <c r="EL302" s="209">
        <f>ROUND(3600/EK302*EH302*EJ302*EI302,0)</f>
        <v>405</v>
      </c>
      <c r="EM302" s="122"/>
      <c r="EN302" s="122"/>
      <c r="EO302" s="122"/>
      <c r="EP302" s="209"/>
      <c r="EQ302" s="209"/>
      <c r="ER302" s="209"/>
      <c r="ES302" s="209"/>
      <c r="ET302" s="209"/>
      <c r="EU302" s="203">
        <f>EG302/EL302</f>
        <v>6.1728395061728394</v>
      </c>
      <c r="EV302" s="122"/>
      <c r="EW302" s="122"/>
      <c r="EX302" s="122"/>
      <c r="EY302" s="122"/>
      <c r="EZ302" s="122"/>
      <c r="FA302" s="122"/>
      <c r="FB302" s="122"/>
      <c r="FC302" s="122"/>
      <c r="FD302" s="122"/>
      <c r="FE302" s="122"/>
      <c r="FF302" s="122"/>
      <c r="FG302" s="122"/>
      <c r="FH302" s="122"/>
      <c r="FI302" s="122"/>
      <c r="FJ302" s="122"/>
      <c r="FK302" s="122"/>
      <c r="FL302" s="122"/>
      <c r="FM302" s="122"/>
      <c r="FN302" s="122"/>
      <c r="FO302" s="122"/>
      <c r="FP302" s="122"/>
      <c r="FQ302" s="122"/>
      <c r="FR302" s="122"/>
      <c r="FS302" s="122"/>
      <c r="FT302" s="122"/>
      <c r="FU302" s="122"/>
      <c r="FV302" s="122"/>
      <c r="FW302" s="122"/>
      <c r="FX302" s="122"/>
      <c r="FY302" s="122"/>
      <c r="FZ302" s="122"/>
      <c r="GA302" s="122"/>
      <c r="GB302" s="122"/>
      <c r="GC302" s="122"/>
      <c r="GD302" s="122"/>
      <c r="GE302" s="122"/>
      <c r="GF302" s="122"/>
      <c r="GG302" s="122"/>
      <c r="GH302" s="122"/>
      <c r="GI302" s="122"/>
      <c r="GJ302" s="122"/>
      <c r="GK302" s="122"/>
      <c r="GL302" s="122"/>
      <c r="GM302" s="122"/>
      <c r="GN302" s="122"/>
      <c r="GO302" s="122"/>
      <c r="GP302" s="122"/>
      <c r="GQ302" s="122"/>
      <c r="GR302" s="210">
        <v>0.11</v>
      </c>
      <c r="GS302" s="203">
        <f>GR302*(BA302+EU302)</f>
        <v>2.4007774456790121</v>
      </c>
      <c r="GT302" s="208">
        <v>1.2500000000000001E-2</v>
      </c>
      <c r="GU302" s="203">
        <f>GT302*(BA302+EU302)</f>
        <v>0.27281561882716049</v>
      </c>
      <c r="GV302" s="207">
        <v>0.02</v>
      </c>
      <c r="GW302" s="203">
        <f>GV302*EU302</f>
        <v>0.1234567901234568</v>
      </c>
      <c r="GX302" s="203">
        <f>GS302+GU302+GW302</f>
        <v>2.7970498546296296</v>
      </c>
      <c r="GY302" s="122" t="s">
        <v>43</v>
      </c>
      <c r="GZ302" s="122" t="s">
        <v>87</v>
      </c>
      <c r="HA302" s="203">
        <v>810</v>
      </c>
      <c r="HB302" s="203">
        <v>568</v>
      </c>
      <c r="HC302" s="122">
        <v>425</v>
      </c>
      <c r="HD302" s="122">
        <v>70</v>
      </c>
      <c r="HE302" s="122">
        <v>400</v>
      </c>
      <c r="HF302" s="203">
        <f>ROUNDUP(HE302/HD302,0)</f>
        <v>6</v>
      </c>
      <c r="HG302" s="122">
        <v>5</v>
      </c>
      <c r="HH302" s="202">
        <f>HF302*HG302</f>
        <v>30</v>
      </c>
      <c r="HI302" s="122">
        <v>1100</v>
      </c>
      <c r="HJ302" s="203">
        <f>HH302*HI302</f>
        <v>33000</v>
      </c>
      <c r="HK302" s="203"/>
      <c r="HL302" s="203"/>
      <c r="HM302" s="203">
        <v>2</v>
      </c>
      <c r="HN302" s="209">
        <f>HM302*12*25*HE302</f>
        <v>240000</v>
      </c>
      <c r="HO302" s="203">
        <f>IF(GY302="carton box",HI302/HD302,HJ302/HN302)</f>
        <v>0.13750000000000001</v>
      </c>
      <c r="HP302" s="203">
        <v>160</v>
      </c>
      <c r="HQ302" s="122">
        <v>0</v>
      </c>
      <c r="HR302" s="203">
        <v>0</v>
      </c>
      <c r="HS302" s="203">
        <v>1</v>
      </c>
      <c r="HT302" s="103">
        <v>9.5000000000000001E-2</v>
      </c>
      <c r="HU302" s="103"/>
      <c r="HV302" s="203">
        <f>HO302+HT302</f>
        <v>0.23250000000000001</v>
      </c>
      <c r="HW302" s="203"/>
      <c r="HX302" s="203">
        <v>4200</v>
      </c>
      <c r="HY302" s="203">
        <v>1900</v>
      </c>
      <c r="HZ302" s="203">
        <v>1975</v>
      </c>
      <c r="IA302" s="203">
        <f t="shared" ref="IA302:IC306" si="279">ROUNDDOWN(HX302/HA302,0)</f>
        <v>5</v>
      </c>
      <c r="IB302" s="203">
        <f t="shared" si="279"/>
        <v>3</v>
      </c>
      <c r="IC302" s="203">
        <f t="shared" si="279"/>
        <v>4</v>
      </c>
      <c r="ID302" s="210">
        <v>0.95</v>
      </c>
      <c r="IE302" s="202">
        <f>ROUND(PRODUCT(IA302:ID302),0)</f>
        <v>57</v>
      </c>
      <c r="IF302" s="203">
        <v>500</v>
      </c>
      <c r="IG302" s="202">
        <f>IF302/(IE302*HD302)</f>
        <v>0.12531328320802004</v>
      </c>
      <c r="IH302" s="20"/>
    </row>
    <row r="303" spans="1:302">
      <c r="A303">
        <v>286</v>
      </c>
      <c r="B303" t="s">
        <v>468</v>
      </c>
      <c r="C303" s="122" t="s">
        <v>1204</v>
      </c>
      <c r="D303" s="28" t="s">
        <v>764</v>
      </c>
      <c r="E303" s="27" t="s">
        <v>765</v>
      </c>
      <c r="F303" s="5" t="s">
        <v>2182</v>
      </c>
      <c r="G303" s="27" t="s">
        <v>102</v>
      </c>
      <c r="I303" s="27" t="s">
        <v>121</v>
      </c>
      <c r="J303" s="28">
        <v>21480</v>
      </c>
      <c r="K303" s="27" t="s">
        <v>97</v>
      </c>
      <c r="N303" s="28"/>
      <c r="O303" s="28"/>
      <c r="P303" s="28"/>
      <c r="Q303" s="28" t="s">
        <v>1033</v>
      </c>
      <c r="R303" s="28" t="s">
        <v>1194</v>
      </c>
      <c r="S303" s="27"/>
      <c r="T303" s="27"/>
      <c r="U303" s="27"/>
      <c r="W303" s="115"/>
      <c r="X303" s="115"/>
      <c r="Y303" s="115"/>
      <c r="Z303" s="115"/>
      <c r="AA303" s="122" t="s">
        <v>309</v>
      </c>
      <c r="AB303" s="201">
        <v>201.22</v>
      </c>
      <c r="AC303" s="203">
        <f>AB303-5</f>
        <v>196.22</v>
      </c>
      <c r="AD303" s="122" t="s">
        <v>281</v>
      </c>
      <c r="AE303" s="204">
        <f>BA303</f>
        <v>49.294655999999996</v>
      </c>
      <c r="AF303" s="204"/>
      <c r="AG303" s="204">
        <f>EU303+EM303+EV303+EX303</f>
        <v>6.8493150684931505</v>
      </c>
      <c r="AH303" s="204">
        <f>DM303</f>
        <v>0.2</v>
      </c>
      <c r="AI303" s="204">
        <f>DO303</f>
        <v>6.0000000000000001E-3</v>
      </c>
      <c r="AJ303" s="204">
        <f>GW303</f>
        <v>0.13698630136986301</v>
      </c>
      <c r="AK303" s="204">
        <f>GU303</f>
        <v>0.70179963835616432</v>
      </c>
      <c r="AL303" s="204">
        <f>GS303</f>
        <v>6.175836817534246</v>
      </c>
      <c r="AM303" s="204">
        <f>HV303</f>
        <v>7.3458333333333332</v>
      </c>
      <c r="AN303" s="204">
        <f>IG303</f>
        <v>0.26455026455026454</v>
      </c>
      <c r="AO303" s="205">
        <v>0</v>
      </c>
      <c r="AP303" s="205"/>
      <c r="AQ303" s="204">
        <f>SUM(AE303:AO303)</f>
        <v>70.974977423637029</v>
      </c>
      <c r="AR303" s="204"/>
      <c r="AS303" s="204"/>
      <c r="AT303" s="205">
        <v>0</v>
      </c>
      <c r="AU303" s="103"/>
      <c r="AV303" s="206">
        <f>AQ303+AT303</f>
        <v>70.974977423637029</v>
      </c>
      <c r="AW303" s="223">
        <v>0.252</v>
      </c>
      <c r="AX303" s="122">
        <v>0.24399999999999999</v>
      </c>
      <c r="AY303" s="210">
        <v>0.9</v>
      </c>
      <c r="AZ303" s="122">
        <f>AW303-AX303</f>
        <v>8.0000000000000071E-3</v>
      </c>
      <c r="BA303" s="203">
        <f>AW303*AB303-(AZ303*AC303)*AY303</f>
        <v>49.294655999999996</v>
      </c>
      <c r="BB303" s="203"/>
      <c r="BC303" s="203"/>
      <c r="BD303" s="203"/>
      <c r="BE303" s="203"/>
      <c r="BF303" s="203"/>
      <c r="BG303" s="203"/>
      <c r="BH303" s="203"/>
      <c r="BI303" s="203"/>
      <c r="BJ303" s="203"/>
      <c r="BK303" s="203"/>
      <c r="BL303" s="203"/>
      <c r="BM303" s="203"/>
      <c r="BN303" s="203"/>
      <c r="BO303" s="203"/>
      <c r="BP303" s="203"/>
      <c r="BQ303" s="203"/>
      <c r="BR303" s="203"/>
      <c r="BS303" s="203"/>
      <c r="BT303" s="203"/>
      <c r="BU303" s="203"/>
      <c r="BV303" s="203"/>
      <c r="BW303" s="203"/>
      <c r="BX303" s="203"/>
      <c r="BY303" s="203"/>
      <c r="BZ303" s="203"/>
      <c r="CA303" s="203"/>
      <c r="CB303" s="203"/>
      <c r="CC303" s="203"/>
      <c r="CD303" s="122"/>
      <c r="CE303" s="122">
        <v>0</v>
      </c>
      <c r="CF303" s="122">
        <v>1</v>
      </c>
      <c r="CG303" s="122">
        <v>0.2</v>
      </c>
      <c r="CH303" s="103">
        <f>CG303*CF303</f>
        <v>0.2</v>
      </c>
      <c r="CI303" s="122"/>
      <c r="CJ303" s="122"/>
      <c r="CK303" s="122"/>
      <c r="CL303" s="122"/>
      <c r="CM303" s="122"/>
      <c r="CN303" s="122"/>
      <c r="CO303" s="122"/>
      <c r="CP303" s="122"/>
      <c r="CQ303" s="122"/>
      <c r="CR303" s="122"/>
      <c r="CS303" s="122"/>
      <c r="CT303" s="122"/>
      <c r="CU303" s="122"/>
      <c r="CV303" s="122"/>
      <c r="CW303" s="122"/>
      <c r="CX303" s="122"/>
      <c r="CY303" s="122"/>
      <c r="CZ303" s="122"/>
      <c r="DA303" s="122"/>
      <c r="DB303" s="122"/>
      <c r="DC303" s="122"/>
      <c r="DD303" s="122"/>
      <c r="DE303" s="122"/>
      <c r="DF303" s="122"/>
      <c r="DG303" s="122"/>
      <c r="DH303" s="122"/>
      <c r="DI303" s="122"/>
      <c r="DJ303" s="122"/>
      <c r="DK303" s="122"/>
      <c r="DL303" s="122"/>
      <c r="DM303" s="103">
        <f>CM303+CR303+CW303+DB303+DG303+DL303+CH303</f>
        <v>0.2</v>
      </c>
      <c r="DN303" s="211">
        <v>0.03</v>
      </c>
      <c r="DO303" s="202">
        <f>DN303*CG303*CF303</f>
        <v>6.0000000000000001E-3</v>
      </c>
      <c r="DP303" s="203">
        <f>CG303*CF303</f>
        <v>0.2</v>
      </c>
      <c r="DQ303" s="203"/>
      <c r="DR303" s="203"/>
      <c r="DS303" s="203"/>
      <c r="DT303" s="203"/>
      <c r="DU303" s="203"/>
      <c r="DV303" s="203"/>
      <c r="DW303" s="203"/>
      <c r="DX303" s="203"/>
      <c r="DY303" s="203"/>
      <c r="DZ303" s="203"/>
      <c r="EA303" s="203"/>
      <c r="EB303" s="203"/>
      <c r="EC303" s="203"/>
      <c r="ED303" s="203"/>
      <c r="EE303" s="203"/>
      <c r="EF303" s="122">
        <v>500</v>
      </c>
      <c r="EG303" s="122">
        <v>5000</v>
      </c>
      <c r="EH303" s="122">
        <v>8</v>
      </c>
      <c r="EI303" s="210">
        <v>0.95</v>
      </c>
      <c r="EJ303" s="122">
        <v>2</v>
      </c>
      <c r="EK303" s="122">
        <v>75</v>
      </c>
      <c r="EL303" s="209">
        <f>ROUND(3600/EK303*EH303*EJ303*EI303,0)</f>
        <v>730</v>
      </c>
      <c r="EM303" s="122"/>
      <c r="EN303" s="122"/>
      <c r="EO303" s="122"/>
      <c r="EP303" s="209"/>
      <c r="EQ303" s="209"/>
      <c r="ER303" s="209"/>
      <c r="ES303" s="209"/>
      <c r="ET303" s="209"/>
      <c r="EU303" s="203">
        <f>EG303/EL303</f>
        <v>6.8493150684931505</v>
      </c>
      <c r="EV303" s="122"/>
      <c r="EW303" s="122"/>
      <c r="EX303" s="122"/>
      <c r="EY303" s="122"/>
      <c r="EZ303" s="122"/>
      <c r="FA303" s="122"/>
      <c r="FB303" s="122"/>
      <c r="FC303" s="122"/>
      <c r="FD303" s="122"/>
      <c r="FE303" s="122"/>
      <c r="FF303" s="122"/>
      <c r="FG303" s="122"/>
      <c r="FH303" s="122"/>
      <c r="FI303" s="122"/>
      <c r="FJ303" s="122"/>
      <c r="FK303" s="122"/>
      <c r="FL303" s="122"/>
      <c r="FM303" s="122"/>
      <c r="FN303" s="122"/>
      <c r="FO303" s="122"/>
      <c r="FP303" s="122"/>
      <c r="FQ303" s="122"/>
      <c r="FR303" s="122"/>
      <c r="FS303" s="122"/>
      <c r="FT303" s="122"/>
      <c r="FU303" s="122"/>
      <c r="FV303" s="122"/>
      <c r="FW303" s="122"/>
      <c r="FX303" s="122"/>
      <c r="FY303" s="122"/>
      <c r="FZ303" s="122"/>
      <c r="GA303" s="122"/>
      <c r="GB303" s="122"/>
      <c r="GC303" s="122"/>
      <c r="GD303" s="122"/>
      <c r="GE303" s="122"/>
      <c r="GF303" s="122"/>
      <c r="GG303" s="122"/>
      <c r="GH303" s="122"/>
      <c r="GI303" s="122"/>
      <c r="GJ303" s="122"/>
      <c r="GK303" s="122"/>
      <c r="GL303" s="122"/>
      <c r="GM303" s="122"/>
      <c r="GN303" s="122"/>
      <c r="GO303" s="122"/>
      <c r="GP303" s="122"/>
      <c r="GQ303" s="122"/>
      <c r="GR303" s="210">
        <v>0.11</v>
      </c>
      <c r="GS303" s="203">
        <f>GR303*(BA303+EU303)</f>
        <v>6.175836817534246</v>
      </c>
      <c r="GT303" s="208">
        <v>1.2500000000000001E-2</v>
      </c>
      <c r="GU303" s="203">
        <f>GT303*(BA303+EU303)</f>
        <v>0.70179963835616432</v>
      </c>
      <c r="GV303" s="207">
        <v>0.02</v>
      </c>
      <c r="GW303" s="203">
        <f>GV303*EU303</f>
        <v>0.13698630136986301</v>
      </c>
      <c r="GX303" s="203">
        <f>GS303+GU303+GW303</f>
        <v>7.0146227572602733</v>
      </c>
      <c r="GY303" s="122" t="s">
        <v>43</v>
      </c>
      <c r="GZ303" s="122" t="s">
        <v>87</v>
      </c>
      <c r="HA303" s="203">
        <v>810</v>
      </c>
      <c r="HB303" s="203">
        <v>570</v>
      </c>
      <c r="HC303" s="122">
        <v>425</v>
      </c>
      <c r="HD303" s="122">
        <v>35</v>
      </c>
      <c r="HE303" s="122">
        <v>1000</v>
      </c>
      <c r="HF303" s="203">
        <f>ROUNDUP(HE303/HD303,0)</f>
        <v>29</v>
      </c>
      <c r="HG303" s="122">
        <v>5</v>
      </c>
      <c r="HH303" s="202">
        <f>HF303*HG303</f>
        <v>145</v>
      </c>
      <c r="HI303" s="122">
        <v>1100</v>
      </c>
      <c r="HJ303" s="203">
        <f>HH303*HI303</f>
        <v>159500</v>
      </c>
      <c r="HK303" s="203"/>
      <c r="HL303" s="203"/>
      <c r="HM303" s="203">
        <v>2</v>
      </c>
      <c r="HN303" s="209">
        <f>HM303*12*25*HE303</f>
        <v>600000</v>
      </c>
      <c r="HO303" s="203">
        <f>IF(GY303="carton box",HI303/HD303,HJ303/HN303)</f>
        <v>0.26583333333333331</v>
      </c>
      <c r="HP303" s="203">
        <v>160</v>
      </c>
      <c r="HQ303" s="122">
        <v>0</v>
      </c>
      <c r="HR303" s="203">
        <v>0</v>
      </c>
      <c r="HS303" s="203">
        <v>1</v>
      </c>
      <c r="HT303" s="203">
        <f>247.8/35</f>
        <v>7.08</v>
      </c>
      <c r="HU303" s="203"/>
      <c r="HV303" s="203">
        <f>HO303+HT303</f>
        <v>7.3458333333333332</v>
      </c>
      <c r="HW303" s="203"/>
      <c r="HX303" s="203">
        <v>4200</v>
      </c>
      <c r="HY303" s="203">
        <v>1900</v>
      </c>
      <c r="HZ303" s="203">
        <v>1975</v>
      </c>
      <c r="IA303" s="203">
        <f t="shared" si="279"/>
        <v>5</v>
      </c>
      <c r="IB303" s="203">
        <f t="shared" si="279"/>
        <v>3</v>
      </c>
      <c r="IC303" s="203">
        <f t="shared" si="279"/>
        <v>4</v>
      </c>
      <c r="ID303" s="210">
        <v>0.9</v>
      </c>
      <c r="IE303" s="202">
        <f>ROUND(PRODUCT(IA303:ID303),0)</f>
        <v>54</v>
      </c>
      <c r="IF303" s="203">
        <v>500</v>
      </c>
      <c r="IG303" s="202">
        <f>IF303/(IE303*HD303)</f>
        <v>0.26455026455026454</v>
      </c>
      <c r="IH303" s="20"/>
    </row>
    <row r="304" spans="1:302">
      <c r="A304">
        <v>287</v>
      </c>
      <c r="B304" t="s">
        <v>468</v>
      </c>
      <c r="C304" s="122" t="s">
        <v>1205</v>
      </c>
      <c r="D304" s="28" t="s">
        <v>766</v>
      </c>
      <c r="E304" s="27" t="s">
        <v>767</v>
      </c>
      <c r="F304" s="5" t="s">
        <v>2182</v>
      </c>
      <c r="G304" s="27" t="s">
        <v>102</v>
      </c>
      <c r="I304" s="27" t="s">
        <v>121</v>
      </c>
      <c r="J304" s="28">
        <v>21480</v>
      </c>
      <c r="K304" s="27" t="s">
        <v>97</v>
      </c>
      <c r="N304" s="28"/>
      <c r="O304" s="28"/>
      <c r="P304" s="28"/>
      <c r="Q304" s="28" t="s">
        <v>1033</v>
      </c>
      <c r="R304" s="28" t="s">
        <v>1194</v>
      </c>
      <c r="S304" s="27"/>
      <c r="T304" s="27"/>
      <c r="U304" s="27"/>
      <c r="AA304" s="122" t="s">
        <v>309</v>
      </c>
      <c r="AB304" s="201">
        <v>201.22</v>
      </c>
      <c r="AC304" s="203">
        <f>AB304-5</f>
        <v>196.22</v>
      </c>
      <c r="AD304" s="122" t="s">
        <v>281</v>
      </c>
      <c r="AE304" s="204">
        <f>BA304</f>
        <v>54.727596000000005</v>
      </c>
      <c r="AF304" s="204"/>
      <c r="AG304" s="204">
        <f>EU304+EM304+EV304+EX304</f>
        <v>6.8493150684931505</v>
      </c>
      <c r="AH304" s="204">
        <f>DM304</f>
        <v>0.2</v>
      </c>
      <c r="AI304" s="204">
        <f>DO304</f>
        <v>6.0000000000000001E-3</v>
      </c>
      <c r="AJ304" s="204">
        <f>GW304</f>
        <v>0.13698630136986301</v>
      </c>
      <c r="AK304" s="204">
        <f>GU304</f>
        <v>0.76971138835616448</v>
      </c>
      <c r="AL304" s="204">
        <f>GS304</f>
        <v>6.7734602175342467</v>
      </c>
      <c r="AM304" s="204">
        <f>HV304</f>
        <v>7.3458333333333332</v>
      </c>
      <c r="AN304" s="204">
        <f>IG304</f>
        <v>0.26455026455026454</v>
      </c>
      <c r="AO304" s="205">
        <v>0</v>
      </c>
      <c r="AP304" s="205"/>
      <c r="AQ304" s="204">
        <f>SUM(AE304:AO304)</f>
        <v>77.073452573637027</v>
      </c>
      <c r="AR304" s="204"/>
      <c r="AS304" s="204"/>
      <c r="AT304" s="205">
        <v>0</v>
      </c>
      <c r="AU304" s="103"/>
      <c r="AV304" s="206">
        <f>AQ304+AT304</f>
        <v>77.073452573637027</v>
      </c>
      <c r="AW304" s="223">
        <v>0.27900000000000003</v>
      </c>
      <c r="AX304" s="135">
        <v>0.27100000000000002</v>
      </c>
      <c r="AY304" s="210">
        <v>0.9</v>
      </c>
      <c r="AZ304" s="122">
        <f>AW304-AX304</f>
        <v>8.0000000000000071E-3</v>
      </c>
      <c r="BA304" s="203">
        <f>AW304*AB304-(AZ304*AC304)*AY304</f>
        <v>54.727596000000005</v>
      </c>
      <c r="BB304" s="203"/>
      <c r="BC304" s="203"/>
      <c r="BD304" s="203"/>
      <c r="BE304" s="203"/>
      <c r="BF304" s="203"/>
      <c r="BG304" s="203"/>
      <c r="BH304" s="203"/>
      <c r="BI304" s="203"/>
      <c r="BJ304" s="203"/>
      <c r="BK304" s="203"/>
      <c r="BL304" s="203"/>
      <c r="BM304" s="203"/>
      <c r="BN304" s="203"/>
      <c r="BO304" s="203"/>
      <c r="BP304" s="203"/>
      <c r="BQ304" s="203"/>
      <c r="BR304" s="203"/>
      <c r="BS304" s="203"/>
      <c r="BT304" s="203"/>
      <c r="BU304" s="203"/>
      <c r="BV304" s="203"/>
      <c r="BW304" s="203"/>
      <c r="BX304" s="203"/>
      <c r="BY304" s="203"/>
      <c r="BZ304" s="203"/>
      <c r="CA304" s="203"/>
      <c r="CB304" s="203"/>
      <c r="CC304" s="203"/>
      <c r="CD304" s="122"/>
      <c r="CE304" s="122">
        <v>0</v>
      </c>
      <c r="CF304" s="122">
        <v>1</v>
      </c>
      <c r="CG304" s="122">
        <v>0.2</v>
      </c>
      <c r="CH304" s="103">
        <f>CG304*CF304</f>
        <v>0.2</v>
      </c>
      <c r="CI304" s="122"/>
      <c r="CJ304" s="122"/>
      <c r="CK304" s="122"/>
      <c r="CL304" s="122"/>
      <c r="CM304" s="122"/>
      <c r="CN304" s="122"/>
      <c r="CO304" s="122"/>
      <c r="CP304" s="122"/>
      <c r="CQ304" s="122"/>
      <c r="CR304" s="122"/>
      <c r="CS304" s="122"/>
      <c r="CT304" s="122"/>
      <c r="CU304" s="122"/>
      <c r="CV304" s="122"/>
      <c r="CW304" s="122"/>
      <c r="CX304" s="122"/>
      <c r="CY304" s="122"/>
      <c r="CZ304" s="122"/>
      <c r="DA304" s="122"/>
      <c r="DB304" s="122"/>
      <c r="DC304" s="122"/>
      <c r="DD304" s="122"/>
      <c r="DE304" s="122"/>
      <c r="DF304" s="122"/>
      <c r="DG304" s="122"/>
      <c r="DH304" s="122"/>
      <c r="DI304" s="122"/>
      <c r="DJ304" s="122"/>
      <c r="DK304" s="122"/>
      <c r="DL304" s="122"/>
      <c r="DM304" s="103">
        <f>CM304+CR304+CW304+DB304+DG304+DL304+CH304</f>
        <v>0.2</v>
      </c>
      <c r="DN304" s="211">
        <v>0.03</v>
      </c>
      <c r="DO304" s="202">
        <f>DN304*CG304*CF304</f>
        <v>6.0000000000000001E-3</v>
      </c>
      <c r="DP304" s="203">
        <f>CG304*CF304</f>
        <v>0.2</v>
      </c>
      <c r="DQ304" s="203"/>
      <c r="DR304" s="203"/>
      <c r="DS304" s="203"/>
      <c r="DT304" s="203"/>
      <c r="DU304" s="203"/>
      <c r="DV304" s="203"/>
      <c r="DW304" s="203"/>
      <c r="DX304" s="203"/>
      <c r="DY304" s="203"/>
      <c r="DZ304" s="203"/>
      <c r="EA304" s="203"/>
      <c r="EB304" s="203"/>
      <c r="EC304" s="203"/>
      <c r="ED304" s="203"/>
      <c r="EE304" s="203"/>
      <c r="EF304" s="122">
        <v>500</v>
      </c>
      <c r="EG304" s="122">
        <v>5000</v>
      </c>
      <c r="EH304" s="122">
        <v>8</v>
      </c>
      <c r="EI304" s="210">
        <v>0.95</v>
      </c>
      <c r="EJ304" s="122">
        <v>2</v>
      </c>
      <c r="EK304" s="122">
        <v>75</v>
      </c>
      <c r="EL304" s="209">
        <f>ROUND(3600/EK304*EH304*EJ304*EI304,0)</f>
        <v>730</v>
      </c>
      <c r="EM304" s="122"/>
      <c r="EN304" s="122"/>
      <c r="EO304" s="122"/>
      <c r="EP304" s="209"/>
      <c r="EQ304" s="209"/>
      <c r="ER304" s="209"/>
      <c r="ES304" s="209"/>
      <c r="ET304" s="209"/>
      <c r="EU304" s="203">
        <f>EG304/EL304</f>
        <v>6.8493150684931505</v>
      </c>
      <c r="EV304" s="122"/>
      <c r="EW304" s="122"/>
      <c r="EX304" s="122"/>
      <c r="EY304" s="122"/>
      <c r="EZ304" s="122"/>
      <c r="FA304" s="122"/>
      <c r="FB304" s="122"/>
      <c r="FC304" s="122"/>
      <c r="FD304" s="122"/>
      <c r="FE304" s="122"/>
      <c r="FF304" s="122"/>
      <c r="FG304" s="122"/>
      <c r="FH304" s="122"/>
      <c r="FI304" s="122"/>
      <c r="FJ304" s="122"/>
      <c r="FK304" s="122"/>
      <c r="FL304" s="122"/>
      <c r="FM304" s="122"/>
      <c r="FN304" s="122"/>
      <c r="FO304" s="122"/>
      <c r="FP304" s="122"/>
      <c r="FQ304" s="122"/>
      <c r="FR304" s="122"/>
      <c r="FS304" s="122"/>
      <c r="FT304" s="122"/>
      <c r="FU304" s="122"/>
      <c r="FV304" s="122"/>
      <c r="FW304" s="122"/>
      <c r="FX304" s="122"/>
      <c r="FY304" s="122"/>
      <c r="FZ304" s="122"/>
      <c r="GA304" s="122"/>
      <c r="GB304" s="122"/>
      <c r="GC304" s="122"/>
      <c r="GD304" s="122"/>
      <c r="GE304" s="122"/>
      <c r="GF304" s="122"/>
      <c r="GG304" s="122"/>
      <c r="GH304" s="122"/>
      <c r="GI304" s="122"/>
      <c r="GJ304" s="122"/>
      <c r="GK304" s="122"/>
      <c r="GL304" s="122"/>
      <c r="GM304" s="122"/>
      <c r="GN304" s="122"/>
      <c r="GO304" s="122"/>
      <c r="GP304" s="122"/>
      <c r="GQ304" s="122"/>
      <c r="GR304" s="210">
        <v>0.11</v>
      </c>
      <c r="GS304" s="202">
        <f>GR304*(BA304+EU304)</f>
        <v>6.7734602175342467</v>
      </c>
      <c r="GT304" s="208">
        <v>1.2500000000000001E-2</v>
      </c>
      <c r="GU304" s="203">
        <f>GT304*(BA304+EU304)</f>
        <v>0.76971138835616448</v>
      </c>
      <c r="GV304" s="207">
        <v>0.02</v>
      </c>
      <c r="GW304" s="203">
        <f>GV304*EU304</f>
        <v>0.13698630136986301</v>
      </c>
      <c r="GX304" s="203">
        <f>GS304+GU304+GW304</f>
        <v>7.6801579072602735</v>
      </c>
      <c r="GY304" s="122" t="s">
        <v>43</v>
      </c>
      <c r="GZ304" s="122" t="s">
        <v>87</v>
      </c>
      <c r="HA304" s="203">
        <v>810</v>
      </c>
      <c r="HB304" s="203">
        <v>570</v>
      </c>
      <c r="HC304" s="122">
        <v>425</v>
      </c>
      <c r="HD304" s="122">
        <v>35</v>
      </c>
      <c r="HE304" s="122">
        <v>1000</v>
      </c>
      <c r="HF304" s="203">
        <f>ROUNDUP(HE304/HD304,0)</f>
        <v>29</v>
      </c>
      <c r="HG304" s="122">
        <v>5</v>
      </c>
      <c r="HH304" s="202">
        <f>HF304*HG304</f>
        <v>145</v>
      </c>
      <c r="HI304" s="122">
        <v>1100</v>
      </c>
      <c r="HJ304" s="203">
        <f>HH304*HI304</f>
        <v>159500</v>
      </c>
      <c r="HK304" s="203"/>
      <c r="HL304" s="203"/>
      <c r="HM304" s="203">
        <v>2</v>
      </c>
      <c r="HN304" s="209">
        <f>HM304*12*25*HE304</f>
        <v>600000</v>
      </c>
      <c r="HO304" s="203">
        <f>IF(GY304="carton box",HI304/HD304,HJ304/HN304)</f>
        <v>0.26583333333333331</v>
      </c>
      <c r="HP304" s="203">
        <v>160</v>
      </c>
      <c r="HQ304" s="122">
        <v>0</v>
      </c>
      <c r="HR304" s="203">
        <v>0</v>
      </c>
      <c r="HS304" s="203">
        <v>1</v>
      </c>
      <c r="HT304" s="203">
        <f>247.8/35</f>
        <v>7.08</v>
      </c>
      <c r="HU304" s="203"/>
      <c r="HV304" s="203">
        <f>HO304+HT304</f>
        <v>7.3458333333333332</v>
      </c>
      <c r="HW304" s="203"/>
      <c r="HX304" s="203">
        <v>4200</v>
      </c>
      <c r="HY304" s="203">
        <v>1900</v>
      </c>
      <c r="HZ304" s="203">
        <v>1975</v>
      </c>
      <c r="IA304" s="203">
        <f t="shared" si="279"/>
        <v>5</v>
      </c>
      <c r="IB304" s="203">
        <f t="shared" si="279"/>
        <v>3</v>
      </c>
      <c r="IC304" s="203">
        <f t="shared" si="279"/>
        <v>4</v>
      </c>
      <c r="ID304" s="210">
        <v>0.9</v>
      </c>
      <c r="IE304" s="202">
        <f>ROUND(PRODUCT(IA304:ID304),0)</f>
        <v>54</v>
      </c>
      <c r="IF304" s="203">
        <v>500</v>
      </c>
      <c r="IG304" s="202">
        <f>IF304/(IE304*HD304)</f>
        <v>0.26455026455026454</v>
      </c>
      <c r="IH304" s="20"/>
    </row>
    <row r="305" spans="1:302">
      <c r="A305">
        <v>288</v>
      </c>
      <c r="B305" t="s">
        <v>468</v>
      </c>
      <c r="C305" s="122" t="s">
        <v>1206</v>
      </c>
      <c r="D305" s="28" t="s">
        <v>768</v>
      </c>
      <c r="E305" s="27" t="s">
        <v>769</v>
      </c>
      <c r="F305" s="5" t="s">
        <v>2182</v>
      </c>
      <c r="G305" s="27" t="s">
        <v>102</v>
      </c>
      <c r="I305" s="27" t="s">
        <v>121</v>
      </c>
      <c r="J305" s="28">
        <v>21480</v>
      </c>
      <c r="K305" s="27" t="s">
        <v>97</v>
      </c>
      <c r="N305" s="28"/>
      <c r="O305" s="28"/>
      <c r="P305" s="28"/>
      <c r="Q305" s="28" t="s">
        <v>1033</v>
      </c>
      <c r="R305" s="28" t="s">
        <v>1193</v>
      </c>
      <c r="S305" s="27"/>
      <c r="T305" s="27"/>
      <c r="U305" s="27"/>
      <c r="W305" s="115"/>
      <c r="X305" s="115"/>
      <c r="Y305" s="115"/>
      <c r="Z305" s="115"/>
      <c r="AA305" s="122" t="s">
        <v>309</v>
      </c>
      <c r="AB305" s="121">
        <v>183.28</v>
      </c>
      <c r="AC305" s="122">
        <f>AB305-5</f>
        <v>178.28</v>
      </c>
      <c r="AD305" s="122"/>
      <c r="AE305" s="219">
        <f>BA305</f>
        <v>47.509520000000002</v>
      </c>
      <c r="AF305" s="219"/>
      <c r="AG305" s="219">
        <f>EU305+EM305+EV305+EX305</f>
        <v>6.3938618925831205</v>
      </c>
      <c r="AH305" s="220">
        <f>DM305</f>
        <v>0.2</v>
      </c>
      <c r="AI305" s="204">
        <f>DO305</f>
        <v>6.0000000000000001E-3</v>
      </c>
      <c r="AJ305" s="204">
        <f>GW305</f>
        <v>0.12787723785166241</v>
      </c>
      <c r="AK305" s="204">
        <f>GU305</f>
        <v>0.673792273657289</v>
      </c>
      <c r="AL305" s="204">
        <f>GS305</f>
        <v>5.929372008184143</v>
      </c>
      <c r="AM305" s="204">
        <f>HV305</f>
        <v>7.3855555555555554</v>
      </c>
      <c r="AN305" s="204">
        <f>IG305</f>
        <v>0.26455026455026454</v>
      </c>
      <c r="AO305" s="205">
        <v>0</v>
      </c>
      <c r="AP305" s="205"/>
      <c r="AQ305" s="204">
        <f>SUM(AE305:AO305)</f>
        <v>68.490529232382045</v>
      </c>
      <c r="AR305" s="204"/>
      <c r="AS305" s="204"/>
      <c r="AT305" s="205">
        <v>0</v>
      </c>
      <c r="AU305" s="103"/>
      <c r="AV305" s="206">
        <f>AQ305+AT305</f>
        <v>68.490529232382045</v>
      </c>
      <c r="AW305" s="223">
        <v>0.26700000000000002</v>
      </c>
      <c r="AX305" s="135">
        <v>0.25900000000000001</v>
      </c>
      <c r="AY305" s="210">
        <v>0.9</v>
      </c>
      <c r="AZ305" s="122">
        <f>AW305-AX305</f>
        <v>8.0000000000000071E-3</v>
      </c>
      <c r="BA305" s="202">
        <f>AW305*AB305-AZ305*AC305</f>
        <v>47.509520000000002</v>
      </c>
      <c r="BB305" s="202"/>
      <c r="BC305" s="202"/>
      <c r="BD305" s="202"/>
      <c r="BE305" s="202"/>
      <c r="BF305" s="202"/>
      <c r="BG305" s="202"/>
      <c r="BH305" s="202"/>
      <c r="BI305" s="202"/>
      <c r="BJ305" s="202"/>
      <c r="BK305" s="202"/>
      <c r="BL305" s="202"/>
      <c r="BM305" s="202"/>
      <c r="BN305" s="202"/>
      <c r="BO305" s="202"/>
      <c r="BP305" s="202"/>
      <c r="BQ305" s="202"/>
      <c r="BR305" s="202"/>
      <c r="BS305" s="202"/>
      <c r="BT305" s="202"/>
      <c r="BU305" s="202"/>
      <c r="BV305" s="202"/>
      <c r="BW305" s="202"/>
      <c r="BX305" s="202"/>
      <c r="BY305" s="202"/>
      <c r="BZ305" s="202"/>
      <c r="CA305" s="202"/>
      <c r="CB305" s="202"/>
      <c r="CC305" s="202"/>
      <c r="CD305" s="122"/>
      <c r="CE305" s="122">
        <v>0</v>
      </c>
      <c r="CF305" s="122">
        <v>1</v>
      </c>
      <c r="CG305" s="122">
        <v>0.2</v>
      </c>
      <c r="CH305" s="103">
        <f>CG305*CF305</f>
        <v>0.2</v>
      </c>
      <c r="CI305" s="122"/>
      <c r="CJ305" s="122"/>
      <c r="CK305" s="122"/>
      <c r="CL305" s="122"/>
      <c r="CM305" s="122"/>
      <c r="CN305" s="122"/>
      <c r="CO305" s="122"/>
      <c r="CP305" s="122"/>
      <c r="CQ305" s="122"/>
      <c r="CR305" s="122"/>
      <c r="CS305" s="122"/>
      <c r="CT305" s="122"/>
      <c r="CU305" s="122"/>
      <c r="CV305" s="122"/>
      <c r="CW305" s="122"/>
      <c r="CX305" s="122"/>
      <c r="CY305" s="122"/>
      <c r="CZ305" s="122"/>
      <c r="DA305" s="122"/>
      <c r="DB305" s="122"/>
      <c r="DC305" s="122"/>
      <c r="DD305" s="122"/>
      <c r="DE305" s="122"/>
      <c r="DF305" s="122"/>
      <c r="DG305" s="122"/>
      <c r="DH305" s="122"/>
      <c r="DI305" s="122"/>
      <c r="DJ305" s="122"/>
      <c r="DK305" s="122"/>
      <c r="DL305" s="122"/>
      <c r="DM305" s="103">
        <f>CM305+CR305+CW305+DB305+DG305+DL305+CH305</f>
        <v>0.2</v>
      </c>
      <c r="DN305" s="211">
        <v>0.03</v>
      </c>
      <c r="DO305" s="202">
        <f>DN305*CG305*CF305</f>
        <v>6.0000000000000001E-3</v>
      </c>
      <c r="DP305" s="203">
        <f>CG305*CF305</f>
        <v>0.2</v>
      </c>
      <c r="DQ305" s="203"/>
      <c r="DR305" s="203"/>
      <c r="DS305" s="203"/>
      <c r="DT305" s="203"/>
      <c r="DU305" s="203"/>
      <c r="DV305" s="203"/>
      <c r="DW305" s="203"/>
      <c r="DX305" s="203"/>
      <c r="DY305" s="203"/>
      <c r="DZ305" s="203"/>
      <c r="EA305" s="203"/>
      <c r="EB305" s="203"/>
      <c r="EC305" s="203"/>
      <c r="ED305" s="203"/>
      <c r="EE305" s="203"/>
      <c r="EF305" s="122">
        <v>500</v>
      </c>
      <c r="EG305" s="122">
        <v>5000</v>
      </c>
      <c r="EH305" s="122">
        <v>8</v>
      </c>
      <c r="EI305" s="210">
        <v>0.95</v>
      </c>
      <c r="EJ305" s="122">
        <v>2</v>
      </c>
      <c r="EK305" s="122">
        <v>70</v>
      </c>
      <c r="EL305" s="209">
        <f>ROUND(3600/EK305*EH305*EJ305*EI305,0)</f>
        <v>782</v>
      </c>
      <c r="EM305" s="122"/>
      <c r="EN305" s="122"/>
      <c r="EO305" s="122"/>
      <c r="EP305" s="209"/>
      <c r="EQ305" s="209"/>
      <c r="ER305" s="209"/>
      <c r="ES305" s="209"/>
      <c r="ET305" s="209"/>
      <c r="EU305" s="203">
        <f>EG305/EL305</f>
        <v>6.3938618925831205</v>
      </c>
      <c r="EV305" s="122"/>
      <c r="EW305" s="122"/>
      <c r="EX305" s="122"/>
      <c r="EY305" s="122"/>
      <c r="EZ305" s="122"/>
      <c r="FA305" s="122"/>
      <c r="FB305" s="122"/>
      <c r="FC305" s="122"/>
      <c r="FD305" s="122"/>
      <c r="FE305" s="122"/>
      <c r="FF305" s="122"/>
      <c r="FG305" s="122"/>
      <c r="FH305" s="122"/>
      <c r="FI305" s="122"/>
      <c r="FJ305" s="122"/>
      <c r="FK305" s="122"/>
      <c r="FL305" s="122"/>
      <c r="FM305" s="122"/>
      <c r="FN305" s="122"/>
      <c r="FO305" s="122"/>
      <c r="FP305" s="122"/>
      <c r="FQ305" s="122"/>
      <c r="FR305" s="122"/>
      <c r="FS305" s="122"/>
      <c r="FT305" s="122"/>
      <c r="FU305" s="122"/>
      <c r="FV305" s="122"/>
      <c r="FW305" s="122"/>
      <c r="FX305" s="122"/>
      <c r="FY305" s="122"/>
      <c r="FZ305" s="122"/>
      <c r="GA305" s="122"/>
      <c r="GB305" s="122"/>
      <c r="GC305" s="122"/>
      <c r="GD305" s="122"/>
      <c r="GE305" s="122"/>
      <c r="GF305" s="122"/>
      <c r="GG305" s="122"/>
      <c r="GH305" s="122"/>
      <c r="GI305" s="122"/>
      <c r="GJ305" s="122"/>
      <c r="GK305" s="122"/>
      <c r="GL305" s="122"/>
      <c r="GM305" s="122"/>
      <c r="GN305" s="122"/>
      <c r="GO305" s="122"/>
      <c r="GP305" s="122"/>
      <c r="GQ305" s="122"/>
      <c r="GR305" s="210">
        <v>0.11</v>
      </c>
      <c r="GS305" s="202">
        <f>GR305*(BA305+EU305)</f>
        <v>5.929372008184143</v>
      </c>
      <c r="GT305" s="208">
        <v>1.2500000000000001E-2</v>
      </c>
      <c r="GU305" s="203">
        <f>GT305*(BA305+EU305)</f>
        <v>0.673792273657289</v>
      </c>
      <c r="GV305" s="207">
        <v>0.02</v>
      </c>
      <c r="GW305" s="203">
        <f>GV305*EU305</f>
        <v>0.12787723785166241</v>
      </c>
      <c r="GX305" s="203">
        <f>GS305+GU305+GW305</f>
        <v>6.7310415196930942</v>
      </c>
      <c r="GY305" s="122" t="s">
        <v>43</v>
      </c>
      <c r="GZ305" s="122" t="s">
        <v>87</v>
      </c>
      <c r="HA305" s="203">
        <v>810</v>
      </c>
      <c r="HB305" s="203">
        <v>570</v>
      </c>
      <c r="HC305" s="122">
        <v>425</v>
      </c>
      <c r="HD305" s="122">
        <v>35</v>
      </c>
      <c r="HE305" s="122">
        <v>120</v>
      </c>
      <c r="HF305" s="203">
        <f>ROUNDUP(HE305/HD305,0)</f>
        <v>4</v>
      </c>
      <c r="HG305" s="122">
        <v>5</v>
      </c>
      <c r="HH305" s="202">
        <f>HF305*HG305</f>
        <v>20</v>
      </c>
      <c r="HI305" s="122">
        <v>1100</v>
      </c>
      <c r="HJ305" s="203">
        <f>HH305*HI305</f>
        <v>22000</v>
      </c>
      <c r="HK305" s="203"/>
      <c r="HL305" s="203"/>
      <c r="HM305" s="203">
        <v>2</v>
      </c>
      <c r="HN305" s="209">
        <f>HM305*12*25*HE305</f>
        <v>72000</v>
      </c>
      <c r="HO305" s="203">
        <f>IF(GY305="carton box",HI305/HD305,HJ305/HN305)</f>
        <v>0.30555555555555558</v>
      </c>
      <c r="HP305" s="203">
        <v>160</v>
      </c>
      <c r="HQ305" s="122">
        <v>0</v>
      </c>
      <c r="HR305" s="203">
        <v>0</v>
      </c>
      <c r="HS305" s="203">
        <v>1</v>
      </c>
      <c r="HT305" s="203">
        <f>247.8/35</f>
        <v>7.08</v>
      </c>
      <c r="HU305" s="203"/>
      <c r="HV305" s="203">
        <f>HO305+HT305</f>
        <v>7.3855555555555554</v>
      </c>
      <c r="HW305" s="203"/>
      <c r="HX305" s="203">
        <v>4200</v>
      </c>
      <c r="HY305" s="203">
        <v>1900</v>
      </c>
      <c r="HZ305" s="203">
        <v>1975</v>
      </c>
      <c r="IA305" s="203">
        <f t="shared" si="279"/>
        <v>5</v>
      </c>
      <c r="IB305" s="203">
        <f t="shared" si="279"/>
        <v>3</v>
      </c>
      <c r="IC305" s="203">
        <f t="shared" si="279"/>
        <v>4</v>
      </c>
      <c r="ID305" s="210">
        <v>0.9</v>
      </c>
      <c r="IE305" s="202">
        <f>ROUND(PRODUCT(IA305:ID305),0)</f>
        <v>54</v>
      </c>
      <c r="IF305" s="203">
        <v>500</v>
      </c>
      <c r="IG305" s="202">
        <f>IF305/(IE305*HD305)</f>
        <v>0.26455026455026454</v>
      </c>
      <c r="IH305" s="20"/>
    </row>
    <row r="306" spans="1:302">
      <c r="A306">
        <v>289</v>
      </c>
      <c r="B306" t="s">
        <v>468</v>
      </c>
      <c r="C306" s="122" t="s">
        <v>1207</v>
      </c>
      <c r="D306" s="28" t="s">
        <v>770</v>
      </c>
      <c r="E306" s="27" t="s">
        <v>771</v>
      </c>
      <c r="F306" s="5" t="s">
        <v>2182</v>
      </c>
      <c r="G306" s="27" t="s">
        <v>102</v>
      </c>
      <c r="I306" s="27" t="s">
        <v>121</v>
      </c>
      <c r="J306" s="28">
        <v>21480</v>
      </c>
      <c r="K306" s="27" t="s">
        <v>97</v>
      </c>
      <c r="N306" s="28"/>
      <c r="O306" s="28"/>
      <c r="P306" s="28"/>
      <c r="Q306" s="28" t="s">
        <v>1033</v>
      </c>
      <c r="R306" s="28" t="s">
        <v>1193</v>
      </c>
      <c r="S306" s="27"/>
      <c r="T306" s="27"/>
      <c r="U306" s="27"/>
      <c r="W306" s="115"/>
      <c r="X306" s="115"/>
      <c r="Y306" s="115"/>
      <c r="Z306" s="115"/>
      <c r="AA306" s="122" t="s">
        <v>309</v>
      </c>
      <c r="AB306" s="121">
        <v>183.28</v>
      </c>
      <c r="AC306" s="122">
        <f>AB306-5</f>
        <v>178.28</v>
      </c>
      <c r="AD306" s="122"/>
      <c r="AE306" s="219">
        <f>BA306</f>
        <v>52.641359999999999</v>
      </c>
      <c r="AF306" s="219"/>
      <c r="AG306" s="219">
        <f>EU306+EM306+EV306+EX306</f>
        <v>6.3938618925831205</v>
      </c>
      <c r="AH306" s="220">
        <f>DM306</f>
        <v>0.2</v>
      </c>
      <c r="AI306" s="204">
        <f>DO306</f>
        <v>6.0000000000000001E-3</v>
      </c>
      <c r="AJ306" s="204">
        <f>GW306</f>
        <v>0.12787723785166241</v>
      </c>
      <c r="AK306" s="204">
        <f>GU306</f>
        <v>0.73794027365728898</v>
      </c>
      <c r="AL306" s="204">
        <f>GS306</f>
        <v>6.4938744081841433</v>
      </c>
      <c r="AM306" s="204">
        <f>HV306</f>
        <v>7.3855555555555554</v>
      </c>
      <c r="AN306" s="204">
        <f>IG306</f>
        <v>0.26455026455026454</v>
      </c>
      <c r="AO306" s="205">
        <v>0</v>
      </c>
      <c r="AP306" s="205"/>
      <c r="AQ306" s="204">
        <f>SUM(AE306:AO306)</f>
        <v>74.25101963238204</v>
      </c>
      <c r="AR306" s="204"/>
      <c r="AS306" s="204"/>
      <c r="AT306" s="205">
        <v>0</v>
      </c>
      <c r="AU306" s="103"/>
      <c r="AV306" s="206">
        <f>AQ306+AT306</f>
        <v>74.25101963238204</v>
      </c>
      <c r="AW306" s="224">
        <v>0.29499999999999998</v>
      </c>
      <c r="AX306" s="225">
        <v>0.28699999999999998</v>
      </c>
      <c r="AY306" s="210">
        <v>0.9</v>
      </c>
      <c r="AZ306" s="122">
        <f>AW306-AX306</f>
        <v>8.0000000000000071E-3</v>
      </c>
      <c r="BA306" s="202">
        <f>AW306*AB306-AZ306*AC306</f>
        <v>52.641359999999999</v>
      </c>
      <c r="BB306" s="202"/>
      <c r="BC306" s="202"/>
      <c r="BD306" s="202"/>
      <c r="BE306" s="202"/>
      <c r="BF306" s="202"/>
      <c r="BG306" s="202"/>
      <c r="BH306" s="202"/>
      <c r="BI306" s="202"/>
      <c r="BJ306" s="202"/>
      <c r="BK306" s="202"/>
      <c r="BL306" s="202"/>
      <c r="BM306" s="202"/>
      <c r="BN306" s="202"/>
      <c r="BO306" s="202"/>
      <c r="BP306" s="202"/>
      <c r="BQ306" s="202"/>
      <c r="BR306" s="202"/>
      <c r="BS306" s="202"/>
      <c r="BT306" s="202"/>
      <c r="BU306" s="202"/>
      <c r="BV306" s="202"/>
      <c r="BW306" s="202"/>
      <c r="BX306" s="202"/>
      <c r="BY306" s="202"/>
      <c r="BZ306" s="202"/>
      <c r="CA306" s="202"/>
      <c r="CB306" s="202"/>
      <c r="CC306" s="202"/>
      <c r="CD306" s="122"/>
      <c r="CE306" s="122">
        <v>0</v>
      </c>
      <c r="CF306" s="122">
        <v>1</v>
      </c>
      <c r="CG306" s="122">
        <v>0.2</v>
      </c>
      <c r="CH306" s="103">
        <f>CG306*CF306</f>
        <v>0.2</v>
      </c>
      <c r="CI306" s="122"/>
      <c r="CJ306" s="122"/>
      <c r="CK306" s="122"/>
      <c r="CL306" s="122"/>
      <c r="CM306" s="122"/>
      <c r="CN306" s="122"/>
      <c r="CO306" s="122"/>
      <c r="CP306" s="122"/>
      <c r="CQ306" s="122"/>
      <c r="CR306" s="122"/>
      <c r="CS306" s="122"/>
      <c r="CT306" s="122"/>
      <c r="CU306" s="122"/>
      <c r="CV306" s="122"/>
      <c r="CW306" s="122"/>
      <c r="CX306" s="122"/>
      <c r="CY306" s="122"/>
      <c r="CZ306" s="122"/>
      <c r="DA306" s="122"/>
      <c r="DB306" s="122"/>
      <c r="DC306" s="122"/>
      <c r="DD306" s="122"/>
      <c r="DE306" s="122"/>
      <c r="DF306" s="122"/>
      <c r="DG306" s="122"/>
      <c r="DH306" s="122"/>
      <c r="DI306" s="122"/>
      <c r="DJ306" s="122"/>
      <c r="DK306" s="122"/>
      <c r="DL306" s="122"/>
      <c r="DM306" s="103">
        <f>CM306+CR306+CW306+DB306+DG306+DL306+CH306</f>
        <v>0.2</v>
      </c>
      <c r="DN306" s="211">
        <v>0.03</v>
      </c>
      <c r="DO306" s="202">
        <f>DN306*CG306*CF306</f>
        <v>6.0000000000000001E-3</v>
      </c>
      <c r="DP306" s="203">
        <f>CG306*CF306</f>
        <v>0.2</v>
      </c>
      <c r="DQ306" s="203"/>
      <c r="DR306" s="203"/>
      <c r="DS306" s="203"/>
      <c r="DT306" s="203"/>
      <c r="DU306" s="203"/>
      <c r="DV306" s="203"/>
      <c r="DW306" s="203"/>
      <c r="DX306" s="203"/>
      <c r="DY306" s="203"/>
      <c r="DZ306" s="203"/>
      <c r="EA306" s="203"/>
      <c r="EB306" s="203"/>
      <c r="EC306" s="203"/>
      <c r="ED306" s="203"/>
      <c r="EE306" s="203"/>
      <c r="EF306" s="122">
        <v>500</v>
      </c>
      <c r="EG306" s="122">
        <v>5000</v>
      </c>
      <c r="EH306" s="122">
        <v>8</v>
      </c>
      <c r="EI306" s="210">
        <v>0.95</v>
      </c>
      <c r="EJ306" s="122">
        <v>2</v>
      </c>
      <c r="EK306" s="122">
        <v>70</v>
      </c>
      <c r="EL306" s="209">
        <f>ROUND(3600/EK306*EH306*EJ306*EI306,0)</f>
        <v>782</v>
      </c>
      <c r="EM306" s="122"/>
      <c r="EN306" s="122"/>
      <c r="EO306" s="122"/>
      <c r="EP306" s="209"/>
      <c r="EQ306" s="209"/>
      <c r="ER306" s="209"/>
      <c r="ES306" s="209"/>
      <c r="ET306" s="209"/>
      <c r="EU306" s="203">
        <f>EG306/EL306</f>
        <v>6.3938618925831205</v>
      </c>
      <c r="EV306" s="122"/>
      <c r="EW306" s="122"/>
      <c r="EX306" s="122"/>
      <c r="EY306" s="122"/>
      <c r="EZ306" s="122"/>
      <c r="FA306" s="122"/>
      <c r="FB306" s="122"/>
      <c r="FC306" s="122"/>
      <c r="FD306" s="122"/>
      <c r="FE306" s="122"/>
      <c r="FF306" s="122"/>
      <c r="FG306" s="122"/>
      <c r="FH306" s="122"/>
      <c r="FI306" s="122"/>
      <c r="FJ306" s="122"/>
      <c r="FK306" s="122"/>
      <c r="FL306" s="122"/>
      <c r="FM306" s="122"/>
      <c r="FN306" s="122"/>
      <c r="FO306" s="122"/>
      <c r="FP306" s="122"/>
      <c r="FQ306" s="122"/>
      <c r="FR306" s="122"/>
      <c r="FS306" s="122"/>
      <c r="FT306" s="122"/>
      <c r="FU306" s="122"/>
      <c r="FV306" s="122"/>
      <c r="FW306" s="122"/>
      <c r="FX306" s="122"/>
      <c r="FY306" s="122"/>
      <c r="FZ306" s="122"/>
      <c r="GA306" s="122"/>
      <c r="GB306" s="122"/>
      <c r="GC306" s="122"/>
      <c r="GD306" s="122"/>
      <c r="GE306" s="122"/>
      <c r="GF306" s="122"/>
      <c r="GG306" s="122"/>
      <c r="GH306" s="122"/>
      <c r="GI306" s="122"/>
      <c r="GJ306" s="122"/>
      <c r="GK306" s="122"/>
      <c r="GL306" s="122"/>
      <c r="GM306" s="122"/>
      <c r="GN306" s="122"/>
      <c r="GO306" s="122"/>
      <c r="GP306" s="122"/>
      <c r="GQ306" s="122"/>
      <c r="GR306" s="210">
        <v>0.11</v>
      </c>
      <c r="GS306" s="202">
        <f>GR306*(BA306+EU306)</f>
        <v>6.4938744081841433</v>
      </c>
      <c r="GT306" s="208">
        <v>1.2500000000000001E-2</v>
      </c>
      <c r="GU306" s="203">
        <f>GT306*(BA306+EU306)</f>
        <v>0.73794027365728898</v>
      </c>
      <c r="GV306" s="207">
        <v>0.02</v>
      </c>
      <c r="GW306" s="203">
        <f>GV306*EU306</f>
        <v>0.12787723785166241</v>
      </c>
      <c r="GX306" s="203">
        <f>GS306+GU306+GW306</f>
        <v>7.3596919196930948</v>
      </c>
      <c r="GY306" s="122" t="s">
        <v>43</v>
      </c>
      <c r="GZ306" s="122" t="s">
        <v>87</v>
      </c>
      <c r="HA306" s="203">
        <v>810</v>
      </c>
      <c r="HB306" s="203">
        <v>570</v>
      </c>
      <c r="HC306" s="122">
        <v>425</v>
      </c>
      <c r="HD306" s="122">
        <v>35</v>
      </c>
      <c r="HE306" s="122">
        <v>120</v>
      </c>
      <c r="HF306" s="203">
        <f>ROUNDUP(HE306/HD306,0)</f>
        <v>4</v>
      </c>
      <c r="HG306" s="122">
        <v>5</v>
      </c>
      <c r="HH306" s="202">
        <f>HF306*HG306</f>
        <v>20</v>
      </c>
      <c r="HI306" s="122">
        <v>1100</v>
      </c>
      <c r="HJ306" s="203">
        <f>HH306*HI306</f>
        <v>22000</v>
      </c>
      <c r="HK306" s="203"/>
      <c r="HL306" s="203"/>
      <c r="HM306" s="203">
        <v>2</v>
      </c>
      <c r="HN306" s="209">
        <f>HM306*12*25*HE306</f>
        <v>72000</v>
      </c>
      <c r="HO306" s="203">
        <f>IF(GY306="carton box",HI306/HD306,HJ306/HN306)</f>
        <v>0.30555555555555558</v>
      </c>
      <c r="HP306" s="203">
        <v>160</v>
      </c>
      <c r="HQ306" s="122">
        <v>0</v>
      </c>
      <c r="HR306" s="203">
        <v>0</v>
      </c>
      <c r="HS306" s="203">
        <v>1</v>
      </c>
      <c r="HT306" s="203">
        <f>247.8/35</f>
        <v>7.08</v>
      </c>
      <c r="HU306" s="203"/>
      <c r="HV306" s="203">
        <f>HO306+HT306</f>
        <v>7.3855555555555554</v>
      </c>
      <c r="HW306" s="203"/>
      <c r="HX306" s="203">
        <v>4200</v>
      </c>
      <c r="HY306" s="203">
        <v>1900</v>
      </c>
      <c r="HZ306" s="203">
        <v>1975</v>
      </c>
      <c r="IA306" s="203">
        <f t="shared" si="279"/>
        <v>5</v>
      </c>
      <c r="IB306" s="203">
        <f t="shared" si="279"/>
        <v>3</v>
      </c>
      <c r="IC306" s="203">
        <f t="shared" si="279"/>
        <v>4</v>
      </c>
      <c r="ID306" s="210">
        <v>0.9</v>
      </c>
      <c r="IE306" s="202">
        <f>ROUND(PRODUCT(IA306:ID306),0)</f>
        <v>54</v>
      </c>
      <c r="IF306" s="203">
        <v>500</v>
      </c>
      <c r="IG306" s="202">
        <f>IF306/(IE306*HD306)</f>
        <v>0.26455026455026454</v>
      </c>
      <c r="IH306" s="20"/>
    </row>
    <row r="307" spans="1:302">
      <c r="A307">
        <v>290</v>
      </c>
      <c r="B307" s="301" t="s">
        <v>2235</v>
      </c>
      <c r="C307" s="103"/>
      <c r="D307" s="28" t="s">
        <v>772</v>
      </c>
      <c r="E307" s="27" t="s">
        <v>773</v>
      </c>
      <c r="F307" s="27" t="s">
        <v>1947</v>
      </c>
      <c r="G307" s="27" t="s">
        <v>102</v>
      </c>
      <c r="I307" s="27" t="s">
        <v>121</v>
      </c>
      <c r="J307" s="28">
        <v>21480</v>
      </c>
      <c r="K307" s="27" t="s">
        <v>97</v>
      </c>
      <c r="N307" s="28"/>
      <c r="O307" s="28"/>
      <c r="P307" s="28"/>
      <c r="Q307" s="28"/>
      <c r="R307" s="28"/>
      <c r="S307" s="27"/>
      <c r="T307" s="27"/>
      <c r="U307" s="27"/>
    </row>
    <row r="308" spans="1:302">
      <c r="A308">
        <v>291</v>
      </c>
      <c r="B308" t="s">
        <v>468</v>
      </c>
      <c r="C308" s="122" t="s">
        <v>1210</v>
      </c>
      <c r="D308" s="28" t="s">
        <v>774</v>
      </c>
      <c r="E308" s="27" t="s">
        <v>773</v>
      </c>
      <c r="F308" s="5" t="s">
        <v>2182</v>
      </c>
      <c r="G308" s="27" t="s">
        <v>102</v>
      </c>
      <c r="I308" s="27" t="s">
        <v>121</v>
      </c>
      <c r="J308" s="28">
        <v>21480</v>
      </c>
      <c r="K308" s="27" t="s">
        <v>97</v>
      </c>
      <c r="N308" s="28"/>
      <c r="O308" s="28"/>
      <c r="P308" s="28"/>
      <c r="Q308" s="28"/>
      <c r="R308" s="28"/>
      <c r="S308" s="27"/>
      <c r="T308" s="27"/>
      <c r="U308" s="27"/>
      <c r="W308" s="115"/>
      <c r="X308" s="115"/>
      <c r="Y308" s="115"/>
      <c r="Z308" s="115"/>
      <c r="AA308" s="122" t="s">
        <v>1208</v>
      </c>
      <c r="AB308" s="121">
        <v>129.32</v>
      </c>
      <c r="AC308" s="122">
        <f>AB308-5</f>
        <v>124.32</v>
      </c>
      <c r="AD308" s="122" t="s">
        <v>1209</v>
      </c>
      <c r="AE308" s="219">
        <f>BA308</f>
        <v>40.750799999999998</v>
      </c>
      <c r="AF308" s="219"/>
      <c r="AG308" s="219">
        <f>EU308+EM308+EV308+EX308</f>
        <v>5.208333333333333</v>
      </c>
      <c r="AH308" s="220">
        <f>DM308</f>
        <v>2.95</v>
      </c>
      <c r="AI308" s="219">
        <f>DO308</f>
        <v>8.8499999999999995E-2</v>
      </c>
      <c r="AJ308" s="219">
        <f>GW308</f>
        <v>0.10416666666666666</v>
      </c>
      <c r="AK308" s="219">
        <f>GU308</f>
        <v>0.57448916666666672</v>
      </c>
      <c r="AL308" s="219">
        <f>GS308</f>
        <v>4.5798276366666668</v>
      </c>
      <c r="AM308" s="219">
        <f>HV308</f>
        <v>0.22916666666666666</v>
      </c>
      <c r="AN308" s="219">
        <f>IG308</f>
        <v>0.41666666666666669</v>
      </c>
      <c r="AO308" s="220">
        <v>0</v>
      </c>
      <c r="AP308" s="220"/>
      <c r="AQ308" s="219">
        <f>SUM(AE308:AO308)</f>
        <v>54.901950136666663</v>
      </c>
      <c r="AR308" s="219"/>
      <c r="AS308" s="219"/>
      <c r="AT308" s="220">
        <v>0</v>
      </c>
      <c r="AU308" s="122"/>
      <c r="AV308" s="219">
        <f>AQ308+AT308</f>
        <v>54.901950136666663</v>
      </c>
      <c r="AW308" s="226">
        <v>0.318</v>
      </c>
      <c r="AX308" s="227">
        <v>0.315</v>
      </c>
      <c r="AY308" s="210">
        <v>1</v>
      </c>
      <c r="AZ308" s="122">
        <f>AW308-AX308</f>
        <v>3.0000000000000027E-3</v>
      </c>
      <c r="BA308" s="202">
        <f>AW308*AB308-(AZ308*AC308)*AY308</f>
        <v>40.750799999999998</v>
      </c>
      <c r="BB308" s="202"/>
      <c r="BC308" s="202"/>
      <c r="BD308" s="202"/>
      <c r="BE308" s="202"/>
      <c r="BF308" s="202"/>
      <c r="BG308" s="202"/>
      <c r="BH308" s="202"/>
      <c r="BI308" s="202"/>
      <c r="BJ308" s="202"/>
      <c r="BK308" s="202"/>
      <c r="BL308" s="202"/>
      <c r="BM308" s="202"/>
      <c r="BN308" s="202"/>
      <c r="BO308" s="202"/>
      <c r="BP308" s="202"/>
      <c r="BQ308" s="202"/>
      <c r="BR308" s="202"/>
      <c r="BS308" s="202"/>
      <c r="BT308" s="202"/>
      <c r="BU308" s="202"/>
      <c r="BV308" s="202"/>
      <c r="BW308" s="202"/>
      <c r="BX308" s="202"/>
      <c r="BY308" s="202"/>
      <c r="BZ308" s="202"/>
      <c r="CA308" s="202"/>
      <c r="CB308" s="202"/>
      <c r="CC308" s="202"/>
      <c r="CD308" s="122"/>
      <c r="CE308" s="122">
        <v>0</v>
      </c>
      <c r="CF308" s="122">
        <v>1</v>
      </c>
      <c r="CG308" s="228">
        <f>2.75+0.2/1</f>
        <v>2.95</v>
      </c>
      <c r="CH308" s="122">
        <f>CG308*CF308</f>
        <v>2.95</v>
      </c>
      <c r="CI308" s="122"/>
      <c r="CJ308" s="122"/>
      <c r="CK308" s="122"/>
      <c r="CL308" s="122"/>
      <c r="CM308" s="122"/>
      <c r="CN308" s="122"/>
      <c r="CO308" s="122"/>
      <c r="CP308" s="122"/>
      <c r="CQ308" s="122"/>
      <c r="CR308" s="122"/>
      <c r="CS308" s="122"/>
      <c r="CT308" s="122"/>
      <c r="CU308" s="122"/>
      <c r="CV308" s="122"/>
      <c r="CW308" s="122"/>
      <c r="CX308" s="122"/>
      <c r="CY308" s="122"/>
      <c r="CZ308" s="122"/>
      <c r="DA308" s="122"/>
      <c r="DB308" s="122"/>
      <c r="DC308" s="122"/>
      <c r="DD308" s="122"/>
      <c r="DE308" s="122"/>
      <c r="DF308" s="122"/>
      <c r="DG308" s="122"/>
      <c r="DH308" s="122"/>
      <c r="DI308" s="122"/>
      <c r="DJ308" s="122"/>
      <c r="DK308" s="122"/>
      <c r="DL308" s="122"/>
      <c r="DM308" s="122">
        <f>CM308+CR308+CW308+DB308+DG308+DL308+CH308</f>
        <v>2.95</v>
      </c>
      <c r="DN308" s="211">
        <v>0.03</v>
      </c>
      <c r="DO308" s="202">
        <f>DN308*CG308*CF308</f>
        <v>8.8499999999999995E-2</v>
      </c>
      <c r="DP308" s="202">
        <f>CG308*CF308</f>
        <v>2.95</v>
      </c>
      <c r="DQ308" s="202"/>
      <c r="DR308" s="202"/>
      <c r="DS308" s="202"/>
      <c r="DT308" s="202"/>
      <c r="DU308" s="202"/>
      <c r="DV308" s="202"/>
      <c r="DW308" s="202"/>
      <c r="DX308" s="202"/>
      <c r="DY308" s="202"/>
      <c r="DZ308" s="202"/>
      <c r="EA308" s="202"/>
      <c r="EB308" s="202"/>
      <c r="EC308" s="202"/>
      <c r="ED308" s="202"/>
      <c r="EE308" s="202"/>
      <c r="EF308" s="122">
        <v>250</v>
      </c>
      <c r="EG308" s="122">
        <v>2500</v>
      </c>
      <c r="EH308" s="122">
        <v>8</v>
      </c>
      <c r="EI308" s="210">
        <v>0.95</v>
      </c>
      <c r="EJ308" s="122">
        <v>1</v>
      </c>
      <c r="EK308" s="122">
        <v>57</v>
      </c>
      <c r="EL308" s="122">
        <f>ROUND(3600/EK308*EH308*EJ308*EI308,0)</f>
        <v>480</v>
      </c>
      <c r="EM308" s="122"/>
      <c r="EN308" s="122"/>
      <c r="EO308" s="122"/>
      <c r="EP308" s="122"/>
      <c r="EQ308" s="122"/>
      <c r="ER308" s="122"/>
      <c r="ES308" s="122"/>
      <c r="ET308" s="122"/>
      <c r="EU308" s="202">
        <f>EG308/EL308</f>
        <v>5.208333333333333</v>
      </c>
      <c r="EV308" s="122"/>
      <c r="EW308" s="122"/>
      <c r="EX308" s="122"/>
      <c r="EY308" s="122"/>
      <c r="EZ308" s="122"/>
      <c r="FA308" s="122"/>
      <c r="FB308" s="122"/>
      <c r="FC308" s="122"/>
      <c r="FD308" s="122"/>
      <c r="FE308" s="122"/>
      <c r="FF308" s="122"/>
      <c r="FG308" s="122"/>
      <c r="FH308" s="122"/>
      <c r="FI308" s="122"/>
      <c r="FJ308" s="122"/>
      <c r="FK308" s="122"/>
      <c r="FL308" s="122"/>
      <c r="FM308" s="122"/>
      <c r="FN308" s="122"/>
      <c r="FO308" s="122"/>
      <c r="FP308" s="122"/>
      <c r="FQ308" s="122"/>
      <c r="FR308" s="122"/>
      <c r="FS308" s="122"/>
      <c r="FT308" s="122"/>
      <c r="FU308" s="122"/>
      <c r="FV308" s="122"/>
      <c r="FW308" s="122"/>
      <c r="FX308" s="122"/>
      <c r="FY308" s="122"/>
      <c r="FZ308" s="122"/>
      <c r="GA308" s="122"/>
      <c r="GB308" s="122"/>
      <c r="GC308" s="122"/>
      <c r="GD308" s="122"/>
      <c r="GE308" s="122"/>
      <c r="GF308" s="122"/>
      <c r="GG308" s="122"/>
      <c r="GH308" s="122"/>
      <c r="GI308" s="122"/>
      <c r="GJ308" s="122"/>
      <c r="GK308" s="122"/>
      <c r="GL308" s="122"/>
      <c r="GM308" s="122"/>
      <c r="GN308" s="122"/>
      <c r="GO308" s="122"/>
      <c r="GP308" s="122"/>
      <c r="GQ308" s="122"/>
      <c r="GR308" s="210">
        <v>9.9650000000000002E-2</v>
      </c>
      <c r="GS308" s="202">
        <f>GR308*(BA308+EU308)</f>
        <v>4.5798276366666668</v>
      </c>
      <c r="GT308" s="211">
        <v>1.2500000000000001E-2</v>
      </c>
      <c r="GU308" s="202">
        <f>GT308*(BA308+EU308)</f>
        <v>0.57448916666666672</v>
      </c>
      <c r="GV308" s="210">
        <v>0.02</v>
      </c>
      <c r="GW308" s="202">
        <f>GV308*EU308</f>
        <v>0.10416666666666666</v>
      </c>
      <c r="GX308" s="202">
        <f>GS308+GU308+GW308</f>
        <v>5.2584834700000007</v>
      </c>
      <c r="GY308" s="122" t="s">
        <v>43</v>
      </c>
      <c r="GZ308" s="122" t="s">
        <v>87</v>
      </c>
      <c r="HA308" s="122">
        <v>650</v>
      </c>
      <c r="HB308" s="122">
        <v>450</v>
      </c>
      <c r="HC308" s="122">
        <v>480</v>
      </c>
      <c r="HD308" s="122">
        <v>20</v>
      </c>
      <c r="HE308" s="122">
        <v>600</v>
      </c>
      <c r="HF308" s="122">
        <f>ROUNDUP(HE308/HD308,0)</f>
        <v>30</v>
      </c>
      <c r="HG308" s="122">
        <v>5</v>
      </c>
      <c r="HH308" s="122">
        <f>HF308*HG308</f>
        <v>150</v>
      </c>
      <c r="HI308" s="122">
        <v>550</v>
      </c>
      <c r="HJ308" s="122">
        <f>HH308*HI308</f>
        <v>82500</v>
      </c>
      <c r="HK308" s="122"/>
      <c r="HL308" s="122"/>
      <c r="HM308" s="202">
        <v>2</v>
      </c>
      <c r="HN308" s="122">
        <f>HM308*12*25*HE308</f>
        <v>360000</v>
      </c>
      <c r="HO308" s="202">
        <f>IF(GY308="carton box",HI308/HD308,HJ308/HN308)</f>
        <v>0.22916666666666666</v>
      </c>
      <c r="HP308" s="202">
        <v>160</v>
      </c>
      <c r="HQ308" s="122">
        <v>0</v>
      </c>
      <c r="HR308" s="202">
        <v>0</v>
      </c>
      <c r="HS308" s="122">
        <v>0</v>
      </c>
      <c r="HT308" s="122">
        <v>0</v>
      </c>
      <c r="HU308" s="122"/>
      <c r="HV308" s="202">
        <f>HO308+HT308</f>
        <v>0.22916666666666666</v>
      </c>
      <c r="HW308" s="202"/>
      <c r="HX308" s="202">
        <v>2917</v>
      </c>
      <c r="HY308" s="202">
        <v>1689</v>
      </c>
      <c r="HZ308" s="202">
        <v>1842</v>
      </c>
      <c r="IA308" s="202">
        <f t="shared" ref="IA308:IC309" si="280">ROUNDDOWN(HX308/HA308,0)</f>
        <v>4</v>
      </c>
      <c r="IB308" s="202">
        <f t="shared" si="280"/>
        <v>3</v>
      </c>
      <c r="IC308" s="202">
        <f t="shared" si="280"/>
        <v>3</v>
      </c>
      <c r="ID308" s="210">
        <v>1</v>
      </c>
      <c r="IE308" s="202">
        <f>(PRODUCT(IA308:ID308))+24</f>
        <v>60</v>
      </c>
      <c r="IF308" s="202">
        <v>500</v>
      </c>
      <c r="IG308" s="202">
        <f>IF308/(IE308*HD308)</f>
        <v>0.41666666666666669</v>
      </c>
      <c r="IH308" s="20"/>
    </row>
    <row r="309" spans="1:302" ht="30">
      <c r="A309">
        <v>292</v>
      </c>
      <c r="B309" t="s">
        <v>468</v>
      </c>
      <c r="C309" s="122" t="s">
        <v>1211</v>
      </c>
      <c r="D309" s="28" t="s">
        <v>775</v>
      </c>
      <c r="E309" s="27" t="s">
        <v>776</v>
      </c>
      <c r="F309" s="5" t="s">
        <v>2182</v>
      </c>
      <c r="G309" s="27" t="s">
        <v>102</v>
      </c>
      <c r="I309" s="27" t="s">
        <v>121</v>
      </c>
      <c r="J309" s="28">
        <v>21480</v>
      </c>
      <c r="K309" s="27" t="s">
        <v>97</v>
      </c>
      <c r="N309" s="28"/>
      <c r="O309" s="28"/>
      <c r="P309" s="28"/>
      <c r="Q309" s="28"/>
      <c r="R309" s="28"/>
      <c r="S309" s="27"/>
      <c r="T309" s="27"/>
      <c r="U309" s="27"/>
      <c r="W309" s="140" t="s">
        <v>1212</v>
      </c>
      <c r="X309" s="140"/>
      <c r="Y309" s="140"/>
      <c r="Z309" s="140"/>
      <c r="AA309" s="103" t="s">
        <v>440</v>
      </c>
      <c r="AB309" s="137">
        <v>75.88</v>
      </c>
      <c r="AC309" s="103">
        <v>20</v>
      </c>
      <c r="AD309" s="103"/>
      <c r="AE309" s="204">
        <f>BA309</f>
        <v>5.1398399999999995</v>
      </c>
      <c r="AF309" s="204"/>
      <c r="AG309" s="204">
        <f>EU309+EM309+EV309+EX309</f>
        <v>2.1937842778793417</v>
      </c>
      <c r="AH309" s="205">
        <f>DM309</f>
        <v>0</v>
      </c>
      <c r="AI309" s="204">
        <f>DO309</f>
        <v>0</v>
      </c>
      <c r="AJ309" s="204">
        <f>GW309</f>
        <v>4.3875685557586835E-2</v>
      </c>
      <c r="AK309" s="204">
        <f>GU309</f>
        <v>9.1670303473491768E-2</v>
      </c>
      <c r="AL309" s="204">
        <f>GS309</f>
        <v>0.8066986705667275</v>
      </c>
      <c r="AM309" s="204">
        <f>HV309</f>
        <v>0.15277777777777779</v>
      </c>
      <c r="AN309" s="204">
        <f>IG309</f>
        <v>0.27777777777777779</v>
      </c>
      <c r="AO309" s="205">
        <v>0</v>
      </c>
      <c r="AP309" s="205"/>
      <c r="AQ309" s="204">
        <f>SUM(AE309:AO309)</f>
        <v>8.7064244930327046</v>
      </c>
      <c r="AR309" s="204"/>
      <c r="AS309" s="204">
        <f>6.48-8.71</f>
        <v>-2.2300000000000004</v>
      </c>
      <c r="AT309" s="205">
        <v>0</v>
      </c>
      <c r="AU309" s="103"/>
      <c r="AV309" s="206">
        <f>AQ309+AR309+AS309+AU309+AU309</f>
        <v>6.4764244930327042</v>
      </c>
      <c r="AW309" s="229">
        <v>6.8000000000000005E-2</v>
      </c>
      <c r="AX309" s="229">
        <v>6.7000000000000004E-2</v>
      </c>
      <c r="AY309" s="207">
        <v>1</v>
      </c>
      <c r="AZ309" s="103">
        <f>AW309-AX309</f>
        <v>1.0000000000000009E-3</v>
      </c>
      <c r="BA309" s="203">
        <f>AW309*AB309-AZ309*AC309</f>
        <v>5.1398399999999995</v>
      </c>
      <c r="BB309" s="203"/>
      <c r="BC309" s="203"/>
      <c r="BD309" s="203"/>
      <c r="BE309" s="203"/>
      <c r="BF309" s="203"/>
      <c r="BG309" s="203"/>
      <c r="BH309" s="203"/>
      <c r="BI309" s="203"/>
      <c r="BJ309" s="203"/>
      <c r="BK309" s="203"/>
      <c r="BL309" s="203"/>
      <c r="BM309" s="203"/>
      <c r="BN309" s="203"/>
      <c r="BO309" s="203"/>
      <c r="BP309" s="203"/>
      <c r="BQ309" s="203"/>
      <c r="BR309" s="203"/>
      <c r="BS309" s="203"/>
      <c r="BT309" s="203"/>
      <c r="BU309" s="203"/>
      <c r="BV309" s="203"/>
      <c r="BW309" s="203"/>
      <c r="BX309" s="203"/>
      <c r="BY309" s="203"/>
      <c r="BZ309" s="203"/>
      <c r="CA309" s="203"/>
      <c r="CB309" s="203"/>
      <c r="CC309" s="203"/>
      <c r="CD309" s="103"/>
      <c r="CE309" s="103">
        <v>0</v>
      </c>
      <c r="CF309" s="103">
        <v>0</v>
      </c>
      <c r="CG309" s="103">
        <v>0</v>
      </c>
      <c r="CH309" s="103">
        <v>0</v>
      </c>
      <c r="CI309" s="103"/>
      <c r="CJ309" s="103"/>
      <c r="CK309" s="103"/>
      <c r="CL309" s="103"/>
      <c r="CM309" s="103"/>
      <c r="CN309" s="103"/>
      <c r="CO309" s="103"/>
      <c r="CP309" s="103"/>
      <c r="CQ309" s="103"/>
      <c r="CR309" s="103"/>
      <c r="CS309" s="103"/>
      <c r="CT309" s="103"/>
      <c r="CU309" s="103"/>
      <c r="CV309" s="103"/>
      <c r="CW309" s="103"/>
      <c r="CX309" s="103"/>
      <c r="CY309" s="103"/>
      <c r="CZ309" s="103"/>
      <c r="DA309" s="103"/>
      <c r="DB309" s="103"/>
      <c r="DC309" s="103"/>
      <c r="DD309" s="103"/>
      <c r="DE309" s="103"/>
      <c r="DF309" s="103"/>
      <c r="DG309" s="103"/>
      <c r="DH309" s="103"/>
      <c r="DI309" s="103"/>
      <c r="DJ309" s="103"/>
      <c r="DK309" s="103"/>
      <c r="DL309" s="103"/>
      <c r="DM309" s="103">
        <f>CM309+CR309+CW309+DB309+DG309+DL309+CH309</f>
        <v>0</v>
      </c>
      <c r="DN309" s="208">
        <v>0.03</v>
      </c>
      <c r="DO309" s="203">
        <f>DN309*CG309*CF309</f>
        <v>0</v>
      </c>
      <c r="DP309" s="103">
        <f>CG309*CF309</f>
        <v>0</v>
      </c>
      <c r="DQ309" s="103"/>
      <c r="DR309" s="103"/>
      <c r="DS309" s="103"/>
      <c r="DT309" s="103"/>
      <c r="DU309" s="103"/>
      <c r="DV309" s="103"/>
      <c r="DW309" s="103"/>
      <c r="DX309" s="103"/>
      <c r="DY309" s="103"/>
      <c r="DZ309" s="103"/>
      <c r="EA309" s="103"/>
      <c r="EB309" s="103"/>
      <c r="EC309" s="103"/>
      <c r="ED309" s="103"/>
      <c r="EE309" s="103"/>
      <c r="EF309" s="103">
        <v>120</v>
      </c>
      <c r="EG309" s="103">
        <v>1200</v>
      </c>
      <c r="EH309" s="103">
        <v>8</v>
      </c>
      <c r="EI309" s="207">
        <v>0.95</v>
      </c>
      <c r="EJ309" s="103">
        <v>1</v>
      </c>
      <c r="EK309" s="103">
        <v>50</v>
      </c>
      <c r="EL309" s="103">
        <f>ROUND(3600/EK309*EH309*EJ309*EI309,0)</f>
        <v>547</v>
      </c>
      <c r="EM309" s="103"/>
      <c r="EN309" s="103"/>
      <c r="EO309" s="103"/>
      <c r="EP309" s="103"/>
      <c r="EQ309" s="103"/>
      <c r="ER309" s="103"/>
      <c r="ES309" s="103"/>
      <c r="ET309" s="103"/>
      <c r="EU309" s="203">
        <f>EG309/EL309</f>
        <v>2.1937842778793417</v>
      </c>
      <c r="EV309" s="103"/>
      <c r="EW309" s="103"/>
      <c r="EX309" s="103"/>
      <c r="EY309" s="103"/>
      <c r="EZ309" s="103"/>
      <c r="FA309" s="103"/>
      <c r="FB309" s="103"/>
      <c r="FC309" s="103"/>
      <c r="FD309" s="103"/>
      <c r="FE309" s="103"/>
      <c r="FF309" s="103"/>
      <c r="FG309" s="103"/>
      <c r="FH309" s="103"/>
      <c r="FI309" s="103"/>
      <c r="FJ309" s="103"/>
      <c r="FK309" s="103"/>
      <c r="FL309" s="103"/>
      <c r="FM309" s="103"/>
      <c r="FN309" s="103"/>
      <c r="FO309" s="103"/>
      <c r="FP309" s="103"/>
      <c r="FQ309" s="103"/>
      <c r="FR309" s="103"/>
      <c r="FS309" s="103"/>
      <c r="FT309" s="103"/>
      <c r="FU309" s="103"/>
      <c r="FV309" s="103"/>
      <c r="FW309" s="103"/>
      <c r="FX309" s="103"/>
      <c r="FY309" s="103"/>
      <c r="FZ309" s="103"/>
      <c r="GA309" s="103"/>
      <c r="GB309" s="103"/>
      <c r="GC309" s="103"/>
      <c r="GD309" s="103"/>
      <c r="GE309" s="103"/>
      <c r="GF309" s="103"/>
      <c r="GG309" s="103"/>
      <c r="GH309" s="103"/>
      <c r="GI309" s="103"/>
      <c r="GJ309" s="103"/>
      <c r="GK309" s="103"/>
      <c r="GL309" s="103"/>
      <c r="GM309" s="103"/>
      <c r="GN309" s="103"/>
      <c r="GO309" s="103"/>
      <c r="GP309" s="103"/>
      <c r="GQ309" s="103"/>
      <c r="GR309" s="207">
        <v>0.11</v>
      </c>
      <c r="GS309" s="203">
        <f>GR309*(BA309+EU309)</f>
        <v>0.8066986705667275</v>
      </c>
      <c r="GT309" s="208">
        <v>1.2500000000000001E-2</v>
      </c>
      <c r="GU309" s="203">
        <f>GT309*(BA309+EU309)</f>
        <v>9.1670303473491768E-2</v>
      </c>
      <c r="GV309" s="207">
        <v>0.02</v>
      </c>
      <c r="GW309" s="203">
        <f>GV309*EU309</f>
        <v>4.3875685557586835E-2</v>
      </c>
      <c r="GX309" s="203">
        <f>GS309+GU309+GW309</f>
        <v>0.94224465959780612</v>
      </c>
      <c r="GY309" s="103" t="s">
        <v>43</v>
      </c>
      <c r="GZ309" s="103" t="s">
        <v>87</v>
      </c>
      <c r="HA309" s="103">
        <v>650</v>
      </c>
      <c r="HB309" s="103">
        <v>450</v>
      </c>
      <c r="HC309" s="103">
        <v>320</v>
      </c>
      <c r="HD309" s="103">
        <v>30</v>
      </c>
      <c r="HE309" s="103">
        <v>600</v>
      </c>
      <c r="HF309" s="103">
        <f>ROUNDUP(HE309/HD309,0)</f>
        <v>20</v>
      </c>
      <c r="HG309" s="103">
        <v>5</v>
      </c>
      <c r="HH309" s="103">
        <f>HF309*HG309</f>
        <v>100</v>
      </c>
      <c r="HI309" s="103">
        <v>550</v>
      </c>
      <c r="HJ309" s="103">
        <f>HH309*HI309</f>
        <v>55000</v>
      </c>
      <c r="HK309" s="103"/>
      <c r="HL309" s="103"/>
      <c r="HM309" s="103">
        <v>2</v>
      </c>
      <c r="HN309" s="103">
        <f>HM309*12*25*HE309</f>
        <v>360000</v>
      </c>
      <c r="HO309" s="203">
        <f>IF(GY309="carton box",HI309/HD309,HJ309/HN309)</f>
        <v>0.15277777777777779</v>
      </c>
      <c r="HP309" s="203">
        <v>160</v>
      </c>
      <c r="HQ309" s="103">
        <v>0</v>
      </c>
      <c r="HR309" s="103">
        <v>0</v>
      </c>
      <c r="HS309" s="103">
        <v>0</v>
      </c>
      <c r="HT309" s="103">
        <v>0</v>
      </c>
      <c r="HU309" s="103"/>
      <c r="HV309" s="203">
        <f>HO309+HT309</f>
        <v>0.15277777777777779</v>
      </c>
      <c r="HW309" s="203"/>
      <c r="HX309" s="103">
        <v>2917</v>
      </c>
      <c r="HY309" s="103">
        <v>1689</v>
      </c>
      <c r="HZ309" s="103">
        <v>1842</v>
      </c>
      <c r="IA309" s="203">
        <f t="shared" si="280"/>
        <v>4</v>
      </c>
      <c r="IB309" s="203">
        <f t="shared" si="280"/>
        <v>3</v>
      </c>
      <c r="IC309" s="203">
        <f t="shared" si="280"/>
        <v>5</v>
      </c>
      <c r="ID309" s="207">
        <v>1</v>
      </c>
      <c r="IE309" s="202">
        <f>ROUND(PRODUCT(IA309:ID309),0)</f>
        <v>60</v>
      </c>
      <c r="IF309" s="103">
        <v>500</v>
      </c>
      <c r="IG309" s="203">
        <f>IF309/(IE309*HD309)</f>
        <v>0.27777777777777779</v>
      </c>
      <c r="IH309" s="368"/>
    </row>
    <row r="310" spans="1:302">
      <c r="A310">
        <v>293</v>
      </c>
      <c r="B310" s="301" t="s">
        <v>2235</v>
      </c>
      <c r="C310" s="103"/>
      <c r="D310" s="28" t="s">
        <v>777</v>
      </c>
      <c r="E310" s="27" t="s">
        <v>778</v>
      </c>
      <c r="F310" s="27" t="s">
        <v>1947</v>
      </c>
      <c r="G310" s="27" t="s">
        <v>102</v>
      </c>
      <c r="I310" s="27" t="s">
        <v>121</v>
      </c>
      <c r="J310" s="28">
        <v>21480</v>
      </c>
      <c r="K310" s="27" t="s">
        <v>97</v>
      </c>
      <c r="N310" s="28"/>
      <c r="O310" s="28"/>
      <c r="P310" s="28"/>
      <c r="Q310" s="28"/>
      <c r="R310" s="28"/>
      <c r="S310" s="27"/>
      <c r="T310" s="27"/>
      <c r="U310" s="27"/>
    </row>
    <row r="311" spans="1:302">
      <c r="A311">
        <v>294</v>
      </c>
      <c r="B311" s="301" t="s">
        <v>2235</v>
      </c>
      <c r="C311" s="122"/>
      <c r="D311" s="28" t="s">
        <v>779</v>
      </c>
      <c r="E311" s="27" t="s">
        <v>780</v>
      </c>
      <c r="F311" s="27" t="s">
        <v>1947</v>
      </c>
      <c r="G311" s="27" t="s">
        <v>102</v>
      </c>
      <c r="I311" s="27" t="s">
        <v>121</v>
      </c>
      <c r="J311" s="28">
        <v>21480</v>
      </c>
      <c r="K311" s="27" t="s">
        <v>97</v>
      </c>
      <c r="N311" s="28"/>
      <c r="O311" s="28"/>
      <c r="P311" s="28"/>
      <c r="Q311" s="28"/>
      <c r="R311" s="28"/>
      <c r="S311" s="27"/>
      <c r="T311" s="27"/>
      <c r="U311" s="27"/>
    </row>
    <row r="312" spans="1:302">
      <c r="A312">
        <v>295</v>
      </c>
      <c r="B312" t="s">
        <v>468</v>
      </c>
      <c r="C312" s="122" t="s">
        <v>1213</v>
      </c>
      <c r="D312" s="28" t="s">
        <v>781</v>
      </c>
      <c r="E312" s="27" t="s">
        <v>782</v>
      </c>
      <c r="F312" s="5" t="s">
        <v>2182</v>
      </c>
      <c r="G312" s="27" t="s">
        <v>102</v>
      </c>
      <c r="I312" s="27" t="s">
        <v>121</v>
      </c>
      <c r="J312" s="28">
        <v>21480</v>
      </c>
      <c r="K312" s="27" t="s">
        <v>97</v>
      </c>
      <c r="N312" s="28"/>
      <c r="O312" s="28"/>
      <c r="P312" s="28"/>
      <c r="Q312" s="28"/>
      <c r="R312" s="28"/>
      <c r="S312" s="27"/>
      <c r="T312" s="27"/>
      <c r="U312" s="27"/>
      <c r="W312" s="115"/>
      <c r="X312" s="115"/>
      <c r="Y312" s="115"/>
      <c r="Z312" s="115"/>
      <c r="AA312" s="122" t="s">
        <v>560</v>
      </c>
      <c r="AB312" s="121">
        <v>125.98</v>
      </c>
      <c r="AC312" s="122">
        <f>AB312-5</f>
        <v>120.98</v>
      </c>
      <c r="AD312" s="122"/>
      <c r="AE312" s="219">
        <f>BA312</f>
        <v>9.4610000000000003</v>
      </c>
      <c r="AF312" s="219"/>
      <c r="AG312" s="219">
        <f>EU312+EM312+EV312+EX312</f>
        <v>3.0701754385964914</v>
      </c>
      <c r="AH312" s="220">
        <f>DM312</f>
        <v>0</v>
      </c>
      <c r="AI312" s="204">
        <f>DO312</f>
        <v>0</v>
      </c>
      <c r="AJ312" s="204">
        <f>GW312</f>
        <v>6.1403508771929828E-2</v>
      </c>
      <c r="AK312" s="204">
        <f>GU312</f>
        <v>0.15663969298245617</v>
      </c>
      <c r="AL312" s="204">
        <f>GS312</f>
        <v>1.3784292982456141</v>
      </c>
      <c r="AM312" s="204">
        <f>HV312</f>
        <v>0.81277777777777782</v>
      </c>
      <c r="AN312" s="204">
        <f>IG312</f>
        <v>0.27777777777777779</v>
      </c>
      <c r="AO312" s="205">
        <v>0</v>
      </c>
      <c r="AP312" s="205"/>
      <c r="AQ312" s="204">
        <f>SUM(AE312:AO312)</f>
        <v>15.218203494152046</v>
      </c>
      <c r="AR312" s="204"/>
      <c r="AS312" s="204"/>
      <c r="AT312" s="205">
        <v>0</v>
      </c>
      <c r="AU312" s="103"/>
      <c r="AV312" s="206">
        <f>AQ312+AT312</f>
        <v>15.218203494152046</v>
      </c>
      <c r="AW312" s="230">
        <v>7.7499999999999999E-2</v>
      </c>
      <c r="AX312" s="122">
        <v>7.4999999999999997E-2</v>
      </c>
      <c r="AY312" s="210">
        <v>0.9</v>
      </c>
      <c r="AZ312" s="230">
        <f>AW312-AX312</f>
        <v>2.5000000000000022E-3</v>
      </c>
      <c r="BA312" s="202">
        <f>AW312*AB312-AZ312*AC312</f>
        <v>9.4610000000000003</v>
      </c>
      <c r="BB312" s="202"/>
      <c r="BC312" s="202"/>
      <c r="BD312" s="202"/>
      <c r="BE312" s="202"/>
      <c r="BF312" s="202"/>
      <c r="BG312" s="202"/>
      <c r="BH312" s="202"/>
      <c r="BI312" s="202"/>
      <c r="BJ312" s="202"/>
      <c r="BK312" s="202"/>
      <c r="BL312" s="202"/>
      <c r="BM312" s="202"/>
      <c r="BN312" s="202"/>
      <c r="BO312" s="202"/>
      <c r="BP312" s="202"/>
      <c r="BQ312" s="202"/>
      <c r="BR312" s="202"/>
      <c r="BS312" s="202"/>
      <c r="BT312" s="202"/>
      <c r="BU312" s="202"/>
      <c r="BV312" s="202"/>
      <c r="BW312" s="202"/>
      <c r="BX312" s="202"/>
      <c r="BY312" s="202"/>
      <c r="BZ312" s="202"/>
      <c r="CA312" s="202"/>
      <c r="CB312" s="202"/>
      <c r="CC312" s="202"/>
      <c r="CD312" s="122"/>
      <c r="CE312" s="122">
        <v>0</v>
      </c>
      <c r="CF312" s="122">
        <v>0</v>
      </c>
      <c r="CG312" s="122">
        <v>0</v>
      </c>
      <c r="CH312" s="122">
        <v>0</v>
      </c>
      <c r="CI312" s="122"/>
      <c r="CJ312" s="122"/>
      <c r="CK312" s="122"/>
      <c r="CL312" s="122"/>
      <c r="CM312" s="122"/>
      <c r="CN312" s="122"/>
      <c r="CO312" s="122"/>
      <c r="CP312" s="122"/>
      <c r="CQ312" s="122"/>
      <c r="CR312" s="122"/>
      <c r="CS312" s="122"/>
      <c r="CT312" s="122"/>
      <c r="CU312" s="122"/>
      <c r="CV312" s="122"/>
      <c r="CW312" s="122"/>
      <c r="CX312" s="122"/>
      <c r="CY312" s="122"/>
      <c r="CZ312" s="122"/>
      <c r="DA312" s="122"/>
      <c r="DB312" s="122"/>
      <c r="DC312" s="122"/>
      <c r="DD312" s="122"/>
      <c r="DE312" s="122"/>
      <c r="DF312" s="122"/>
      <c r="DG312" s="122"/>
      <c r="DH312" s="122"/>
      <c r="DI312" s="122"/>
      <c r="DJ312" s="122"/>
      <c r="DK312" s="122"/>
      <c r="DL312" s="122"/>
      <c r="DM312" s="103">
        <f>CM312+CR312+CW312+DB312+DG312+DL312+CH312</f>
        <v>0</v>
      </c>
      <c r="DN312" s="211">
        <v>0.03</v>
      </c>
      <c r="DO312" s="202">
        <f>DN312*CG312*CF312</f>
        <v>0</v>
      </c>
      <c r="DP312" s="122">
        <f>CG312*CF312</f>
        <v>0</v>
      </c>
      <c r="DQ312" s="122"/>
      <c r="DR312" s="122"/>
      <c r="DS312" s="122"/>
      <c r="DT312" s="122"/>
      <c r="DU312" s="122"/>
      <c r="DV312" s="122"/>
      <c r="DW312" s="122"/>
      <c r="DX312" s="122"/>
      <c r="DY312" s="122"/>
      <c r="DZ312" s="122"/>
      <c r="EA312" s="122"/>
      <c r="EB312" s="122"/>
      <c r="EC312" s="122"/>
      <c r="ED312" s="122"/>
      <c r="EE312" s="122"/>
      <c r="EF312" s="122">
        <v>280</v>
      </c>
      <c r="EG312" s="122">
        <v>2800</v>
      </c>
      <c r="EH312" s="122">
        <v>8</v>
      </c>
      <c r="EI312" s="210">
        <v>0.95</v>
      </c>
      <c r="EJ312" s="122">
        <v>2</v>
      </c>
      <c r="EK312" s="122">
        <v>60</v>
      </c>
      <c r="EL312" s="122">
        <f>ROUND(3600/EK312*EH312*EJ312*EI312,0)</f>
        <v>912</v>
      </c>
      <c r="EM312" s="122"/>
      <c r="EN312" s="122"/>
      <c r="EO312" s="122"/>
      <c r="EP312" s="122"/>
      <c r="EQ312" s="122"/>
      <c r="ER312" s="122"/>
      <c r="ES312" s="122"/>
      <c r="ET312" s="122"/>
      <c r="EU312" s="202">
        <f>EG312/EL312</f>
        <v>3.0701754385964914</v>
      </c>
      <c r="EV312" s="122"/>
      <c r="EW312" s="122"/>
      <c r="EX312" s="122"/>
      <c r="EY312" s="122"/>
      <c r="EZ312" s="122"/>
      <c r="FA312" s="122"/>
      <c r="FB312" s="122"/>
      <c r="FC312" s="122"/>
      <c r="FD312" s="122"/>
      <c r="FE312" s="122"/>
      <c r="FF312" s="122"/>
      <c r="FG312" s="122"/>
      <c r="FH312" s="122"/>
      <c r="FI312" s="122"/>
      <c r="FJ312" s="122"/>
      <c r="FK312" s="122"/>
      <c r="FL312" s="122"/>
      <c r="FM312" s="122"/>
      <c r="FN312" s="122"/>
      <c r="FO312" s="122"/>
      <c r="FP312" s="122"/>
      <c r="FQ312" s="122"/>
      <c r="FR312" s="122"/>
      <c r="FS312" s="122"/>
      <c r="FT312" s="122"/>
      <c r="FU312" s="122"/>
      <c r="FV312" s="122"/>
      <c r="FW312" s="122"/>
      <c r="FX312" s="122"/>
      <c r="FY312" s="122"/>
      <c r="FZ312" s="122"/>
      <c r="GA312" s="122"/>
      <c r="GB312" s="122"/>
      <c r="GC312" s="122"/>
      <c r="GD312" s="122"/>
      <c r="GE312" s="122"/>
      <c r="GF312" s="122"/>
      <c r="GG312" s="122"/>
      <c r="GH312" s="122"/>
      <c r="GI312" s="122"/>
      <c r="GJ312" s="122"/>
      <c r="GK312" s="122"/>
      <c r="GL312" s="122"/>
      <c r="GM312" s="122"/>
      <c r="GN312" s="122"/>
      <c r="GO312" s="122"/>
      <c r="GP312" s="122"/>
      <c r="GQ312" s="122"/>
      <c r="GR312" s="210">
        <v>0.11</v>
      </c>
      <c r="GS312" s="202">
        <f>GR312*(BA312+EU312)</f>
        <v>1.3784292982456141</v>
      </c>
      <c r="GT312" s="211">
        <v>1.2500000000000001E-2</v>
      </c>
      <c r="GU312" s="202">
        <f>GT312*(BA312+EU312)</f>
        <v>0.15663969298245617</v>
      </c>
      <c r="GV312" s="210">
        <v>0.02</v>
      </c>
      <c r="GW312" s="202">
        <f>GV312*EU312</f>
        <v>6.1403508771929828E-2</v>
      </c>
      <c r="GX312" s="202">
        <f>GS312+GU312+GW312</f>
        <v>1.5964725</v>
      </c>
      <c r="GY312" s="122" t="s">
        <v>43</v>
      </c>
      <c r="GZ312" s="122" t="s">
        <v>87</v>
      </c>
      <c r="HA312" s="122">
        <v>650</v>
      </c>
      <c r="HB312" s="122">
        <v>450</v>
      </c>
      <c r="HC312" s="122">
        <v>320</v>
      </c>
      <c r="HD312" s="122">
        <v>30</v>
      </c>
      <c r="HE312" s="122">
        <v>600</v>
      </c>
      <c r="HF312" s="122">
        <f>ROUNDUP(HE312/HD312,0)</f>
        <v>20</v>
      </c>
      <c r="HG312" s="122">
        <v>5</v>
      </c>
      <c r="HH312" s="122">
        <f>HF312*HG312</f>
        <v>100</v>
      </c>
      <c r="HI312" s="122">
        <v>550</v>
      </c>
      <c r="HJ312" s="122">
        <f>HH312*HI312</f>
        <v>55000</v>
      </c>
      <c r="HK312" s="122"/>
      <c r="HL312" s="122"/>
      <c r="HM312" s="122">
        <v>2</v>
      </c>
      <c r="HN312" s="122">
        <f>HM312*12*25*HE312</f>
        <v>360000</v>
      </c>
      <c r="HO312" s="202">
        <f>IF(GY312="carton box",HI312/HD312,HJ312/HN312)</f>
        <v>0.15277777777777779</v>
      </c>
      <c r="HP312" s="203">
        <v>160</v>
      </c>
      <c r="HQ312" s="122">
        <v>0</v>
      </c>
      <c r="HR312" s="122"/>
      <c r="HS312" s="122">
        <v>1</v>
      </c>
      <c r="HT312" s="122">
        <v>0.66</v>
      </c>
      <c r="HU312" s="122"/>
      <c r="HV312" s="202">
        <f>HO312+HT312</f>
        <v>0.81277777777777782</v>
      </c>
      <c r="HW312" s="202"/>
      <c r="HX312" s="122">
        <v>2917</v>
      </c>
      <c r="HY312" s="122">
        <v>1689</v>
      </c>
      <c r="HZ312" s="122">
        <v>1842</v>
      </c>
      <c r="IA312" s="203">
        <f t="shared" ref="IA312:IC314" si="281">ROUNDDOWN(HX312/HA312,0)</f>
        <v>4</v>
      </c>
      <c r="IB312" s="203">
        <f t="shared" si="281"/>
        <v>3</v>
      </c>
      <c r="IC312" s="203">
        <f t="shared" si="281"/>
        <v>5</v>
      </c>
      <c r="ID312" s="210">
        <v>1</v>
      </c>
      <c r="IE312" s="122">
        <f>ROUND(PRODUCT(IA312:ID312),0)</f>
        <v>60</v>
      </c>
      <c r="IF312" s="122">
        <v>500</v>
      </c>
      <c r="IG312" s="203">
        <f>IF312/(IE312*HD312)</f>
        <v>0.27777777777777779</v>
      </c>
      <c r="IH312" s="368"/>
    </row>
    <row r="313" spans="1:302">
      <c r="A313">
        <v>296</v>
      </c>
      <c r="B313" t="s">
        <v>468</v>
      </c>
      <c r="C313" s="122" t="s">
        <v>1214</v>
      </c>
      <c r="D313" s="28" t="s">
        <v>783</v>
      </c>
      <c r="E313" s="27" t="s">
        <v>784</v>
      </c>
      <c r="F313" s="5" t="s">
        <v>2182</v>
      </c>
      <c r="G313" s="27" t="s">
        <v>102</v>
      </c>
      <c r="I313" s="27" t="s">
        <v>121</v>
      </c>
      <c r="J313" s="28">
        <v>21480</v>
      </c>
      <c r="K313" s="27" t="s">
        <v>97</v>
      </c>
      <c r="N313" s="28"/>
      <c r="O313" s="28"/>
      <c r="P313" s="28"/>
      <c r="Q313" s="28"/>
      <c r="R313" s="28"/>
      <c r="S313" s="27"/>
      <c r="T313" s="27"/>
      <c r="U313" s="27"/>
      <c r="W313" s="115"/>
      <c r="X313" s="115"/>
      <c r="Y313" s="115"/>
      <c r="Z313" s="115"/>
      <c r="AA313" s="122" t="s">
        <v>560</v>
      </c>
      <c r="AB313" s="121">
        <v>125.98</v>
      </c>
      <c r="AC313" s="122">
        <f>AB313-5</f>
        <v>120.98</v>
      </c>
      <c r="AD313" s="122"/>
      <c r="AE313" s="219">
        <v>9.4610000000000003</v>
      </c>
      <c r="AF313" s="219"/>
      <c r="AG313" s="219">
        <v>3.0701754385964914</v>
      </c>
      <c r="AH313" s="220">
        <v>0</v>
      </c>
      <c r="AI313" s="204">
        <v>0</v>
      </c>
      <c r="AJ313" s="204">
        <v>6.1403508771929828E-2</v>
      </c>
      <c r="AK313" s="204">
        <v>0.15663969298245617</v>
      </c>
      <c r="AL313" s="204">
        <v>1.3784292982456141</v>
      </c>
      <c r="AM313" s="204">
        <v>0.81277777777777782</v>
      </c>
      <c r="AN313" s="204">
        <v>0.27777777777777779</v>
      </c>
      <c r="AO313" s="205">
        <v>0</v>
      </c>
      <c r="AP313" s="205"/>
      <c r="AQ313" s="204">
        <v>15.218203494152046</v>
      </c>
      <c r="AR313" s="204"/>
      <c r="AS313" s="204"/>
      <c r="AT313" s="205">
        <v>0</v>
      </c>
      <c r="AU313" s="103"/>
      <c r="AV313" s="206">
        <f>AQ313+AT313</f>
        <v>15.218203494152046</v>
      </c>
      <c r="AW313" s="230">
        <v>7.7499999999999999E-2</v>
      </c>
      <c r="AX313" s="122">
        <v>7.4999999999999997E-2</v>
      </c>
      <c r="AY313" s="210">
        <v>0.9</v>
      </c>
      <c r="AZ313" s="230">
        <f>AW313-AX313</f>
        <v>2.5000000000000022E-3</v>
      </c>
      <c r="BA313" s="202">
        <f>AW313*AB313-AZ313*AC313</f>
        <v>9.4610000000000003</v>
      </c>
      <c r="BB313" s="202"/>
      <c r="BC313" s="202"/>
      <c r="BD313" s="202"/>
      <c r="BE313" s="202"/>
      <c r="BF313" s="202"/>
      <c r="BG313" s="202"/>
      <c r="BH313" s="202"/>
      <c r="BI313" s="202"/>
      <c r="BJ313" s="202"/>
      <c r="BK313" s="202"/>
      <c r="BL313" s="202"/>
      <c r="BM313" s="202"/>
      <c r="BN313" s="202"/>
      <c r="BO313" s="202"/>
      <c r="BP313" s="202"/>
      <c r="BQ313" s="202"/>
      <c r="BR313" s="202"/>
      <c r="BS313" s="202"/>
      <c r="BT313" s="202"/>
      <c r="BU313" s="202"/>
      <c r="BV313" s="202"/>
      <c r="BW313" s="202"/>
      <c r="BX313" s="202"/>
      <c r="BY313" s="202"/>
      <c r="BZ313" s="202"/>
      <c r="CA313" s="202"/>
      <c r="CB313" s="202"/>
      <c r="CC313" s="202"/>
      <c r="CD313" s="122"/>
      <c r="CE313" s="122">
        <v>0</v>
      </c>
      <c r="CF313" s="122">
        <v>0</v>
      </c>
      <c r="CG313" s="122">
        <v>0</v>
      </c>
      <c r="CH313" s="122">
        <v>0</v>
      </c>
      <c r="CI313" s="122"/>
      <c r="CJ313" s="122"/>
      <c r="CK313" s="122"/>
      <c r="CL313" s="122"/>
      <c r="CM313" s="122"/>
      <c r="CN313" s="122"/>
      <c r="CO313" s="122"/>
      <c r="CP313" s="122"/>
      <c r="CQ313" s="122"/>
      <c r="CR313" s="122"/>
      <c r="CS313" s="122"/>
      <c r="CT313" s="122"/>
      <c r="CU313" s="122"/>
      <c r="CV313" s="122"/>
      <c r="CW313" s="122"/>
      <c r="CX313" s="122"/>
      <c r="CY313" s="122"/>
      <c r="CZ313" s="122"/>
      <c r="DA313" s="122"/>
      <c r="DB313" s="122"/>
      <c r="DC313" s="122"/>
      <c r="DD313" s="122"/>
      <c r="DE313" s="122"/>
      <c r="DF313" s="122"/>
      <c r="DG313" s="122"/>
      <c r="DH313" s="122"/>
      <c r="DI313" s="122"/>
      <c r="DJ313" s="122"/>
      <c r="DK313" s="122"/>
      <c r="DL313" s="122"/>
      <c r="DM313" s="122">
        <v>0</v>
      </c>
      <c r="DN313" s="211">
        <v>0.03</v>
      </c>
      <c r="DO313" s="202">
        <f>DN313*CG313*CF313</f>
        <v>0</v>
      </c>
      <c r="DP313" s="122">
        <f>CG313*CF313</f>
        <v>0</v>
      </c>
      <c r="DQ313" s="122"/>
      <c r="DR313" s="122"/>
      <c r="DS313" s="122"/>
      <c r="DT313" s="122"/>
      <c r="DU313" s="122"/>
      <c r="DV313" s="122"/>
      <c r="DW313" s="122"/>
      <c r="DX313" s="122"/>
      <c r="DY313" s="122"/>
      <c r="DZ313" s="122"/>
      <c r="EA313" s="122"/>
      <c r="EB313" s="122"/>
      <c r="EC313" s="122"/>
      <c r="ED313" s="122"/>
      <c r="EE313" s="122"/>
      <c r="EF313" s="122">
        <v>280</v>
      </c>
      <c r="EG313" s="122">
        <v>2800</v>
      </c>
      <c r="EH313" s="122">
        <v>8</v>
      </c>
      <c r="EI313" s="210">
        <v>0.95</v>
      </c>
      <c r="EJ313" s="122">
        <v>2</v>
      </c>
      <c r="EK313" s="122">
        <v>60</v>
      </c>
      <c r="EL313" s="122">
        <f>ROUND(3600/EK313*EH313*EJ313*EI313,0)</f>
        <v>912</v>
      </c>
      <c r="EM313" s="122"/>
      <c r="EN313" s="122"/>
      <c r="EO313" s="122"/>
      <c r="EP313" s="122"/>
      <c r="EQ313" s="122"/>
      <c r="ER313" s="122"/>
      <c r="ES313" s="122"/>
      <c r="ET313" s="122"/>
      <c r="EU313" s="202">
        <f>EG313/EL313</f>
        <v>3.0701754385964914</v>
      </c>
      <c r="EV313" s="122"/>
      <c r="EW313" s="122"/>
      <c r="EX313" s="122"/>
      <c r="EY313" s="122"/>
      <c r="EZ313" s="122"/>
      <c r="FA313" s="122"/>
      <c r="FB313" s="122"/>
      <c r="FC313" s="122"/>
      <c r="FD313" s="122"/>
      <c r="FE313" s="122"/>
      <c r="FF313" s="122"/>
      <c r="FG313" s="122"/>
      <c r="FH313" s="122"/>
      <c r="FI313" s="122"/>
      <c r="FJ313" s="122"/>
      <c r="FK313" s="122"/>
      <c r="FL313" s="122"/>
      <c r="FM313" s="122"/>
      <c r="FN313" s="122"/>
      <c r="FO313" s="122"/>
      <c r="FP313" s="122"/>
      <c r="FQ313" s="122"/>
      <c r="FR313" s="122"/>
      <c r="FS313" s="122"/>
      <c r="FT313" s="122"/>
      <c r="FU313" s="122"/>
      <c r="FV313" s="122"/>
      <c r="FW313" s="122"/>
      <c r="FX313" s="122"/>
      <c r="FY313" s="122"/>
      <c r="FZ313" s="122"/>
      <c r="GA313" s="122"/>
      <c r="GB313" s="122"/>
      <c r="GC313" s="122"/>
      <c r="GD313" s="122"/>
      <c r="GE313" s="122"/>
      <c r="GF313" s="122"/>
      <c r="GG313" s="122"/>
      <c r="GH313" s="122"/>
      <c r="GI313" s="122"/>
      <c r="GJ313" s="122"/>
      <c r="GK313" s="122"/>
      <c r="GL313" s="122"/>
      <c r="GM313" s="122"/>
      <c r="GN313" s="122"/>
      <c r="GO313" s="122"/>
      <c r="GP313" s="122"/>
      <c r="GQ313" s="122"/>
      <c r="GR313" s="210">
        <v>0.11</v>
      </c>
      <c r="GS313" s="202">
        <f>GR313*(BA313+EU313)</f>
        <v>1.3784292982456141</v>
      </c>
      <c r="GT313" s="211">
        <v>1.2500000000000001E-2</v>
      </c>
      <c r="GU313" s="202">
        <f>GT313*(BA313+EU313)</f>
        <v>0.15663969298245617</v>
      </c>
      <c r="GV313" s="210">
        <v>0.02</v>
      </c>
      <c r="GW313" s="202">
        <f>GV313*EU313</f>
        <v>6.1403508771929828E-2</v>
      </c>
      <c r="GX313" s="202">
        <f>GS313+GU313+GW313</f>
        <v>1.5964725</v>
      </c>
      <c r="GY313" s="122" t="s">
        <v>43</v>
      </c>
      <c r="GZ313" s="122" t="s">
        <v>87</v>
      </c>
      <c r="HA313" s="122">
        <v>650</v>
      </c>
      <c r="HB313" s="122">
        <v>450</v>
      </c>
      <c r="HC313" s="122">
        <v>320</v>
      </c>
      <c r="HD313" s="122">
        <v>30</v>
      </c>
      <c r="HE313" s="122">
        <v>600</v>
      </c>
      <c r="HF313" s="122">
        <f>ROUNDUP(HE313/HD313,0)</f>
        <v>20</v>
      </c>
      <c r="HG313" s="122">
        <v>5</v>
      </c>
      <c r="HH313" s="122">
        <f>HF313*HG313</f>
        <v>100</v>
      </c>
      <c r="HI313" s="122">
        <v>550</v>
      </c>
      <c r="HJ313" s="122">
        <f>HH313*HI313</f>
        <v>55000</v>
      </c>
      <c r="HK313" s="122"/>
      <c r="HL313" s="122"/>
      <c r="HM313" s="122">
        <v>2</v>
      </c>
      <c r="HN313" s="122">
        <f>HM313*12*25*HE313</f>
        <v>360000</v>
      </c>
      <c r="HO313" s="202">
        <f>IF(GY313="carton box",HI313/HD313,HJ313/HN313)</f>
        <v>0.15277777777777779</v>
      </c>
      <c r="HP313" s="203">
        <v>160</v>
      </c>
      <c r="HQ313" s="122">
        <v>0</v>
      </c>
      <c r="HR313" s="122"/>
      <c r="HS313" s="122">
        <v>1</v>
      </c>
      <c r="HT313" s="122">
        <v>0.66</v>
      </c>
      <c r="HU313" s="122"/>
      <c r="HV313" s="202">
        <f>HO313+HT313</f>
        <v>0.81277777777777782</v>
      </c>
      <c r="HW313" s="202"/>
      <c r="HX313" s="122">
        <v>2917</v>
      </c>
      <c r="HY313" s="122">
        <v>1689</v>
      </c>
      <c r="HZ313" s="122">
        <v>1842</v>
      </c>
      <c r="IA313" s="203">
        <f t="shared" si="281"/>
        <v>4</v>
      </c>
      <c r="IB313" s="203">
        <f t="shared" si="281"/>
        <v>3</v>
      </c>
      <c r="IC313" s="203">
        <f t="shared" si="281"/>
        <v>5</v>
      </c>
      <c r="ID313" s="210">
        <v>1</v>
      </c>
      <c r="IE313" s="122">
        <f>ROUND(PRODUCT(IA313:ID313),0)</f>
        <v>60</v>
      </c>
      <c r="IF313" s="122">
        <v>500</v>
      </c>
      <c r="IG313" s="202">
        <f>IF313/(IE313*HD313)</f>
        <v>0.27777777777777779</v>
      </c>
      <c r="IH313" s="20"/>
    </row>
    <row r="314" spans="1:302" ht="45">
      <c r="A314">
        <v>297</v>
      </c>
      <c r="B314" t="s">
        <v>468</v>
      </c>
      <c r="C314" s="222" t="s">
        <v>1215</v>
      </c>
      <c r="D314" s="28" t="s">
        <v>785</v>
      </c>
      <c r="E314" s="27" t="s">
        <v>786</v>
      </c>
      <c r="F314" s="5" t="s">
        <v>2182</v>
      </c>
      <c r="G314" s="27" t="s">
        <v>102</v>
      </c>
      <c r="I314" s="27" t="s">
        <v>121</v>
      </c>
      <c r="J314" s="28">
        <v>21480</v>
      </c>
      <c r="K314" s="27" t="s">
        <v>97</v>
      </c>
      <c r="N314" s="28"/>
      <c r="O314" s="28"/>
      <c r="P314" s="28"/>
      <c r="Q314" s="28"/>
      <c r="R314" s="28"/>
      <c r="S314" s="27"/>
      <c r="T314" s="27"/>
      <c r="U314" s="27"/>
      <c r="W314" s="218" t="s">
        <v>1216</v>
      </c>
      <c r="X314" s="218"/>
      <c r="Y314" s="218"/>
      <c r="Z314" s="218"/>
      <c r="AA314" s="122" t="s">
        <v>440</v>
      </c>
      <c r="AB314" s="121">
        <v>85.45</v>
      </c>
      <c r="AC314" s="122">
        <v>20</v>
      </c>
      <c r="AD314" s="122"/>
      <c r="AE314" s="219">
        <f>BA314</f>
        <v>3.4888999999999997</v>
      </c>
      <c r="AF314" s="219"/>
      <c r="AG314" s="219">
        <f>EU314+EM314+EV314+EX314</f>
        <v>1.7110266159695817</v>
      </c>
      <c r="AH314" s="220">
        <f>DM314</f>
        <v>0</v>
      </c>
      <c r="AI314" s="204">
        <f>DO314</f>
        <v>0</v>
      </c>
      <c r="AJ314" s="204">
        <f>GW314</f>
        <v>3.4220532319391636E-2</v>
      </c>
      <c r="AK314" s="204">
        <f>GU314</f>
        <v>6.4999082699619778E-2</v>
      </c>
      <c r="AL314" s="204">
        <f>GS314</f>
        <v>0.57199192775665397</v>
      </c>
      <c r="AM314" s="204">
        <f>HV314</f>
        <v>0.54638888888888881</v>
      </c>
      <c r="AN314" s="204">
        <f>IG314</f>
        <v>0.1388888888888889</v>
      </c>
      <c r="AO314" s="205">
        <v>0</v>
      </c>
      <c r="AP314" s="205"/>
      <c r="AQ314" s="204">
        <f>SUM(AE314:AO314)</f>
        <v>6.5564159365230257</v>
      </c>
      <c r="AR314" s="204"/>
      <c r="AS314" s="204"/>
      <c r="AT314" s="205">
        <v>0</v>
      </c>
      <c r="AU314" s="103">
        <v>0.47</v>
      </c>
      <c r="AV314" s="206">
        <f>AQ314+AT314+AU314</f>
        <v>7.0264159365230254</v>
      </c>
      <c r="AW314" s="122">
        <v>4.1999999999999996E-2</v>
      </c>
      <c r="AX314" s="122">
        <v>3.6999999999999998E-2</v>
      </c>
      <c r="AY314" s="210">
        <v>1</v>
      </c>
      <c r="AZ314" s="122">
        <f>AW314-AX314</f>
        <v>4.9999999999999975E-3</v>
      </c>
      <c r="BA314" s="202">
        <f>AW314*AB314-AZ314*AC314</f>
        <v>3.4888999999999997</v>
      </c>
      <c r="BB314" s="202"/>
      <c r="BC314" s="202"/>
      <c r="BD314" s="202"/>
      <c r="BE314" s="202"/>
      <c r="BF314" s="202"/>
      <c r="BG314" s="202"/>
      <c r="BH314" s="202"/>
      <c r="BI314" s="202"/>
      <c r="BJ314" s="202"/>
      <c r="BK314" s="202"/>
      <c r="BL314" s="202"/>
      <c r="BM314" s="202"/>
      <c r="BN314" s="202"/>
      <c r="BO314" s="202"/>
      <c r="BP314" s="202"/>
      <c r="BQ314" s="202"/>
      <c r="BR314" s="202"/>
      <c r="BS314" s="202"/>
      <c r="BT314" s="202"/>
      <c r="BU314" s="202"/>
      <c r="BV314" s="202"/>
      <c r="BW314" s="202"/>
      <c r="BX314" s="202"/>
      <c r="BY314" s="202"/>
      <c r="BZ314" s="202"/>
      <c r="CA314" s="202"/>
      <c r="CB314" s="202"/>
      <c r="CC314" s="202"/>
      <c r="CD314" s="122"/>
      <c r="CE314" s="122">
        <v>0</v>
      </c>
      <c r="CF314" s="122">
        <v>0</v>
      </c>
      <c r="CG314" s="122">
        <v>0</v>
      </c>
      <c r="CH314" s="122">
        <v>0</v>
      </c>
      <c r="CI314" s="122"/>
      <c r="CJ314" s="122"/>
      <c r="CK314" s="122"/>
      <c r="CL314" s="122"/>
      <c r="CM314" s="122"/>
      <c r="CN314" s="122"/>
      <c r="CO314" s="122"/>
      <c r="CP314" s="122"/>
      <c r="CQ314" s="122"/>
      <c r="CR314" s="122"/>
      <c r="CS314" s="122"/>
      <c r="CT314" s="122"/>
      <c r="CU314" s="122"/>
      <c r="CV314" s="122"/>
      <c r="CW314" s="122"/>
      <c r="CX314" s="122"/>
      <c r="CY314" s="122"/>
      <c r="CZ314" s="122"/>
      <c r="DA314" s="122"/>
      <c r="DB314" s="122"/>
      <c r="DC314" s="122"/>
      <c r="DD314" s="122"/>
      <c r="DE314" s="122"/>
      <c r="DF314" s="122"/>
      <c r="DG314" s="122"/>
      <c r="DH314" s="122"/>
      <c r="DI314" s="122"/>
      <c r="DJ314" s="122"/>
      <c r="DK314" s="122"/>
      <c r="DL314" s="122"/>
      <c r="DM314" s="122">
        <v>0</v>
      </c>
      <c r="DN314" s="211">
        <v>0.03</v>
      </c>
      <c r="DO314" s="202">
        <f>DN314*CG314*CF314</f>
        <v>0</v>
      </c>
      <c r="DP314" s="122">
        <f>CG314*CF314</f>
        <v>0</v>
      </c>
      <c r="DQ314" s="122"/>
      <c r="DR314" s="122"/>
      <c r="DS314" s="122"/>
      <c r="DT314" s="122"/>
      <c r="DU314" s="122"/>
      <c r="DV314" s="122"/>
      <c r="DW314" s="122"/>
      <c r="DX314" s="122"/>
      <c r="DY314" s="122"/>
      <c r="DZ314" s="122"/>
      <c r="EA314" s="122"/>
      <c r="EB314" s="122"/>
      <c r="EC314" s="122"/>
      <c r="ED314" s="122"/>
      <c r="EE314" s="122"/>
      <c r="EF314" s="122">
        <v>180</v>
      </c>
      <c r="EG314" s="122">
        <v>1800</v>
      </c>
      <c r="EH314" s="122">
        <v>8</v>
      </c>
      <c r="EI314" s="231">
        <v>0.95</v>
      </c>
      <c r="EJ314" s="122">
        <v>2</v>
      </c>
      <c r="EK314" s="122">
        <v>52</v>
      </c>
      <c r="EL314" s="122">
        <f>ROUND(3600/EK314*EH314*EJ314*EI314,0)</f>
        <v>1052</v>
      </c>
      <c r="EM314" s="122"/>
      <c r="EN314" s="122"/>
      <c r="EO314" s="122"/>
      <c r="EP314" s="122"/>
      <c r="EQ314" s="122"/>
      <c r="ER314" s="122"/>
      <c r="ES314" s="122"/>
      <c r="ET314" s="122"/>
      <c r="EU314" s="202">
        <f>EG314/EL314</f>
        <v>1.7110266159695817</v>
      </c>
      <c r="EV314" s="122"/>
      <c r="EW314" s="122"/>
      <c r="EX314" s="122"/>
      <c r="EY314" s="122"/>
      <c r="EZ314" s="122"/>
      <c r="FA314" s="122"/>
      <c r="FB314" s="122"/>
      <c r="FC314" s="122"/>
      <c r="FD314" s="122"/>
      <c r="FE314" s="122"/>
      <c r="FF314" s="122"/>
      <c r="FG314" s="122"/>
      <c r="FH314" s="122"/>
      <c r="FI314" s="122"/>
      <c r="FJ314" s="122"/>
      <c r="FK314" s="122"/>
      <c r="FL314" s="122"/>
      <c r="FM314" s="122"/>
      <c r="FN314" s="122"/>
      <c r="FO314" s="122"/>
      <c r="FP314" s="122"/>
      <c r="FQ314" s="122"/>
      <c r="FR314" s="122"/>
      <c r="FS314" s="122"/>
      <c r="FT314" s="122"/>
      <c r="FU314" s="122"/>
      <c r="FV314" s="122"/>
      <c r="FW314" s="122"/>
      <c r="FX314" s="122"/>
      <c r="FY314" s="122"/>
      <c r="FZ314" s="122"/>
      <c r="GA314" s="122"/>
      <c r="GB314" s="122"/>
      <c r="GC314" s="122"/>
      <c r="GD314" s="122"/>
      <c r="GE314" s="122"/>
      <c r="GF314" s="122"/>
      <c r="GG314" s="122"/>
      <c r="GH314" s="122"/>
      <c r="GI314" s="122"/>
      <c r="GJ314" s="122"/>
      <c r="GK314" s="122"/>
      <c r="GL314" s="122"/>
      <c r="GM314" s="122"/>
      <c r="GN314" s="122"/>
      <c r="GO314" s="122"/>
      <c r="GP314" s="122"/>
      <c r="GQ314" s="122"/>
      <c r="GR314" s="210">
        <v>0.11</v>
      </c>
      <c r="GS314" s="202">
        <f>GR314*(BA314+EU314)</f>
        <v>0.57199192775665397</v>
      </c>
      <c r="GT314" s="211">
        <v>1.2500000000000001E-2</v>
      </c>
      <c r="GU314" s="202">
        <f>GT314*(BA314+EU314)</f>
        <v>6.4999082699619778E-2</v>
      </c>
      <c r="GV314" s="210">
        <v>0.02</v>
      </c>
      <c r="GW314" s="202">
        <f>GV314*EU314</f>
        <v>3.4220532319391636E-2</v>
      </c>
      <c r="GX314" s="202">
        <f>GS314+GU314+GW314</f>
        <v>0.6712115427756653</v>
      </c>
      <c r="GY314" s="122" t="s">
        <v>43</v>
      </c>
      <c r="GZ314" s="122" t="s">
        <v>87</v>
      </c>
      <c r="HA314" s="122">
        <v>650</v>
      </c>
      <c r="HB314" s="122">
        <v>450</v>
      </c>
      <c r="HC314" s="122">
        <v>320</v>
      </c>
      <c r="HD314" s="122">
        <v>60</v>
      </c>
      <c r="HE314" s="122">
        <v>600</v>
      </c>
      <c r="HF314" s="122">
        <f>ROUNDUP(HE314/HD314,0)</f>
        <v>10</v>
      </c>
      <c r="HG314" s="122">
        <v>5</v>
      </c>
      <c r="HH314" s="122">
        <f>HF314*HG314</f>
        <v>50</v>
      </c>
      <c r="HI314" s="122">
        <v>550</v>
      </c>
      <c r="HJ314" s="122">
        <f>HH314*HI314</f>
        <v>27500</v>
      </c>
      <c r="HK314" s="122"/>
      <c r="HL314" s="122"/>
      <c r="HM314" s="122">
        <v>2</v>
      </c>
      <c r="HN314" s="122">
        <f>HM314*12*25*HE314</f>
        <v>360000</v>
      </c>
      <c r="HO314" s="202">
        <f>IF(GY314="carton box",HI314/HD314,HJ314/HN314)</f>
        <v>7.6388888888888895E-2</v>
      </c>
      <c r="HP314" s="203">
        <v>160</v>
      </c>
      <c r="HQ314" s="122">
        <v>0</v>
      </c>
      <c r="HR314" s="122">
        <v>0</v>
      </c>
      <c r="HS314" s="122">
        <v>1</v>
      </c>
      <c r="HT314" s="122">
        <v>0.47</v>
      </c>
      <c r="HU314" s="122"/>
      <c r="HV314" s="202">
        <f>HO314+HT314</f>
        <v>0.54638888888888881</v>
      </c>
      <c r="HW314" s="202"/>
      <c r="HX314" s="122">
        <v>2917</v>
      </c>
      <c r="HY314" s="122">
        <v>1689</v>
      </c>
      <c r="HZ314" s="122">
        <v>1842</v>
      </c>
      <c r="IA314" s="203">
        <f t="shared" si="281"/>
        <v>4</v>
      </c>
      <c r="IB314" s="203">
        <f t="shared" si="281"/>
        <v>3</v>
      </c>
      <c r="IC314" s="203">
        <f t="shared" si="281"/>
        <v>5</v>
      </c>
      <c r="ID314" s="210">
        <v>1</v>
      </c>
      <c r="IE314" s="122">
        <f>ROUND(PRODUCT(IA314:ID314),0)</f>
        <v>60</v>
      </c>
      <c r="IF314" s="122">
        <v>500</v>
      </c>
      <c r="IG314" s="202">
        <f>IF314/(IE314*HD314)</f>
        <v>0.1388888888888889</v>
      </c>
      <c r="IH314" s="20"/>
    </row>
    <row r="315" spans="1:302" ht="15.75" thickBot="1">
      <c r="A315">
        <v>298</v>
      </c>
      <c r="B315" t="s">
        <v>468</v>
      </c>
      <c r="C315" s="233" t="s">
        <v>567</v>
      </c>
      <c r="D315" s="28" t="s">
        <v>785</v>
      </c>
      <c r="E315" s="27" t="s">
        <v>786</v>
      </c>
      <c r="F315" s="27"/>
      <c r="G315" s="27" t="s">
        <v>102</v>
      </c>
      <c r="I315" s="27" t="s">
        <v>226</v>
      </c>
      <c r="J315" s="28">
        <v>21480</v>
      </c>
      <c r="K315" s="27" t="s">
        <v>97</v>
      </c>
      <c r="N315" s="28" t="s">
        <v>1835</v>
      </c>
      <c r="O315" s="28" t="s">
        <v>1943</v>
      </c>
      <c r="P315" s="331">
        <v>45266</v>
      </c>
      <c r="Q315" s="28"/>
      <c r="R315" s="28"/>
      <c r="S315" s="27"/>
      <c r="T315" s="27"/>
      <c r="U315" s="27"/>
      <c r="W315" s="13" t="s">
        <v>1217</v>
      </c>
    </row>
    <row r="316" spans="1:302" ht="15.75" thickBot="1">
      <c r="A316">
        <v>299</v>
      </c>
      <c r="C316" s="234"/>
      <c r="D316" s="28" t="s">
        <v>787</v>
      </c>
      <c r="E316" s="27" t="s">
        <v>788</v>
      </c>
      <c r="F316" s="27"/>
      <c r="G316" s="27" t="s">
        <v>102</v>
      </c>
      <c r="I316" s="27" t="s">
        <v>121</v>
      </c>
      <c r="J316" s="28">
        <v>21480</v>
      </c>
      <c r="K316" s="27" t="s">
        <v>97</v>
      </c>
      <c r="N316" s="28"/>
      <c r="O316" s="28"/>
      <c r="P316" s="28"/>
      <c r="Q316" s="28"/>
      <c r="R316" s="28"/>
      <c r="S316" s="27"/>
      <c r="T316" s="27"/>
      <c r="U316" s="27"/>
    </row>
    <row r="317" spans="1:302">
      <c r="A317">
        <v>300</v>
      </c>
      <c r="D317" s="28" t="s">
        <v>787</v>
      </c>
      <c r="E317" s="27" t="s">
        <v>788</v>
      </c>
      <c r="F317" s="27"/>
      <c r="G317" s="27" t="s">
        <v>102</v>
      </c>
      <c r="I317" s="27" t="s">
        <v>226</v>
      </c>
      <c r="J317" s="28">
        <v>21480</v>
      </c>
      <c r="K317" s="27" t="s">
        <v>97</v>
      </c>
      <c r="N317" s="28"/>
      <c r="O317" s="28"/>
      <c r="P317" s="28"/>
      <c r="Q317" s="28"/>
      <c r="R317" s="28"/>
      <c r="S317" s="27"/>
      <c r="T317" s="27"/>
      <c r="U317" s="27"/>
    </row>
    <row r="318" spans="1:302">
      <c r="A318">
        <v>301</v>
      </c>
      <c r="B318" t="s">
        <v>468</v>
      </c>
      <c r="C318" t="s">
        <v>1118</v>
      </c>
      <c r="D318" s="28" t="s">
        <v>789</v>
      </c>
      <c r="E318" s="27" t="s">
        <v>688</v>
      </c>
      <c r="F318" s="5" t="s">
        <v>2182</v>
      </c>
      <c r="G318" s="27" t="s">
        <v>108</v>
      </c>
      <c r="I318" s="27" t="s">
        <v>121</v>
      </c>
      <c r="J318" s="28">
        <v>21480</v>
      </c>
      <c r="K318" s="27" t="s">
        <v>97</v>
      </c>
      <c r="N318" s="28"/>
      <c r="O318" s="28"/>
      <c r="P318" s="28"/>
      <c r="Q318" s="28"/>
      <c r="R318" s="28"/>
      <c r="S318" s="27"/>
      <c r="T318" s="27"/>
      <c r="U318" s="27"/>
      <c r="AA318" s="180" t="s">
        <v>440</v>
      </c>
      <c r="AB318" s="66">
        <v>118.8</v>
      </c>
      <c r="AC318" s="59">
        <v>20</v>
      </c>
      <c r="AD318"/>
      <c r="AE318" s="42">
        <f t="shared" ref="AE318:AE328" si="282">BA318</f>
        <v>34.541820000000001</v>
      </c>
      <c r="AF318" s="42">
        <f>DT318</f>
        <v>0</v>
      </c>
      <c r="AG318" s="42">
        <f t="shared" ref="AG318:AG328" si="283">EU318+FA318</f>
        <v>9.0543259557344058</v>
      </c>
      <c r="AH318" s="42">
        <f t="shared" ref="AH318:AH328" si="284">DM318</f>
        <v>0.2</v>
      </c>
      <c r="AI318" s="42">
        <f t="shared" ref="AI318:AI328" si="285">DO318</f>
        <v>0</v>
      </c>
      <c r="AJ318" s="42">
        <f t="shared" ref="AJ318:AJ328" si="286">GW318</f>
        <v>0.18108651911468812</v>
      </c>
      <c r="AK318" s="42">
        <f t="shared" ref="AK318:AK328" si="287">GU318</f>
        <v>0.54495182444668011</v>
      </c>
      <c r="AL318" s="42">
        <f t="shared" ref="AL318:AL328" si="288">GS318</f>
        <v>4.7955760551307849</v>
      </c>
      <c r="AM318" s="42">
        <f t="shared" ref="AM318:AM328" si="289">HV318</f>
        <v>0.45833333333333331</v>
      </c>
      <c r="AN318" s="42">
        <f t="shared" ref="AN318:AN328" si="290">IG318</f>
        <v>0.83333333333333337</v>
      </c>
      <c r="AP318" s="42">
        <f>EZ318</f>
        <v>0</v>
      </c>
      <c r="AQ318" s="42">
        <f>SUM(AE318:AP318)</f>
        <v>50.609427021093232</v>
      </c>
      <c r="AT318" s="6">
        <f>50.21-50.61</f>
        <v>-0.39999999999999858</v>
      </c>
      <c r="AU318" s="60"/>
      <c r="AV318" s="42">
        <f>AQ318+AU318+AT318</f>
        <v>50.209427021093234</v>
      </c>
      <c r="AW318" s="14">
        <v>0.30264999999999997</v>
      </c>
      <c r="AX318">
        <v>0.23200000000000001</v>
      </c>
      <c r="AY318" s="8">
        <v>1</v>
      </c>
      <c r="AZ318" s="59">
        <f t="shared" ref="AZ318:AZ328" si="291">AW318-AX318</f>
        <v>7.0649999999999963E-2</v>
      </c>
      <c r="BA318" s="62">
        <f t="shared" ref="BA318:BA328" si="292">AW318*AB318-(AZ318*AC318)*AY318</f>
        <v>34.541820000000001</v>
      </c>
      <c r="BB318" s="62"/>
      <c r="BC318" s="62"/>
      <c r="BD318" s="62"/>
      <c r="BE318" s="62"/>
      <c r="BF318" s="62"/>
      <c r="BG318" s="62"/>
      <c r="BH318" s="62"/>
      <c r="BI318" s="62"/>
      <c r="BJ318" s="62"/>
      <c r="BK318" s="62"/>
      <c r="BL318" s="62"/>
      <c r="BM318" s="62"/>
      <c r="BN318" s="62"/>
      <c r="BO318" s="62"/>
      <c r="BP318" s="62"/>
      <c r="BQ318" s="62"/>
      <c r="BR318" s="62"/>
      <c r="BS318" s="62"/>
      <c r="BT318" s="62"/>
      <c r="BU318" s="62"/>
      <c r="BV318" s="62"/>
      <c r="BW318" s="62"/>
      <c r="BX318" s="62"/>
      <c r="BY318" s="62"/>
      <c r="BZ318" s="62"/>
      <c r="CA318" s="62"/>
      <c r="CB318" s="62"/>
      <c r="CC318" s="62"/>
      <c r="CD318">
        <v>0</v>
      </c>
      <c r="CE318" s="62">
        <v>0</v>
      </c>
      <c r="CF318" s="62">
        <v>1</v>
      </c>
      <c r="CG318" s="62">
        <v>0.2</v>
      </c>
      <c r="CH318" s="62">
        <f>CF318*CG318</f>
        <v>0.2</v>
      </c>
      <c r="DM318" s="62">
        <f t="shared" ref="DM318:DM328" si="293">CH318+CM318+CR318+CW318+DB318+DG318+DK318</f>
        <v>0.2</v>
      </c>
      <c r="DN318" s="179">
        <v>0.03</v>
      </c>
      <c r="DO318" s="62">
        <v>0</v>
      </c>
      <c r="DP318" s="62">
        <f t="shared" ref="DP318:DP328" si="294">DM318+DO318</f>
        <v>0.2</v>
      </c>
      <c r="EF318">
        <v>450</v>
      </c>
      <c r="EG318" s="62">
        <v>4500</v>
      </c>
      <c r="EH318" s="62">
        <v>8</v>
      </c>
      <c r="EI318" s="61">
        <v>0.95</v>
      </c>
      <c r="EJ318" s="65">
        <v>1</v>
      </c>
      <c r="EK318" s="65">
        <v>55</v>
      </c>
      <c r="EL318" s="65">
        <f t="shared" ref="EL318:EL328" si="295">ROUND(3600/EK318*EH318*EJ318*EI318,0)</f>
        <v>497</v>
      </c>
      <c r="EU318" s="62">
        <f t="shared" ref="EU318:EU328" si="296">EG318/EL318</f>
        <v>9.0543259557344058</v>
      </c>
      <c r="GR318" s="8">
        <v>0.11</v>
      </c>
      <c r="GS318" s="62">
        <f t="shared" ref="GS318:GS328" si="297">GR318*(BA318+EU318)</f>
        <v>4.7955760551307849</v>
      </c>
      <c r="GT318" s="64">
        <v>1.2500000000000001E-2</v>
      </c>
      <c r="GU318" s="62">
        <f t="shared" ref="GU318:GU328" si="298">GT318*(BA318+EU318)</f>
        <v>0.54495182444668011</v>
      </c>
      <c r="GV318" s="61">
        <v>0.02</v>
      </c>
      <c r="GW318" s="62">
        <f t="shared" ref="GW318:GW328" si="299">GV318*EU318</f>
        <v>0.18108651911468812</v>
      </c>
      <c r="GX318" s="62">
        <f t="shared" ref="GX318:GX328" si="300">GS318+GU318+GW318</f>
        <v>5.5216143986921526</v>
      </c>
      <c r="GY318" s="62" t="s">
        <v>43</v>
      </c>
      <c r="GZ318" s="62" t="s">
        <v>551</v>
      </c>
      <c r="HA318">
        <v>650</v>
      </c>
      <c r="HB318">
        <v>450</v>
      </c>
      <c r="HC318" s="59">
        <v>320</v>
      </c>
      <c r="HD318" s="59">
        <v>10</v>
      </c>
      <c r="HE318" s="59">
        <v>600</v>
      </c>
      <c r="HF318" s="62">
        <f t="shared" ref="HF318:HF328" si="301">ROUNDUP(HE318/HD318,0)</f>
        <v>60</v>
      </c>
      <c r="HG318" s="59">
        <v>5</v>
      </c>
      <c r="HH318" s="62">
        <f t="shared" ref="HH318:HH328" si="302">HF318*HG318</f>
        <v>300</v>
      </c>
      <c r="HI318" s="59">
        <v>550</v>
      </c>
      <c r="HJ318" s="62">
        <f t="shared" ref="HJ318:HJ328" si="303">HH318*HI318</f>
        <v>165000</v>
      </c>
      <c r="HM318" s="59">
        <v>2</v>
      </c>
      <c r="HN318" s="62">
        <f t="shared" ref="HN318:HN328" si="304">HM318*12*25*HE318</f>
        <v>360000</v>
      </c>
      <c r="HO318" s="62">
        <f t="shared" ref="HO318:HO328" si="305">IF(GY318="carton box",HI318/HD318,HJ318/HN318)</f>
        <v>0.45833333333333331</v>
      </c>
      <c r="HP318" s="59">
        <v>160</v>
      </c>
      <c r="HQ318" s="59">
        <v>0</v>
      </c>
      <c r="HR318" s="59">
        <v>0</v>
      </c>
      <c r="HS318" s="59">
        <v>0</v>
      </c>
      <c r="HT318" s="62">
        <v>0</v>
      </c>
      <c r="HU318" s="62"/>
      <c r="HV318" s="62">
        <f t="shared" ref="HV318:HV325" si="306">HO318+HT318</f>
        <v>0.45833333333333331</v>
      </c>
      <c r="HW318" s="62"/>
      <c r="HX318" s="59">
        <v>2917</v>
      </c>
      <c r="HY318" s="59">
        <v>1689</v>
      </c>
      <c r="HZ318" s="59">
        <v>1842</v>
      </c>
      <c r="IA318" s="62">
        <f t="shared" ref="IA318:IA328" si="307">ROUNDDOWN(HX318/HA318,0)</f>
        <v>4</v>
      </c>
      <c r="IB318" s="62">
        <f t="shared" ref="IB318:IB328" si="308">ROUNDDOWN(HY318/HB318,0)</f>
        <v>3</v>
      </c>
      <c r="IC318" s="62">
        <f t="shared" ref="IC318:IC328" si="309">ROUNDDOWN(HZ318/HC318,0)</f>
        <v>5</v>
      </c>
      <c r="ID318" s="8">
        <v>1</v>
      </c>
      <c r="IE318" s="62">
        <f t="shared" ref="IE318:IE328" si="310">PRODUCT(IA318:ID318)</f>
        <v>60</v>
      </c>
      <c r="IF318" s="59">
        <v>500</v>
      </c>
      <c r="IG318" s="62">
        <f t="shared" ref="IG318:IG328" si="311">IF318/(IE318*HD318)</f>
        <v>0.83333333333333337</v>
      </c>
      <c r="IH318" s="62"/>
    </row>
    <row r="319" spans="1:302">
      <c r="A319">
        <v>302</v>
      </c>
      <c r="B319" t="s">
        <v>468</v>
      </c>
      <c r="C319" s="59" t="s">
        <v>1119</v>
      </c>
      <c r="D319" s="28" t="s">
        <v>790</v>
      </c>
      <c r="E319" s="27" t="s">
        <v>170</v>
      </c>
      <c r="F319" s="5" t="s">
        <v>2182</v>
      </c>
      <c r="G319" s="27" t="s">
        <v>108</v>
      </c>
      <c r="I319" s="27" t="s">
        <v>121</v>
      </c>
      <c r="J319" s="28">
        <v>21480</v>
      </c>
      <c r="K319" s="27" t="s">
        <v>97</v>
      </c>
      <c r="N319" s="28"/>
      <c r="O319" s="28"/>
      <c r="P319" s="28"/>
      <c r="Q319" s="28"/>
      <c r="R319" s="28"/>
      <c r="S319" s="27"/>
      <c r="T319" s="27"/>
      <c r="U319" s="27"/>
      <c r="W319" s="59"/>
      <c r="X319" s="59"/>
      <c r="Y319" s="59"/>
      <c r="Z319" s="59"/>
      <c r="AA319" s="59" t="s">
        <v>440</v>
      </c>
      <c r="AB319" s="63">
        <v>85.45</v>
      </c>
      <c r="AC319" s="59">
        <v>20</v>
      </c>
      <c r="AD319" s="59"/>
      <c r="AE319" s="42">
        <f t="shared" si="282"/>
        <v>5.3688000000000002</v>
      </c>
      <c r="AF319" s="42"/>
      <c r="AG319" s="42">
        <f t="shared" si="283"/>
        <v>3.5175879396984926</v>
      </c>
      <c r="AH319" s="42">
        <f t="shared" si="284"/>
        <v>0</v>
      </c>
      <c r="AI319" s="42">
        <f t="shared" si="285"/>
        <v>0</v>
      </c>
      <c r="AJ319" s="42">
        <f t="shared" si="286"/>
        <v>7.0351758793969849E-2</v>
      </c>
      <c r="AK319" s="42">
        <f t="shared" si="287"/>
        <v>0.11107984924623115</v>
      </c>
      <c r="AL319" s="42">
        <f t="shared" si="288"/>
        <v>0.97750267336683416</v>
      </c>
      <c r="AM319" s="42">
        <f t="shared" si="289"/>
        <v>0.50277777777777777</v>
      </c>
      <c r="AN319" s="42">
        <f t="shared" si="290"/>
        <v>0.27777777777777779</v>
      </c>
      <c r="AO319" s="60"/>
      <c r="AP319" s="60"/>
      <c r="AQ319" s="42">
        <f>SUM(AE319:AO319)</f>
        <v>10.825877776661084</v>
      </c>
      <c r="AR319" s="42"/>
      <c r="AS319" s="42"/>
      <c r="AT319" s="62"/>
      <c r="AU319" s="42"/>
      <c r="AV319" s="42">
        <f>AQ319+AU319</f>
        <v>10.825877776661084</v>
      </c>
      <c r="AW319" s="59">
        <v>6.4000000000000001E-2</v>
      </c>
      <c r="AX319" s="59">
        <v>5.8999999999999997E-2</v>
      </c>
      <c r="AY319" s="61">
        <v>1</v>
      </c>
      <c r="AZ319" s="59">
        <f t="shared" si="291"/>
        <v>5.0000000000000044E-3</v>
      </c>
      <c r="BA319" s="62">
        <f t="shared" si="292"/>
        <v>5.3688000000000002</v>
      </c>
      <c r="BB319" s="62"/>
      <c r="BC319" s="62"/>
      <c r="BD319" s="62"/>
      <c r="BE319" s="62"/>
      <c r="BF319" s="62"/>
      <c r="BG319" s="62"/>
      <c r="BH319" s="62"/>
      <c r="BI319" s="62"/>
      <c r="BJ319" s="62"/>
      <c r="BK319" s="62"/>
      <c r="BL319" s="62"/>
      <c r="BM319" s="62"/>
      <c r="BN319" s="62"/>
      <c r="BO319" s="62"/>
      <c r="BP319" s="62"/>
      <c r="BQ319" s="62"/>
      <c r="BR319" s="62"/>
      <c r="BS319" s="62"/>
      <c r="BT319" s="62"/>
      <c r="BU319" s="62"/>
      <c r="BV319" s="62"/>
      <c r="BW319" s="62"/>
      <c r="BX319" s="62"/>
      <c r="BY319" s="62"/>
      <c r="BZ319" s="62"/>
      <c r="CA319" s="62"/>
      <c r="CB319" s="62"/>
      <c r="CC319" s="62"/>
      <c r="CD319" s="62"/>
      <c r="CE319" s="62">
        <v>0</v>
      </c>
      <c r="CF319" s="62">
        <v>0</v>
      </c>
      <c r="CG319" s="62">
        <v>0</v>
      </c>
      <c r="CH319" s="62">
        <f>CF319*CG319</f>
        <v>0</v>
      </c>
      <c r="CI319" s="62"/>
      <c r="CJ319" s="62"/>
      <c r="CK319" s="62"/>
      <c r="CL319" s="62"/>
      <c r="CM319" s="62"/>
      <c r="CN319" s="62"/>
      <c r="CO319" s="62"/>
      <c r="CP319" s="62"/>
      <c r="CQ319" s="62"/>
      <c r="CR319" s="62"/>
      <c r="CS319" s="62"/>
      <c r="CT319" s="62"/>
      <c r="CU319" s="62"/>
      <c r="CV319" s="62"/>
      <c r="CW319" s="62"/>
      <c r="CX319" s="62"/>
      <c r="CY319" s="62"/>
      <c r="CZ319" s="62"/>
      <c r="DA319" s="62"/>
      <c r="DB319" s="62"/>
      <c r="DC319" s="62"/>
      <c r="DD319" s="62"/>
      <c r="DE319" s="62"/>
      <c r="DF319" s="62"/>
      <c r="DG319" s="62"/>
      <c r="DH319" s="62"/>
      <c r="DI319" s="62"/>
      <c r="DJ319" s="62"/>
      <c r="DK319" s="62"/>
      <c r="DL319" s="62"/>
      <c r="DM319" s="62">
        <f t="shared" si="293"/>
        <v>0</v>
      </c>
      <c r="DN319" s="179">
        <v>1.2500000000000001E-2</v>
      </c>
      <c r="DO319" s="62">
        <v>0</v>
      </c>
      <c r="DP319" s="62">
        <f t="shared" si="294"/>
        <v>0</v>
      </c>
      <c r="DQ319" s="62"/>
      <c r="DR319" s="62"/>
      <c r="DS319" s="62"/>
      <c r="DT319" s="62"/>
      <c r="DU319" s="62"/>
      <c r="DV319" s="62"/>
      <c r="DW319" s="62"/>
      <c r="DX319" s="62"/>
      <c r="DY319" s="62"/>
      <c r="DZ319" s="62"/>
      <c r="EA319" s="62"/>
      <c r="EB319" s="62"/>
      <c r="EC319" s="62"/>
      <c r="ED319" s="62"/>
      <c r="EE319" s="62"/>
      <c r="EF319" s="62">
        <v>350</v>
      </c>
      <c r="EG319" s="62">
        <v>3500</v>
      </c>
      <c r="EH319" s="62">
        <v>8</v>
      </c>
      <c r="EI319" s="78">
        <v>0.95</v>
      </c>
      <c r="EJ319" s="65">
        <v>2</v>
      </c>
      <c r="EK319" s="65">
        <v>55</v>
      </c>
      <c r="EL319" s="65">
        <f t="shared" si="295"/>
        <v>995</v>
      </c>
      <c r="EM319" s="65"/>
      <c r="EN319" s="65"/>
      <c r="EO319" s="65"/>
      <c r="EP319" s="65"/>
      <c r="EQ319" s="65"/>
      <c r="ER319" s="65"/>
      <c r="ES319" s="65"/>
      <c r="ET319" s="65"/>
      <c r="EU319" s="62">
        <f t="shared" si="296"/>
        <v>3.5175879396984926</v>
      </c>
      <c r="EV319" s="62"/>
      <c r="EW319" s="62"/>
      <c r="EX319" s="59"/>
      <c r="EY319" s="59"/>
      <c r="EZ319" s="59"/>
      <c r="FA319" s="59"/>
      <c r="FB319" s="59"/>
      <c r="FC319" s="59"/>
      <c r="FD319" s="59"/>
      <c r="FE319" s="59"/>
      <c r="FF319" s="59"/>
      <c r="FG319" s="59"/>
      <c r="FH319" s="59"/>
      <c r="FI319" s="59"/>
      <c r="FJ319" s="59"/>
      <c r="FK319" s="59"/>
      <c r="FL319" s="59"/>
      <c r="FM319" s="59"/>
      <c r="FN319" s="59"/>
      <c r="FO319" s="59"/>
      <c r="FP319" s="59"/>
      <c r="FQ319" s="59"/>
      <c r="FR319" s="59"/>
      <c r="FS319" s="59"/>
      <c r="FT319" s="59"/>
      <c r="FU319" s="59"/>
      <c r="FV319" s="59"/>
      <c r="FW319" s="59"/>
      <c r="FX319" s="59"/>
      <c r="FY319" s="59"/>
      <c r="FZ319" s="59"/>
      <c r="GA319" s="59"/>
      <c r="GB319" s="59"/>
      <c r="GC319" s="59"/>
      <c r="GD319" s="59"/>
      <c r="GE319" s="59"/>
      <c r="GF319" s="59"/>
      <c r="GG319" s="59"/>
      <c r="GH319" s="59"/>
      <c r="GI319" s="59"/>
      <c r="GJ319" s="59"/>
      <c r="GK319" s="59"/>
      <c r="GL319" s="59"/>
      <c r="GM319" s="59"/>
      <c r="GN319" s="59"/>
      <c r="GO319" s="59"/>
      <c r="GP319" s="59"/>
      <c r="GQ319" s="59"/>
      <c r="GR319" s="78">
        <v>0.11</v>
      </c>
      <c r="GS319" s="62">
        <f t="shared" si="297"/>
        <v>0.97750267336683416</v>
      </c>
      <c r="GT319" s="179">
        <v>1.2500000000000001E-2</v>
      </c>
      <c r="GU319" s="62">
        <f t="shared" si="298"/>
        <v>0.11107984924623115</v>
      </c>
      <c r="GV319" s="61">
        <v>0.02</v>
      </c>
      <c r="GW319" s="62">
        <f t="shared" si="299"/>
        <v>7.0351758793969849E-2</v>
      </c>
      <c r="GX319" s="62">
        <f t="shared" si="300"/>
        <v>1.1589342814070354</v>
      </c>
      <c r="GY319" s="62" t="s">
        <v>43</v>
      </c>
      <c r="GZ319" s="62" t="s">
        <v>551</v>
      </c>
      <c r="HA319" s="62">
        <v>650</v>
      </c>
      <c r="HB319" s="62">
        <v>450</v>
      </c>
      <c r="HC319" s="62">
        <v>320</v>
      </c>
      <c r="HD319" s="62">
        <v>30</v>
      </c>
      <c r="HE319" s="62">
        <v>600</v>
      </c>
      <c r="HF319" s="62">
        <f t="shared" si="301"/>
        <v>20</v>
      </c>
      <c r="HG319" s="62">
        <v>5</v>
      </c>
      <c r="HH319" s="62">
        <f t="shared" si="302"/>
        <v>100</v>
      </c>
      <c r="HI319" s="62">
        <v>550</v>
      </c>
      <c r="HJ319" s="62">
        <f t="shared" si="303"/>
        <v>55000</v>
      </c>
      <c r="HK319" s="59"/>
      <c r="HL319" s="59"/>
      <c r="HM319" s="62">
        <v>2</v>
      </c>
      <c r="HN319" s="62">
        <f t="shared" si="304"/>
        <v>360000</v>
      </c>
      <c r="HO319" s="62">
        <f t="shared" si="305"/>
        <v>0.15277777777777779</v>
      </c>
      <c r="HP319" s="62">
        <v>160</v>
      </c>
      <c r="HQ319" s="62">
        <v>0</v>
      </c>
      <c r="HR319" s="62">
        <v>0.35</v>
      </c>
      <c r="HS319" s="62">
        <v>1</v>
      </c>
      <c r="HT319" s="62">
        <f>HR319/HS319</f>
        <v>0.35</v>
      </c>
      <c r="HU319" s="62"/>
      <c r="HV319" s="62">
        <f t="shared" si="306"/>
        <v>0.50277777777777777</v>
      </c>
      <c r="HW319" s="62"/>
      <c r="HX319" s="62">
        <v>2916.5</v>
      </c>
      <c r="HY319" s="59">
        <v>1688.5</v>
      </c>
      <c r="HZ319" s="59">
        <v>1842</v>
      </c>
      <c r="IA319" s="62">
        <f t="shared" si="307"/>
        <v>4</v>
      </c>
      <c r="IB319" s="62">
        <f t="shared" si="308"/>
        <v>3</v>
      </c>
      <c r="IC319" s="62">
        <f t="shared" si="309"/>
        <v>5</v>
      </c>
      <c r="ID319" s="61">
        <v>1</v>
      </c>
      <c r="IE319" s="62">
        <f t="shared" si="310"/>
        <v>60</v>
      </c>
      <c r="IF319" s="62">
        <v>500</v>
      </c>
      <c r="IG319" s="62">
        <f t="shared" si="311"/>
        <v>0.27777777777777779</v>
      </c>
      <c r="IH319" s="62"/>
      <c r="II319" s="59"/>
      <c r="IJ319" s="59"/>
    </row>
    <row r="320" spans="1:302">
      <c r="A320">
        <v>303</v>
      </c>
      <c r="B320" t="s">
        <v>468</v>
      </c>
      <c r="C320" t="s">
        <v>1120</v>
      </c>
      <c r="D320" s="28" t="s">
        <v>791</v>
      </c>
      <c r="E320" s="27" t="s">
        <v>792</v>
      </c>
      <c r="F320" s="5" t="s">
        <v>2182</v>
      </c>
      <c r="G320" s="27" t="s">
        <v>108</v>
      </c>
      <c r="I320" s="27" t="s">
        <v>121</v>
      </c>
      <c r="J320" s="28">
        <v>21480</v>
      </c>
      <c r="K320" s="27" t="s">
        <v>97</v>
      </c>
      <c r="N320" s="28"/>
      <c r="O320" s="28"/>
      <c r="P320" s="28"/>
      <c r="Q320" s="28"/>
      <c r="R320" s="28"/>
      <c r="S320" s="27"/>
      <c r="T320" s="27"/>
      <c r="U320" s="27"/>
      <c r="W320"/>
      <c r="X320"/>
      <c r="Y320"/>
      <c r="Z320"/>
      <c r="AA320" s="59" t="s">
        <v>1121</v>
      </c>
      <c r="AB320" s="63">
        <v>125.98</v>
      </c>
      <c r="AC320" s="59">
        <v>20</v>
      </c>
      <c r="AD320" s="59"/>
      <c r="AE320" s="42">
        <f t="shared" si="282"/>
        <v>6.6169400000000014</v>
      </c>
      <c r="AF320" s="42">
        <f>DT320</f>
        <v>0.90120455497076024</v>
      </c>
      <c r="AG320" s="42">
        <f t="shared" si="283"/>
        <v>3.2340703517587941</v>
      </c>
      <c r="AH320" s="42">
        <f t="shared" si="284"/>
        <v>0</v>
      </c>
      <c r="AI320" s="42">
        <f t="shared" si="285"/>
        <v>0</v>
      </c>
      <c r="AJ320" s="42">
        <f t="shared" si="286"/>
        <v>5.6281407035175882E-2</v>
      </c>
      <c r="AK320" s="42">
        <f t="shared" si="287"/>
        <v>0.11788762939698494</v>
      </c>
      <c r="AL320" s="42">
        <f t="shared" si="288"/>
        <v>1.0374111386934675</v>
      </c>
      <c r="AM320" s="42">
        <f t="shared" si="289"/>
        <v>0.35458333333333331</v>
      </c>
      <c r="AN320" s="42">
        <f t="shared" si="290"/>
        <v>0.20833333333333334</v>
      </c>
      <c r="AO320" s="60"/>
      <c r="AP320" s="42">
        <f>EZ320</f>
        <v>0.12859999999999999</v>
      </c>
      <c r="AQ320" s="42">
        <f>SUM(AE320:AP320)</f>
        <v>12.655311748521854</v>
      </c>
      <c r="AR320" s="42"/>
      <c r="AS320" s="42"/>
      <c r="AT320" s="62"/>
      <c r="AU320" s="42"/>
      <c r="AV320" s="42">
        <f>AQ320+AU320</f>
        <v>12.655311748521854</v>
      </c>
      <c r="AW320" s="59">
        <v>5.3000000000000005E-2</v>
      </c>
      <c r="AX320" s="59">
        <v>0.05</v>
      </c>
      <c r="AY320" s="61">
        <v>1</v>
      </c>
      <c r="AZ320" s="59">
        <f t="shared" si="291"/>
        <v>3.0000000000000027E-3</v>
      </c>
      <c r="BA320" s="62">
        <f t="shared" si="292"/>
        <v>6.6169400000000014</v>
      </c>
      <c r="BB320" s="62"/>
      <c r="BC320" s="62"/>
      <c r="BD320" s="62"/>
      <c r="BE320" s="62"/>
      <c r="BF320" s="62"/>
      <c r="BG320" s="62"/>
      <c r="BH320" s="62"/>
      <c r="BI320" s="62"/>
      <c r="BJ320" s="62"/>
      <c r="BK320" s="62"/>
      <c r="BL320" s="62"/>
      <c r="BM320" s="62"/>
      <c r="BN320" s="62"/>
      <c r="BO320" s="62"/>
      <c r="BP320" s="62"/>
      <c r="BQ320" s="62"/>
      <c r="BR320" s="62"/>
      <c r="BS320" s="62"/>
      <c r="BT320" s="62"/>
      <c r="BU320" s="62"/>
      <c r="BV320" s="62"/>
      <c r="BW320" s="62"/>
      <c r="BX320" s="62"/>
      <c r="BY320" s="62"/>
      <c r="BZ320" s="62"/>
      <c r="CA320" s="62"/>
      <c r="CB320" s="62"/>
      <c r="CC320" s="62"/>
      <c r="CD320" s="62"/>
      <c r="CE320" s="62">
        <v>0</v>
      </c>
      <c r="CF320" s="62">
        <v>0</v>
      </c>
      <c r="CG320" s="62">
        <v>0</v>
      </c>
      <c r="CH320" s="62">
        <v>0</v>
      </c>
      <c r="CI320" s="62"/>
      <c r="CJ320" s="62"/>
      <c r="CK320" s="62"/>
      <c r="CL320" s="62"/>
      <c r="CM320" s="62"/>
      <c r="CN320" s="62"/>
      <c r="CO320" s="62"/>
      <c r="CP320" s="62"/>
      <c r="CQ320" s="62"/>
      <c r="CR320" s="62"/>
      <c r="CS320" s="62"/>
      <c r="CT320" s="62"/>
      <c r="CU320" s="62"/>
      <c r="CV320" s="62"/>
      <c r="CW320" s="62"/>
      <c r="CX320" s="62"/>
      <c r="CY320" s="62"/>
      <c r="CZ320" s="62"/>
      <c r="DA320" s="62"/>
      <c r="DB320" s="62"/>
      <c r="DC320" s="62"/>
      <c r="DD320" s="62"/>
      <c r="DE320" s="62"/>
      <c r="DF320" s="62"/>
      <c r="DG320" s="62"/>
      <c r="DH320" s="62"/>
      <c r="DI320" s="62"/>
      <c r="DJ320" s="62"/>
      <c r="DK320" s="62"/>
      <c r="DL320" s="62"/>
      <c r="DM320" s="62">
        <f t="shared" si="293"/>
        <v>0</v>
      </c>
      <c r="DN320" s="179">
        <v>0.03</v>
      </c>
      <c r="DO320" s="62">
        <v>0</v>
      </c>
      <c r="DP320" s="62">
        <f t="shared" si="294"/>
        <v>0</v>
      </c>
      <c r="DQ320" s="62" t="s">
        <v>791</v>
      </c>
      <c r="DR320" s="62" t="s">
        <v>1122</v>
      </c>
      <c r="DS320" s="62">
        <v>1</v>
      </c>
      <c r="DT320" s="62">
        <f>KP320</f>
        <v>0.90120455497076024</v>
      </c>
      <c r="DU320" s="62"/>
      <c r="DV320" s="62"/>
      <c r="DW320" s="62"/>
      <c r="DX320" s="62"/>
      <c r="DY320" s="62"/>
      <c r="DZ320" s="62"/>
      <c r="EA320" s="62"/>
      <c r="EB320" s="62"/>
      <c r="EC320" s="62"/>
      <c r="ED320" s="62"/>
      <c r="EE320" s="62"/>
      <c r="EF320" s="62">
        <v>280</v>
      </c>
      <c r="EG320" s="62">
        <v>2800</v>
      </c>
      <c r="EH320" s="62">
        <v>8</v>
      </c>
      <c r="EI320" s="78">
        <v>0.95</v>
      </c>
      <c r="EJ320" s="65">
        <v>2</v>
      </c>
      <c r="EK320" s="65">
        <v>55</v>
      </c>
      <c r="EL320" s="65">
        <f t="shared" si="295"/>
        <v>995</v>
      </c>
      <c r="EM320" s="65"/>
      <c r="EN320" s="65"/>
      <c r="EO320" s="65"/>
      <c r="EP320" s="65"/>
      <c r="EQ320" s="65"/>
      <c r="ER320" s="65"/>
      <c r="ES320" s="65"/>
      <c r="ET320" s="65"/>
      <c r="EU320" s="62">
        <f t="shared" si="296"/>
        <v>2.8140703517587942</v>
      </c>
      <c r="EV320" s="62"/>
      <c r="EW320" s="62"/>
      <c r="EX320" s="59">
        <v>0.42</v>
      </c>
      <c r="EY320" s="59"/>
      <c r="EZ320" s="62">
        <f>23148/(600*300)</f>
        <v>0.12859999999999999</v>
      </c>
      <c r="FA320" s="62">
        <f>EX320+EY320</f>
        <v>0.42</v>
      </c>
      <c r="FB320" s="62"/>
      <c r="FC320" s="62"/>
      <c r="FD320" s="62"/>
      <c r="FE320" s="62"/>
      <c r="FF320" s="62"/>
      <c r="FG320" s="62"/>
      <c r="FH320" s="62"/>
      <c r="FI320" s="62"/>
      <c r="FJ320" s="62"/>
      <c r="FK320" s="62"/>
      <c r="FL320" s="62"/>
      <c r="FM320" s="62"/>
      <c r="FN320" s="62"/>
      <c r="FO320" s="62"/>
      <c r="FP320" s="62"/>
      <c r="FQ320" s="62"/>
      <c r="FR320" s="62"/>
      <c r="FS320" s="62"/>
      <c r="FT320" s="62"/>
      <c r="FU320" s="62"/>
      <c r="FV320" s="62"/>
      <c r="FW320" s="62"/>
      <c r="FX320" s="62"/>
      <c r="FY320" s="62"/>
      <c r="FZ320" s="62"/>
      <c r="GA320" s="62"/>
      <c r="GB320" s="62"/>
      <c r="GC320" s="62"/>
      <c r="GD320" s="62"/>
      <c r="GE320" s="62"/>
      <c r="GF320" s="62"/>
      <c r="GG320" s="62"/>
      <c r="GH320" s="62"/>
      <c r="GI320" s="62"/>
      <c r="GJ320" s="62"/>
      <c r="GK320" s="62"/>
      <c r="GL320" s="62"/>
      <c r="GM320" s="62"/>
      <c r="GN320" s="62"/>
      <c r="GO320" s="62"/>
      <c r="GP320" s="62"/>
      <c r="GQ320" s="62"/>
      <c r="GR320" s="78">
        <v>0.11</v>
      </c>
      <c r="GS320" s="62">
        <f t="shared" si="297"/>
        <v>1.0374111386934675</v>
      </c>
      <c r="GT320" s="179">
        <v>1.2500000000000001E-2</v>
      </c>
      <c r="GU320" s="62">
        <f t="shared" si="298"/>
        <v>0.11788762939698494</v>
      </c>
      <c r="GV320" s="61">
        <v>0.02</v>
      </c>
      <c r="GW320" s="62">
        <f t="shared" si="299"/>
        <v>5.6281407035175882E-2</v>
      </c>
      <c r="GX320" s="62">
        <f t="shared" si="300"/>
        <v>1.2115801751256281</v>
      </c>
      <c r="GY320" s="62" t="s">
        <v>43</v>
      </c>
      <c r="GZ320" s="62" t="s">
        <v>551</v>
      </c>
      <c r="HA320" s="59">
        <v>650</v>
      </c>
      <c r="HB320" s="59">
        <v>450</v>
      </c>
      <c r="HC320" s="59">
        <v>320</v>
      </c>
      <c r="HD320" s="59">
        <v>40</v>
      </c>
      <c r="HE320" s="59">
        <v>600</v>
      </c>
      <c r="HF320" s="62">
        <f t="shared" si="301"/>
        <v>15</v>
      </c>
      <c r="HG320" s="59">
        <v>5</v>
      </c>
      <c r="HH320" s="62">
        <f t="shared" si="302"/>
        <v>75</v>
      </c>
      <c r="HI320" s="59">
        <v>550</v>
      </c>
      <c r="HJ320" s="62">
        <f t="shared" si="303"/>
        <v>41250</v>
      </c>
      <c r="HK320" s="59"/>
      <c r="HL320" s="59"/>
      <c r="HM320" s="59">
        <v>2</v>
      </c>
      <c r="HN320" s="62">
        <f t="shared" si="304"/>
        <v>360000</v>
      </c>
      <c r="HO320" s="62">
        <f t="shared" si="305"/>
        <v>0.11458333333333333</v>
      </c>
      <c r="HP320" s="59">
        <v>160</v>
      </c>
      <c r="HQ320" s="59">
        <v>0</v>
      </c>
      <c r="HR320" s="59">
        <v>0.24</v>
      </c>
      <c r="HS320" s="59">
        <v>1</v>
      </c>
      <c r="HT320" s="62">
        <f>HR320/HS320</f>
        <v>0.24</v>
      </c>
      <c r="HU320" s="62"/>
      <c r="HV320" s="62">
        <f t="shared" si="306"/>
        <v>0.35458333333333331</v>
      </c>
      <c r="HW320" s="62"/>
      <c r="HX320" s="59">
        <v>2917</v>
      </c>
      <c r="HY320" s="59">
        <v>1689</v>
      </c>
      <c r="HZ320" s="59">
        <v>1842</v>
      </c>
      <c r="IA320" s="62">
        <f t="shared" si="307"/>
        <v>4</v>
      </c>
      <c r="IB320" s="62">
        <f t="shared" si="308"/>
        <v>3</v>
      </c>
      <c r="IC320" s="62">
        <f t="shared" si="309"/>
        <v>5</v>
      </c>
      <c r="ID320" s="61">
        <v>1</v>
      </c>
      <c r="IE320" s="62">
        <f t="shared" si="310"/>
        <v>60</v>
      </c>
      <c r="IF320" s="59">
        <v>500</v>
      </c>
      <c r="IG320" s="62">
        <f t="shared" si="311"/>
        <v>0.20833333333333334</v>
      </c>
      <c r="IH320" s="62"/>
      <c r="II320" s="59"/>
      <c r="IJ320" s="59"/>
      <c r="IK320" s="59"/>
      <c r="IL320" s="59"/>
      <c r="IM320" s="81" t="s">
        <v>1123</v>
      </c>
      <c r="IN320" s="81">
        <v>75.88</v>
      </c>
      <c r="IO320" s="62">
        <v>20</v>
      </c>
      <c r="IP320" s="62"/>
      <c r="IQ320" s="69">
        <v>3.0000000000000001E-3</v>
      </c>
      <c r="IR320" s="181">
        <v>2E-3</v>
      </c>
      <c r="IS320" s="61">
        <v>1</v>
      </c>
      <c r="IT320" s="69">
        <f>(IQ320-IR320)*IS320</f>
        <v>1E-3</v>
      </c>
      <c r="IU320" s="62">
        <f>IQ320*IN320-IT320*IO320</f>
        <v>0.20763999999999999</v>
      </c>
      <c r="IV320" s="62"/>
      <c r="IW320" s="62"/>
      <c r="IX320" s="62"/>
      <c r="IY320" s="62"/>
      <c r="IZ320" s="62"/>
      <c r="JA320" s="62"/>
      <c r="JB320" s="62"/>
      <c r="JC320" s="62"/>
      <c r="JD320" s="62"/>
      <c r="JE320" s="62"/>
      <c r="JF320" s="62"/>
      <c r="JG320" s="62"/>
      <c r="JH320" s="62"/>
      <c r="JI320" s="62"/>
      <c r="JJ320" s="62"/>
      <c r="JK320" s="62"/>
      <c r="JL320" s="62"/>
      <c r="JM320" s="62"/>
      <c r="JN320" s="62"/>
      <c r="JO320" s="62"/>
      <c r="JP320" s="62"/>
      <c r="JQ320" s="62"/>
      <c r="JR320" s="62"/>
      <c r="JS320" s="62"/>
      <c r="JT320" s="62"/>
      <c r="JU320" s="62"/>
      <c r="JV320" s="62"/>
      <c r="JW320" s="62">
        <v>80</v>
      </c>
      <c r="JX320" s="62">
        <v>800</v>
      </c>
      <c r="JY320" s="62">
        <v>8</v>
      </c>
      <c r="JZ320" s="61">
        <v>0.95</v>
      </c>
      <c r="KA320" s="62">
        <v>2</v>
      </c>
      <c r="KB320" s="62"/>
      <c r="KC320" s="95">
        <v>40</v>
      </c>
      <c r="KD320" s="415">
        <f>3600/KC320*JY320*KA320*JZ320</f>
        <v>1368</v>
      </c>
      <c r="KE320" s="95">
        <f>JX320/KD320</f>
        <v>0.58479532163742687</v>
      </c>
      <c r="KF320" s="62"/>
      <c r="KG320" s="61">
        <v>0.11</v>
      </c>
      <c r="KH320" s="62">
        <f>KG320*(KE320+IU320)</f>
        <v>8.7167885380116966E-2</v>
      </c>
      <c r="KI320" s="64">
        <v>1.2500000000000001E-2</v>
      </c>
      <c r="KJ320" s="62">
        <f>KI320*(KE320+IU320)</f>
        <v>9.9054415204678364E-3</v>
      </c>
      <c r="KK320" s="62"/>
      <c r="KL320" s="62"/>
      <c r="KM320" s="62"/>
      <c r="KN320" s="61">
        <v>0.02</v>
      </c>
      <c r="KO320" s="62">
        <f>KN320*KE320</f>
        <v>1.1695906432748537E-2</v>
      </c>
      <c r="KP320" s="62">
        <f>IU320+KE320+KH320+KJ320+KO320</f>
        <v>0.90120455497076024</v>
      </c>
    </row>
    <row r="321" spans="1:302">
      <c r="A321">
        <v>304</v>
      </c>
      <c r="B321" t="s">
        <v>468</v>
      </c>
      <c r="C321" t="s">
        <v>1124</v>
      </c>
      <c r="D321" s="28" t="s">
        <v>793</v>
      </c>
      <c r="E321" s="27" t="s">
        <v>794</v>
      </c>
      <c r="F321" s="5" t="s">
        <v>2182</v>
      </c>
      <c r="G321" s="27" t="s">
        <v>108</v>
      </c>
      <c r="I321" s="27" t="s">
        <v>121</v>
      </c>
      <c r="J321" s="28">
        <v>21480</v>
      </c>
      <c r="K321" s="27" t="s">
        <v>97</v>
      </c>
      <c r="N321" s="28"/>
      <c r="O321" s="28"/>
      <c r="P321" s="28"/>
      <c r="Q321" s="28"/>
      <c r="R321" s="28"/>
      <c r="S321" s="27"/>
      <c r="T321" s="27"/>
      <c r="U321" s="27"/>
      <c r="W321"/>
      <c r="X321"/>
      <c r="Y321"/>
      <c r="Z321"/>
      <c r="AA321" s="59" t="s">
        <v>1121</v>
      </c>
      <c r="AB321" s="63">
        <v>125.98</v>
      </c>
      <c r="AC321" s="59">
        <v>20</v>
      </c>
      <c r="AD321" s="59"/>
      <c r="AE321" s="42">
        <f t="shared" si="282"/>
        <v>6.4909600000000012</v>
      </c>
      <c r="AF321" s="42">
        <f>DT321</f>
        <v>0.90120455497076024</v>
      </c>
      <c r="AG321" s="42">
        <f t="shared" si="283"/>
        <v>3.2440703517587943</v>
      </c>
      <c r="AH321" s="42">
        <f t="shared" si="284"/>
        <v>0</v>
      </c>
      <c r="AI321" s="42">
        <f t="shared" si="285"/>
        <v>0</v>
      </c>
      <c r="AJ321" s="42">
        <f t="shared" si="286"/>
        <v>5.6281407035175882E-2</v>
      </c>
      <c r="AK321" s="42">
        <f t="shared" si="287"/>
        <v>0.11631287939698494</v>
      </c>
      <c r="AL321" s="42">
        <f t="shared" si="288"/>
        <v>1.0235533386934674</v>
      </c>
      <c r="AM321" s="42">
        <f t="shared" si="289"/>
        <v>0.35083333333333333</v>
      </c>
      <c r="AN321" s="42">
        <f t="shared" si="290"/>
        <v>0.20833333333333334</v>
      </c>
      <c r="AO321" s="60"/>
      <c r="AP321" s="42">
        <f>EZ321</f>
        <v>0.12859999999999999</v>
      </c>
      <c r="AQ321" s="42">
        <f>SUM(AE321:AO321)+AP321</f>
        <v>12.520149198521851</v>
      </c>
      <c r="AR321" s="42"/>
      <c r="AS321" s="42"/>
      <c r="AT321" s="62"/>
      <c r="AU321" s="42"/>
      <c r="AV321" s="42">
        <f>AQ321+AU321</f>
        <v>12.520149198521851</v>
      </c>
      <c r="AW321" s="59">
        <v>5.2000000000000005E-2</v>
      </c>
      <c r="AX321" s="59">
        <v>4.9000000000000002E-2</v>
      </c>
      <c r="AY321" s="61">
        <v>1</v>
      </c>
      <c r="AZ321" s="59">
        <f t="shared" si="291"/>
        <v>3.0000000000000027E-3</v>
      </c>
      <c r="BA321" s="62">
        <f t="shared" si="292"/>
        <v>6.4909600000000012</v>
      </c>
      <c r="BB321" s="62"/>
      <c r="BC321" s="62"/>
      <c r="BD321" s="62"/>
      <c r="BE321" s="62"/>
      <c r="BF321" s="62"/>
      <c r="BG321" s="62"/>
      <c r="BH321" s="62"/>
      <c r="BI321" s="62"/>
      <c r="BJ321" s="62"/>
      <c r="BK321" s="62"/>
      <c r="BL321" s="62"/>
      <c r="BM321" s="62"/>
      <c r="BN321" s="62"/>
      <c r="BO321" s="62"/>
      <c r="BP321" s="62"/>
      <c r="BQ321" s="62"/>
      <c r="BR321" s="62"/>
      <c r="BS321" s="62"/>
      <c r="BT321" s="62"/>
      <c r="BU321" s="62"/>
      <c r="BV321" s="62"/>
      <c r="BW321" s="62"/>
      <c r="BX321" s="62"/>
      <c r="BY321" s="62"/>
      <c r="BZ321" s="62"/>
      <c r="CA321" s="62"/>
      <c r="CB321" s="62"/>
      <c r="CC321" s="62"/>
      <c r="CD321" s="62"/>
      <c r="CE321" s="62">
        <v>0</v>
      </c>
      <c r="CF321" s="62">
        <v>0</v>
      </c>
      <c r="CG321" s="62">
        <v>0</v>
      </c>
      <c r="CH321" s="62">
        <v>0</v>
      </c>
      <c r="CI321" s="62"/>
      <c r="CJ321" s="62"/>
      <c r="CK321" s="62"/>
      <c r="CL321" s="62"/>
      <c r="CM321" s="62"/>
      <c r="CN321" s="62"/>
      <c r="CO321" s="62"/>
      <c r="CP321" s="62"/>
      <c r="CQ321" s="62"/>
      <c r="CR321" s="62"/>
      <c r="CS321" s="62"/>
      <c r="CT321" s="62"/>
      <c r="CU321" s="62"/>
      <c r="CV321" s="62"/>
      <c r="CW321" s="62"/>
      <c r="CX321" s="62"/>
      <c r="CY321" s="62"/>
      <c r="CZ321" s="62"/>
      <c r="DA321" s="62"/>
      <c r="DB321" s="62"/>
      <c r="DC321" s="62"/>
      <c r="DD321" s="62"/>
      <c r="DE321" s="62"/>
      <c r="DF321" s="62"/>
      <c r="DG321" s="62"/>
      <c r="DH321" s="62"/>
      <c r="DI321" s="62"/>
      <c r="DJ321" s="62"/>
      <c r="DK321" s="62"/>
      <c r="DL321" s="62"/>
      <c r="DM321" s="62">
        <f t="shared" si="293"/>
        <v>0</v>
      </c>
      <c r="DN321" s="179">
        <v>0.03</v>
      </c>
      <c r="DO321" s="62">
        <v>0</v>
      </c>
      <c r="DP321" s="62">
        <f t="shared" si="294"/>
        <v>0</v>
      </c>
      <c r="DQ321" s="62" t="s">
        <v>791</v>
      </c>
      <c r="DR321" s="62" t="s">
        <v>1122</v>
      </c>
      <c r="DS321" s="62">
        <v>1</v>
      </c>
      <c r="DT321" s="62">
        <f>KP321</f>
        <v>0.90120455497076024</v>
      </c>
      <c r="DU321" s="62"/>
      <c r="DV321" s="62"/>
      <c r="DW321" s="62"/>
      <c r="DX321" s="62"/>
      <c r="DY321" s="62"/>
      <c r="DZ321" s="62"/>
      <c r="EA321" s="62"/>
      <c r="EB321" s="62"/>
      <c r="EC321" s="62"/>
      <c r="ED321" s="62"/>
      <c r="EE321" s="62"/>
      <c r="EF321" s="62">
        <v>280</v>
      </c>
      <c r="EG321" s="62">
        <v>2800</v>
      </c>
      <c r="EH321" s="62">
        <v>8</v>
      </c>
      <c r="EI321" s="78">
        <v>0.95</v>
      </c>
      <c r="EJ321" s="65">
        <v>2</v>
      </c>
      <c r="EK321" s="65">
        <v>55</v>
      </c>
      <c r="EL321" s="65">
        <f t="shared" si="295"/>
        <v>995</v>
      </c>
      <c r="EM321" s="65"/>
      <c r="EN321" s="65"/>
      <c r="EO321" s="65"/>
      <c r="EP321" s="65"/>
      <c r="EQ321" s="65"/>
      <c r="ER321" s="65"/>
      <c r="ES321" s="65"/>
      <c r="ET321" s="65"/>
      <c r="EU321" s="62">
        <f t="shared" si="296"/>
        <v>2.8140703517587942</v>
      </c>
      <c r="EV321" s="62"/>
      <c r="EW321" s="62"/>
      <c r="EX321" s="59">
        <v>0.43</v>
      </c>
      <c r="EY321" s="59"/>
      <c r="EZ321" s="62">
        <f>23148/(600*300)</f>
        <v>0.12859999999999999</v>
      </c>
      <c r="FA321" s="62">
        <f>EX321+EY321</f>
        <v>0.43</v>
      </c>
      <c r="FB321" s="62"/>
      <c r="FC321" s="62"/>
      <c r="FD321" s="62"/>
      <c r="FE321" s="62"/>
      <c r="FF321" s="62"/>
      <c r="FG321" s="62"/>
      <c r="FH321" s="62"/>
      <c r="FI321" s="62"/>
      <c r="FJ321" s="62"/>
      <c r="FK321" s="62"/>
      <c r="FL321" s="62"/>
      <c r="FM321" s="62"/>
      <c r="FN321" s="62"/>
      <c r="FO321" s="62"/>
      <c r="FP321" s="62"/>
      <c r="FQ321" s="62"/>
      <c r="FR321" s="62"/>
      <c r="FS321" s="62"/>
      <c r="FT321" s="62"/>
      <c r="FU321" s="62"/>
      <c r="FV321" s="62"/>
      <c r="FW321" s="62"/>
      <c r="FX321" s="62"/>
      <c r="FY321" s="62"/>
      <c r="FZ321" s="62"/>
      <c r="GA321" s="62"/>
      <c r="GB321" s="62"/>
      <c r="GC321" s="62"/>
      <c r="GD321" s="62"/>
      <c r="GE321" s="62"/>
      <c r="GF321" s="62"/>
      <c r="GG321" s="62"/>
      <c r="GH321" s="62"/>
      <c r="GI321" s="62"/>
      <c r="GJ321" s="62"/>
      <c r="GK321" s="62"/>
      <c r="GL321" s="62"/>
      <c r="GM321" s="62"/>
      <c r="GN321" s="62"/>
      <c r="GO321" s="62"/>
      <c r="GP321" s="62"/>
      <c r="GQ321" s="62"/>
      <c r="GR321" s="78">
        <v>0.11</v>
      </c>
      <c r="GS321" s="62">
        <f t="shared" si="297"/>
        <v>1.0235533386934674</v>
      </c>
      <c r="GT321" s="179">
        <v>1.2500000000000001E-2</v>
      </c>
      <c r="GU321" s="62">
        <f t="shared" si="298"/>
        <v>0.11631287939698494</v>
      </c>
      <c r="GV321" s="61">
        <v>0.02</v>
      </c>
      <c r="GW321" s="62">
        <f t="shared" si="299"/>
        <v>5.6281407035175882E-2</v>
      </c>
      <c r="GX321" s="62">
        <f t="shared" si="300"/>
        <v>1.1961476251256282</v>
      </c>
      <c r="GY321" s="62" t="s">
        <v>43</v>
      </c>
      <c r="GZ321" s="62" t="s">
        <v>551</v>
      </c>
      <c r="HA321" s="59">
        <v>650</v>
      </c>
      <c r="HB321" s="59">
        <v>450</v>
      </c>
      <c r="HC321" s="59">
        <v>320</v>
      </c>
      <c r="HD321" s="59">
        <v>40</v>
      </c>
      <c r="HE321" s="59">
        <v>600</v>
      </c>
      <c r="HF321" s="62">
        <f t="shared" si="301"/>
        <v>15</v>
      </c>
      <c r="HG321" s="59">
        <v>5</v>
      </c>
      <c r="HH321" s="62">
        <f t="shared" si="302"/>
        <v>75</v>
      </c>
      <c r="HI321" s="59">
        <v>550</v>
      </c>
      <c r="HJ321" s="62">
        <f t="shared" si="303"/>
        <v>41250</v>
      </c>
      <c r="HK321" s="59"/>
      <c r="HL321" s="59"/>
      <c r="HM321" s="59">
        <v>2</v>
      </c>
      <c r="HN321" s="62">
        <f t="shared" si="304"/>
        <v>360000</v>
      </c>
      <c r="HO321" s="62">
        <f t="shared" si="305"/>
        <v>0.11458333333333333</v>
      </c>
      <c r="HP321" s="59">
        <v>160</v>
      </c>
      <c r="HQ321" s="59">
        <v>0</v>
      </c>
      <c r="HR321" s="59">
        <v>0.23624999999999999</v>
      </c>
      <c r="HS321" s="59">
        <v>1</v>
      </c>
      <c r="HT321" s="62">
        <f>HR321/HS321</f>
        <v>0.23624999999999999</v>
      </c>
      <c r="HU321" s="62"/>
      <c r="HV321" s="62">
        <f t="shared" si="306"/>
        <v>0.35083333333333333</v>
      </c>
      <c r="HW321" s="62"/>
      <c r="HX321" s="59">
        <v>2917</v>
      </c>
      <c r="HY321" s="59">
        <v>1689</v>
      </c>
      <c r="HZ321" s="59">
        <v>1842</v>
      </c>
      <c r="IA321" s="62">
        <f t="shared" si="307"/>
        <v>4</v>
      </c>
      <c r="IB321" s="62">
        <f t="shared" si="308"/>
        <v>3</v>
      </c>
      <c r="IC321" s="62">
        <f t="shared" si="309"/>
        <v>5</v>
      </c>
      <c r="ID321" s="61">
        <v>1</v>
      </c>
      <c r="IE321" s="62">
        <f t="shared" si="310"/>
        <v>60</v>
      </c>
      <c r="IF321" s="59">
        <v>500</v>
      </c>
      <c r="IG321" s="62">
        <f t="shared" si="311"/>
        <v>0.20833333333333334</v>
      </c>
      <c r="IH321" s="62"/>
      <c r="II321" s="59"/>
      <c r="IJ321" s="59"/>
      <c r="IK321" s="59"/>
      <c r="IL321" s="59"/>
      <c r="IM321" s="102" t="s">
        <v>1123</v>
      </c>
      <c r="IN321" s="59">
        <v>75.88</v>
      </c>
      <c r="IO321" s="59">
        <v>20</v>
      </c>
      <c r="IP321" s="59"/>
      <c r="IQ321" s="59">
        <v>3.0000000000000001E-3</v>
      </c>
      <c r="IR321" s="59">
        <v>2E-3</v>
      </c>
      <c r="IS321" s="61">
        <v>1</v>
      </c>
      <c r="IT321" s="69">
        <f>(IQ321-IR321)*IS321</f>
        <v>1E-3</v>
      </c>
      <c r="IU321" s="62">
        <f>IQ321*IN321-IT321*IO321</f>
        <v>0.20763999999999999</v>
      </c>
      <c r="IV321" s="62"/>
      <c r="IW321" s="62"/>
      <c r="IX321" s="62"/>
      <c r="IY321" s="62"/>
      <c r="IZ321" s="62"/>
      <c r="JA321" s="62"/>
      <c r="JB321" s="62"/>
      <c r="JC321" s="62"/>
      <c r="JD321" s="62"/>
      <c r="JE321" s="62"/>
      <c r="JF321" s="62"/>
      <c r="JG321" s="62"/>
      <c r="JH321" s="62"/>
      <c r="JI321" s="62"/>
      <c r="JJ321" s="62"/>
      <c r="JK321" s="62"/>
      <c r="JL321" s="62"/>
      <c r="JM321" s="62"/>
      <c r="JN321" s="62"/>
      <c r="JO321" s="62"/>
      <c r="JP321" s="62"/>
      <c r="JQ321" s="62"/>
      <c r="JR321" s="62"/>
      <c r="JS321" s="62"/>
      <c r="JT321" s="62"/>
      <c r="JU321" s="62"/>
      <c r="JV321" s="62"/>
      <c r="JW321" s="59">
        <v>80</v>
      </c>
      <c r="JX321" s="59">
        <v>800</v>
      </c>
      <c r="JY321" s="59">
        <v>8</v>
      </c>
      <c r="JZ321" s="61">
        <v>0.95</v>
      </c>
      <c r="KA321" s="59">
        <v>2</v>
      </c>
      <c r="KB321" s="59"/>
      <c r="KC321" s="96">
        <v>40</v>
      </c>
      <c r="KD321" s="415">
        <f>3600/KC321*JY321*KA321*JZ321</f>
        <v>1368</v>
      </c>
      <c r="KE321" s="95">
        <f>JX321/KD321</f>
        <v>0.58479532163742687</v>
      </c>
      <c r="KF321" s="62"/>
      <c r="KG321" s="61">
        <v>0.11</v>
      </c>
      <c r="KH321" s="62">
        <f>KG321*(KE321+IU321)</f>
        <v>8.7167885380116966E-2</v>
      </c>
      <c r="KI321" s="64">
        <v>1.2500000000000001E-2</v>
      </c>
      <c r="KJ321" s="62">
        <f>KI321*(KE321+IU321)</f>
        <v>9.9054415204678364E-3</v>
      </c>
      <c r="KK321" s="62"/>
      <c r="KL321" s="62"/>
      <c r="KM321" s="62"/>
      <c r="KN321" s="61">
        <v>0.02</v>
      </c>
      <c r="KO321" s="62">
        <f>KN321*KE321</f>
        <v>1.1695906432748537E-2</v>
      </c>
      <c r="KP321" s="62">
        <f>IU321+KE321+KH321+KJ321+KO321</f>
        <v>0.90120455497076024</v>
      </c>
    </row>
    <row r="322" spans="1:302">
      <c r="A322">
        <v>305</v>
      </c>
      <c r="B322" t="s">
        <v>468</v>
      </c>
      <c r="C322" t="s">
        <v>1125</v>
      </c>
      <c r="D322" s="28" t="s">
        <v>795</v>
      </c>
      <c r="E322" s="27" t="s">
        <v>796</v>
      </c>
      <c r="F322" s="5" t="s">
        <v>2182</v>
      </c>
      <c r="G322" s="27" t="s">
        <v>108</v>
      </c>
      <c r="I322" s="27" t="s">
        <v>121</v>
      </c>
      <c r="J322" s="28">
        <v>21480</v>
      </c>
      <c r="K322" s="27" t="s">
        <v>97</v>
      </c>
      <c r="N322" s="28"/>
      <c r="O322" s="28"/>
      <c r="P322" s="28"/>
      <c r="Q322" s="28"/>
      <c r="R322" s="28"/>
      <c r="S322" s="27"/>
      <c r="T322" s="27"/>
      <c r="U322" s="27"/>
      <c r="W322"/>
      <c r="X322"/>
      <c r="Y322"/>
      <c r="Z322"/>
      <c r="AA322" t="s">
        <v>440</v>
      </c>
      <c r="AB322" s="66">
        <v>85.45</v>
      </c>
      <c r="AC322">
        <v>20</v>
      </c>
      <c r="AD322"/>
      <c r="AE322" s="7">
        <f t="shared" si="282"/>
        <v>0.66359999999999997</v>
      </c>
      <c r="AF322" s="7"/>
      <c r="AG322" s="7">
        <f t="shared" si="283"/>
        <v>0.58479532163742687</v>
      </c>
      <c r="AH322" s="7">
        <f t="shared" si="284"/>
        <v>0</v>
      </c>
      <c r="AI322" s="7">
        <f t="shared" si="285"/>
        <v>0</v>
      </c>
      <c r="AJ322" s="7">
        <f t="shared" si="286"/>
        <v>1.1695906432748537E-2</v>
      </c>
      <c r="AK322" s="7">
        <f t="shared" si="287"/>
        <v>1.5604941520467836E-2</v>
      </c>
      <c r="AL322" s="7">
        <f t="shared" si="288"/>
        <v>0.13732348538011696</v>
      </c>
      <c r="AM322" s="7">
        <f t="shared" si="289"/>
        <v>1.5277777777777777E-2</v>
      </c>
      <c r="AN322" s="7">
        <f t="shared" si="290"/>
        <v>2.7777777777777776E-2</v>
      </c>
      <c r="AO322" s="6"/>
      <c r="AP322" s="6"/>
      <c r="AQ322" s="7">
        <f>SUM(AE322:AO322)</f>
        <v>1.4560752105263155</v>
      </c>
      <c r="AR322" s="7"/>
      <c r="AS322" s="7"/>
      <c r="AT322" s="4"/>
      <c r="AU322" s="7"/>
      <c r="AV322" s="7">
        <f>AQ322+AU322</f>
        <v>1.4560752105263155</v>
      </c>
      <c r="AW322">
        <v>8.0000000000000002E-3</v>
      </c>
      <c r="AX322">
        <v>7.0000000000000001E-3</v>
      </c>
      <c r="AY322" s="8">
        <v>1</v>
      </c>
      <c r="AZ322">
        <f t="shared" si="291"/>
        <v>1E-3</v>
      </c>
      <c r="BA322" s="4">
        <f t="shared" si="292"/>
        <v>0.66359999999999997</v>
      </c>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v>0</v>
      </c>
      <c r="CF322" s="4">
        <v>0</v>
      </c>
      <c r="CG322" s="4">
        <v>0</v>
      </c>
      <c r="CH322" s="4">
        <f>CF322*CG322</f>
        <v>0</v>
      </c>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f t="shared" si="293"/>
        <v>0</v>
      </c>
      <c r="DN322" s="182">
        <v>1.2500000000000001E-2</v>
      </c>
      <c r="DO322" s="4">
        <v>0</v>
      </c>
      <c r="DP322" s="4">
        <f t="shared" si="294"/>
        <v>0</v>
      </c>
      <c r="DQ322" s="4"/>
      <c r="DR322" s="4"/>
      <c r="DS322" s="4"/>
      <c r="DT322" s="4"/>
      <c r="DU322" s="4"/>
      <c r="DV322" s="4"/>
      <c r="DW322" s="4"/>
      <c r="DX322" s="4"/>
      <c r="DY322" s="4"/>
      <c r="DZ322" s="4"/>
      <c r="EA322" s="4"/>
      <c r="EB322" s="4"/>
      <c r="EC322" s="4"/>
      <c r="ED322" s="4"/>
      <c r="EE322" s="4"/>
      <c r="EF322" s="4">
        <v>80</v>
      </c>
      <c r="EG322" s="4">
        <v>800</v>
      </c>
      <c r="EH322" s="4">
        <v>8</v>
      </c>
      <c r="EI322" s="77">
        <v>0.95</v>
      </c>
      <c r="EJ322" s="10">
        <v>2</v>
      </c>
      <c r="EK322" s="10">
        <v>40</v>
      </c>
      <c r="EL322" s="10">
        <f t="shared" si="295"/>
        <v>1368</v>
      </c>
      <c r="EM322" s="10"/>
      <c r="EN322" s="10"/>
      <c r="EO322" s="10"/>
      <c r="EP322" s="10"/>
      <c r="EQ322" s="10"/>
      <c r="ER322" s="10"/>
      <c r="ES322" s="10"/>
      <c r="ET322" s="10"/>
      <c r="EU322" s="4">
        <f t="shared" si="296"/>
        <v>0.58479532163742687</v>
      </c>
      <c r="EV322" s="4"/>
      <c r="EW322" s="4"/>
      <c r="GR322" s="77">
        <v>0.11</v>
      </c>
      <c r="GS322" s="4">
        <f t="shared" si="297"/>
        <v>0.13732348538011696</v>
      </c>
      <c r="GT322" s="182">
        <v>1.2500000000000001E-2</v>
      </c>
      <c r="GU322" s="4">
        <f t="shared" si="298"/>
        <v>1.5604941520467836E-2</v>
      </c>
      <c r="GV322" s="8">
        <v>0.02</v>
      </c>
      <c r="GW322" s="4">
        <f t="shared" si="299"/>
        <v>1.1695906432748537E-2</v>
      </c>
      <c r="GX322" s="4">
        <f t="shared" si="300"/>
        <v>0.16462433333333334</v>
      </c>
      <c r="GY322" s="4" t="s">
        <v>43</v>
      </c>
      <c r="GZ322" s="4" t="s">
        <v>551</v>
      </c>
      <c r="HA322" s="4">
        <v>650</v>
      </c>
      <c r="HB322" s="4">
        <v>450</v>
      </c>
      <c r="HC322" s="4">
        <v>320</v>
      </c>
      <c r="HD322" s="4">
        <v>300</v>
      </c>
      <c r="HE322" s="4">
        <v>600</v>
      </c>
      <c r="HF322" s="4">
        <f t="shared" si="301"/>
        <v>2</v>
      </c>
      <c r="HG322" s="4">
        <v>5</v>
      </c>
      <c r="HH322" s="4">
        <f t="shared" si="302"/>
        <v>10</v>
      </c>
      <c r="HI322" s="4">
        <v>550</v>
      </c>
      <c r="HJ322" s="4">
        <f t="shared" si="303"/>
        <v>5500</v>
      </c>
      <c r="HM322" s="4">
        <v>2</v>
      </c>
      <c r="HN322" s="4">
        <f t="shared" si="304"/>
        <v>360000</v>
      </c>
      <c r="HO322" s="4">
        <f t="shared" si="305"/>
        <v>1.5277777777777777E-2</v>
      </c>
      <c r="HP322" s="4">
        <v>160</v>
      </c>
      <c r="HQ322" s="4">
        <v>0</v>
      </c>
      <c r="HR322" s="4">
        <v>0</v>
      </c>
      <c r="HS322" s="4">
        <v>0</v>
      </c>
      <c r="HT322" s="4">
        <v>0</v>
      </c>
      <c r="HU322" s="4"/>
      <c r="HV322" s="62">
        <f t="shared" si="306"/>
        <v>1.5277777777777777E-2</v>
      </c>
      <c r="HW322" s="62"/>
      <c r="HX322" s="183">
        <f>9.5*307</f>
        <v>2916.5</v>
      </c>
      <c r="HY322" s="184">
        <f>5.5*307</f>
        <v>1688.5</v>
      </c>
      <c r="HZ322">
        <v>1842</v>
      </c>
      <c r="IA322" s="4">
        <f t="shared" si="307"/>
        <v>4</v>
      </c>
      <c r="IB322" s="4">
        <f t="shared" si="308"/>
        <v>3</v>
      </c>
      <c r="IC322" s="4">
        <f t="shared" si="309"/>
        <v>5</v>
      </c>
      <c r="ID322" s="8">
        <v>1</v>
      </c>
      <c r="IE322" s="4">
        <f t="shared" si="310"/>
        <v>60</v>
      </c>
      <c r="IF322" s="4">
        <v>500</v>
      </c>
      <c r="IG322" s="4">
        <f t="shared" si="311"/>
        <v>2.7777777777777776E-2</v>
      </c>
      <c r="IH322" s="4"/>
    </row>
    <row r="323" spans="1:302" ht="30">
      <c r="A323">
        <v>306</v>
      </c>
      <c r="B323" t="s">
        <v>468</v>
      </c>
      <c r="C323" s="187" t="s">
        <v>1126</v>
      </c>
      <c r="D323" s="28" t="s">
        <v>797</v>
      </c>
      <c r="E323" s="27" t="s">
        <v>174</v>
      </c>
      <c r="F323" s="5" t="s">
        <v>2182</v>
      </c>
      <c r="G323" s="27" t="s">
        <v>108</v>
      </c>
      <c r="I323" s="27" t="s">
        <v>121</v>
      </c>
      <c r="J323" s="28">
        <v>21480</v>
      </c>
      <c r="K323" s="27" t="s">
        <v>97</v>
      </c>
      <c r="N323" s="28"/>
      <c r="O323" s="28"/>
      <c r="P323" s="28"/>
      <c r="Q323" s="28"/>
      <c r="R323" s="28"/>
      <c r="S323" s="27"/>
      <c r="T323" s="27"/>
      <c r="U323" s="27"/>
      <c r="W323" s="72" t="s">
        <v>1127</v>
      </c>
      <c r="X323" s="72"/>
      <c r="Y323" s="72"/>
      <c r="Z323" s="72"/>
      <c r="AA323" t="s">
        <v>1128</v>
      </c>
      <c r="AB323" s="66">
        <v>306</v>
      </c>
      <c r="AC323">
        <v>20</v>
      </c>
      <c r="AD323"/>
      <c r="AE323" s="7">
        <f t="shared" si="282"/>
        <v>38.967999999999996</v>
      </c>
      <c r="AF323" s="7"/>
      <c r="AG323" s="7">
        <f t="shared" si="283"/>
        <v>4.6052631578947372</v>
      </c>
      <c r="AH323" s="7">
        <f t="shared" si="284"/>
        <v>0</v>
      </c>
      <c r="AI323" s="7">
        <f t="shared" si="285"/>
        <v>0</v>
      </c>
      <c r="AJ323" s="7">
        <f t="shared" si="286"/>
        <v>9.2105263157894746E-2</v>
      </c>
      <c r="AK323" s="7">
        <f t="shared" si="287"/>
        <v>0.54466578947368427</v>
      </c>
      <c r="AL323" s="7">
        <f t="shared" si="288"/>
        <v>4.7930589473684213</v>
      </c>
      <c r="AM323" s="7">
        <f t="shared" si="289"/>
        <v>3.1833333333333331</v>
      </c>
      <c r="AN323" s="7">
        <f t="shared" si="290"/>
        <v>0.33333333333333331</v>
      </c>
      <c r="AO323" s="6"/>
      <c r="AP323" s="6"/>
      <c r="AQ323" s="7">
        <f>SUM(AE323:AO323)</f>
        <v>52.519759824561405</v>
      </c>
      <c r="AR323" s="7"/>
      <c r="AS323" s="7"/>
      <c r="AT323" s="4"/>
      <c r="AU323" s="7">
        <v>0.45</v>
      </c>
      <c r="AV323" s="7">
        <f>AQ323+AU323</f>
        <v>52.969759824561407</v>
      </c>
      <c r="AW323">
        <v>0.128</v>
      </c>
      <c r="AX323">
        <v>0.11799999999999999</v>
      </c>
      <c r="AY323" s="8">
        <v>1</v>
      </c>
      <c r="AZ323">
        <f t="shared" si="291"/>
        <v>1.0000000000000009E-2</v>
      </c>
      <c r="BA323" s="4">
        <f t="shared" si="292"/>
        <v>38.967999999999996</v>
      </c>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v>0</v>
      </c>
      <c r="CF323" s="4">
        <v>0</v>
      </c>
      <c r="CG323" s="4">
        <v>0</v>
      </c>
      <c r="CH323" s="4">
        <f>CF323*CG323</f>
        <v>0</v>
      </c>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f t="shared" si="293"/>
        <v>0</v>
      </c>
      <c r="DN323" s="182">
        <v>1.2500000000000001E-2</v>
      </c>
      <c r="DO323" s="4">
        <v>0</v>
      </c>
      <c r="DP323" s="4">
        <f t="shared" si="294"/>
        <v>0</v>
      </c>
      <c r="DQ323" s="4"/>
      <c r="DR323" s="4"/>
      <c r="DS323" s="4"/>
      <c r="DT323" s="4"/>
      <c r="DU323" s="4"/>
      <c r="DV323" s="4"/>
      <c r="DW323" s="4"/>
      <c r="DX323" s="4"/>
      <c r="DY323" s="4"/>
      <c r="DZ323" s="4"/>
      <c r="EA323" s="4"/>
      <c r="EB323" s="4"/>
      <c r="EC323" s="4"/>
      <c r="ED323" s="4"/>
      <c r="EE323" s="4"/>
      <c r="EF323" s="4">
        <v>350</v>
      </c>
      <c r="EG323" s="4">
        <v>3500</v>
      </c>
      <c r="EH323" s="4">
        <v>8</v>
      </c>
      <c r="EI323" s="77">
        <v>0.95</v>
      </c>
      <c r="EJ323" s="10">
        <v>2</v>
      </c>
      <c r="EK323" s="10">
        <v>72</v>
      </c>
      <c r="EL323" s="10">
        <f t="shared" si="295"/>
        <v>760</v>
      </c>
      <c r="EM323" s="10"/>
      <c r="EN323" s="10"/>
      <c r="EO323" s="10"/>
      <c r="EP323" s="10"/>
      <c r="EQ323" s="10"/>
      <c r="ER323" s="10"/>
      <c r="ES323" s="10"/>
      <c r="ET323" s="10"/>
      <c r="EU323" s="4">
        <f t="shared" si="296"/>
        <v>4.6052631578947372</v>
      </c>
      <c r="EV323" s="4"/>
      <c r="EW323" s="4"/>
      <c r="GR323" s="77">
        <v>0.11</v>
      </c>
      <c r="GS323" s="4">
        <f t="shared" si="297"/>
        <v>4.7930589473684213</v>
      </c>
      <c r="GT323" s="182">
        <v>1.2500000000000001E-2</v>
      </c>
      <c r="GU323" s="4">
        <f t="shared" si="298"/>
        <v>0.54466578947368427</v>
      </c>
      <c r="GV323" s="8">
        <v>0.02</v>
      </c>
      <c r="GW323" s="4">
        <f t="shared" si="299"/>
        <v>9.2105263157894746E-2</v>
      </c>
      <c r="GX323" s="4">
        <f t="shared" si="300"/>
        <v>5.4298299999999999</v>
      </c>
      <c r="GY323" s="4" t="s">
        <v>43</v>
      </c>
      <c r="GZ323" s="4" t="s">
        <v>551</v>
      </c>
      <c r="HA323" s="4">
        <v>650</v>
      </c>
      <c r="HB323" s="4">
        <v>450</v>
      </c>
      <c r="HC323" s="4">
        <v>320</v>
      </c>
      <c r="HD323" s="4">
        <v>25</v>
      </c>
      <c r="HE323" s="185">
        <v>600</v>
      </c>
      <c r="HF323" s="4">
        <f t="shared" si="301"/>
        <v>24</v>
      </c>
      <c r="HG323" s="4">
        <v>5</v>
      </c>
      <c r="HH323" s="4">
        <f t="shared" si="302"/>
        <v>120</v>
      </c>
      <c r="HI323">
        <v>550</v>
      </c>
      <c r="HJ323" s="4">
        <f t="shared" si="303"/>
        <v>66000</v>
      </c>
      <c r="HM323" s="4">
        <v>2</v>
      </c>
      <c r="HN323" s="4">
        <f t="shared" si="304"/>
        <v>360000</v>
      </c>
      <c r="HO323" s="4">
        <f t="shared" si="305"/>
        <v>0.18333333333333332</v>
      </c>
      <c r="HP323" s="4">
        <v>160</v>
      </c>
      <c r="HQ323" s="4">
        <v>0</v>
      </c>
      <c r="HR323" s="4">
        <v>3</v>
      </c>
      <c r="HS323" s="4">
        <v>1</v>
      </c>
      <c r="HT323" s="4">
        <f>HR323/HS323</f>
        <v>3</v>
      </c>
      <c r="HU323" s="4"/>
      <c r="HV323" s="62">
        <f t="shared" si="306"/>
        <v>3.1833333333333331</v>
      </c>
      <c r="HW323" s="62"/>
      <c r="HX323" s="186">
        <f>9.5*307</f>
        <v>2916.5</v>
      </c>
      <c r="HY323" s="184">
        <f>5.5*307</f>
        <v>1688.5</v>
      </c>
      <c r="HZ323">
        <v>1842</v>
      </c>
      <c r="IA323" s="4">
        <f t="shared" si="307"/>
        <v>4</v>
      </c>
      <c r="IB323" s="4">
        <f t="shared" si="308"/>
        <v>3</v>
      </c>
      <c r="IC323" s="4">
        <f t="shared" si="309"/>
        <v>5</v>
      </c>
      <c r="ID323" s="8">
        <v>1</v>
      </c>
      <c r="IE323" s="4">
        <f t="shared" si="310"/>
        <v>60</v>
      </c>
      <c r="IF323" s="4">
        <v>500</v>
      </c>
      <c r="IG323" s="4">
        <f t="shared" si="311"/>
        <v>0.33333333333333331</v>
      </c>
      <c r="IH323" s="4"/>
    </row>
    <row r="324" spans="1:302" ht="45">
      <c r="A324">
        <v>307</v>
      </c>
      <c r="B324" t="s">
        <v>468</v>
      </c>
      <c r="C324" s="187" t="s">
        <v>1129</v>
      </c>
      <c r="D324" s="28" t="s">
        <v>798</v>
      </c>
      <c r="E324" s="27" t="s">
        <v>799</v>
      </c>
      <c r="F324" s="5" t="s">
        <v>2182</v>
      </c>
      <c r="G324" s="27" t="s">
        <v>108</v>
      </c>
      <c r="I324" s="27" t="s">
        <v>121</v>
      </c>
      <c r="J324" s="28">
        <v>21480</v>
      </c>
      <c r="K324" s="27" t="s">
        <v>97</v>
      </c>
      <c r="N324" s="28"/>
      <c r="O324" s="28"/>
      <c r="P324" s="28"/>
      <c r="Q324" s="28"/>
      <c r="R324" s="28"/>
      <c r="S324" s="27"/>
      <c r="T324" s="27"/>
      <c r="U324" s="27"/>
      <c r="W324" s="72" t="s">
        <v>1134</v>
      </c>
      <c r="X324" s="72"/>
      <c r="Y324" s="72"/>
      <c r="Z324" s="72"/>
      <c r="AA324" s="188" t="s">
        <v>440</v>
      </c>
      <c r="AB324" s="63">
        <v>118.8</v>
      </c>
      <c r="AC324" s="59">
        <v>20</v>
      </c>
      <c r="AD324" s="59"/>
      <c r="AE324" s="42">
        <f t="shared" si="282"/>
        <v>35.754000000000005</v>
      </c>
      <c r="AF324" s="42">
        <f>DT324</f>
        <v>12.131624684210529</v>
      </c>
      <c r="AG324" s="42">
        <f t="shared" si="283"/>
        <v>6.4386507770170622</v>
      </c>
      <c r="AH324" s="42">
        <f t="shared" si="284"/>
        <v>0.2</v>
      </c>
      <c r="AI324" s="42">
        <f t="shared" si="285"/>
        <v>0</v>
      </c>
      <c r="AJ324" s="42">
        <f t="shared" si="286"/>
        <v>0.11876484560570072</v>
      </c>
      <c r="AK324" s="42">
        <f t="shared" si="287"/>
        <v>0.52115302850356304</v>
      </c>
      <c r="AL324" s="42">
        <f t="shared" si="288"/>
        <v>4.5861466508313544</v>
      </c>
      <c r="AM324" s="42">
        <f t="shared" si="289"/>
        <v>0.45833333333333331</v>
      </c>
      <c r="AN324" s="42">
        <f t="shared" si="290"/>
        <v>0.83333333333333337</v>
      </c>
      <c r="AO324" s="59"/>
      <c r="AP324" s="42">
        <f>EZ324</f>
        <v>0.12859999999999999</v>
      </c>
      <c r="AQ324" s="42">
        <f>SUM(AE324:AP324)</f>
        <v>61.170606652834884</v>
      </c>
      <c r="AR324" s="59"/>
      <c r="AS324" s="59"/>
      <c r="AT324" s="60">
        <f>64.47-61.45</f>
        <v>3.019999999999996</v>
      </c>
      <c r="AU324" s="60">
        <v>0.28000000000000003</v>
      </c>
      <c r="AV324" s="42">
        <f>AQ324+AU324+AT324</f>
        <v>64.470606652834874</v>
      </c>
      <c r="AW324" s="59">
        <v>0.30499999999999999</v>
      </c>
      <c r="AX324" s="59">
        <v>0.28100000000000003</v>
      </c>
      <c r="AY324" s="61">
        <v>1</v>
      </c>
      <c r="AZ324" s="59">
        <f t="shared" si="291"/>
        <v>2.3999999999999966E-2</v>
      </c>
      <c r="BA324" s="62">
        <f t="shared" si="292"/>
        <v>35.754000000000005</v>
      </c>
      <c r="BB324" s="62"/>
      <c r="BC324" s="62"/>
      <c r="BD324" s="62"/>
      <c r="BE324" s="62"/>
      <c r="BF324" s="62"/>
      <c r="BG324" s="62"/>
      <c r="BH324" s="62"/>
      <c r="BI324" s="62"/>
      <c r="BJ324" s="62"/>
      <c r="BK324" s="62"/>
      <c r="BL324" s="62"/>
      <c r="BM324" s="62"/>
      <c r="BN324" s="62"/>
      <c r="BO324" s="62"/>
      <c r="BP324" s="62"/>
      <c r="BQ324" s="62"/>
      <c r="BR324" s="62"/>
      <c r="BS324" s="62"/>
      <c r="BT324" s="62"/>
      <c r="BU324" s="62"/>
      <c r="BV324" s="62"/>
      <c r="BW324" s="62"/>
      <c r="BX324" s="62"/>
      <c r="BY324" s="62"/>
      <c r="BZ324" s="62"/>
      <c r="CA324" s="62"/>
      <c r="CB324" s="62"/>
      <c r="CC324" s="62"/>
      <c r="CD324" s="59">
        <v>0</v>
      </c>
      <c r="CE324" s="62">
        <v>0</v>
      </c>
      <c r="CF324" s="62">
        <v>1</v>
      </c>
      <c r="CG324" s="59">
        <v>0.2</v>
      </c>
      <c r="CH324" s="62">
        <f>CF324*CG324</f>
        <v>0.2</v>
      </c>
      <c r="CI324" s="59"/>
      <c r="CJ324" s="59"/>
      <c r="CK324" s="59"/>
      <c r="CL324" s="59"/>
      <c r="CM324" s="59"/>
      <c r="CN324" s="59"/>
      <c r="CO324" s="59"/>
      <c r="CP324" s="59"/>
      <c r="CQ324" s="59"/>
      <c r="CR324" s="59"/>
      <c r="CS324" s="59"/>
      <c r="CT324" s="59"/>
      <c r="CU324" s="59"/>
      <c r="CV324" s="59"/>
      <c r="CW324" s="59"/>
      <c r="CX324" s="59"/>
      <c r="CY324" s="59"/>
      <c r="CZ324" s="59"/>
      <c r="DA324" s="59"/>
      <c r="DB324" s="59"/>
      <c r="DC324" s="59"/>
      <c r="DD324" s="59"/>
      <c r="DE324" s="59"/>
      <c r="DF324" s="59"/>
      <c r="DG324" s="59"/>
      <c r="DH324" s="59"/>
      <c r="DI324" s="59"/>
      <c r="DJ324" s="59"/>
      <c r="DK324" s="59"/>
      <c r="DL324" s="59"/>
      <c r="DM324" s="62">
        <f t="shared" si="293"/>
        <v>0.2</v>
      </c>
      <c r="DN324" s="179">
        <v>0.03</v>
      </c>
      <c r="DO324" s="62">
        <v>0</v>
      </c>
      <c r="DP324" s="62">
        <f t="shared" si="294"/>
        <v>0.2</v>
      </c>
      <c r="DQ324" s="189" t="s">
        <v>798</v>
      </c>
      <c r="DR324" s="190" t="s">
        <v>1130</v>
      </c>
      <c r="DS324" s="191"/>
      <c r="DT324" s="62">
        <f>KP324</f>
        <v>12.131624684210529</v>
      </c>
      <c r="DU324" s="62"/>
      <c r="DV324" s="62"/>
      <c r="DW324" s="62"/>
      <c r="DX324" s="62"/>
      <c r="DY324" s="62"/>
      <c r="DZ324" s="62"/>
      <c r="EA324" s="62"/>
      <c r="EB324" s="62"/>
      <c r="EC324" s="62"/>
      <c r="ED324" s="62"/>
      <c r="EE324" s="62"/>
      <c r="EF324" s="192">
        <v>250</v>
      </c>
      <c r="EG324" s="62">
        <v>2500</v>
      </c>
      <c r="EH324" s="62">
        <v>8</v>
      </c>
      <c r="EI324" s="61">
        <v>0.95</v>
      </c>
      <c r="EJ324" s="65">
        <v>1</v>
      </c>
      <c r="EK324" s="65">
        <v>65</v>
      </c>
      <c r="EL324" s="65">
        <f t="shared" si="295"/>
        <v>421</v>
      </c>
      <c r="EM324" s="59"/>
      <c r="EN324" s="59"/>
      <c r="EO324" s="59"/>
      <c r="EP324" s="59"/>
      <c r="EQ324" s="59"/>
      <c r="ER324" s="59"/>
      <c r="ES324" s="59"/>
      <c r="ET324" s="59"/>
      <c r="EU324" s="62">
        <f t="shared" si="296"/>
        <v>5.9382422802850359</v>
      </c>
      <c r="EV324" s="59"/>
      <c r="EW324" s="59"/>
      <c r="EX324" s="62">
        <v>0.50040849673202614</v>
      </c>
      <c r="EY324" s="59"/>
      <c r="EZ324" s="62">
        <f>23148/(600*300)</f>
        <v>0.12859999999999999</v>
      </c>
      <c r="FA324" s="62">
        <f>EX324</f>
        <v>0.50040849673202614</v>
      </c>
      <c r="FB324" s="62"/>
      <c r="FC324" s="62"/>
      <c r="FD324" s="62"/>
      <c r="FE324" s="62"/>
      <c r="FF324" s="62"/>
      <c r="FG324" s="62"/>
      <c r="FH324" s="62"/>
      <c r="FI324" s="62"/>
      <c r="FJ324" s="62"/>
      <c r="FK324" s="62"/>
      <c r="FL324" s="62"/>
      <c r="FM324" s="62"/>
      <c r="FN324" s="62"/>
      <c r="FO324" s="62"/>
      <c r="FP324" s="62"/>
      <c r="FQ324" s="62"/>
      <c r="FR324" s="62"/>
      <c r="FS324" s="62"/>
      <c r="FT324" s="62"/>
      <c r="FU324" s="62"/>
      <c r="FV324" s="62"/>
      <c r="FW324" s="62"/>
      <c r="FX324" s="62"/>
      <c r="FY324" s="62"/>
      <c r="FZ324" s="62"/>
      <c r="GA324" s="62"/>
      <c r="GB324" s="62"/>
      <c r="GC324" s="62"/>
      <c r="GD324" s="62"/>
      <c r="GE324" s="62"/>
      <c r="GF324" s="62"/>
      <c r="GG324" s="62"/>
      <c r="GH324" s="62"/>
      <c r="GI324" s="62"/>
      <c r="GJ324" s="62"/>
      <c r="GK324" s="62"/>
      <c r="GL324" s="62"/>
      <c r="GM324" s="62"/>
      <c r="GN324" s="62"/>
      <c r="GO324" s="62"/>
      <c r="GP324" s="62"/>
      <c r="GQ324" s="62"/>
      <c r="GR324" s="61">
        <v>0.11</v>
      </c>
      <c r="GS324" s="62">
        <f t="shared" si="297"/>
        <v>4.5861466508313544</v>
      </c>
      <c r="GT324" s="64">
        <v>1.2500000000000001E-2</v>
      </c>
      <c r="GU324" s="62">
        <f t="shared" si="298"/>
        <v>0.52115302850356304</v>
      </c>
      <c r="GV324" s="61">
        <v>0.02</v>
      </c>
      <c r="GW324" s="62">
        <f t="shared" si="299"/>
        <v>0.11876484560570072</v>
      </c>
      <c r="GX324" s="62">
        <f t="shared" si="300"/>
        <v>5.2260645249406181</v>
      </c>
      <c r="GY324" s="62" t="s">
        <v>43</v>
      </c>
      <c r="GZ324" s="62" t="s">
        <v>551</v>
      </c>
      <c r="HA324" s="59">
        <v>650</v>
      </c>
      <c r="HB324" s="59">
        <v>450</v>
      </c>
      <c r="HC324" s="59">
        <v>320</v>
      </c>
      <c r="HD324" s="59">
        <v>10</v>
      </c>
      <c r="HE324" s="59">
        <v>600</v>
      </c>
      <c r="HF324" s="62">
        <f t="shared" si="301"/>
        <v>60</v>
      </c>
      <c r="HG324" s="59">
        <v>5</v>
      </c>
      <c r="HH324" s="62">
        <f t="shared" si="302"/>
        <v>300</v>
      </c>
      <c r="HI324" s="59">
        <v>550</v>
      </c>
      <c r="HJ324" s="62">
        <f t="shared" si="303"/>
        <v>165000</v>
      </c>
      <c r="HK324" s="59"/>
      <c r="HL324" s="59"/>
      <c r="HM324" s="59">
        <v>2</v>
      </c>
      <c r="HN324" s="62">
        <f t="shared" si="304"/>
        <v>360000</v>
      </c>
      <c r="HO324" s="62">
        <f t="shared" si="305"/>
        <v>0.45833333333333331</v>
      </c>
      <c r="HP324" s="59">
        <v>160</v>
      </c>
      <c r="HQ324" s="59">
        <v>0</v>
      </c>
      <c r="HR324" s="59">
        <v>1.52</v>
      </c>
      <c r="HS324" s="59">
        <v>1</v>
      </c>
      <c r="HT324" s="62">
        <f>HR324/HS324-1.52</f>
        <v>0</v>
      </c>
      <c r="HU324" s="62"/>
      <c r="HV324" s="62">
        <f t="shared" si="306"/>
        <v>0.45833333333333331</v>
      </c>
      <c r="HW324" s="62"/>
      <c r="HX324" s="59">
        <v>2917</v>
      </c>
      <c r="HY324" s="59">
        <v>1689</v>
      </c>
      <c r="HZ324" s="59">
        <v>1842</v>
      </c>
      <c r="IA324" s="62">
        <f t="shared" si="307"/>
        <v>4</v>
      </c>
      <c r="IB324" s="62">
        <f t="shared" si="308"/>
        <v>3</v>
      </c>
      <c r="IC324" s="62">
        <f t="shared" si="309"/>
        <v>5</v>
      </c>
      <c r="ID324" s="61">
        <v>1</v>
      </c>
      <c r="IE324" s="62">
        <f t="shared" si="310"/>
        <v>60</v>
      </c>
      <c r="IF324" s="59">
        <v>500</v>
      </c>
      <c r="IG324" s="62">
        <f t="shared" si="311"/>
        <v>0.83333333333333337</v>
      </c>
      <c r="IH324" s="62"/>
      <c r="II324" s="59"/>
      <c r="IJ324" s="59"/>
      <c r="IK324" s="59"/>
      <c r="IL324" s="59"/>
      <c r="IM324" s="193" t="s">
        <v>440</v>
      </c>
      <c r="IN324" s="59">
        <v>85.45</v>
      </c>
      <c r="IO324" s="59">
        <v>20</v>
      </c>
      <c r="IP324" s="59"/>
      <c r="IQ324" s="59">
        <v>8.8000000000000009E-2</v>
      </c>
      <c r="IR324" s="59">
        <v>8.5000000000000006E-2</v>
      </c>
      <c r="IS324" s="61">
        <v>1</v>
      </c>
      <c r="IT324" s="69">
        <f>(IQ324-IR324)*IS324</f>
        <v>3.0000000000000027E-3</v>
      </c>
      <c r="IU324" s="62">
        <f>IQ324*IN324-IT324*IO324</f>
        <v>7.4596000000000018</v>
      </c>
      <c r="IV324" s="62"/>
      <c r="IW324" s="62"/>
      <c r="IX324" s="62"/>
      <c r="IY324" s="62"/>
      <c r="IZ324" s="62"/>
      <c r="JA324" s="62"/>
      <c r="JB324" s="62"/>
      <c r="JC324" s="62"/>
      <c r="JD324" s="62"/>
      <c r="JE324" s="62"/>
      <c r="JF324" s="62"/>
      <c r="JG324" s="62"/>
      <c r="JH324" s="62"/>
      <c r="JI324" s="62"/>
      <c r="JJ324" s="62"/>
      <c r="JK324" s="62"/>
      <c r="JL324" s="62"/>
      <c r="JM324" s="62"/>
      <c r="JN324" s="62"/>
      <c r="JO324" s="62"/>
      <c r="JP324" s="62"/>
      <c r="JQ324" s="62"/>
      <c r="JR324" s="62"/>
      <c r="JS324" s="62"/>
      <c r="JT324" s="62"/>
      <c r="JU324" s="62"/>
      <c r="JV324" s="62"/>
      <c r="JW324" s="59">
        <v>180</v>
      </c>
      <c r="JX324" s="59">
        <v>1800</v>
      </c>
      <c r="JY324" s="59">
        <v>8</v>
      </c>
      <c r="JZ324" s="61">
        <v>0.95</v>
      </c>
      <c r="KA324" s="59">
        <v>1</v>
      </c>
      <c r="KB324" s="59"/>
      <c r="KC324" s="96">
        <v>50</v>
      </c>
      <c r="KD324" s="415">
        <f>3600/KC324*JY324*KA324*JZ324</f>
        <v>547.19999999999993</v>
      </c>
      <c r="KE324" s="95">
        <f>JX324/KD324</f>
        <v>3.2894736842105265</v>
      </c>
      <c r="KF324" s="62"/>
      <c r="KG324" s="61">
        <v>0.11</v>
      </c>
      <c r="KH324" s="62">
        <f>KG324*(KE324+IU324)</f>
        <v>1.1823981052631583</v>
      </c>
      <c r="KI324" s="64">
        <v>1.2500000000000001E-2</v>
      </c>
      <c r="KJ324" s="62">
        <f>KI324*(KE324+IU324)</f>
        <v>0.13436342105263163</v>
      </c>
      <c r="KK324" s="62"/>
      <c r="KL324" s="62"/>
      <c r="KM324" s="62"/>
      <c r="KN324" s="61">
        <v>0.02</v>
      </c>
      <c r="KO324" s="62">
        <f>KN324*KE324</f>
        <v>6.5789473684210537E-2</v>
      </c>
      <c r="KP324" s="62">
        <f>IU324+KE324+KH324+KJ324+KO324</f>
        <v>12.131624684210529</v>
      </c>
    </row>
    <row r="325" spans="1:302" ht="30">
      <c r="A325">
        <v>308</v>
      </c>
      <c r="B325" t="s">
        <v>468</v>
      </c>
      <c r="C325" s="187" t="s">
        <v>1131</v>
      </c>
      <c r="D325" s="28" t="s">
        <v>800</v>
      </c>
      <c r="E325" s="27" t="s">
        <v>801</v>
      </c>
      <c r="F325" s="5" t="s">
        <v>2182</v>
      </c>
      <c r="G325" s="27" t="s">
        <v>108</v>
      </c>
      <c r="I325" s="27" t="s">
        <v>121</v>
      </c>
      <c r="J325" s="28">
        <v>21480</v>
      </c>
      <c r="K325" s="27" t="s">
        <v>97</v>
      </c>
      <c r="N325" s="28"/>
      <c r="O325" s="28"/>
      <c r="P325" s="28"/>
      <c r="Q325" s="28"/>
      <c r="R325" s="28"/>
      <c r="S325" s="27"/>
      <c r="T325" s="27"/>
      <c r="U325" s="27"/>
      <c r="W325" s="72" t="s">
        <v>1133</v>
      </c>
      <c r="X325" s="72"/>
      <c r="Y325" s="72"/>
      <c r="Z325" s="72"/>
      <c r="AA325" t="s">
        <v>1132</v>
      </c>
      <c r="AB325" s="66">
        <v>187.3</v>
      </c>
      <c r="AC325">
        <v>20</v>
      </c>
      <c r="AD325"/>
      <c r="AE325" s="7">
        <f t="shared" si="282"/>
        <v>37.921900000000001</v>
      </c>
      <c r="AF325" s="7"/>
      <c r="AG325" s="7">
        <f t="shared" si="283"/>
        <v>8.31353919239905</v>
      </c>
      <c r="AH325" s="7">
        <f t="shared" si="284"/>
        <v>0</v>
      </c>
      <c r="AI325" s="7">
        <f t="shared" si="285"/>
        <v>0</v>
      </c>
      <c r="AJ325" s="7">
        <f t="shared" si="286"/>
        <v>0.166270783847981</v>
      </c>
      <c r="AK325" s="7">
        <f t="shared" si="287"/>
        <v>0.57794298990498816</v>
      </c>
      <c r="AL325" s="7">
        <f t="shared" si="288"/>
        <v>5.0858983111638958</v>
      </c>
      <c r="AM325" s="7">
        <f t="shared" si="289"/>
        <v>1.1919444444444445</v>
      </c>
      <c r="AN325" s="7">
        <f t="shared" si="290"/>
        <v>0.69444444444444442</v>
      </c>
      <c r="AO325" s="6"/>
      <c r="AP325" s="6"/>
      <c r="AQ325" s="7">
        <f>SUM(AE325:AO325)</f>
        <v>53.9519401662048</v>
      </c>
      <c r="AR325" s="7"/>
      <c r="AS325" s="7"/>
      <c r="AT325" s="4"/>
      <c r="AU325" s="7">
        <v>0.23</v>
      </c>
      <c r="AV325" s="7">
        <f>AQ325+AU325</f>
        <v>54.181940166204797</v>
      </c>
      <c r="AW325">
        <v>0.20300000000000001</v>
      </c>
      <c r="AX325">
        <v>0.19800000000000001</v>
      </c>
      <c r="AY325" s="8">
        <v>1</v>
      </c>
      <c r="AZ325">
        <f t="shared" si="291"/>
        <v>5.0000000000000044E-3</v>
      </c>
      <c r="BA325" s="4">
        <f t="shared" si="292"/>
        <v>37.921900000000001</v>
      </c>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v>0</v>
      </c>
      <c r="CF325" s="4">
        <v>0</v>
      </c>
      <c r="CG325" s="4">
        <v>0</v>
      </c>
      <c r="CH325" s="4">
        <f>CF325*CG325</f>
        <v>0</v>
      </c>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f t="shared" si="293"/>
        <v>0</v>
      </c>
      <c r="DN325" s="182">
        <v>1.2500000000000001E-2</v>
      </c>
      <c r="DO325" s="4">
        <v>0</v>
      </c>
      <c r="DP325" s="4">
        <f t="shared" si="294"/>
        <v>0</v>
      </c>
      <c r="DQ325" s="4"/>
      <c r="DR325" s="4"/>
      <c r="DS325" s="4"/>
      <c r="DT325" s="4"/>
      <c r="DU325" s="4"/>
      <c r="DV325" s="4"/>
      <c r="DW325" s="4"/>
      <c r="DX325" s="4"/>
      <c r="DY325" s="4"/>
      <c r="DZ325" s="4"/>
      <c r="EA325" s="4"/>
      <c r="EB325" s="4"/>
      <c r="EC325" s="4"/>
      <c r="ED325" s="4"/>
      <c r="EE325" s="4"/>
      <c r="EF325" s="4">
        <v>350</v>
      </c>
      <c r="EG325" s="4">
        <v>3500</v>
      </c>
      <c r="EH325" s="4">
        <v>8</v>
      </c>
      <c r="EI325" s="77">
        <v>0.95</v>
      </c>
      <c r="EJ325" s="10">
        <v>1</v>
      </c>
      <c r="EK325" s="10">
        <v>65</v>
      </c>
      <c r="EL325" s="10">
        <f t="shared" si="295"/>
        <v>421</v>
      </c>
      <c r="EM325" s="10"/>
      <c r="EN325" s="10"/>
      <c r="EO325" s="10"/>
      <c r="EP325" s="10"/>
      <c r="EQ325" s="10"/>
      <c r="ER325" s="10"/>
      <c r="ES325" s="10"/>
      <c r="ET325" s="10"/>
      <c r="EU325" s="4">
        <f t="shared" si="296"/>
        <v>8.31353919239905</v>
      </c>
      <c r="EV325" s="4"/>
      <c r="EW325" s="4"/>
      <c r="GR325" s="77">
        <v>0.11</v>
      </c>
      <c r="GS325" s="4">
        <f t="shared" si="297"/>
        <v>5.0858983111638958</v>
      </c>
      <c r="GT325" s="182">
        <v>1.2500000000000001E-2</v>
      </c>
      <c r="GU325" s="4">
        <f t="shared" si="298"/>
        <v>0.57794298990498816</v>
      </c>
      <c r="GV325" s="8">
        <v>0.02</v>
      </c>
      <c r="GW325" s="4">
        <f t="shared" si="299"/>
        <v>0.166270783847981</v>
      </c>
      <c r="GX325" s="4">
        <f t="shared" si="300"/>
        <v>5.8301120849168653</v>
      </c>
      <c r="GY325" s="4" t="s">
        <v>43</v>
      </c>
      <c r="GZ325" s="4" t="s">
        <v>551</v>
      </c>
      <c r="HA325" s="4">
        <v>650</v>
      </c>
      <c r="HB325" s="4">
        <v>450</v>
      </c>
      <c r="HC325" s="4">
        <v>320</v>
      </c>
      <c r="HD325" s="4">
        <v>12</v>
      </c>
      <c r="HE325" s="4">
        <v>600</v>
      </c>
      <c r="HF325" s="4">
        <f t="shared" si="301"/>
        <v>50</v>
      </c>
      <c r="HG325" s="4">
        <v>5</v>
      </c>
      <c r="HH325" s="4">
        <f t="shared" si="302"/>
        <v>250</v>
      </c>
      <c r="HI325" s="4">
        <v>550</v>
      </c>
      <c r="HJ325" s="4">
        <f t="shared" si="303"/>
        <v>137500</v>
      </c>
      <c r="HM325" s="4">
        <v>2</v>
      </c>
      <c r="HN325" s="4">
        <f t="shared" si="304"/>
        <v>360000</v>
      </c>
      <c r="HO325" s="4">
        <f t="shared" si="305"/>
        <v>0.38194444444444442</v>
      </c>
      <c r="HP325" s="4">
        <v>160</v>
      </c>
      <c r="HQ325" s="4">
        <v>0</v>
      </c>
      <c r="HR325" s="4">
        <v>0.81</v>
      </c>
      <c r="HS325" s="4">
        <v>1</v>
      </c>
      <c r="HT325" s="4">
        <f>HR325/HS325</f>
        <v>0.81</v>
      </c>
      <c r="HU325" s="4"/>
      <c r="HV325" s="62">
        <f t="shared" si="306"/>
        <v>1.1919444444444445</v>
      </c>
      <c r="HW325" s="62"/>
      <c r="HX325" s="186">
        <f>9.5*307</f>
        <v>2916.5</v>
      </c>
      <c r="HY325" s="184">
        <f>5.5*307</f>
        <v>1688.5</v>
      </c>
      <c r="HZ325">
        <v>1842</v>
      </c>
      <c r="IA325" s="4">
        <f t="shared" si="307"/>
        <v>4</v>
      </c>
      <c r="IB325" s="4">
        <f t="shared" si="308"/>
        <v>3</v>
      </c>
      <c r="IC325" s="4">
        <f t="shared" si="309"/>
        <v>5</v>
      </c>
      <c r="ID325" s="8">
        <v>1</v>
      </c>
      <c r="IE325" s="4">
        <f t="shared" si="310"/>
        <v>60</v>
      </c>
      <c r="IF325" s="4">
        <v>500</v>
      </c>
      <c r="IG325" s="4">
        <f t="shared" si="311"/>
        <v>0.69444444444444442</v>
      </c>
      <c r="IH325" s="4"/>
    </row>
    <row r="326" spans="1:302" ht="30">
      <c r="A326">
        <v>309</v>
      </c>
      <c r="B326" t="s">
        <v>468</v>
      </c>
      <c r="C326" s="187" t="s">
        <v>1135</v>
      </c>
      <c r="D326" s="28" t="s">
        <v>802</v>
      </c>
      <c r="E326" s="27" t="s">
        <v>803</v>
      </c>
      <c r="F326" s="5" t="s">
        <v>2182</v>
      </c>
      <c r="G326" s="27" t="s">
        <v>108</v>
      </c>
      <c r="I326" s="27" t="s">
        <v>121</v>
      </c>
      <c r="J326" s="28">
        <v>21480</v>
      </c>
      <c r="K326" s="27" t="s">
        <v>97</v>
      </c>
      <c r="N326" s="28"/>
      <c r="O326" s="28"/>
      <c r="P326" s="28"/>
      <c r="Q326" s="28"/>
      <c r="R326" s="28"/>
      <c r="S326" s="27"/>
      <c r="T326" s="27"/>
      <c r="U326" s="27"/>
      <c r="W326" s="72" t="s">
        <v>1136</v>
      </c>
      <c r="X326" s="72"/>
      <c r="Y326" s="72"/>
      <c r="Z326" s="72"/>
      <c r="AA326" t="s">
        <v>1132</v>
      </c>
      <c r="AB326" s="66">
        <v>187.3</v>
      </c>
      <c r="AC326">
        <v>20</v>
      </c>
      <c r="AD326"/>
      <c r="AE326" s="7">
        <f t="shared" si="282"/>
        <v>50.0364</v>
      </c>
      <c r="AF326" s="7"/>
      <c r="AG326" s="7">
        <f t="shared" si="283"/>
        <v>8.31353919239905</v>
      </c>
      <c r="AH326" s="7">
        <f t="shared" si="284"/>
        <v>0</v>
      </c>
      <c r="AI326" s="7">
        <f t="shared" si="285"/>
        <v>0</v>
      </c>
      <c r="AJ326" s="7">
        <f t="shared" si="286"/>
        <v>0.166270783847981</v>
      </c>
      <c r="AK326" s="7">
        <f t="shared" si="287"/>
        <v>0.72937423990498818</v>
      </c>
      <c r="AL326" s="7">
        <f t="shared" si="288"/>
        <v>6.4184933111638953</v>
      </c>
      <c r="AM326" s="7">
        <f t="shared" si="289"/>
        <v>0.88194444444444442</v>
      </c>
      <c r="AN326" s="7">
        <f t="shared" si="290"/>
        <v>0.69444444444444442</v>
      </c>
      <c r="AO326" s="6"/>
      <c r="AP326" s="6"/>
      <c r="AQ326" s="7">
        <f>SUM(AE326:AO326)</f>
        <v>67.240466416204796</v>
      </c>
      <c r="AR326" s="7"/>
      <c r="AS326" s="7"/>
      <c r="AT326" s="4"/>
      <c r="AU326" s="7">
        <v>0.36</v>
      </c>
      <c r="AV326" s="7">
        <f>AQ326+AU326</f>
        <v>67.600466416204796</v>
      </c>
      <c r="AW326">
        <v>0.26800000000000002</v>
      </c>
      <c r="AX326">
        <v>0.26</v>
      </c>
      <c r="AY326" s="8">
        <v>1</v>
      </c>
      <c r="AZ326">
        <f t="shared" si="291"/>
        <v>8.0000000000000071E-3</v>
      </c>
      <c r="BA326" s="4">
        <f t="shared" si="292"/>
        <v>50.0364</v>
      </c>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v>0</v>
      </c>
      <c r="CF326" s="4">
        <v>0</v>
      </c>
      <c r="CG326" s="4">
        <v>0</v>
      </c>
      <c r="CH326" s="4">
        <v>0</v>
      </c>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f t="shared" si="293"/>
        <v>0</v>
      </c>
      <c r="DN326" s="182">
        <v>1.2500000000000001E-2</v>
      </c>
      <c r="DO326" s="4">
        <v>0</v>
      </c>
      <c r="DP326" s="4">
        <f t="shared" si="294"/>
        <v>0</v>
      </c>
      <c r="DQ326" s="4"/>
      <c r="DR326" s="4"/>
      <c r="DS326" s="4"/>
      <c r="DT326" s="4"/>
      <c r="DU326" s="4"/>
      <c r="DV326" s="4"/>
      <c r="DW326" s="4"/>
      <c r="DX326" s="4"/>
      <c r="DY326" s="4"/>
      <c r="DZ326" s="4"/>
      <c r="EA326" s="4"/>
      <c r="EB326" s="4"/>
      <c r="EC326" s="4"/>
      <c r="ED326" s="4"/>
      <c r="EE326" s="4"/>
      <c r="EF326" s="4">
        <v>350</v>
      </c>
      <c r="EG326" s="4">
        <v>3500</v>
      </c>
      <c r="EH326" s="4">
        <v>8</v>
      </c>
      <c r="EI326" s="77">
        <v>0.95</v>
      </c>
      <c r="EJ326" s="10">
        <v>1</v>
      </c>
      <c r="EK326" s="10">
        <v>65</v>
      </c>
      <c r="EL326" s="10">
        <f t="shared" si="295"/>
        <v>421</v>
      </c>
      <c r="EM326" s="10"/>
      <c r="EN326" s="10"/>
      <c r="EO326" s="10"/>
      <c r="EP326" s="10"/>
      <c r="EQ326" s="10"/>
      <c r="ER326" s="10"/>
      <c r="ES326" s="10"/>
      <c r="ET326" s="10"/>
      <c r="EU326" s="4">
        <f t="shared" si="296"/>
        <v>8.31353919239905</v>
      </c>
      <c r="EV326" s="4"/>
      <c r="EW326" s="4"/>
      <c r="GR326" s="77">
        <v>0.11</v>
      </c>
      <c r="GS326" s="4">
        <f t="shared" si="297"/>
        <v>6.4184933111638953</v>
      </c>
      <c r="GT326" s="182">
        <v>1.2500000000000001E-2</v>
      </c>
      <c r="GU326" s="4">
        <f t="shared" si="298"/>
        <v>0.72937423990498818</v>
      </c>
      <c r="GV326" s="8">
        <v>0.02</v>
      </c>
      <c r="GW326" s="4">
        <f t="shared" si="299"/>
        <v>0.166270783847981</v>
      </c>
      <c r="GX326" s="4">
        <f t="shared" si="300"/>
        <v>7.3141383349168647</v>
      </c>
      <c r="GY326" s="4" t="s">
        <v>43</v>
      </c>
      <c r="GZ326" s="4" t="s">
        <v>551</v>
      </c>
      <c r="HA326" s="4">
        <v>650</v>
      </c>
      <c r="HB326" s="4">
        <v>450</v>
      </c>
      <c r="HC326" s="4">
        <v>320</v>
      </c>
      <c r="HD326" s="4">
        <v>12</v>
      </c>
      <c r="HE326" s="4">
        <v>600</v>
      </c>
      <c r="HF326" s="4">
        <f t="shared" si="301"/>
        <v>50</v>
      </c>
      <c r="HG326" s="4">
        <v>5</v>
      </c>
      <c r="HH326" s="4">
        <f t="shared" si="302"/>
        <v>250</v>
      </c>
      <c r="HI326" s="4">
        <v>550</v>
      </c>
      <c r="HJ326" s="4">
        <f t="shared" si="303"/>
        <v>137500</v>
      </c>
      <c r="HM326" s="4">
        <v>2</v>
      </c>
      <c r="HN326" s="4">
        <f t="shared" si="304"/>
        <v>360000</v>
      </c>
      <c r="HO326" s="4">
        <f t="shared" si="305"/>
        <v>0.38194444444444442</v>
      </c>
      <c r="HP326" s="4">
        <v>160</v>
      </c>
      <c r="HQ326" s="4">
        <v>0</v>
      </c>
      <c r="HR326" s="4">
        <v>0</v>
      </c>
      <c r="HS326" s="4">
        <v>0</v>
      </c>
      <c r="HT326" s="4">
        <v>0</v>
      </c>
      <c r="HU326" s="4"/>
      <c r="HV326" s="62">
        <f>HO326+HT326+0.5</f>
        <v>0.88194444444444442</v>
      </c>
      <c r="HW326" s="62"/>
      <c r="HX326" s="186">
        <f>9.5*307</f>
        <v>2916.5</v>
      </c>
      <c r="HY326" s="184">
        <f>5.5*307</f>
        <v>1688.5</v>
      </c>
      <c r="HZ326">
        <v>1842</v>
      </c>
      <c r="IA326" s="4">
        <f t="shared" si="307"/>
        <v>4</v>
      </c>
      <c r="IB326" s="4">
        <f t="shared" si="308"/>
        <v>3</v>
      </c>
      <c r="IC326" s="4">
        <f t="shared" si="309"/>
        <v>5</v>
      </c>
      <c r="ID326" s="8">
        <v>1</v>
      </c>
      <c r="IE326" s="4">
        <f t="shared" si="310"/>
        <v>60</v>
      </c>
      <c r="IF326" s="4">
        <v>500</v>
      </c>
      <c r="IG326" s="4">
        <f t="shared" si="311"/>
        <v>0.69444444444444442</v>
      </c>
      <c r="IH326" s="4"/>
    </row>
    <row r="327" spans="1:302" ht="30">
      <c r="A327">
        <v>310</v>
      </c>
      <c r="B327" t="s">
        <v>468</v>
      </c>
      <c r="C327" s="187" t="s">
        <v>1137</v>
      </c>
      <c r="D327" s="28" t="s">
        <v>804</v>
      </c>
      <c r="E327" s="27" t="s">
        <v>805</v>
      </c>
      <c r="F327" s="5" t="s">
        <v>2182</v>
      </c>
      <c r="G327" s="27" t="s">
        <v>108</v>
      </c>
      <c r="I327" s="27" t="s">
        <v>121</v>
      </c>
      <c r="J327" s="28">
        <v>21480</v>
      </c>
      <c r="K327" s="27" t="s">
        <v>97</v>
      </c>
      <c r="N327" s="28"/>
      <c r="O327" s="28"/>
      <c r="P327" s="28"/>
      <c r="Q327" s="28"/>
      <c r="R327" s="28"/>
      <c r="S327" s="27"/>
      <c r="T327" s="27"/>
      <c r="U327" s="27"/>
      <c r="W327" s="72" t="s">
        <v>1138</v>
      </c>
      <c r="X327" s="72"/>
      <c r="Y327" s="72"/>
      <c r="Z327" s="72"/>
      <c r="AA327" t="s">
        <v>1128</v>
      </c>
      <c r="AB327" s="66">
        <v>306</v>
      </c>
      <c r="AC327">
        <v>20</v>
      </c>
      <c r="AD327"/>
      <c r="AE327" s="7">
        <f t="shared" si="282"/>
        <v>38.355999999999995</v>
      </c>
      <c r="AF327" s="7"/>
      <c r="AG327" s="7">
        <f t="shared" si="283"/>
        <v>4.6052631578947372</v>
      </c>
      <c r="AH327" s="7">
        <f t="shared" si="284"/>
        <v>0</v>
      </c>
      <c r="AI327" s="7">
        <f t="shared" si="285"/>
        <v>0</v>
      </c>
      <c r="AJ327" s="7">
        <f t="shared" si="286"/>
        <v>9.2105263157894746E-2</v>
      </c>
      <c r="AK327" s="7">
        <f t="shared" si="287"/>
        <v>0.53701578947368422</v>
      </c>
      <c r="AL327" s="7">
        <f t="shared" si="288"/>
        <v>4.7257389473684208</v>
      </c>
      <c r="AM327" s="7">
        <f t="shared" si="289"/>
        <v>3.1833333333333331</v>
      </c>
      <c r="AN327" s="7">
        <f t="shared" si="290"/>
        <v>0.33333333333333331</v>
      </c>
      <c r="AO327" s="6"/>
      <c r="AP327" s="6"/>
      <c r="AQ327" s="7">
        <f>SUM(AE327:AO327)</f>
        <v>51.832789824561402</v>
      </c>
      <c r="AR327" s="7"/>
      <c r="AS327" s="7"/>
      <c r="AT327" s="4"/>
      <c r="AU327" s="7">
        <v>0.45</v>
      </c>
      <c r="AV327" s="7">
        <f>AQ327+AU327</f>
        <v>52.282789824561405</v>
      </c>
      <c r="AW327">
        <v>0.126</v>
      </c>
      <c r="AX327">
        <v>0.11600000000000001</v>
      </c>
      <c r="AY327" s="8">
        <v>1</v>
      </c>
      <c r="AZ327">
        <f t="shared" si="291"/>
        <v>9.999999999999995E-3</v>
      </c>
      <c r="BA327" s="4">
        <f t="shared" si="292"/>
        <v>38.355999999999995</v>
      </c>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v>0</v>
      </c>
      <c r="CF327" s="4">
        <v>0</v>
      </c>
      <c r="CG327" s="4">
        <v>0</v>
      </c>
      <c r="CH327" s="4">
        <v>0</v>
      </c>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f t="shared" si="293"/>
        <v>0</v>
      </c>
      <c r="DN327" s="182">
        <v>1.2500000000000001E-2</v>
      </c>
      <c r="DO327" s="4">
        <v>0</v>
      </c>
      <c r="DP327" s="4">
        <f t="shared" si="294"/>
        <v>0</v>
      </c>
      <c r="DQ327" s="4"/>
      <c r="DR327" s="4"/>
      <c r="DS327" s="4"/>
      <c r="DT327" s="4"/>
      <c r="DU327" s="4"/>
      <c r="DV327" s="4"/>
      <c r="DW327" s="4"/>
      <c r="DX327" s="4"/>
      <c r="DY327" s="4"/>
      <c r="DZ327" s="4"/>
      <c r="EA327" s="4"/>
      <c r="EB327" s="4"/>
      <c r="EC327" s="4"/>
      <c r="ED327" s="4"/>
      <c r="EE327" s="4"/>
      <c r="EF327" s="4">
        <v>350</v>
      </c>
      <c r="EG327" s="4">
        <v>3500</v>
      </c>
      <c r="EH327" s="4">
        <v>8</v>
      </c>
      <c r="EI327" s="77">
        <v>0.95</v>
      </c>
      <c r="EJ327" s="10">
        <v>2</v>
      </c>
      <c r="EK327" s="10">
        <v>72</v>
      </c>
      <c r="EL327" s="10">
        <f t="shared" si="295"/>
        <v>760</v>
      </c>
      <c r="EM327" s="10"/>
      <c r="EN327" s="10"/>
      <c r="EO327" s="10"/>
      <c r="EP327" s="10"/>
      <c r="EQ327" s="10"/>
      <c r="ER327" s="10"/>
      <c r="ES327" s="10"/>
      <c r="ET327" s="10"/>
      <c r="EU327" s="4">
        <f t="shared" si="296"/>
        <v>4.6052631578947372</v>
      </c>
      <c r="EV327" s="4"/>
      <c r="EW327" s="4"/>
      <c r="GR327" s="77">
        <v>0.11</v>
      </c>
      <c r="GS327" s="4">
        <f t="shared" si="297"/>
        <v>4.7257389473684208</v>
      </c>
      <c r="GT327" s="182">
        <v>1.2500000000000001E-2</v>
      </c>
      <c r="GU327" s="4">
        <f t="shared" si="298"/>
        <v>0.53701578947368422</v>
      </c>
      <c r="GV327" s="8">
        <v>0.02</v>
      </c>
      <c r="GW327" s="4">
        <f t="shared" si="299"/>
        <v>9.2105263157894746E-2</v>
      </c>
      <c r="GX327" s="4">
        <f t="shared" si="300"/>
        <v>5.3548599999999995</v>
      </c>
      <c r="GY327" s="4" t="s">
        <v>43</v>
      </c>
      <c r="GZ327" s="4" t="s">
        <v>551</v>
      </c>
      <c r="HA327" s="4">
        <v>650</v>
      </c>
      <c r="HB327" s="4">
        <v>450</v>
      </c>
      <c r="HC327" s="4">
        <v>320</v>
      </c>
      <c r="HD327" s="4">
        <v>25</v>
      </c>
      <c r="HE327" s="4">
        <v>600</v>
      </c>
      <c r="HF327" s="4">
        <f t="shared" si="301"/>
        <v>24</v>
      </c>
      <c r="HG327" s="4">
        <v>5</v>
      </c>
      <c r="HH327" s="4">
        <f t="shared" si="302"/>
        <v>120</v>
      </c>
      <c r="HI327" s="4">
        <v>550</v>
      </c>
      <c r="HJ327" s="4">
        <f t="shared" si="303"/>
        <v>66000</v>
      </c>
      <c r="HM327" s="4">
        <v>2</v>
      </c>
      <c r="HN327" s="4">
        <f t="shared" si="304"/>
        <v>360000</v>
      </c>
      <c r="HO327" s="4">
        <f t="shared" si="305"/>
        <v>0.18333333333333332</v>
      </c>
      <c r="HP327" s="4">
        <v>160</v>
      </c>
      <c r="HQ327" s="4">
        <v>0</v>
      </c>
      <c r="HR327" s="4">
        <v>3</v>
      </c>
      <c r="HS327" s="4">
        <v>1</v>
      </c>
      <c r="HT327" s="4">
        <f>HR327/HS327</f>
        <v>3</v>
      </c>
      <c r="HU327" s="4"/>
      <c r="HV327" s="62">
        <f>HO327+HT327</f>
        <v>3.1833333333333331</v>
      </c>
      <c r="HW327" s="62"/>
      <c r="HX327" s="186">
        <f>9.5*307</f>
        <v>2916.5</v>
      </c>
      <c r="HY327" s="184">
        <f>5.5*307</f>
        <v>1688.5</v>
      </c>
      <c r="HZ327">
        <v>1842</v>
      </c>
      <c r="IA327" s="4">
        <f t="shared" si="307"/>
        <v>4</v>
      </c>
      <c r="IB327" s="4">
        <f t="shared" si="308"/>
        <v>3</v>
      </c>
      <c r="IC327" s="4">
        <f t="shared" si="309"/>
        <v>5</v>
      </c>
      <c r="ID327" s="8">
        <v>1</v>
      </c>
      <c r="IE327" s="4">
        <f t="shared" si="310"/>
        <v>60</v>
      </c>
      <c r="IF327" s="4">
        <v>500</v>
      </c>
      <c r="IG327" s="4">
        <f t="shared" si="311"/>
        <v>0.33333333333333331</v>
      </c>
      <c r="IH327" s="4"/>
    </row>
    <row r="328" spans="1:302">
      <c r="A328">
        <v>311</v>
      </c>
      <c r="B328" t="s">
        <v>468</v>
      </c>
      <c r="C328" t="s">
        <v>2187</v>
      </c>
      <c r="D328" s="28" t="s">
        <v>806</v>
      </c>
      <c r="E328" s="27" t="s">
        <v>807</v>
      </c>
      <c r="F328" s="5" t="s">
        <v>2182</v>
      </c>
      <c r="G328" s="27" t="s">
        <v>108</v>
      </c>
      <c r="I328" s="27" t="s">
        <v>121</v>
      </c>
      <c r="J328" s="28">
        <v>21480</v>
      </c>
      <c r="K328" s="27" t="s">
        <v>97</v>
      </c>
      <c r="N328" s="28"/>
      <c r="O328" s="28"/>
      <c r="P328" s="28"/>
      <c r="Q328" s="28"/>
      <c r="R328" s="28"/>
      <c r="S328" s="27"/>
      <c r="T328" s="27"/>
      <c r="U328" s="27"/>
      <c r="AA328" s="180" t="s">
        <v>284</v>
      </c>
      <c r="AB328" s="66">
        <v>80.98</v>
      </c>
      <c r="AC328" s="59">
        <v>20</v>
      </c>
      <c r="AD328"/>
      <c r="AE328" s="7">
        <f t="shared" si="282"/>
        <v>1.6405799999999999</v>
      </c>
      <c r="AF328" s="7">
        <f>DT328</f>
        <v>0</v>
      </c>
      <c r="AG328" s="42">
        <f t="shared" si="283"/>
        <v>1.3711151736745886</v>
      </c>
      <c r="AH328" s="7">
        <f t="shared" si="284"/>
        <v>5.34</v>
      </c>
      <c r="AI328" s="42">
        <f t="shared" si="285"/>
        <v>0.11</v>
      </c>
      <c r="AJ328" s="42">
        <f t="shared" si="286"/>
        <v>2.7422303473491772E-2</v>
      </c>
      <c r="AK328" s="7">
        <f t="shared" si="287"/>
        <v>3.7646189670932362E-2</v>
      </c>
      <c r="AL328" s="42">
        <f t="shared" si="288"/>
        <v>0.33128646910420473</v>
      </c>
      <c r="AM328" s="7">
        <f t="shared" si="289"/>
        <v>0.51527777777777772</v>
      </c>
      <c r="AN328" s="42">
        <f t="shared" si="290"/>
        <v>2.0833333333333332E-2</v>
      </c>
      <c r="AQ328" s="42">
        <f>SUM(AE328:AP328)</f>
        <v>9.3941612470343276</v>
      </c>
      <c r="AT328" s="6">
        <f>8.1-7.77</f>
        <v>0.33000000000000007</v>
      </c>
      <c r="AV328" s="7">
        <f>AQ328+AT328</f>
        <v>9.7241612470343277</v>
      </c>
      <c r="AW328">
        <v>2.0999999999999998E-2</v>
      </c>
      <c r="AX328">
        <v>1.7999999999999999E-2</v>
      </c>
      <c r="AY328" s="8">
        <v>1</v>
      </c>
      <c r="AZ328">
        <f t="shared" si="291"/>
        <v>2.9999999999999992E-3</v>
      </c>
      <c r="BA328" s="4">
        <f t="shared" si="292"/>
        <v>1.6405799999999999</v>
      </c>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v>0</v>
      </c>
      <c r="CE328" s="62">
        <v>0</v>
      </c>
      <c r="CF328" s="62">
        <v>2</v>
      </c>
      <c r="CG328">
        <f>2.57+0.2/CF328</f>
        <v>2.67</v>
      </c>
      <c r="CH328" s="4">
        <f>CF328*CG328</f>
        <v>5.34</v>
      </c>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62">
        <f t="shared" si="293"/>
        <v>5.34</v>
      </c>
      <c r="DN328" s="179">
        <v>0.03</v>
      </c>
      <c r="DO328" s="62">
        <v>0.11</v>
      </c>
      <c r="DP328" s="62">
        <f t="shared" si="294"/>
        <v>5.45</v>
      </c>
      <c r="DQ328" s="4"/>
      <c r="DR328" s="4"/>
      <c r="DS328" s="4"/>
      <c r="DT328" s="4"/>
      <c r="DU328" s="4"/>
      <c r="DV328" s="4"/>
      <c r="DW328" s="4"/>
      <c r="DX328" s="4"/>
      <c r="DY328" s="4"/>
      <c r="DZ328" s="4"/>
      <c r="EA328" s="4"/>
      <c r="EB328" s="4"/>
      <c r="EC328" s="4"/>
      <c r="ED328" s="4"/>
      <c r="EE328" s="4"/>
      <c r="EF328" s="62">
        <v>150</v>
      </c>
      <c r="EG328" s="62">
        <v>1500</v>
      </c>
      <c r="EH328" s="62">
        <v>8</v>
      </c>
      <c r="EI328" s="78">
        <v>0.95</v>
      </c>
      <c r="EJ328" s="65">
        <v>2</v>
      </c>
      <c r="EK328" s="65">
        <v>50</v>
      </c>
      <c r="EL328" s="65">
        <f t="shared" si="295"/>
        <v>1094</v>
      </c>
      <c r="EM328" s="10"/>
      <c r="EN328" s="10"/>
      <c r="EO328" s="10"/>
      <c r="EP328" s="10"/>
      <c r="EQ328" s="10"/>
      <c r="ER328" s="10"/>
      <c r="ES328" s="10"/>
      <c r="ET328" s="10"/>
      <c r="EU328" s="62">
        <f t="shared" si="296"/>
        <v>1.3711151736745886</v>
      </c>
      <c r="GR328" s="78">
        <v>0.11</v>
      </c>
      <c r="GS328" s="62">
        <f t="shared" si="297"/>
        <v>0.33128646910420473</v>
      </c>
      <c r="GT328" s="179">
        <v>1.2500000000000001E-2</v>
      </c>
      <c r="GU328" s="62">
        <f t="shared" si="298"/>
        <v>3.7646189670932362E-2</v>
      </c>
      <c r="GV328" s="61">
        <v>0.02</v>
      </c>
      <c r="GW328" s="62">
        <f t="shared" si="299"/>
        <v>2.7422303473491772E-2</v>
      </c>
      <c r="GX328" s="62">
        <f t="shared" si="300"/>
        <v>0.39635496224862887</v>
      </c>
      <c r="GY328" s="62" t="s">
        <v>43</v>
      </c>
      <c r="GZ328" s="62" t="s">
        <v>551</v>
      </c>
      <c r="HA328" s="59">
        <v>650</v>
      </c>
      <c r="HB328" s="59">
        <v>450</v>
      </c>
      <c r="HC328" s="59">
        <v>320</v>
      </c>
      <c r="HD328" s="59">
        <v>400</v>
      </c>
      <c r="HE328" s="59">
        <v>600</v>
      </c>
      <c r="HF328" s="62">
        <f t="shared" si="301"/>
        <v>2</v>
      </c>
      <c r="HG328" s="59">
        <v>5</v>
      </c>
      <c r="HH328" s="62">
        <f t="shared" si="302"/>
        <v>10</v>
      </c>
      <c r="HI328" s="59">
        <v>550</v>
      </c>
      <c r="HJ328" s="62">
        <f t="shared" si="303"/>
        <v>5500</v>
      </c>
      <c r="HM328" s="59">
        <v>2</v>
      </c>
      <c r="HN328" s="62">
        <f t="shared" si="304"/>
        <v>360000</v>
      </c>
      <c r="HO328" s="62">
        <f t="shared" si="305"/>
        <v>1.5277777777777777E-2</v>
      </c>
      <c r="HP328" s="59">
        <v>160</v>
      </c>
      <c r="HQ328" s="59">
        <v>0</v>
      </c>
      <c r="HR328" s="59">
        <v>0</v>
      </c>
      <c r="HS328" s="59">
        <v>0</v>
      </c>
      <c r="HT328" s="59">
        <v>0</v>
      </c>
      <c r="HU328" s="59"/>
      <c r="HV328" s="62">
        <f>HO328+HT328+0.5</f>
        <v>0.51527777777777772</v>
      </c>
      <c r="HW328" s="62"/>
      <c r="HX328" s="183">
        <f>9.5*307</f>
        <v>2916.5</v>
      </c>
      <c r="HY328" s="184">
        <f>5.5*307</f>
        <v>1688.5</v>
      </c>
      <c r="HZ328" s="184">
        <f>6*307</f>
        <v>1842</v>
      </c>
      <c r="IA328" s="62">
        <f t="shared" si="307"/>
        <v>4</v>
      </c>
      <c r="IB328" s="62">
        <f t="shared" si="308"/>
        <v>3</v>
      </c>
      <c r="IC328" s="62">
        <f t="shared" si="309"/>
        <v>5</v>
      </c>
      <c r="ID328" s="61">
        <v>1</v>
      </c>
      <c r="IE328" s="62">
        <f t="shared" si="310"/>
        <v>60</v>
      </c>
      <c r="IF328" s="59">
        <v>500</v>
      </c>
      <c r="IG328" s="62">
        <f t="shared" si="311"/>
        <v>2.0833333333333332E-2</v>
      </c>
      <c r="IH328" s="62"/>
    </row>
    <row r="329" spans="1:302">
      <c r="A329">
        <v>312</v>
      </c>
      <c r="B329" t="s">
        <v>468</v>
      </c>
      <c r="C329" t="s">
        <v>567</v>
      </c>
      <c r="D329" s="28" t="s">
        <v>806</v>
      </c>
      <c r="E329" s="27" t="s">
        <v>807</v>
      </c>
      <c r="F329" s="27"/>
      <c r="G329" s="27" t="s">
        <v>108</v>
      </c>
      <c r="I329" s="27" t="s">
        <v>226</v>
      </c>
      <c r="J329" s="28">
        <v>21480</v>
      </c>
      <c r="K329" s="27" t="s">
        <v>97</v>
      </c>
      <c r="N329" s="28" t="s">
        <v>1835</v>
      </c>
      <c r="O329" s="28" t="s">
        <v>1943</v>
      </c>
      <c r="P329" s="331">
        <v>45266</v>
      </c>
      <c r="Q329" s="28"/>
      <c r="R329" s="28"/>
      <c r="S329" s="27"/>
      <c r="T329" s="27"/>
      <c r="U329" s="27"/>
      <c r="W329" s="13" t="s">
        <v>1139</v>
      </c>
    </row>
    <row r="330" spans="1:302">
      <c r="A330">
        <v>313</v>
      </c>
      <c r="B330" t="s">
        <v>468</v>
      </c>
      <c r="C330" t="s">
        <v>1140</v>
      </c>
      <c r="D330" s="28" t="s">
        <v>808</v>
      </c>
      <c r="E330" s="27" t="s">
        <v>809</v>
      </c>
      <c r="F330" s="5" t="s">
        <v>2182</v>
      </c>
      <c r="G330" s="27" t="s">
        <v>108</v>
      </c>
      <c r="I330" s="27" t="s">
        <v>121</v>
      </c>
      <c r="J330" s="28">
        <v>21480</v>
      </c>
      <c r="K330" s="27" t="s">
        <v>97</v>
      </c>
      <c r="N330" s="28"/>
      <c r="O330" s="28"/>
      <c r="P330" s="28"/>
      <c r="Q330" s="28"/>
      <c r="R330" s="28"/>
      <c r="S330" s="27"/>
      <c r="T330" s="27"/>
      <c r="U330" s="27"/>
      <c r="W330"/>
      <c r="X330"/>
      <c r="Y330"/>
      <c r="Z330"/>
      <c r="AA330" t="s">
        <v>440</v>
      </c>
      <c r="AB330" s="66">
        <v>85.45</v>
      </c>
      <c r="AC330">
        <v>20</v>
      </c>
      <c r="AD330"/>
      <c r="AE330" s="7">
        <f>BA330</f>
        <v>3.5489000000000002</v>
      </c>
      <c r="AF330" s="7"/>
      <c r="AG330" s="7">
        <f>EU330+FA330</f>
        <v>1.3711151736745886</v>
      </c>
      <c r="AH330" s="7">
        <f>DM330</f>
        <v>3.15</v>
      </c>
      <c r="AI330" s="7">
        <f>DO330</f>
        <v>9.4500000000000001E-2</v>
      </c>
      <c r="AJ330" s="7">
        <f>GW330</f>
        <v>2.7422303473491772E-2</v>
      </c>
      <c r="AK330" s="7">
        <f>GU330</f>
        <v>6.1500189670932362E-2</v>
      </c>
      <c r="AL330" s="7">
        <f>GS330</f>
        <v>0.54120166910420475</v>
      </c>
      <c r="AM330" s="7">
        <f>HV330</f>
        <v>3.6666666666666667E-2</v>
      </c>
      <c r="AN330" s="7">
        <f>IG330</f>
        <v>4.1666666666666664E-2</v>
      </c>
      <c r="AO330" s="6"/>
      <c r="AP330" s="6"/>
      <c r="AQ330" s="7">
        <f>SUM(AE330:AO330)</f>
        <v>8.8729726692565496</v>
      </c>
      <c r="AR330" s="7"/>
      <c r="AS330" s="7"/>
      <c r="AT330" s="4"/>
      <c r="AU330" s="7"/>
      <c r="AV330" s="7">
        <f>AQ330+AU330</f>
        <v>8.8729726692565496</v>
      </c>
      <c r="AW330">
        <v>4.2000000000000003E-2</v>
      </c>
      <c r="AX330">
        <v>0.04</v>
      </c>
      <c r="AY330" s="8">
        <v>1</v>
      </c>
      <c r="AZ330">
        <f>AW330-AX330</f>
        <v>2.0000000000000018E-3</v>
      </c>
      <c r="BA330" s="4">
        <f>AW330*AB330-(AZ330*AC330)*AY330</f>
        <v>3.5489000000000002</v>
      </c>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v>0</v>
      </c>
      <c r="CF330" s="4">
        <v>1</v>
      </c>
      <c r="CG330" s="4">
        <v>3.15</v>
      </c>
      <c r="CH330" s="4">
        <f>CF330*CG330</f>
        <v>3.15</v>
      </c>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f>CH330+CM330+CR330+CW330+DB330+DG330+DK330</f>
        <v>3.15</v>
      </c>
      <c r="DN330" s="182">
        <v>0.03</v>
      </c>
      <c r="DO330" s="4">
        <f>DN330*CG330*CF330</f>
        <v>9.4500000000000001E-2</v>
      </c>
      <c r="DP330" s="4">
        <f>DM330+DO330</f>
        <v>3.2444999999999999</v>
      </c>
      <c r="DQ330" s="4"/>
      <c r="DR330" s="4"/>
      <c r="DS330" s="4"/>
      <c r="DT330" s="4"/>
      <c r="DU330" s="4"/>
      <c r="DV330" s="4"/>
      <c r="DW330" s="4"/>
      <c r="DX330" s="4"/>
      <c r="DY330" s="4"/>
      <c r="DZ330" s="4"/>
      <c r="EA330" s="4"/>
      <c r="EB330" s="4"/>
      <c r="EC330" s="4"/>
      <c r="ED330" s="4"/>
      <c r="EE330" s="4"/>
      <c r="EF330" s="4">
        <v>150</v>
      </c>
      <c r="EG330" s="4">
        <v>1500</v>
      </c>
      <c r="EH330" s="4">
        <v>8</v>
      </c>
      <c r="EI330" s="77">
        <v>0.95</v>
      </c>
      <c r="EJ330" s="10">
        <v>2</v>
      </c>
      <c r="EK330" s="10">
        <v>50</v>
      </c>
      <c r="EL330" s="10">
        <f>ROUND(3600/EK330*EH330*EJ330*EI330,0)</f>
        <v>1094</v>
      </c>
      <c r="EM330" s="10"/>
      <c r="EN330" s="10"/>
      <c r="EO330" s="10"/>
      <c r="EP330" s="10"/>
      <c r="EQ330" s="10"/>
      <c r="ER330" s="10"/>
      <c r="ES330" s="10"/>
      <c r="ET330" s="10"/>
      <c r="EU330" s="4">
        <f>EG330/EL330</f>
        <v>1.3711151736745886</v>
      </c>
      <c r="EV330" s="4"/>
      <c r="EW330" s="4"/>
      <c r="GR330" s="77">
        <v>0.11</v>
      </c>
      <c r="GS330" s="4">
        <f>GR330*(BA330+EU330)</f>
        <v>0.54120166910420475</v>
      </c>
      <c r="GT330" s="182">
        <v>1.2500000000000001E-2</v>
      </c>
      <c r="GU330" s="62">
        <f>GT330*(BA330+EU330)</f>
        <v>6.1500189670932362E-2</v>
      </c>
      <c r="GV330" s="61">
        <v>0.02</v>
      </c>
      <c r="GW330" s="62">
        <f>GV330*EU330</f>
        <v>2.7422303473491772E-2</v>
      </c>
      <c r="GX330" s="62">
        <f>GS330+GU330+GW330</f>
        <v>0.63012416224862888</v>
      </c>
      <c r="GY330" s="62" t="s">
        <v>43</v>
      </c>
      <c r="GZ330" s="62" t="s">
        <v>551</v>
      </c>
      <c r="HA330" s="59">
        <v>650</v>
      </c>
      <c r="HB330" s="59">
        <v>450</v>
      </c>
      <c r="HC330" s="59">
        <v>320</v>
      </c>
      <c r="HD330" s="59">
        <v>200</v>
      </c>
      <c r="HE330" s="59">
        <v>250</v>
      </c>
      <c r="HF330" s="59">
        <f>ROUNDUP(HE330/HD330,0)</f>
        <v>2</v>
      </c>
      <c r="HG330" s="59">
        <v>5</v>
      </c>
      <c r="HH330" s="59">
        <f>HF330*HG330</f>
        <v>10</v>
      </c>
      <c r="HI330" s="194">
        <v>550</v>
      </c>
      <c r="HJ330" s="62">
        <f>HH330*HI330</f>
        <v>5500</v>
      </c>
      <c r="HK330" s="59"/>
      <c r="HL330" s="59"/>
      <c r="HM330" s="59">
        <v>2</v>
      </c>
      <c r="HN330" s="59">
        <f>HM330*12*25*HE330</f>
        <v>150000</v>
      </c>
      <c r="HO330" s="69">
        <f>IF(GY330="carton box",HI330/HD330,HJ330/HN330)</f>
        <v>3.6666666666666667E-2</v>
      </c>
      <c r="HP330" s="59">
        <v>160</v>
      </c>
      <c r="HQ330" s="59">
        <v>0</v>
      </c>
      <c r="HR330" s="59">
        <v>0</v>
      </c>
      <c r="HS330" s="59">
        <v>0</v>
      </c>
      <c r="HT330" s="59">
        <v>0</v>
      </c>
      <c r="HU330" s="59"/>
      <c r="HV330" s="62">
        <f>HO330+HT330</f>
        <v>3.6666666666666667E-2</v>
      </c>
      <c r="HW330" s="62"/>
      <c r="HX330" s="59">
        <v>2917</v>
      </c>
      <c r="HY330" s="59">
        <v>1689</v>
      </c>
      <c r="HZ330" s="59">
        <v>1842</v>
      </c>
      <c r="IA330" s="62">
        <f>ROUNDDOWN(HX330/HA330,0)</f>
        <v>4</v>
      </c>
      <c r="IB330" s="62">
        <f>ROUNDDOWN(HY330/HB330,0)</f>
        <v>3</v>
      </c>
      <c r="IC330" s="59">
        <f>ROUNDDOWN(HZ330/HC330,0)</f>
        <v>5</v>
      </c>
      <c r="ID330" s="78">
        <v>1</v>
      </c>
      <c r="IE330" s="59">
        <f>PRODUCT(IA330:ID330)</f>
        <v>60</v>
      </c>
      <c r="IF330" s="59">
        <v>500</v>
      </c>
      <c r="IG330" s="69">
        <f>IF330/(IE330*HD330)</f>
        <v>4.1666666666666664E-2</v>
      </c>
      <c r="IH330" s="69"/>
    </row>
    <row r="331" spans="1:302">
      <c r="A331">
        <v>314</v>
      </c>
      <c r="B331" t="s">
        <v>468</v>
      </c>
      <c r="C331" t="s">
        <v>567</v>
      </c>
      <c r="D331" s="28" t="s">
        <v>808</v>
      </c>
      <c r="E331" s="27" t="s">
        <v>809</v>
      </c>
      <c r="F331" s="27"/>
      <c r="G331" s="27" t="s">
        <v>108</v>
      </c>
      <c r="I331" s="27" t="s">
        <v>226</v>
      </c>
      <c r="J331" s="28">
        <v>21480</v>
      </c>
      <c r="K331" s="27" t="s">
        <v>97</v>
      </c>
      <c r="N331" s="28" t="s">
        <v>1835</v>
      </c>
      <c r="O331" s="28" t="s">
        <v>1943</v>
      </c>
      <c r="P331" s="331">
        <v>45266</v>
      </c>
      <c r="Q331" s="28"/>
      <c r="R331" s="28"/>
      <c r="S331" s="27"/>
      <c r="T331" s="27"/>
      <c r="U331" s="27"/>
      <c r="W331" s="13" t="s">
        <v>1139</v>
      </c>
    </row>
    <row r="332" spans="1:302">
      <c r="A332">
        <v>315</v>
      </c>
      <c r="B332" t="s">
        <v>468</v>
      </c>
      <c r="C332" s="187" t="s">
        <v>1141</v>
      </c>
      <c r="D332" s="28" t="s">
        <v>810</v>
      </c>
      <c r="E332" s="27" t="s">
        <v>801</v>
      </c>
      <c r="F332" s="5" t="s">
        <v>2182</v>
      </c>
      <c r="G332" s="27" t="s">
        <v>108</v>
      </c>
      <c r="I332" s="27" t="s">
        <v>121</v>
      </c>
      <c r="J332" s="28">
        <v>21480</v>
      </c>
      <c r="K332" s="27" t="s">
        <v>97</v>
      </c>
      <c r="N332" s="28"/>
      <c r="O332" s="28"/>
      <c r="P332" s="28"/>
      <c r="Q332" s="28"/>
      <c r="R332" s="28"/>
      <c r="S332" s="27"/>
      <c r="T332" s="27"/>
      <c r="U332" s="27"/>
      <c r="W332" s="13" t="s">
        <v>1142</v>
      </c>
      <c r="AA332" t="s">
        <v>1132</v>
      </c>
      <c r="AB332" s="66">
        <v>187.3</v>
      </c>
      <c r="AC332">
        <v>20</v>
      </c>
      <c r="AD332"/>
      <c r="AE332" s="7">
        <f>BA332</f>
        <v>39.045699999999997</v>
      </c>
      <c r="AF332" s="7"/>
      <c r="AG332" s="7">
        <f>EU332+FA332</f>
        <v>8.31353919239905</v>
      </c>
      <c r="AH332" s="7">
        <f>DM332</f>
        <v>0</v>
      </c>
      <c r="AI332" s="7">
        <f>DO332</f>
        <v>0</v>
      </c>
      <c r="AJ332" s="7">
        <f>GW332</f>
        <v>0.166270783847981</v>
      </c>
      <c r="AK332" s="7">
        <f>GU332</f>
        <v>0.59199048990498804</v>
      </c>
      <c r="AL332" s="7">
        <f>GS332</f>
        <v>5.2095163111638954</v>
      </c>
      <c r="AM332" s="7">
        <f>HV332</f>
        <v>1.1919444444444445</v>
      </c>
      <c r="AN332" s="7">
        <f>IG332</f>
        <v>0.69444444444444442</v>
      </c>
      <c r="AO332" s="6"/>
      <c r="AP332" s="6"/>
      <c r="AQ332" s="7">
        <f>SUM(AE332:AO332)</f>
        <v>55.213405666204793</v>
      </c>
      <c r="AR332" s="7"/>
      <c r="AS332" s="7"/>
      <c r="AT332" s="4"/>
      <c r="AU332" s="7">
        <v>0.23</v>
      </c>
      <c r="AV332" s="7">
        <f>AQ332+AU332</f>
        <v>55.443405666204789</v>
      </c>
      <c r="AW332">
        <v>0.20899999999999999</v>
      </c>
      <c r="AX332">
        <v>0.20399999999999999</v>
      </c>
      <c r="AY332" s="8">
        <v>1</v>
      </c>
      <c r="AZ332">
        <f>AW332-AX332</f>
        <v>5.0000000000000044E-3</v>
      </c>
      <c r="BA332" s="4">
        <f>AW332*AB332-(AZ332*AC332)*AY332</f>
        <v>39.045699999999997</v>
      </c>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v>0</v>
      </c>
      <c r="CF332" s="4">
        <v>0</v>
      </c>
      <c r="CG332" s="4">
        <v>0</v>
      </c>
      <c r="CH332" s="4">
        <v>0</v>
      </c>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v>0</v>
      </c>
      <c r="DN332" s="182">
        <v>0.03</v>
      </c>
      <c r="DO332" s="4">
        <v>0</v>
      </c>
      <c r="DP332" s="4">
        <f>DM332+DO332</f>
        <v>0</v>
      </c>
      <c r="DQ332" s="4"/>
      <c r="DR332" s="4"/>
      <c r="DS332" s="4"/>
      <c r="DT332" s="4"/>
      <c r="DU332" s="4"/>
      <c r="DV332" s="4"/>
      <c r="DW332" s="4"/>
      <c r="DX332" s="4"/>
      <c r="DY332" s="4"/>
      <c r="DZ332" s="4"/>
      <c r="EA332" s="4"/>
      <c r="EB332" s="4"/>
      <c r="EC332" s="4"/>
      <c r="ED332" s="4"/>
      <c r="EE332" s="4"/>
      <c r="EF332" s="4">
        <v>350</v>
      </c>
      <c r="EG332" s="4">
        <v>3500</v>
      </c>
      <c r="EH332" s="4">
        <v>8</v>
      </c>
      <c r="EI332" s="77">
        <v>0.95</v>
      </c>
      <c r="EJ332" s="10">
        <v>1</v>
      </c>
      <c r="EK332" s="10">
        <v>65</v>
      </c>
      <c r="EL332" s="10">
        <f>ROUND(3600/EK332*EH332*EJ332*EI332,0)</f>
        <v>421</v>
      </c>
      <c r="EM332" s="10"/>
      <c r="EN332" s="10"/>
      <c r="EO332" s="10"/>
      <c r="EP332" s="10"/>
      <c r="EQ332" s="10"/>
      <c r="ER332" s="10"/>
      <c r="ES332" s="10"/>
      <c r="ET332" s="10"/>
      <c r="EU332" s="4">
        <f>EG332/EL332</f>
        <v>8.31353919239905</v>
      </c>
      <c r="EV332" s="4"/>
      <c r="EW332" s="4"/>
      <c r="GR332" s="77">
        <v>0.11</v>
      </c>
      <c r="GS332" s="4">
        <f>GR332*(BA332+EU332)</f>
        <v>5.2095163111638954</v>
      </c>
      <c r="GT332" s="182">
        <v>1.2500000000000001E-2</v>
      </c>
      <c r="GU332" s="62">
        <f>GT332*(BA332+EU332)</f>
        <v>0.59199048990498804</v>
      </c>
      <c r="GV332" s="61">
        <v>0.02</v>
      </c>
      <c r="GW332" s="62">
        <f>GV332*EU332</f>
        <v>0.166270783847981</v>
      </c>
      <c r="GX332" s="62">
        <f>GS332+GU332+GW332</f>
        <v>5.9677775849168642</v>
      </c>
      <c r="GY332" s="62" t="s">
        <v>43</v>
      </c>
      <c r="GZ332" s="62" t="s">
        <v>551</v>
      </c>
      <c r="HA332">
        <v>650</v>
      </c>
      <c r="HB332">
        <v>450</v>
      </c>
      <c r="HC332">
        <v>320</v>
      </c>
      <c r="HD332">
        <v>12</v>
      </c>
      <c r="HE332">
        <v>600</v>
      </c>
      <c r="HF332" s="62">
        <f>ROUNDUP(HE332/HD332,0)</f>
        <v>50</v>
      </c>
      <c r="HG332">
        <v>5</v>
      </c>
      <c r="HH332" s="62">
        <f>HF332*HG332</f>
        <v>250</v>
      </c>
      <c r="HI332">
        <v>550</v>
      </c>
      <c r="HJ332" s="62">
        <f>HH332*HI332</f>
        <v>137500</v>
      </c>
      <c r="HM332">
        <v>2</v>
      </c>
      <c r="HN332" s="62">
        <f>HM332*12*25*HE332</f>
        <v>360000</v>
      </c>
      <c r="HO332" s="62">
        <f>IF(GY332="carton box",HI332/HD332,HJ332/HN332)</f>
        <v>0.38194444444444442</v>
      </c>
      <c r="HP332">
        <v>160</v>
      </c>
      <c r="HQ332">
        <v>0</v>
      </c>
      <c r="HR332">
        <v>0.81</v>
      </c>
      <c r="HS332">
        <v>1</v>
      </c>
      <c r="HT332" s="4">
        <f>HR332/HS332</f>
        <v>0.81</v>
      </c>
      <c r="HU332" s="4"/>
      <c r="HV332" s="62">
        <f>HO332+HT332</f>
        <v>1.1919444444444445</v>
      </c>
      <c r="HW332" s="62"/>
      <c r="HX332">
        <v>2917</v>
      </c>
      <c r="HY332">
        <v>1689</v>
      </c>
      <c r="HZ332">
        <v>1842</v>
      </c>
      <c r="IA332" s="62">
        <f t="shared" ref="IA332:IC335" si="312">ROUNDDOWN(HX332/HA332,0)</f>
        <v>4</v>
      </c>
      <c r="IB332" s="62">
        <f t="shared" si="312"/>
        <v>3</v>
      </c>
      <c r="IC332" s="62">
        <f t="shared" si="312"/>
        <v>5</v>
      </c>
      <c r="ID332" s="61">
        <v>1</v>
      </c>
      <c r="IE332" s="62">
        <f>PRODUCT(IA332:ID332)</f>
        <v>60</v>
      </c>
      <c r="IF332">
        <v>500</v>
      </c>
      <c r="IG332" s="62">
        <f>IF332/(IE332*HD332)</f>
        <v>0.69444444444444442</v>
      </c>
      <c r="IH332" s="62"/>
    </row>
    <row r="333" spans="1:302" ht="45">
      <c r="A333">
        <v>316</v>
      </c>
      <c r="B333" t="s">
        <v>468</v>
      </c>
      <c r="C333" t="s">
        <v>1143</v>
      </c>
      <c r="D333" s="28" t="s">
        <v>811</v>
      </c>
      <c r="E333" s="27" t="s">
        <v>812</v>
      </c>
      <c r="F333" s="5" t="s">
        <v>2182</v>
      </c>
      <c r="G333" s="27" t="s">
        <v>108</v>
      </c>
      <c r="I333" s="27" t="s">
        <v>121</v>
      </c>
      <c r="J333" s="28">
        <v>21480</v>
      </c>
      <c r="K333" s="27" t="s">
        <v>97</v>
      </c>
      <c r="N333" s="28"/>
      <c r="O333" s="28"/>
      <c r="P333" s="28"/>
      <c r="Q333" s="28"/>
      <c r="R333" s="28"/>
      <c r="S333" s="27"/>
      <c r="T333" s="27"/>
      <c r="U333" s="27"/>
      <c r="W333"/>
      <c r="X333"/>
      <c r="Y333"/>
      <c r="Z333"/>
      <c r="AA333" s="195" t="s">
        <v>440</v>
      </c>
      <c r="AB333" s="66">
        <v>85.45</v>
      </c>
      <c r="AC333" s="59">
        <v>20</v>
      </c>
      <c r="AD333"/>
      <c r="AE333" s="7">
        <f>BA333</f>
        <v>26.258600000000001</v>
      </c>
      <c r="AF333" s="7">
        <f>DT333</f>
        <v>12.994883309210525</v>
      </c>
      <c r="AG333" s="42">
        <f>EU333+FA333</f>
        <v>6.4382422802850359</v>
      </c>
      <c r="AH333" s="7">
        <f>DM333</f>
        <v>0.2</v>
      </c>
      <c r="AI333" s="42">
        <f>DO333</f>
        <v>0</v>
      </c>
      <c r="AJ333" s="42">
        <f>GW333</f>
        <v>0.11876484560570072</v>
      </c>
      <c r="AK333" s="7">
        <f>GU333</f>
        <v>0.40246052850356301</v>
      </c>
      <c r="AL333" s="42">
        <f>GS333</f>
        <v>3.5416526508313546</v>
      </c>
      <c r="AM333" s="7">
        <f>HV333</f>
        <v>0.45833333333333331</v>
      </c>
      <c r="AN333" s="42">
        <f>IG333</f>
        <v>0.83333333333333337</v>
      </c>
      <c r="AP333" s="42">
        <f>EZ333</f>
        <v>0.12859999999999999</v>
      </c>
      <c r="AQ333" s="42">
        <f>SUM(AE333:AP333)</f>
        <v>51.374870281102851</v>
      </c>
      <c r="AV333" s="7">
        <f>AQ333+AU333</f>
        <v>51.374870281102851</v>
      </c>
      <c r="AW333">
        <v>0.308</v>
      </c>
      <c r="AX333">
        <v>0.30499999999999999</v>
      </c>
      <c r="AY333" s="8">
        <v>1</v>
      </c>
      <c r="AZ333">
        <f>AW333-AX333</f>
        <v>3.0000000000000027E-3</v>
      </c>
      <c r="BA333" s="4">
        <f>AW333*AB333-(AZ333*AC333)*AY333</f>
        <v>26.258600000000001</v>
      </c>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v>0</v>
      </c>
      <c r="CE333" s="62">
        <v>0</v>
      </c>
      <c r="CF333" s="62">
        <v>1</v>
      </c>
      <c r="CG333">
        <v>0.2</v>
      </c>
      <c r="CH333" s="4">
        <f>CF333*CG333</f>
        <v>0.2</v>
      </c>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62">
        <f>CH333+CM333+CR333+CW333+DB333+DG333+DK333</f>
        <v>0.2</v>
      </c>
      <c r="DN333" s="179">
        <v>0.03</v>
      </c>
      <c r="DO333" s="62">
        <v>0</v>
      </c>
      <c r="DP333" s="62">
        <f>DM333+DO333</f>
        <v>0.2</v>
      </c>
      <c r="DQ333" s="196" t="s">
        <v>1144</v>
      </c>
      <c r="DR333" s="197" t="s">
        <v>1130</v>
      </c>
      <c r="DS333" s="198"/>
      <c r="DT333" s="62">
        <f>KP333</f>
        <v>12.994883309210525</v>
      </c>
      <c r="DU333" s="62"/>
      <c r="DV333" s="62"/>
      <c r="DW333" s="62"/>
      <c r="DX333" s="62"/>
      <c r="DY333" s="62"/>
      <c r="DZ333" s="62"/>
      <c r="EA333" s="62"/>
      <c r="EB333" s="62"/>
      <c r="EC333" s="62"/>
      <c r="ED333" s="62"/>
      <c r="EE333" s="62"/>
      <c r="EF333" s="62">
        <v>250</v>
      </c>
      <c r="EG333" s="62">
        <v>2500</v>
      </c>
      <c r="EH333" s="62">
        <v>8</v>
      </c>
      <c r="EI333" s="78">
        <v>0.95</v>
      </c>
      <c r="EJ333" s="65">
        <v>1</v>
      </c>
      <c r="EK333" s="65">
        <v>65</v>
      </c>
      <c r="EL333" s="65">
        <f>ROUND(3600/EK333*EH333*EJ333*EI333,0)</f>
        <v>421</v>
      </c>
      <c r="EM333" s="10"/>
      <c r="EN333" s="10"/>
      <c r="EO333" s="10"/>
      <c r="EP333" s="10"/>
      <c r="EQ333" s="10"/>
      <c r="ER333" s="10"/>
      <c r="ES333" s="10"/>
      <c r="ET333" s="10"/>
      <c r="EU333" s="62">
        <f>EG333/EL333</f>
        <v>5.9382422802850359</v>
      </c>
      <c r="EX333" s="4">
        <v>0.5</v>
      </c>
      <c r="EZ333" s="62">
        <f>23148/(600*300)</f>
        <v>0.12859999999999999</v>
      </c>
      <c r="FA333" s="62">
        <f>EX333</f>
        <v>0.5</v>
      </c>
      <c r="FB333" s="62"/>
      <c r="FC333" s="62"/>
      <c r="FD333" s="62"/>
      <c r="FE333" s="62"/>
      <c r="FF333" s="62"/>
      <c r="FG333" s="62"/>
      <c r="FH333" s="62"/>
      <c r="FI333" s="62"/>
      <c r="FJ333" s="62"/>
      <c r="FK333" s="62"/>
      <c r="FL333" s="62"/>
      <c r="FM333" s="62"/>
      <c r="FN333" s="62"/>
      <c r="FO333" s="62"/>
      <c r="FP333" s="62"/>
      <c r="FQ333" s="62"/>
      <c r="FR333" s="62"/>
      <c r="FS333" s="62"/>
      <c r="FT333" s="62"/>
      <c r="FU333" s="62"/>
      <c r="FV333" s="62"/>
      <c r="FW333" s="62"/>
      <c r="FX333" s="62"/>
      <c r="FY333" s="62"/>
      <c r="FZ333" s="62"/>
      <c r="GA333" s="62"/>
      <c r="GB333" s="62"/>
      <c r="GC333" s="62"/>
      <c r="GD333" s="62"/>
      <c r="GE333" s="62"/>
      <c r="GF333" s="62"/>
      <c r="GG333" s="62"/>
      <c r="GH333" s="62"/>
      <c r="GI333" s="62"/>
      <c r="GJ333" s="62"/>
      <c r="GK333" s="62"/>
      <c r="GL333" s="62"/>
      <c r="GM333" s="62"/>
      <c r="GN333" s="62"/>
      <c r="GO333" s="62"/>
      <c r="GP333" s="62"/>
      <c r="GQ333" s="62"/>
      <c r="GR333" s="77">
        <v>0.11</v>
      </c>
      <c r="GS333" s="62">
        <f>GR333*(BA333+EU333)</f>
        <v>3.5416526508313546</v>
      </c>
      <c r="GT333" s="179">
        <v>1.2500000000000001E-2</v>
      </c>
      <c r="GU333" s="62">
        <f>GT333*(BA333+EU333)</f>
        <v>0.40246052850356301</v>
      </c>
      <c r="GV333" s="61">
        <v>0.02</v>
      </c>
      <c r="GW333" s="62">
        <f>GV333*EU333</f>
        <v>0.11876484560570072</v>
      </c>
      <c r="GX333" s="62">
        <f>GS333+GU333+GW333</f>
        <v>4.0628780249406189</v>
      </c>
      <c r="GY333" s="62" t="s">
        <v>43</v>
      </c>
      <c r="GZ333" s="62" t="s">
        <v>551</v>
      </c>
      <c r="HA333">
        <v>650</v>
      </c>
      <c r="HB333">
        <v>450</v>
      </c>
      <c r="HC333" s="59">
        <v>320</v>
      </c>
      <c r="HD333" s="59">
        <v>10</v>
      </c>
      <c r="HE333" s="59">
        <v>600</v>
      </c>
      <c r="HF333" s="62">
        <f>ROUNDUP(HE333/HD333,0)</f>
        <v>60</v>
      </c>
      <c r="HG333" s="59">
        <v>5</v>
      </c>
      <c r="HH333" s="62">
        <f>HF333*HG333</f>
        <v>300</v>
      </c>
      <c r="HI333" s="59">
        <v>550</v>
      </c>
      <c r="HJ333" s="62">
        <f>HH333*HI333</f>
        <v>165000</v>
      </c>
      <c r="HM333" s="59">
        <v>2</v>
      </c>
      <c r="HN333" s="62">
        <f>HM333*12*25*HE333</f>
        <v>360000</v>
      </c>
      <c r="HO333" s="62">
        <f>IF(GY333="carton box",HI333/HD333,HJ333/HN333)</f>
        <v>0.45833333333333331</v>
      </c>
      <c r="HP333" s="59">
        <v>160</v>
      </c>
      <c r="HQ333" s="59">
        <v>0</v>
      </c>
      <c r="HR333" s="59">
        <v>0</v>
      </c>
      <c r="HS333" s="59">
        <v>0</v>
      </c>
      <c r="HT333" s="59">
        <v>0</v>
      </c>
      <c r="HU333" s="59"/>
      <c r="HV333" s="62">
        <f>HO333+HT333</f>
        <v>0.45833333333333331</v>
      </c>
      <c r="HW333" s="62"/>
      <c r="HX333" s="186">
        <f>9.5*307</f>
        <v>2916.5</v>
      </c>
      <c r="HY333" s="184">
        <f>5.5*307</f>
        <v>1688.5</v>
      </c>
      <c r="HZ333" s="184">
        <f>6*307</f>
        <v>1842</v>
      </c>
      <c r="IA333" s="62">
        <f t="shared" si="312"/>
        <v>4</v>
      </c>
      <c r="IB333" s="62">
        <f t="shared" si="312"/>
        <v>3</v>
      </c>
      <c r="IC333" s="62">
        <f t="shared" si="312"/>
        <v>5</v>
      </c>
      <c r="ID333" s="61">
        <v>1</v>
      </c>
      <c r="IE333" s="62">
        <f>PRODUCT(IA333:ID333)</f>
        <v>60</v>
      </c>
      <c r="IF333" s="59">
        <v>500</v>
      </c>
      <c r="IG333" s="62">
        <f>IF333/(IE333*HD333)</f>
        <v>0.83333333333333337</v>
      </c>
      <c r="IH333" s="62"/>
      <c r="IM333" s="195" t="s">
        <v>440</v>
      </c>
      <c r="IN333">
        <v>85.45</v>
      </c>
      <c r="IO333">
        <v>20</v>
      </c>
      <c r="IQ333">
        <v>9.7000000000000003E-2</v>
      </c>
      <c r="IR333">
        <v>9.4E-2</v>
      </c>
      <c r="IS333" s="8">
        <v>1</v>
      </c>
      <c r="IT333" s="69">
        <f>(IQ333-IR333)*IS333</f>
        <v>3.0000000000000027E-3</v>
      </c>
      <c r="IU333" s="62">
        <f>IQ333*IN333-IT333*IO333</f>
        <v>8.22865</v>
      </c>
      <c r="IV333" s="62"/>
      <c r="IW333" s="62"/>
      <c r="IX333" s="62"/>
      <c r="IY333" s="62"/>
      <c r="IZ333" s="62"/>
      <c r="JA333" s="62"/>
      <c r="JB333" s="62"/>
      <c r="JC333" s="62"/>
      <c r="JD333" s="62"/>
      <c r="JE333" s="62"/>
      <c r="JF333" s="62"/>
      <c r="JG333" s="62"/>
      <c r="JH333" s="62"/>
      <c r="JI333" s="62"/>
      <c r="JJ333" s="62"/>
      <c r="JK333" s="62"/>
      <c r="JL333" s="62"/>
      <c r="JM333" s="62"/>
      <c r="JN333" s="62"/>
      <c r="JO333" s="62"/>
      <c r="JP333" s="62"/>
      <c r="JQ333" s="62"/>
      <c r="JR333" s="62"/>
      <c r="JS333" s="62"/>
      <c r="JT333" s="62"/>
      <c r="JU333" s="62"/>
      <c r="JV333" s="62"/>
      <c r="JW333">
        <v>180</v>
      </c>
      <c r="JX333">
        <v>1800</v>
      </c>
      <c r="JY333">
        <v>8</v>
      </c>
      <c r="JZ333" s="8">
        <v>0.95</v>
      </c>
      <c r="KA333">
        <v>1</v>
      </c>
      <c r="KC333" s="72">
        <v>50</v>
      </c>
      <c r="KD333" s="415">
        <f>3600/KC333*JY333*KA333*JZ333</f>
        <v>547.19999999999993</v>
      </c>
      <c r="KE333" s="95">
        <f>JX333/KD333</f>
        <v>3.2894736842105265</v>
      </c>
      <c r="KF333" s="62"/>
      <c r="KG333" s="8">
        <v>0.11</v>
      </c>
      <c r="KH333" s="62">
        <f>KG333*(KE333+IU333)</f>
        <v>1.2669936052631579</v>
      </c>
      <c r="KI333" s="9">
        <v>1.2500000000000001E-2</v>
      </c>
      <c r="KJ333" s="62">
        <f>KI333*(KE333+IU333)</f>
        <v>0.14397654605263158</v>
      </c>
      <c r="KK333" s="62"/>
      <c r="KL333" s="62"/>
      <c r="KM333" s="62"/>
      <c r="KN333" s="8">
        <v>0.02</v>
      </c>
      <c r="KO333" s="62">
        <f>KN333*KE333</f>
        <v>6.5789473684210537E-2</v>
      </c>
      <c r="KP333" s="62">
        <f>IU333+KE333+KH333+KJ333+KO333</f>
        <v>12.994883309210525</v>
      </c>
    </row>
    <row r="334" spans="1:302">
      <c r="A334">
        <v>317</v>
      </c>
      <c r="B334" t="s">
        <v>468</v>
      </c>
      <c r="C334" s="187" t="s">
        <v>1145</v>
      </c>
      <c r="D334" s="28" t="s">
        <v>813</v>
      </c>
      <c r="E334" s="27" t="s">
        <v>814</v>
      </c>
      <c r="F334" s="5" t="s">
        <v>2182</v>
      </c>
      <c r="G334" s="27" t="s">
        <v>108</v>
      </c>
      <c r="I334" s="27" t="s">
        <v>121</v>
      </c>
      <c r="J334" s="28">
        <v>21480</v>
      </c>
      <c r="K334" s="27" t="s">
        <v>97</v>
      </c>
      <c r="N334" s="28"/>
      <c r="O334" s="28"/>
      <c r="P334" s="28"/>
      <c r="Q334" s="28"/>
      <c r="R334" s="28"/>
      <c r="S334" s="27"/>
      <c r="T334" s="27"/>
      <c r="U334" s="27"/>
      <c r="W334" s="13" t="s">
        <v>1146</v>
      </c>
      <c r="AA334" t="s">
        <v>1147</v>
      </c>
      <c r="AB334" s="66">
        <v>306</v>
      </c>
      <c r="AC334">
        <v>20</v>
      </c>
      <c r="AD334"/>
      <c r="AE334" s="7">
        <f>BA334</f>
        <v>41.11</v>
      </c>
      <c r="AF334" s="7"/>
      <c r="AG334" s="7">
        <f>EU334+FA334</f>
        <v>4.6052631578947372</v>
      </c>
      <c r="AH334" s="7">
        <f>DM334</f>
        <v>0.2</v>
      </c>
      <c r="AI334" s="7">
        <f>DO334</f>
        <v>0</v>
      </c>
      <c r="AJ334" s="7">
        <f>GW334</f>
        <v>9.2105263157894746E-2</v>
      </c>
      <c r="AK334" s="7">
        <f>GU334</f>
        <v>0.57144078947368426</v>
      </c>
      <c r="AL334" s="7">
        <f>GS334</f>
        <v>5.0286789473684212</v>
      </c>
      <c r="AM334" s="7">
        <f>HV334</f>
        <v>3.1833333333333331</v>
      </c>
      <c r="AN334" s="7">
        <f>IG334</f>
        <v>0.33333333333333331</v>
      </c>
      <c r="AO334" s="6"/>
      <c r="AP334" s="6"/>
      <c r="AQ334" s="7">
        <f>SUM(AE334:AO334)</f>
        <v>55.124154824561408</v>
      </c>
      <c r="AR334" s="7"/>
      <c r="AS334" s="7"/>
      <c r="AT334" s="4"/>
      <c r="AU334" s="7">
        <v>0.45</v>
      </c>
      <c r="AV334" s="7">
        <f>AQ334+AU334</f>
        <v>55.574154824561411</v>
      </c>
      <c r="AW334">
        <v>0.13500000000000001</v>
      </c>
      <c r="AX334">
        <v>0.125</v>
      </c>
      <c r="AY334" s="8">
        <v>1</v>
      </c>
      <c r="AZ334">
        <f>AW334-AX334</f>
        <v>1.0000000000000009E-2</v>
      </c>
      <c r="BA334" s="4">
        <f>AW334*AB334-(AZ334*AC334)*AY334</f>
        <v>41.11</v>
      </c>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v>0</v>
      </c>
      <c r="CF334" s="4">
        <v>1</v>
      </c>
      <c r="CG334" s="4">
        <v>0.2</v>
      </c>
      <c r="CH334" s="4">
        <f>CF334*CG334</f>
        <v>0.2</v>
      </c>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f>CH334+CM334+CR334+CW334+DB334+DG334+DK334</f>
        <v>0.2</v>
      </c>
      <c r="DN334" s="182">
        <v>0.03</v>
      </c>
      <c r="DO334" s="4">
        <v>0</v>
      </c>
      <c r="DP334" s="4">
        <f>DM334+DO334</f>
        <v>0.2</v>
      </c>
      <c r="DQ334" s="4"/>
      <c r="DR334" s="4"/>
      <c r="DS334" s="4"/>
      <c r="DT334" s="4"/>
      <c r="DU334" s="4"/>
      <c r="DV334" s="4"/>
      <c r="DW334" s="4"/>
      <c r="DX334" s="4"/>
      <c r="DY334" s="4"/>
      <c r="DZ334" s="4"/>
      <c r="EA334" s="4"/>
      <c r="EB334" s="4"/>
      <c r="EC334" s="4"/>
      <c r="ED334" s="4"/>
      <c r="EE334" s="4"/>
      <c r="EF334" s="4">
        <v>350</v>
      </c>
      <c r="EG334" s="4">
        <v>3500</v>
      </c>
      <c r="EH334" s="4">
        <v>8</v>
      </c>
      <c r="EI334" s="77">
        <v>0.95</v>
      </c>
      <c r="EJ334" s="10">
        <v>2</v>
      </c>
      <c r="EK334" s="10">
        <v>72</v>
      </c>
      <c r="EL334" s="10">
        <f>ROUND(3600/EK334*EH334*EJ334*EI334,0)</f>
        <v>760</v>
      </c>
      <c r="EM334" s="10"/>
      <c r="EN334" s="10"/>
      <c r="EO334" s="10"/>
      <c r="EP334" s="10"/>
      <c r="EQ334" s="10"/>
      <c r="ER334" s="10"/>
      <c r="ES334" s="10"/>
      <c r="ET334" s="10"/>
      <c r="EU334" s="4">
        <f>EG334/EL334</f>
        <v>4.6052631578947372</v>
      </c>
      <c r="EV334" s="4"/>
      <c r="EW334" s="4"/>
      <c r="GR334" s="77">
        <v>0.11</v>
      </c>
      <c r="GS334" s="4">
        <f>GR334*(BA334+EU334)</f>
        <v>5.0286789473684212</v>
      </c>
      <c r="GT334" s="182">
        <v>1.2500000000000001E-2</v>
      </c>
      <c r="GU334" s="62">
        <f>GT334*(BA334+EU334)</f>
        <v>0.57144078947368426</v>
      </c>
      <c r="GV334" s="61">
        <v>0.02</v>
      </c>
      <c r="GW334" s="62">
        <f>GV334*EU334</f>
        <v>9.2105263157894746E-2</v>
      </c>
      <c r="GX334" s="62">
        <f>GS334+GU334+GW334</f>
        <v>5.6922250000000005</v>
      </c>
      <c r="GY334" s="62" t="s">
        <v>43</v>
      </c>
      <c r="GZ334" s="62" t="s">
        <v>551</v>
      </c>
      <c r="HA334">
        <v>650</v>
      </c>
      <c r="HB334">
        <v>450</v>
      </c>
      <c r="HC334">
        <v>320</v>
      </c>
      <c r="HD334">
        <v>25</v>
      </c>
      <c r="HE334">
        <v>600</v>
      </c>
      <c r="HF334" s="62">
        <f>ROUNDUP(HE334/HD334,0)</f>
        <v>24</v>
      </c>
      <c r="HG334">
        <v>5</v>
      </c>
      <c r="HH334" s="62">
        <f>HF334*HG334</f>
        <v>120</v>
      </c>
      <c r="HI334">
        <v>550</v>
      </c>
      <c r="HJ334" s="62">
        <f>HH334*HI334</f>
        <v>66000</v>
      </c>
      <c r="HM334">
        <v>2</v>
      </c>
      <c r="HN334" s="62">
        <f>HM334*12*25*HE334</f>
        <v>360000</v>
      </c>
      <c r="HO334" s="62">
        <f>IF(GY334="carton box",HI334/HD334,HJ334/HN334)</f>
        <v>0.18333333333333332</v>
      </c>
      <c r="HP334">
        <v>160</v>
      </c>
      <c r="HQ334">
        <v>0</v>
      </c>
      <c r="HR334">
        <v>3</v>
      </c>
      <c r="HS334">
        <v>1</v>
      </c>
      <c r="HT334" s="4">
        <f>HR334/HS334</f>
        <v>3</v>
      </c>
      <c r="HU334" s="4"/>
      <c r="HV334" s="62">
        <f>HO334+HT334</f>
        <v>3.1833333333333331</v>
      </c>
      <c r="HW334" s="62"/>
      <c r="HX334">
        <v>2916.5</v>
      </c>
      <c r="HY334">
        <v>1688.5</v>
      </c>
      <c r="HZ334">
        <v>1842</v>
      </c>
      <c r="IA334" s="62">
        <f t="shared" si="312"/>
        <v>4</v>
      </c>
      <c r="IB334" s="62">
        <f t="shared" si="312"/>
        <v>3</v>
      </c>
      <c r="IC334" s="62">
        <f t="shared" si="312"/>
        <v>5</v>
      </c>
      <c r="ID334" s="61">
        <v>1</v>
      </c>
      <c r="IE334" s="62">
        <f>PRODUCT(IA334:ID334)</f>
        <v>60</v>
      </c>
      <c r="IF334">
        <v>500</v>
      </c>
      <c r="IG334" s="62">
        <f>IF334/(IE334*HD334)</f>
        <v>0.33333333333333331</v>
      </c>
      <c r="IH334" s="62"/>
    </row>
    <row r="335" spans="1:302">
      <c r="A335">
        <v>318</v>
      </c>
      <c r="B335" t="s">
        <v>468</v>
      </c>
      <c r="C335" t="s">
        <v>1148</v>
      </c>
      <c r="D335" s="28" t="s">
        <v>815</v>
      </c>
      <c r="E335" s="27" t="s">
        <v>816</v>
      </c>
      <c r="F335" s="5" t="s">
        <v>2182</v>
      </c>
      <c r="G335" s="27" t="s">
        <v>108</v>
      </c>
      <c r="I335" s="27" t="s">
        <v>121</v>
      </c>
      <c r="J335" s="28">
        <v>21480</v>
      </c>
      <c r="K335" s="27" t="s">
        <v>97</v>
      </c>
      <c r="N335" s="28"/>
      <c r="O335" s="28"/>
      <c r="P335" s="28"/>
      <c r="Q335" s="28"/>
      <c r="R335" s="28"/>
      <c r="S335" s="27"/>
      <c r="T335" s="27"/>
      <c r="U335" s="27"/>
      <c r="W335" s="59" t="s">
        <v>1149</v>
      </c>
      <c r="X335" s="59"/>
      <c r="Y335" s="59"/>
      <c r="Z335" s="59"/>
      <c r="AA335" s="199" t="s">
        <v>440</v>
      </c>
      <c r="AB335" s="63">
        <v>85.45</v>
      </c>
      <c r="AC335" s="59">
        <f>AB335-5</f>
        <v>80.45</v>
      </c>
      <c r="AD335" s="59"/>
      <c r="AE335" s="42">
        <f>BA335</f>
        <v>33.680950000000003</v>
      </c>
      <c r="AF335" s="42">
        <f>DT335</f>
        <v>0</v>
      </c>
      <c r="AG335" s="42">
        <f>EU335+FA335</f>
        <v>16.624040920716112</v>
      </c>
      <c r="AH335" s="42">
        <f>DM335</f>
        <v>5.9</v>
      </c>
      <c r="AI335" s="42">
        <f>DO335</f>
        <v>0</v>
      </c>
      <c r="AJ335" s="42">
        <f>GW335</f>
        <v>0.33248081841432225</v>
      </c>
      <c r="AK335" s="42">
        <f>GU335</f>
        <v>0.62881238650895144</v>
      </c>
      <c r="AL335" s="42">
        <f>GS335</f>
        <v>5.5335490012787725</v>
      </c>
      <c r="AM335" s="42">
        <f>HV335</f>
        <v>3</v>
      </c>
      <c r="AN335" s="42">
        <f>IG335</f>
        <v>1.9290123456790125</v>
      </c>
      <c r="AO335" s="59"/>
      <c r="AP335" s="42">
        <f>EZ335</f>
        <v>0</v>
      </c>
      <c r="AQ335" s="42">
        <f>SUM(AE335:AP335)</f>
        <v>67.628845472597177</v>
      </c>
      <c r="AR335" s="59"/>
      <c r="AS335" s="59"/>
      <c r="AT335" s="59">
        <f>(79.48-64.95)+(83.82-82.16)</f>
        <v>16.189999999999998</v>
      </c>
      <c r="AU335" s="59"/>
      <c r="AV335" s="42">
        <f>AQ335+AU335+AT335</f>
        <v>83.818845472597175</v>
      </c>
      <c r="AW335" s="59">
        <v>0.44500000000000001</v>
      </c>
      <c r="AX335" s="59">
        <v>0.39100000000000001</v>
      </c>
      <c r="AY335" s="61">
        <v>1</v>
      </c>
      <c r="AZ335" s="69">
        <f>AW335-AX335</f>
        <v>5.3999999999999992E-2</v>
      </c>
      <c r="BA335" s="62">
        <f>AW335*AB335-(AZ335*AC335)*AY335</f>
        <v>33.680950000000003</v>
      </c>
      <c r="BB335" s="62"/>
      <c r="BC335" s="62"/>
      <c r="BD335" s="62"/>
      <c r="BE335" s="62"/>
      <c r="BF335" s="62"/>
      <c r="BG335" s="62"/>
      <c r="BH335" s="62"/>
      <c r="BI335" s="62"/>
      <c r="BJ335" s="62"/>
      <c r="BK335" s="62"/>
      <c r="BL335" s="62"/>
      <c r="BM335" s="62"/>
      <c r="BN335" s="62"/>
      <c r="BO335" s="62"/>
      <c r="BP335" s="62"/>
      <c r="BQ335" s="62"/>
      <c r="BR335" s="62"/>
      <c r="BS335" s="62"/>
      <c r="BT335" s="62"/>
      <c r="BU335" s="62"/>
      <c r="BV335" s="62"/>
      <c r="BW335" s="62"/>
      <c r="BX335" s="62"/>
      <c r="BY335" s="62"/>
      <c r="BZ335" s="62"/>
      <c r="CA335" s="62"/>
      <c r="CB335" s="62"/>
      <c r="CC335" s="62"/>
      <c r="CD335" s="59">
        <v>0</v>
      </c>
      <c r="CE335" s="62">
        <v>0</v>
      </c>
      <c r="CF335" s="62">
        <v>1</v>
      </c>
      <c r="CG335" s="62">
        <v>0.2</v>
      </c>
      <c r="CH335" s="62">
        <f>CF335*CG335</f>
        <v>0.2</v>
      </c>
      <c r="CI335" s="59" t="s">
        <v>1150</v>
      </c>
      <c r="CJ335" s="59" t="s">
        <v>1151</v>
      </c>
      <c r="CK335" s="59">
        <v>1</v>
      </c>
      <c r="CL335" s="59">
        <v>5.7</v>
      </c>
      <c r="CM335" s="59">
        <f>CK335*CL335</f>
        <v>5.7</v>
      </c>
      <c r="CN335" s="59"/>
      <c r="CO335" s="59"/>
      <c r="CP335" s="59"/>
      <c r="CQ335" s="59"/>
      <c r="CR335" s="59"/>
      <c r="CS335" s="59"/>
      <c r="CT335" s="59"/>
      <c r="CU335" s="59"/>
      <c r="CV335" s="59"/>
      <c r="CW335" s="59"/>
      <c r="CX335" s="59"/>
      <c r="CY335" s="59"/>
      <c r="CZ335" s="59"/>
      <c r="DA335" s="59"/>
      <c r="DB335" s="59"/>
      <c r="DC335" s="59"/>
      <c r="DD335" s="59"/>
      <c r="DE335" s="59"/>
      <c r="DF335" s="59"/>
      <c r="DG335" s="59"/>
      <c r="DH335" s="59"/>
      <c r="DI335" s="59"/>
      <c r="DJ335" s="59"/>
      <c r="DK335" s="59"/>
      <c r="DL335" s="59"/>
      <c r="DM335" s="62">
        <f>CH335+CM335+CR335+CW335+DB335+DG335+DK335</f>
        <v>5.9</v>
      </c>
      <c r="DN335" s="179">
        <v>0.03</v>
      </c>
      <c r="DO335" s="62">
        <v>0</v>
      </c>
      <c r="DP335" s="62">
        <f>DM335+DO335</f>
        <v>5.9</v>
      </c>
      <c r="DQ335" s="59"/>
      <c r="DR335" s="59"/>
      <c r="DS335" s="59"/>
      <c r="DT335" s="59"/>
      <c r="DU335" s="59"/>
      <c r="DV335" s="59"/>
      <c r="DW335" s="59"/>
      <c r="DX335" s="59"/>
      <c r="DY335" s="59"/>
      <c r="DZ335" s="59"/>
      <c r="EA335" s="59"/>
      <c r="EB335" s="59"/>
      <c r="EC335" s="59"/>
      <c r="ED335" s="59"/>
      <c r="EE335" s="59"/>
      <c r="EF335" s="59">
        <v>650</v>
      </c>
      <c r="EG335" s="62">
        <v>6500</v>
      </c>
      <c r="EH335" s="62">
        <v>8</v>
      </c>
      <c r="EI335" s="61">
        <v>0.95</v>
      </c>
      <c r="EJ335" s="65">
        <v>1</v>
      </c>
      <c r="EK335" s="65">
        <v>70</v>
      </c>
      <c r="EL335" s="65">
        <f>ROUND(3600/EK335*EH335*EJ335*EI335,0)</f>
        <v>391</v>
      </c>
      <c r="EM335" s="59"/>
      <c r="EN335" s="59"/>
      <c r="EO335" s="59"/>
      <c r="EP335" s="59"/>
      <c r="EQ335" s="59"/>
      <c r="ER335" s="59"/>
      <c r="ES335" s="59"/>
      <c r="ET335" s="59"/>
      <c r="EU335" s="62">
        <f>EG335/EL335</f>
        <v>16.624040920716112</v>
      </c>
      <c r="EV335" s="59"/>
      <c r="EW335" s="59"/>
      <c r="EX335" s="59"/>
      <c r="EY335" s="59"/>
      <c r="EZ335" s="59"/>
      <c r="FA335" s="59"/>
      <c r="FB335" s="59"/>
      <c r="FC335" s="59"/>
      <c r="FD335" s="59"/>
      <c r="FE335" s="59"/>
      <c r="FF335" s="59"/>
      <c r="FG335" s="59"/>
      <c r="FH335" s="59"/>
      <c r="FI335" s="59"/>
      <c r="FJ335" s="59"/>
      <c r="FK335" s="59"/>
      <c r="FL335" s="59"/>
      <c r="FM335" s="59"/>
      <c r="FN335" s="59"/>
      <c r="FO335" s="59"/>
      <c r="FP335" s="59"/>
      <c r="FQ335" s="59"/>
      <c r="FR335" s="59"/>
      <c r="FS335" s="59"/>
      <c r="FT335" s="59"/>
      <c r="FU335" s="59"/>
      <c r="FV335" s="59"/>
      <c r="FW335" s="59"/>
      <c r="FX335" s="59"/>
      <c r="FY335" s="59"/>
      <c r="FZ335" s="59"/>
      <c r="GA335" s="59"/>
      <c r="GB335" s="59"/>
      <c r="GC335" s="59"/>
      <c r="GD335" s="59"/>
      <c r="GE335" s="59"/>
      <c r="GF335" s="59"/>
      <c r="GG335" s="59"/>
      <c r="GH335" s="59"/>
      <c r="GI335" s="59"/>
      <c r="GJ335" s="59"/>
      <c r="GK335" s="59"/>
      <c r="GL335" s="59"/>
      <c r="GM335" s="59"/>
      <c r="GN335" s="59"/>
      <c r="GO335" s="59"/>
      <c r="GP335" s="59"/>
      <c r="GQ335" s="59"/>
      <c r="GR335" s="61">
        <v>0.11</v>
      </c>
      <c r="GS335" s="62">
        <f>GR335*(BA335+EU335)</f>
        <v>5.5335490012787725</v>
      </c>
      <c r="GT335" s="64">
        <v>1.2500000000000001E-2</v>
      </c>
      <c r="GU335" s="62">
        <f>GT335*(BA335+EU335)</f>
        <v>0.62881238650895144</v>
      </c>
      <c r="GV335" s="61">
        <v>0.02</v>
      </c>
      <c r="GW335" s="62">
        <f>GV335*EU335</f>
        <v>0.33248081841432225</v>
      </c>
      <c r="GX335" s="62">
        <f>GS335+GU335+GW335</f>
        <v>6.4948422062020468</v>
      </c>
      <c r="GY335" s="62" t="s">
        <v>130</v>
      </c>
      <c r="GZ335" s="62" t="s">
        <v>551</v>
      </c>
      <c r="HA335" s="59">
        <v>1650</v>
      </c>
      <c r="HB335" s="59">
        <v>1000</v>
      </c>
      <c r="HC335" s="59">
        <v>1790</v>
      </c>
      <c r="HD335" s="59">
        <v>72</v>
      </c>
      <c r="HE335" s="59">
        <v>600</v>
      </c>
      <c r="HF335" s="62">
        <f>ROUNDUP(HE335/HD335,0)</f>
        <v>9</v>
      </c>
      <c r="HG335" s="59">
        <v>5</v>
      </c>
      <c r="HH335" s="62">
        <f>HF335*HG335</f>
        <v>45</v>
      </c>
      <c r="HI335" s="59">
        <v>24000</v>
      </c>
      <c r="HJ335" s="62">
        <f>HH335*HI335</f>
        <v>1080000</v>
      </c>
      <c r="HK335" s="59"/>
      <c r="HL335" s="59"/>
      <c r="HM335" s="59">
        <v>2</v>
      </c>
      <c r="HN335" s="62">
        <f>HM335*12*25*HE335</f>
        <v>360000</v>
      </c>
      <c r="HO335" s="62">
        <f>IF(GY335="carton box",HI335/HD335,HJ335/HN335)</f>
        <v>3</v>
      </c>
      <c r="HP335" s="59">
        <v>160</v>
      </c>
      <c r="HQ335" s="59">
        <v>0</v>
      </c>
      <c r="HR335" s="59">
        <v>0</v>
      </c>
      <c r="HS335" s="59">
        <v>0</v>
      </c>
      <c r="HT335" s="59">
        <v>0</v>
      </c>
      <c r="HU335" s="59"/>
      <c r="HV335" s="62">
        <f>HO335+HT335</f>
        <v>3</v>
      </c>
      <c r="HW335" s="62"/>
      <c r="HX335" s="59">
        <v>5373</v>
      </c>
      <c r="HY335" s="59">
        <v>2149</v>
      </c>
      <c r="HZ335" s="59">
        <v>2149</v>
      </c>
      <c r="IA335" s="62">
        <f t="shared" si="312"/>
        <v>3</v>
      </c>
      <c r="IB335" s="62">
        <f t="shared" si="312"/>
        <v>2</v>
      </c>
      <c r="IC335" s="62">
        <f t="shared" si="312"/>
        <v>1</v>
      </c>
      <c r="ID335" s="61">
        <v>0.6</v>
      </c>
      <c r="IE335" s="65">
        <f>PRODUCT(IA335:ID335)</f>
        <v>3.5999999999999996</v>
      </c>
      <c r="IF335" s="59">
        <v>500</v>
      </c>
      <c r="IG335" s="62">
        <f>IF335/(IE335*HD335)</f>
        <v>1.9290123456790125</v>
      </c>
      <c r="IH335" s="62"/>
      <c r="II335" s="59"/>
      <c r="IJ335" s="59"/>
    </row>
    <row r="336" spans="1:302">
      <c r="A336">
        <v>319</v>
      </c>
      <c r="D336" s="367" t="s">
        <v>817</v>
      </c>
      <c r="E336" s="27" t="s">
        <v>818</v>
      </c>
      <c r="F336" s="27"/>
      <c r="G336" s="27" t="s">
        <v>108</v>
      </c>
      <c r="I336" s="27" t="s">
        <v>121</v>
      </c>
      <c r="J336" s="28">
        <v>21480</v>
      </c>
      <c r="K336" s="27" t="s">
        <v>97</v>
      </c>
      <c r="N336" s="28"/>
      <c r="O336" s="28"/>
      <c r="P336" s="28"/>
      <c r="Q336" s="28"/>
      <c r="R336" s="28"/>
      <c r="S336" s="27"/>
      <c r="T336" s="27"/>
      <c r="U336" s="27"/>
    </row>
    <row r="337" spans="1:302">
      <c r="A337">
        <v>320</v>
      </c>
      <c r="B337" t="s">
        <v>468</v>
      </c>
      <c r="C337" t="s">
        <v>1152</v>
      </c>
      <c r="D337" s="28" t="s">
        <v>819</v>
      </c>
      <c r="E337" s="27" t="s">
        <v>820</v>
      </c>
      <c r="F337" s="5" t="s">
        <v>2182</v>
      </c>
      <c r="G337" s="27" t="s">
        <v>108</v>
      </c>
      <c r="I337" s="27" t="s">
        <v>94</v>
      </c>
      <c r="J337" s="28">
        <v>21591</v>
      </c>
      <c r="K337" s="27" t="s">
        <v>97</v>
      </c>
      <c r="N337" s="28"/>
      <c r="O337" s="28"/>
      <c r="P337" s="28"/>
      <c r="Q337" s="28"/>
      <c r="R337" s="28"/>
      <c r="S337" s="27"/>
      <c r="T337" s="27"/>
      <c r="U337" s="27"/>
      <c r="W337"/>
      <c r="X337"/>
      <c r="Y337"/>
      <c r="Z337"/>
      <c r="AA337" s="59" t="s">
        <v>1088</v>
      </c>
      <c r="AB337" s="63">
        <v>129.32</v>
      </c>
      <c r="AC337" s="59">
        <f>AB337-5</f>
        <v>124.32</v>
      </c>
      <c r="AD337" s="59" t="s">
        <v>272</v>
      </c>
      <c r="AE337" s="42">
        <f>BA337</f>
        <v>1.6911599999999998</v>
      </c>
      <c r="AF337" s="42"/>
      <c r="AG337" s="42">
        <f>EU337+FA337</f>
        <v>1.0968921389396709</v>
      </c>
      <c r="AH337" s="42">
        <f>DM337</f>
        <v>0</v>
      </c>
      <c r="AI337" s="42">
        <f>DO337</f>
        <v>0</v>
      </c>
      <c r="AJ337" s="42">
        <f>GW337</f>
        <v>2.1937842778793418E-2</v>
      </c>
      <c r="AK337" s="42">
        <f>GU337</f>
        <v>3.485065173674589E-2</v>
      </c>
      <c r="AL337" s="42">
        <f>GS337</f>
        <v>0.31951077512248627</v>
      </c>
      <c r="AM337" s="42">
        <f>HV337</f>
        <v>1.1458333333333333E-2</v>
      </c>
      <c r="AN337" s="42">
        <f>IG337</f>
        <v>2.0833333333333332E-2</v>
      </c>
      <c r="AO337" s="60"/>
      <c r="AP337" s="60"/>
      <c r="AQ337" s="42">
        <f>SUM(AE337:AO337)</f>
        <v>3.1966430752443631</v>
      </c>
      <c r="AR337" s="42"/>
      <c r="AS337" s="42"/>
      <c r="AT337" s="62"/>
      <c r="AU337" s="42"/>
      <c r="AV337" s="42">
        <f>AQ337+AU337</f>
        <v>3.1966430752443631</v>
      </c>
      <c r="AW337" s="59">
        <v>1.4999999999999999E-2</v>
      </c>
      <c r="AX337" s="59">
        <v>1.2999999999999999E-2</v>
      </c>
      <c r="AY337" s="61">
        <v>1</v>
      </c>
      <c r="AZ337" s="59">
        <f>AW337-AX337</f>
        <v>2E-3</v>
      </c>
      <c r="BA337" s="62">
        <f>AW337*AB337-(AZ337*AC337)*AY337</f>
        <v>1.6911599999999998</v>
      </c>
      <c r="BB337" s="62"/>
      <c r="BC337" s="62"/>
      <c r="BD337" s="62"/>
      <c r="BE337" s="62"/>
      <c r="BF337" s="62"/>
      <c r="BG337" s="62"/>
      <c r="BH337" s="62"/>
      <c r="BI337" s="62"/>
      <c r="BJ337" s="62"/>
      <c r="BK337" s="62"/>
      <c r="BL337" s="62"/>
      <c r="BM337" s="62"/>
      <c r="BN337" s="62"/>
      <c r="BO337" s="62"/>
      <c r="BP337" s="62"/>
      <c r="BQ337" s="62"/>
      <c r="BR337" s="62"/>
      <c r="BS337" s="62"/>
      <c r="BT337" s="62"/>
      <c r="BU337" s="62"/>
      <c r="BV337" s="62"/>
      <c r="BW337" s="62"/>
      <c r="BX337" s="62"/>
      <c r="BY337" s="62"/>
      <c r="BZ337" s="62"/>
      <c r="CA337" s="62"/>
      <c r="CB337" s="62"/>
      <c r="CC337" s="62"/>
      <c r="CD337" s="62"/>
      <c r="CE337" s="62">
        <v>0</v>
      </c>
      <c r="CF337" s="62">
        <v>0</v>
      </c>
      <c r="CG337" s="62">
        <v>0</v>
      </c>
      <c r="CH337" s="4">
        <f>CF337*CG337</f>
        <v>0</v>
      </c>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f>CH337+CM337+CR337+CW337+DB337+DG337+DK337</f>
        <v>0</v>
      </c>
      <c r="DN337" s="182">
        <v>0.03</v>
      </c>
      <c r="DO337" s="4">
        <v>0</v>
      </c>
      <c r="DP337" s="4">
        <f>DM337+DO337</f>
        <v>0</v>
      </c>
      <c r="DQ337" s="4"/>
      <c r="DR337" s="4"/>
      <c r="DS337" s="4"/>
      <c r="DT337" s="4"/>
      <c r="DU337" s="4"/>
      <c r="DV337" s="4"/>
      <c r="DW337" s="4"/>
      <c r="DX337" s="4"/>
      <c r="DY337" s="4"/>
      <c r="DZ337" s="4"/>
      <c r="EA337" s="4"/>
      <c r="EB337" s="4"/>
      <c r="EC337" s="4"/>
      <c r="ED337" s="4"/>
      <c r="EE337" s="4"/>
      <c r="EF337" s="4">
        <v>120</v>
      </c>
      <c r="EG337" s="4">
        <v>1200</v>
      </c>
      <c r="EH337" s="4">
        <v>8</v>
      </c>
      <c r="EI337" s="77">
        <v>0.95</v>
      </c>
      <c r="EJ337" s="10">
        <v>2</v>
      </c>
      <c r="EK337" s="10">
        <v>50</v>
      </c>
      <c r="EL337" s="10">
        <f>ROUND(3600/EK337*EH337*EJ337*EI337,0)</f>
        <v>1094</v>
      </c>
      <c r="EM337" s="10"/>
      <c r="EN337" s="10"/>
      <c r="EO337" s="10"/>
      <c r="EP337" s="10"/>
      <c r="EQ337" s="10"/>
      <c r="ER337" s="10"/>
      <c r="ES337" s="10"/>
      <c r="ET337" s="10"/>
      <c r="EU337" s="4">
        <f>EG337/EL337</f>
        <v>1.0968921389396709</v>
      </c>
      <c r="EV337" s="4"/>
      <c r="EW337" s="4"/>
      <c r="GR337" s="77">
        <v>0.11459999999999999</v>
      </c>
      <c r="GS337" s="4">
        <f>GR337*(BA337+EU337)</f>
        <v>0.31951077512248627</v>
      </c>
      <c r="GT337" s="182">
        <v>1.2500000000000001E-2</v>
      </c>
      <c r="GU337" s="62">
        <f>GT337*(BA337+EU337)</f>
        <v>3.485065173674589E-2</v>
      </c>
      <c r="GV337" s="61">
        <v>0.02</v>
      </c>
      <c r="GW337" s="62">
        <f>GV337*EU337</f>
        <v>2.1937842778793418E-2</v>
      </c>
      <c r="GX337" s="62">
        <f>GS337+GU337+GW337</f>
        <v>0.37629926963802557</v>
      </c>
      <c r="GY337" s="62" t="s">
        <v>43</v>
      </c>
      <c r="GZ337" s="62" t="s">
        <v>551</v>
      </c>
      <c r="HA337" s="59">
        <v>650</v>
      </c>
      <c r="HB337" s="59">
        <v>450</v>
      </c>
      <c r="HC337" s="59">
        <v>480</v>
      </c>
      <c r="HD337" s="59">
        <v>400</v>
      </c>
      <c r="HE337" s="59">
        <v>400</v>
      </c>
      <c r="HF337" s="62">
        <f>ROUNDUP(HE337/HD337,0)</f>
        <v>1</v>
      </c>
      <c r="HG337" s="59">
        <v>5</v>
      </c>
      <c r="HH337" s="62">
        <f>HF337*HG337</f>
        <v>5</v>
      </c>
      <c r="HI337" s="59">
        <v>550</v>
      </c>
      <c r="HJ337" s="62">
        <f>HH337*HI337</f>
        <v>2750</v>
      </c>
      <c r="HK337" s="59"/>
      <c r="HL337" s="59"/>
      <c r="HM337" s="59">
        <v>2</v>
      </c>
      <c r="HN337" s="62">
        <f>HM337*12*25*HE337</f>
        <v>240000</v>
      </c>
      <c r="HO337" s="62">
        <f>IF(GY337="carton box",HI337/HD337,HJ337/HN337)</f>
        <v>1.1458333333333333E-2</v>
      </c>
      <c r="HP337" s="59">
        <v>160</v>
      </c>
      <c r="HQ337" s="59">
        <v>0</v>
      </c>
      <c r="HR337" s="59">
        <v>0</v>
      </c>
      <c r="HS337" s="59">
        <v>0</v>
      </c>
      <c r="HT337" s="59">
        <v>0</v>
      </c>
      <c r="HU337" s="59"/>
      <c r="HV337" s="62">
        <f>HO337+HT337</f>
        <v>1.1458333333333333E-2</v>
      </c>
      <c r="HW337" s="62"/>
      <c r="HX337" s="59">
        <v>2917</v>
      </c>
      <c r="HY337" s="59">
        <v>1689</v>
      </c>
      <c r="HZ337" s="59">
        <v>1842</v>
      </c>
      <c r="IA337" s="62">
        <f t="shared" ref="IA337:IC340" si="313">ROUNDDOWN(HX337/HA337,0)</f>
        <v>4</v>
      </c>
      <c r="IB337" s="62">
        <f t="shared" si="313"/>
        <v>3</v>
      </c>
      <c r="IC337" s="62">
        <f t="shared" si="313"/>
        <v>3</v>
      </c>
      <c r="ID337" s="61">
        <v>1</v>
      </c>
      <c r="IE337" s="62">
        <f>PRODUCT(IA337:ID337)+24</f>
        <v>60</v>
      </c>
      <c r="IF337" s="59">
        <v>500</v>
      </c>
      <c r="IG337" s="62">
        <f>IF337/(IE337*HD337)</f>
        <v>2.0833333333333332E-2</v>
      </c>
      <c r="IH337" s="62"/>
      <c r="II337" s="59"/>
      <c r="IJ337" s="59"/>
      <c r="IK337" s="59"/>
      <c r="IL337" s="59"/>
      <c r="IM337" s="59"/>
      <c r="IN337" s="59"/>
      <c r="IO337" s="59"/>
      <c r="IP337" s="59"/>
      <c r="IQ337" s="59"/>
      <c r="IR337" s="59"/>
      <c r="IS337" s="59"/>
      <c r="IT337" s="59"/>
      <c r="IU337" s="59"/>
      <c r="IV337" s="59"/>
      <c r="IW337" s="59"/>
      <c r="IX337" s="59"/>
      <c r="IY337" s="59"/>
      <c r="IZ337" s="59"/>
      <c r="JA337" s="59"/>
      <c r="JB337" s="59"/>
      <c r="JC337" s="59"/>
      <c r="JD337" s="59"/>
      <c r="JE337" s="59"/>
      <c r="JF337" s="59"/>
      <c r="JG337" s="59"/>
      <c r="JH337" s="59"/>
      <c r="JI337" s="59"/>
      <c r="JJ337" s="59"/>
      <c r="JK337" s="59"/>
      <c r="JL337" s="59"/>
      <c r="JM337" s="59"/>
      <c r="JN337" s="59"/>
      <c r="JO337" s="59"/>
      <c r="JP337" s="59"/>
      <c r="JQ337" s="59"/>
      <c r="JR337" s="59"/>
      <c r="JS337" s="59"/>
      <c r="JT337" s="59"/>
      <c r="JU337" s="59"/>
      <c r="JV337" s="59"/>
      <c r="JW337" s="59"/>
      <c r="JX337" s="59"/>
      <c r="JY337" s="59"/>
      <c r="JZ337" s="59"/>
      <c r="KA337" s="59"/>
      <c r="KB337" s="59"/>
      <c r="KC337" s="96"/>
      <c r="KD337" s="96"/>
      <c r="KE337" s="96"/>
      <c r="KF337" s="59"/>
      <c r="KG337" s="59"/>
      <c r="KH337" s="59"/>
      <c r="KI337" s="59"/>
      <c r="KJ337" s="59"/>
      <c r="KK337" s="59"/>
      <c r="KL337" s="59"/>
      <c r="KM337" s="59"/>
      <c r="KN337" s="59"/>
      <c r="KO337" s="59"/>
      <c r="KP337" s="59"/>
    </row>
    <row r="338" spans="1:302">
      <c r="A338">
        <v>321</v>
      </c>
      <c r="B338" t="s">
        <v>468</v>
      </c>
      <c r="C338" t="s">
        <v>1153</v>
      </c>
      <c r="D338" s="28" t="s">
        <v>821</v>
      </c>
      <c r="E338" s="27" t="s">
        <v>761</v>
      </c>
      <c r="F338" s="5" t="s">
        <v>2182</v>
      </c>
      <c r="G338" s="27" t="s">
        <v>108</v>
      </c>
      <c r="I338" s="27" t="s">
        <v>94</v>
      </c>
      <c r="J338" s="28">
        <v>21591</v>
      </c>
      <c r="K338" s="27" t="s">
        <v>97</v>
      </c>
      <c r="L338">
        <v>21480</v>
      </c>
      <c r="M338" t="s">
        <v>94</v>
      </c>
      <c r="N338" s="28"/>
      <c r="O338" s="28"/>
      <c r="P338" s="28"/>
      <c r="Q338" s="28"/>
      <c r="R338" s="28"/>
      <c r="S338" s="27"/>
      <c r="T338" s="27"/>
      <c r="U338" s="27"/>
      <c r="W338" s="13" t="s">
        <v>1154</v>
      </c>
      <c r="AA338" t="s">
        <v>1155</v>
      </c>
      <c r="AB338" s="66">
        <v>127.69</v>
      </c>
      <c r="AC338">
        <f>AB338-5</f>
        <v>122.69</v>
      </c>
      <c r="AD338"/>
      <c r="AE338" s="7">
        <f>BA338</f>
        <v>19.203499999999998</v>
      </c>
      <c r="AF338" s="7"/>
      <c r="AG338" s="7">
        <f>EU338+FA338</f>
        <v>4.156769596199525</v>
      </c>
      <c r="AH338" s="7">
        <f>DM338</f>
        <v>9.0399999999999991</v>
      </c>
      <c r="AI338" s="7">
        <f>DO338</f>
        <v>0.27119999999999994</v>
      </c>
      <c r="AJ338" s="7">
        <f>GW338</f>
        <v>8.3135391923990498E-2</v>
      </c>
      <c r="AK338" s="7">
        <f>GU338</f>
        <v>0.29200336995249404</v>
      </c>
      <c r="AL338" s="7">
        <f>GS338</f>
        <v>2.5696296555819473</v>
      </c>
      <c r="AM338" s="7">
        <f>HV338</f>
        <v>0.71875</v>
      </c>
      <c r="AN338" s="7">
        <f>IG338</f>
        <v>6.6137566137566134E-2</v>
      </c>
      <c r="AO338" s="6"/>
      <c r="AP338" s="6"/>
      <c r="AQ338" s="7">
        <f>SUM(AE338:AO338)</f>
        <v>36.401125579795519</v>
      </c>
      <c r="AR338" s="7"/>
      <c r="AS338" s="7"/>
      <c r="AT338" s="4"/>
      <c r="AU338" s="7"/>
      <c r="AV338" s="7">
        <f>AQ338+AU338</f>
        <v>36.401125579795519</v>
      </c>
      <c r="AW338">
        <v>0.16</v>
      </c>
      <c r="AX338">
        <v>0.15</v>
      </c>
      <c r="AY338" s="8">
        <v>1</v>
      </c>
      <c r="AZ338">
        <f>AW338-AX338</f>
        <v>1.0000000000000009E-2</v>
      </c>
      <c r="BA338" s="4">
        <f>AW338*AB338-(AZ338*AC338)*AY338</f>
        <v>19.203499999999998</v>
      </c>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v>0</v>
      </c>
      <c r="CF338" s="4">
        <v>1</v>
      </c>
      <c r="CG338" s="4">
        <v>9.0399999999999991</v>
      </c>
      <c r="CH338" s="4">
        <f>CF338*CG338</f>
        <v>9.0399999999999991</v>
      </c>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f>CH338+CM338+CR338+CW338+DB338+DG338+DK338</f>
        <v>9.0399999999999991</v>
      </c>
      <c r="DN338" s="182">
        <v>0.03</v>
      </c>
      <c r="DO338" s="4">
        <f>DN338*CG338*CF338</f>
        <v>0.27119999999999994</v>
      </c>
      <c r="DP338" s="4">
        <f>DM338+DO338</f>
        <v>9.3111999999999995</v>
      </c>
      <c r="DQ338" s="4"/>
      <c r="DR338" s="4"/>
      <c r="DS338" s="4"/>
      <c r="DT338" s="4"/>
      <c r="DU338" s="4"/>
      <c r="DV338" s="4"/>
      <c r="DW338" s="4"/>
      <c r="DX338" s="4"/>
      <c r="DY338" s="4"/>
      <c r="DZ338" s="4"/>
      <c r="EA338" s="4"/>
      <c r="EB338" s="4"/>
      <c r="EC338" s="4"/>
      <c r="ED338" s="4"/>
      <c r="EE338" s="4"/>
      <c r="EF338" s="4">
        <v>350</v>
      </c>
      <c r="EG338" s="4">
        <v>3500</v>
      </c>
      <c r="EH338" s="4">
        <v>8</v>
      </c>
      <c r="EI338" s="77">
        <v>0.95</v>
      </c>
      <c r="EJ338" s="10">
        <v>2</v>
      </c>
      <c r="EK338" s="10">
        <v>65</v>
      </c>
      <c r="EL338" s="10">
        <f>ROUND(3600/EK338*EH338*EJ338*EI338,0)</f>
        <v>842</v>
      </c>
      <c r="EM338" s="10"/>
      <c r="EN338" s="10"/>
      <c r="EO338" s="10"/>
      <c r="EP338" s="10"/>
      <c r="EQ338" s="10"/>
      <c r="ER338" s="10"/>
      <c r="ES338" s="10"/>
      <c r="ET338" s="10"/>
      <c r="EU338" s="4">
        <f>EG338/EL338</f>
        <v>4.156769596199525</v>
      </c>
      <c r="EV338" s="4"/>
      <c r="EW338" s="4"/>
      <c r="GR338" s="77">
        <v>0.11</v>
      </c>
      <c r="GS338" s="4">
        <f>GR338*(BA338+EU338)</f>
        <v>2.5696296555819473</v>
      </c>
      <c r="GT338" s="182">
        <v>1.2500000000000001E-2</v>
      </c>
      <c r="GU338" s="62">
        <f>GT338*(BA338+EU338)</f>
        <v>0.29200336995249404</v>
      </c>
      <c r="GV338" s="61">
        <v>0.02</v>
      </c>
      <c r="GW338" s="62">
        <f>GV338*EU338</f>
        <v>8.3135391923990498E-2</v>
      </c>
      <c r="GX338" s="62">
        <f>GS338+GU338+GW338</f>
        <v>2.9447684174584321</v>
      </c>
      <c r="GY338" s="62" t="s">
        <v>43</v>
      </c>
      <c r="GZ338" s="62" t="s">
        <v>551</v>
      </c>
      <c r="HA338">
        <v>650</v>
      </c>
      <c r="HB338">
        <v>450</v>
      </c>
      <c r="HC338">
        <v>330</v>
      </c>
      <c r="HD338">
        <v>70</v>
      </c>
      <c r="HE338">
        <v>400</v>
      </c>
      <c r="HF338" s="62">
        <f>ROUNDUP(HE338/HD338,0)</f>
        <v>6</v>
      </c>
      <c r="HG338">
        <v>5</v>
      </c>
      <c r="HH338" s="62">
        <f>HF338*HG338</f>
        <v>30</v>
      </c>
      <c r="HI338">
        <v>550</v>
      </c>
      <c r="HJ338" s="62">
        <f>HH338*HI338</f>
        <v>16500</v>
      </c>
      <c r="HM338">
        <v>2</v>
      </c>
      <c r="HN338" s="62">
        <f>HM338*12*25*HE338</f>
        <v>240000</v>
      </c>
      <c r="HO338" s="62">
        <f>IF(GY338="carton box",HI338/HD338,HJ338/HN338)</f>
        <v>6.8750000000000006E-2</v>
      </c>
      <c r="HP338">
        <v>160</v>
      </c>
      <c r="HQ338">
        <v>0</v>
      </c>
      <c r="HR338">
        <v>0</v>
      </c>
      <c r="HS338">
        <v>0</v>
      </c>
      <c r="HT338">
        <v>0</v>
      </c>
      <c r="HV338" s="62">
        <f>HO338+HT338+0.65</f>
        <v>0.71875</v>
      </c>
      <c r="HW338" s="62"/>
      <c r="HX338">
        <v>4200</v>
      </c>
      <c r="HY338">
        <v>1900</v>
      </c>
      <c r="HZ338">
        <v>1975</v>
      </c>
      <c r="IA338" s="62">
        <f t="shared" si="313"/>
        <v>6</v>
      </c>
      <c r="IB338" s="62">
        <f t="shared" si="313"/>
        <v>4</v>
      </c>
      <c r="IC338" s="62">
        <f t="shared" si="313"/>
        <v>5</v>
      </c>
      <c r="ID338" s="61">
        <v>0.9</v>
      </c>
      <c r="IE338" s="62">
        <f>PRODUCT(IA338:ID338)</f>
        <v>108</v>
      </c>
      <c r="IF338">
        <v>500</v>
      </c>
      <c r="IG338" s="62">
        <f>IF338/(IE338*HD338)</f>
        <v>6.6137566137566134E-2</v>
      </c>
      <c r="IH338" s="62"/>
    </row>
    <row r="339" spans="1:302">
      <c r="A339">
        <v>322</v>
      </c>
      <c r="B339" t="s">
        <v>468</v>
      </c>
      <c r="C339" t="s">
        <v>1156</v>
      </c>
      <c r="D339" s="28" t="s">
        <v>822</v>
      </c>
      <c r="E339" s="27" t="s">
        <v>823</v>
      </c>
      <c r="F339" s="5" t="s">
        <v>2182</v>
      </c>
      <c r="G339" s="27" t="s">
        <v>108</v>
      </c>
      <c r="I339" s="27" t="s">
        <v>94</v>
      </c>
      <c r="J339" s="28">
        <v>21591</v>
      </c>
      <c r="K339" s="27" t="s">
        <v>97</v>
      </c>
      <c r="N339" s="28"/>
      <c r="O339" s="28"/>
      <c r="P339" s="28"/>
      <c r="Q339" s="28"/>
      <c r="R339" s="28"/>
      <c r="S339" s="27"/>
      <c r="T339" s="27"/>
      <c r="U339" s="27"/>
      <c r="AA339" t="s">
        <v>1157</v>
      </c>
      <c r="AB339" s="66">
        <v>94.05</v>
      </c>
      <c r="AC339">
        <f>AB339-5</f>
        <v>89.05</v>
      </c>
      <c r="AD339"/>
      <c r="AE339" s="7">
        <f>BA339</f>
        <v>3.0321000000000002</v>
      </c>
      <c r="AF339" s="7"/>
      <c r="AG339" s="7">
        <f>EU339+FA339</f>
        <v>1.5075376884422111</v>
      </c>
      <c r="AH339" s="7">
        <f>DM339</f>
        <v>0</v>
      </c>
      <c r="AI339" s="7">
        <f>DO339</f>
        <v>0</v>
      </c>
      <c r="AJ339" s="7">
        <f>GW339</f>
        <v>3.0150753768844223E-2</v>
      </c>
      <c r="AK339" s="7">
        <f>GU339</f>
        <v>5.6745471105527648E-2</v>
      </c>
      <c r="AL339" s="7">
        <f>GS339</f>
        <v>0.49936014572864329</v>
      </c>
      <c r="AM339" s="7">
        <f>HV339</f>
        <v>1.5833333333333335E-2</v>
      </c>
      <c r="AN339" s="7">
        <f>IG339</f>
        <v>1.2860082304526749E-2</v>
      </c>
      <c r="AO339" s="6"/>
      <c r="AP339" s="6"/>
      <c r="AQ339" s="7">
        <f>SUM(AE339:AO339)</f>
        <v>5.1545874746830869</v>
      </c>
      <c r="AR339" s="7"/>
      <c r="AS339" s="7"/>
      <c r="AT339" s="4"/>
      <c r="AU339" s="7"/>
      <c r="AV339" s="7">
        <f>AQ339+AU339</f>
        <v>5.1545874746830869</v>
      </c>
      <c r="AW339" s="14">
        <v>3.6499999999999998E-2</v>
      </c>
      <c r="AX339">
        <v>3.2000000000000001E-2</v>
      </c>
      <c r="AY339" s="8">
        <v>1</v>
      </c>
      <c r="AZ339">
        <f>AW339-AX339</f>
        <v>4.4999999999999971E-3</v>
      </c>
      <c r="BA339" s="4">
        <f>AW339*AB339-(AZ339*AC339)*AY339</f>
        <v>3.0321000000000002</v>
      </c>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v>0</v>
      </c>
      <c r="CF339" s="4">
        <v>0</v>
      </c>
      <c r="CG339" s="4">
        <v>0</v>
      </c>
      <c r="CH339" s="4">
        <v>0</v>
      </c>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v>0</v>
      </c>
      <c r="DN339" s="182">
        <v>0.03</v>
      </c>
      <c r="DO339" s="4">
        <v>0</v>
      </c>
      <c r="DP339" s="4">
        <f>DM339+DO339</f>
        <v>0</v>
      </c>
      <c r="DQ339" s="4"/>
      <c r="DR339" s="4"/>
      <c r="DS339" s="4"/>
      <c r="DT339" s="4"/>
      <c r="DU339" s="4"/>
      <c r="DV339" s="4"/>
      <c r="DW339" s="4"/>
      <c r="DX339" s="4"/>
      <c r="DY339" s="4"/>
      <c r="DZ339" s="4"/>
      <c r="EA339" s="4"/>
      <c r="EB339" s="4"/>
      <c r="EC339" s="4"/>
      <c r="ED339" s="4"/>
      <c r="EE339" s="4"/>
      <c r="EF339" s="4">
        <v>150</v>
      </c>
      <c r="EG339" s="4">
        <v>1500</v>
      </c>
      <c r="EH339" s="4">
        <v>8</v>
      </c>
      <c r="EI339" s="77">
        <v>0.95</v>
      </c>
      <c r="EJ339" s="10">
        <v>2</v>
      </c>
      <c r="EK339" s="10">
        <v>55</v>
      </c>
      <c r="EL339" s="10">
        <f>ROUND(3600/EK339*EH339*EJ339*EI339,0)</f>
        <v>995</v>
      </c>
      <c r="EM339" s="10"/>
      <c r="EN339" s="10"/>
      <c r="EO339" s="10"/>
      <c r="EP339" s="10"/>
      <c r="EQ339" s="10"/>
      <c r="ER339" s="10"/>
      <c r="ES339" s="10"/>
      <c r="ET339" s="10"/>
      <c r="EU339" s="4">
        <f>EG339/EL339</f>
        <v>1.5075376884422111</v>
      </c>
      <c r="EV339" s="4"/>
      <c r="EW339" s="4"/>
      <c r="GR339" s="77">
        <v>0.11</v>
      </c>
      <c r="GS339" s="4">
        <f>GR339*(BA339+EU339)</f>
        <v>0.49936014572864329</v>
      </c>
      <c r="GT339" s="182">
        <v>1.2500000000000001E-2</v>
      </c>
      <c r="GU339" s="62">
        <f>GT339*(BA339+EU339)</f>
        <v>5.6745471105527648E-2</v>
      </c>
      <c r="GV339" s="61">
        <v>0.02</v>
      </c>
      <c r="GW339" s="62">
        <f>GV339*EU339</f>
        <v>3.0150753768844223E-2</v>
      </c>
      <c r="GX339" s="62">
        <f>GS339+GU339+GW339</f>
        <v>0.58625637060301516</v>
      </c>
      <c r="GY339" s="62" t="s">
        <v>43</v>
      </c>
      <c r="GZ339" s="62" t="s">
        <v>551</v>
      </c>
      <c r="HA339">
        <v>800</v>
      </c>
      <c r="HB339">
        <v>450</v>
      </c>
      <c r="HC339">
        <v>400</v>
      </c>
      <c r="HD339">
        <v>450</v>
      </c>
      <c r="HE339">
        <v>400</v>
      </c>
      <c r="HF339" s="62">
        <f>ROUNDUP(HE339/HD339,0)</f>
        <v>1</v>
      </c>
      <c r="HG339">
        <v>5</v>
      </c>
      <c r="HH339" s="62">
        <f>HF339*HG339-1</f>
        <v>4</v>
      </c>
      <c r="HI339">
        <v>950</v>
      </c>
      <c r="HJ339" s="62">
        <f>HH339*HI339</f>
        <v>3800</v>
      </c>
      <c r="HM339">
        <v>2</v>
      </c>
      <c r="HN339" s="62">
        <f>HM339*12*25*HE339</f>
        <v>240000</v>
      </c>
      <c r="HO339" s="62">
        <f>IF(GY339="carton box",HI339/HD339,HJ339/HN339)</f>
        <v>1.5833333333333335E-2</v>
      </c>
      <c r="HP339">
        <v>160</v>
      </c>
      <c r="HQ339">
        <v>0</v>
      </c>
      <c r="HR339">
        <v>0</v>
      </c>
      <c r="HS339">
        <v>0</v>
      </c>
      <c r="HT339">
        <v>0</v>
      </c>
      <c r="HV339" s="62">
        <f>HO339+HT339</f>
        <v>1.5833333333333335E-2</v>
      </c>
      <c r="HW339" s="62"/>
      <c r="HX339">
        <v>4950</v>
      </c>
      <c r="HY339">
        <v>1950</v>
      </c>
      <c r="HZ339">
        <v>1950</v>
      </c>
      <c r="IA339" s="62">
        <f t="shared" si="313"/>
        <v>6</v>
      </c>
      <c r="IB339" s="62">
        <f t="shared" si="313"/>
        <v>4</v>
      </c>
      <c r="IC339" s="62">
        <f t="shared" si="313"/>
        <v>4</v>
      </c>
      <c r="ID339" s="61">
        <v>0.9</v>
      </c>
      <c r="IE339" s="62">
        <f>PRODUCT(IA339:ID339)</f>
        <v>86.4</v>
      </c>
      <c r="IF339">
        <v>500</v>
      </c>
      <c r="IG339" s="62">
        <f>IF339/(IE339*HD339)</f>
        <v>1.2860082304526749E-2</v>
      </c>
      <c r="IH339" s="62"/>
    </row>
    <row r="340" spans="1:302">
      <c r="A340">
        <v>323</v>
      </c>
      <c r="B340" t="s">
        <v>468</v>
      </c>
      <c r="C340" t="s">
        <v>1159</v>
      </c>
      <c r="D340" s="28" t="s">
        <v>824</v>
      </c>
      <c r="E340" s="27" t="s">
        <v>825</v>
      </c>
      <c r="F340" s="5" t="s">
        <v>2182</v>
      </c>
      <c r="G340" s="27" t="s">
        <v>108</v>
      </c>
      <c r="I340" s="27" t="s">
        <v>121</v>
      </c>
      <c r="J340" s="28">
        <v>21480</v>
      </c>
      <c r="K340" s="27" t="s">
        <v>97</v>
      </c>
      <c r="N340" s="28"/>
      <c r="O340" s="28"/>
      <c r="P340" s="28"/>
      <c r="Q340" s="28"/>
      <c r="R340" s="28"/>
      <c r="S340" s="27"/>
      <c r="T340" s="27"/>
      <c r="U340" s="27"/>
      <c r="AA340" t="s">
        <v>1158</v>
      </c>
      <c r="AB340" s="66">
        <v>116.34</v>
      </c>
      <c r="AC340">
        <f>AB340-5</f>
        <v>111.34</v>
      </c>
      <c r="AD340"/>
      <c r="AE340" s="7">
        <f>BA340</f>
        <v>3.2825199999999999</v>
      </c>
      <c r="AF340" s="7"/>
      <c r="AG340" s="7">
        <f>EU340+FA340</f>
        <v>2.0100502512562812</v>
      </c>
      <c r="AH340" s="7">
        <f>DM340</f>
        <v>0</v>
      </c>
      <c r="AI340" s="7">
        <f>DO340</f>
        <v>0</v>
      </c>
      <c r="AJ340" s="7">
        <f>GW340</f>
        <v>4.0201005025125629E-2</v>
      </c>
      <c r="AK340" s="7">
        <f>GU340</f>
        <v>6.6157128140703514E-2</v>
      </c>
      <c r="AL340" s="7">
        <f>GS340</f>
        <v>0.5821827276381909</v>
      </c>
      <c r="AM340" s="7">
        <f>HV340</f>
        <v>4.583333333333333E-2</v>
      </c>
      <c r="AN340" s="7">
        <f>IG340</f>
        <v>4.6296296296296294E-2</v>
      </c>
      <c r="AO340" s="6"/>
      <c r="AP340" s="6"/>
      <c r="AQ340" s="7">
        <f>SUM(AE340:AO340)</f>
        <v>6.0732407416899319</v>
      </c>
      <c r="AR340" s="7"/>
      <c r="AS340" s="7"/>
      <c r="AT340" s="4"/>
      <c r="AU340" s="7"/>
      <c r="AV340" s="7">
        <f>AQ340+AU340</f>
        <v>6.0732407416899319</v>
      </c>
      <c r="AW340">
        <v>3.3000000000000002E-2</v>
      </c>
      <c r="AX340">
        <v>2.8000000000000001E-2</v>
      </c>
      <c r="AY340" s="8">
        <v>1</v>
      </c>
      <c r="AZ340">
        <f>AW340-AX340</f>
        <v>5.000000000000001E-3</v>
      </c>
      <c r="BA340" s="4">
        <f>AW340*AB340-(AZ340*AC340)*AY340</f>
        <v>3.2825199999999999</v>
      </c>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v>0</v>
      </c>
      <c r="CF340" s="4">
        <v>0</v>
      </c>
      <c r="CG340" s="4">
        <v>0</v>
      </c>
      <c r="CH340" s="4">
        <v>0</v>
      </c>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v>0</v>
      </c>
      <c r="DN340" s="182">
        <v>0.03</v>
      </c>
      <c r="DO340" s="4">
        <v>0</v>
      </c>
      <c r="DP340" s="4">
        <f>DM340+DO340</f>
        <v>0</v>
      </c>
      <c r="DQ340" s="4"/>
      <c r="DR340" s="4"/>
      <c r="DS340" s="4"/>
      <c r="DT340" s="4"/>
      <c r="DU340" s="4"/>
      <c r="DV340" s="4"/>
      <c r="DW340" s="4"/>
      <c r="DX340" s="4"/>
      <c r="DY340" s="4"/>
      <c r="DZ340" s="4"/>
      <c r="EA340" s="4"/>
      <c r="EB340" s="4"/>
      <c r="EC340" s="4"/>
      <c r="ED340" s="4"/>
      <c r="EE340" s="4"/>
      <c r="EF340" s="4">
        <v>200</v>
      </c>
      <c r="EG340" s="4">
        <v>2000</v>
      </c>
      <c r="EH340" s="4">
        <v>8</v>
      </c>
      <c r="EI340" s="77">
        <v>0.95</v>
      </c>
      <c r="EJ340" s="10">
        <v>2</v>
      </c>
      <c r="EK340" s="10">
        <v>55</v>
      </c>
      <c r="EL340" s="10">
        <f>ROUND(3600/EK340*EH340*EJ340*EI340,0)</f>
        <v>995</v>
      </c>
      <c r="EM340" s="10"/>
      <c r="EN340" s="10"/>
      <c r="EO340" s="10"/>
      <c r="EP340" s="10"/>
      <c r="EQ340" s="10"/>
      <c r="ER340" s="10"/>
      <c r="ES340" s="10"/>
      <c r="ET340" s="10"/>
      <c r="EU340" s="4">
        <f>EG340/EL340</f>
        <v>2.0100502512562812</v>
      </c>
      <c r="EV340" s="4"/>
      <c r="EW340" s="4"/>
      <c r="GR340" s="77">
        <v>0.11</v>
      </c>
      <c r="GS340" s="4">
        <f>GR340*(BA340+EU340)</f>
        <v>0.5821827276381909</v>
      </c>
      <c r="GT340" s="182">
        <v>1.2500000000000001E-2</v>
      </c>
      <c r="GU340" s="62">
        <f>GT340*(BA340+EU340)</f>
        <v>6.6157128140703514E-2</v>
      </c>
      <c r="GV340" s="61">
        <v>0.02</v>
      </c>
      <c r="GW340" s="62">
        <f>GV340*EU340</f>
        <v>4.0201005025125629E-2</v>
      </c>
      <c r="GX340" s="62">
        <f>GS340+GU340+GW340</f>
        <v>0.68854086080401999</v>
      </c>
      <c r="GY340" s="62" t="s">
        <v>43</v>
      </c>
      <c r="GZ340" s="62" t="s">
        <v>551</v>
      </c>
      <c r="HA340">
        <v>650</v>
      </c>
      <c r="HB340">
        <v>450</v>
      </c>
      <c r="HC340">
        <v>330</v>
      </c>
      <c r="HD340">
        <v>100</v>
      </c>
      <c r="HE340">
        <v>400</v>
      </c>
      <c r="HF340" s="62">
        <f>ROUNDUP(HE340/HD340,0)</f>
        <v>4</v>
      </c>
      <c r="HG340">
        <v>5</v>
      </c>
      <c r="HH340" s="62">
        <f>HF340*HG340</f>
        <v>20</v>
      </c>
      <c r="HI340">
        <v>550</v>
      </c>
      <c r="HJ340" s="62">
        <f>HH340*HI340</f>
        <v>11000</v>
      </c>
      <c r="HM340">
        <v>2</v>
      </c>
      <c r="HN340" s="62">
        <f>HM340*12*25*HE340</f>
        <v>240000</v>
      </c>
      <c r="HO340" s="62">
        <f>IF(GY340="carton box",HI340/HD340,HJ340/HN340)</f>
        <v>4.583333333333333E-2</v>
      </c>
      <c r="HP340">
        <v>160</v>
      </c>
      <c r="HQ340">
        <v>0</v>
      </c>
      <c r="HR340">
        <v>0</v>
      </c>
      <c r="HS340">
        <v>0</v>
      </c>
      <c r="HT340">
        <v>0</v>
      </c>
      <c r="HV340" s="62">
        <f>HO340+HT340</f>
        <v>4.583333333333333E-2</v>
      </c>
      <c r="HW340" s="62"/>
      <c r="HX340">
        <v>4200</v>
      </c>
      <c r="HY340">
        <v>1900</v>
      </c>
      <c r="HZ340">
        <v>1975</v>
      </c>
      <c r="IA340" s="62">
        <f t="shared" si="313"/>
        <v>6</v>
      </c>
      <c r="IB340" s="62">
        <f t="shared" si="313"/>
        <v>4</v>
      </c>
      <c r="IC340" s="62">
        <f t="shared" si="313"/>
        <v>5</v>
      </c>
      <c r="ID340" s="61">
        <v>0.9</v>
      </c>
      <c r="IE340" s="62">
        <f>PRODUCT(IA340:ID340)</f>
        <v>108</v>
      </c>
      <c r="IF340">
        <v>500</v>
      </c>
      <c r="IG340" s="62">
        <f>IF340/(IE340*HD340)</f>
        <v>4.6296296296296294E-2</v>
      </c>
      <c r="IH340" s="62"/>
    </row>
    <row r="341" spans="1:302">
      <c r="A341">
        <v>324</v>
      </c>
      <c r="B341" t="s">
        <v>468</v>
      </c>
      <c r="C341" t="s">
        <v>567</v>
      </c>
      <c r="D341" s="28" t="s">
        <v>824</v>
      </c>
      <c r="E341" s="27" t="s">
        <v>825</v>
      </c>
      <c r="F341" s="27"/>
      <c r="G341" s="27" t="s">
        <v>108</v>
      </c>
      <c r="I341" s="27" t="s">
        <v>94</v>
      </c>
      <c r="J341" s="28">
        <v>21591</v>
      </c>
      <c r="K341" s="27" t="s">
        <v>97</v>
      </c>
      <c r="N341" s="28" t="s">
        <v>2188</v>
      </c>
      <c r="O341" s="28" t="s">
        <v>1805</v>
      </c>
      <c r="P341" s="331">
        <v>43839</v>
      </c>
      <c r="Q341" s="28"/>
      <c r="R341" s="28"/>
      <c r="S341" s="27"/>
      <c r="T341" s="27"/>
      <c r="U341" s="27"/>
      <c r="W341" t="s">
        <v>439</v>
      </c>
      <c r="AA341"/>
      <c r="AD341"/>
      <c r="AE341" s="7"/>
      <c r="AF341" s="7"/>
      <c r="AG341" s="7"/>
      <c r="AH341" s="7"/>
      <c r="AI341" s="7"/>
      <c r="AJ341" s="7"/>
      <c r="AK341" s="7"/>
      <c r="AL341" s="7"/>
      <c r="AM341" s="7"/>
      <c r="AN341" s="7"/>
      <c r="AO341" s="6"/>
      <c r="AP341" s="6"/>
      <c r="AQ341" s="7"/>
      <c r="AR341" s="7"/>
      <c r="AS341" s="7"/>
      <c r="AT341" s="4"/>
      <c r="AU341" s="7"/>
      <c r="AV341" s="7"/>
      <c r="AY341" s="8"/>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182"/>
      <c r="DO341" s="4"/>
      <c r="DP341" s="4"/>
      <c r="DQ341" s="4"/>
      <c r="DR341" s="4"/>
      <c r="DS341" s="4"/>
      <c r="DT341" s="4"/>
      <c r="DU341" s="4"/>
      <c r="DV341" s="4"/>
      <c r="DW341" s="4"/>
      <c r="DX341" s="4"/>
      <c r="DY341" s="4"/>
      <c r="DZ341" s="4"/>
      <c r="EA341" s="4"/>
      <c r="EB341" s="4"/>
      <c r="EC341" s="4"/>
      <c r="ED341" s="4"/>
      <c r="EE341" s="4"/>
      <c r="EF341" s="4"/>
      <c r="EG341" s="4"/>
      <c r="EH341" s="4"/>
      <c r="EI341" s="77"/>
      <c r="EJ341" s="10"/>
      <c r="EK341" s="10"/>
      <c r="EL341" s="10"/>
      <c r="EM341" s="10"/>
      <c r="EN341" s="10"/>
      <c r="EO341" s="10"/>
      <c r="EP341" s="10"/>
      <c r="EQ341" s="10"/>
      <c r="ER341" s="10"/>
      <c r="ES341" s="10"/>
      <c r="ET341" s="10"/>
      <c r="EU341" s="4"/>
      <c r="EV341" s="4"/>
      <c r="EW341" s="4"/>
      <c r="GR341" s="77"/>
      <c r="GS341" s="4"/>
      <c r="GT341" s="182"/>
      <c r="GU341" s="62"/>
      <c r="GV341" s="61"/>
      <c r="GW341" s="62"/>
      <c r="GX341" s="62"/>
      <c r="GY341" s="62"/>
      <c r="GZ341" s="62"/>
      <c r="HF341" s="62"/>
      <c r="HH341" s="62"/>
      <c r="HJ341" s="62"/>
      <c r="HN341" s="62"/>
      <c r="HO341" s="62"/>
      <c r="HV341" s="62"/>
      <c r="HW341" s="62"/>
      <c r="IA341" s="62"/>
      <c r="IB341" s="62"/>
      <c r="IC341" s="62"/>
      <c r="ID341" s="61"/>
      <c r="IE341" s="62"/>
      <c r="IG341" s="62"/>
      <c r="IH341" s="62"/>
    </row>
    <row r="342" spans="1:302">
      <c r="A342">
        <v>325</v>
      </c>
      <c r="B342" t="s">
        <v>468</v>
      </c>
      <c r="C342" t="s">
        <v>1161</v>
      </c>
      <c r="D342" s="28" t="s">
        <v>826</v>
      </c>
      <c r="E342" s="27" t="s">
        <v>825</v>
      </c>
      <c r="F342" s="5" t="s">
        <v>2182</v>
      </c>
      <c r="G342" s="27" t="s">
        <v>108</v>
      </c>
      <c r="I342" s="27" t="s">
        <v>121</v>
      </c>
      <c r="J342" s="28">
        <v>21480</v>
      </c>
      <c r="K342" s="27" t="s">
        <v>97</v>
      </c>
      <c r="N342" s="28"/>
      <c r="O342" s="28"/>
      <c r="P342" s="28"/>
      <c r="Q342" s="28"/>
      <c r="R342" s="28"/>
      <c r="S342" s="27"/>
      <c r="T342" s="27"/>
      <c r="U342" s="27"/>
      <c r="AA342" t="s">
        <v>1158</v>
      </c>
      <c r="AB342" s="66">
        <v>116.34</v>
      </c>
      <c r="AC342">
        <f>AB342-5</f>
        <v>111.34</v>
      </c>
      <c r="AD342" t="s">
        <v>1160</v>
      </c>
      <c r="AE342" s="7">
        <f>BA342</f>
        <v>3.1661799999999998</v>
      </c>
      <c r="AF342" s="7"/>
      <c r="AG342" s="7">
        <f>EU342+FA342</f>
        <v>2.0100502512562812</v>
      </c>
      <c r="AH342" s="7">
        <f>DM342</f>
        <v>0</v>
      </c>
      <c r="AI342" s="7">
        <f>DO342</f>
        <v>0</v>
      </c>
      <c r="AJ342" s="7">
        <f>GW342</f>
        <v>4.0201005025125629E-2</v>
      </c>
      <c r="AK342" s="7">
        <f>GU342</f>
        <v>6.470287814070351E-2</v>
      </c>
      <c r="AL342" s="7">
        <f>GS342</f>
        <v>0.56938532763819094</v>
      </c>
      <c r="AM342" s="7">
        <f>HV342</f>
        <v>4.583333333333333E-2</v>
      </c>
      <c r="AN342" s="7">
        <f>IG342</f>
        <v>4.6296296296296294E-2</v>
      </c>
      <c r="AO342" s="6"/>
      <c r="AP342" s="6"/>
      <c r="AQ342" s="7">
        <f>SUM(AE342:AO342)</f>
        <v>5.9426490916899315</v>
      </c>
      <c r="AR342" s="7"/>
      <c r="AS342" s="7"/>
      <c r="AT342" s="4"/>
      <c r="AU342" s="7"/>
      <c r="AV342" s="7">
        <f>AQ342+AU342</f>
        <v>5.9426490916899315</v>
      </c>
      <c r="AW342">
        <v>3.2000000000000001E-2</v>
      </c>
      <c r="AX342">
        <v>2.7E-2</v>
      </c>
      <c r="AY342" s="8">
        <v>1</v>
      </c>
      <c r="AZ342">
        <f>AW342-AX342</f>
        <v>5.000000000000001E-3</v>
      </c>
      <c r="BA342" s="4">
        <f>AW342*AB342-(AZ342*AC342)*AY342</f>
        <v>3.1661799999999998</v>
      </c>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v>0</v>
      </c>
      <c r="CF342" s="4">
        <v>0</v>
      </c>
      <c r="CG342" s="4">
        <v>0</v>
      </c>
      <c r="CH342" s="4">
        <v>0</v>
      </c>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v>0</v>
      </c>
      <c r="DN342" s="182">
        <v>0.03</v>
      </c>
      <c r="DO342" s="4">
        <v>0</v>
      </c>
      <c r="DP342" s="4">
        <f>DM342+DO342</f>
        <v>0</v>
      </c>
      <c r="DQ342" s="4"/>
      <c r="DR342" s="4"/>
      <c r="DS342" s="4"/>
      <c r="DT342" s="4"/>
      <c r="DU342" s="4"/>
      <c r="DV342" s="4"/>
      <c r="DW342" s="4"/>
      <c r="DX342" s="4"/>
      <c r="DY342" s="4"/>
      <c r="DZ342" s="4"/>
      <c r="EA342" s="4"/>
      <c r="EB342" s="4"/>
      <c r="EC342" s="4"/>
      <c r="ED342" s="4"/>
      <c r="EE342" s="4"/>
      <c r="EF342" s="4">
        <v>200</v>
      </c>
      <c r="EG342" s="4">
        <v>2000</v>
      </c>
      <c r="EH342" s="4">
        <v>8</v>
      </c>
      <c r="EI342" s="77">
        <v>0.95</v>
      </c>
      <c r="EJ342" s="10">
        <v>2</v>
      </c>
      <c r="EK342" s="10">
        <v>55</v>
      </c>
      <c r="EL342" s="10">
        <f>ROUND(3600/EK342*EH342*EJ342*EI342,0)</f>
        <v>995</v>
      </c>
      <c r="EM342" s="10"/>
      <c r="EN342" s="10"/>
      <c r="EO342" s="10"/>
      <c r="EP342" s="10"/>
      <c r="EQ342" s="10"/>
      <c r="ER342" s="10"/>
      <c r="ES342" s="10"/>
      <c r="ET342" s="10"/>
      <c r="EU342" s="4">
        <f>EG342/EL342</f>
        <v>2.0100502512562812</v>
      </c>
      <c r="EV342" s="4"/>
      <c r="EW342" s="4"/>
      <c r="GR342" s="77">
        <v>0.11</v>
      </c>
      <c r="GS342" s="4">
        <f>GR342*(BA342+EU342)</f>
        <v>0.56938532763819094</v>
      </c>
      <c r="GT342" s="182">
        <v>1.2500000000000001E-2</v>
      </c>
      <c r="GU342" s="62">
        <f>GT342*(BA342+EU342)</f>
        <v>6.470287814070351E-2</v>
      </c>
      <c r="GV342" s="61">
        <v>0.02</v>
      </c>
      <c r="GW342" s="62">
        <f>GV342*EU342</f>
        <v>4.0201005025125629E-2</v>
      </c>
      <c r="GX342" s="62">
        <f>GS342+GU342+GW342</f>
        <v>0.67428921080402004</v>
      </c>
      <c r="GY342" s="62" t="s">
        <v>43</v>
      </c>
      <c r="GZ342" s="62" t="s">
        <v>551</v>
      </c>
      <c r="HA342" s="59">
        <v>650</v>
      </c>
      <c r="HB342" s="59">
        <v>450</v>
      </c>
      <c r="HC342" s="59">
        <v>330</v>
      </c>
      <c r="HD342" s="59">
        <v>100</v>
      </c>
      <c r="HE342" s="59">
        <v>400</v>
      </c>
      <c r="HF342" s="62">
        <f>ROUNDUP(HE342/HD342,0)</f>
        <v>4</v>
      </c>
      <c r="HG342" s="59">
        <v>5</v>
      </c>
      <c r="HH342" s="62">
        <f>HF342*HG342</f>
        <v>20</v>
      </c>
      <c r="HI342" s="59">
        <v>550</v>
      </c>
      <c r="HJ342" s="62">
        <f>HH342*HI342</f>
        <v>11000</v>
      </c>
      <c r="HK342" s="59"/>
      <c r="HL342" s="59"/>
      <c r="HM342" s="59">
        <v>2</v>
      </c>
      <c r="HN342" s="59">
        <f>HM342*12*25*HE342</f>
        <v>240000</v>
      </c>
      <c r="HO342" s="69">
        <f>IF(GY342="carton box",HI342/HD342,HJ342/HN342)</f>
        <v>4.583333333333333E-2</v>
      </c>
      <c r="HP342" s="59">
        <v>160</v>
      </c>
      <c r="HQ342" s="59">
        <v>0</v>
      </c>
      <c r="HR342" s="59">
        <v>0</v>
      </c>
      <c r="HS342" s="59">
        <v>0</v>
      </c>
      <c r="HT342" s="59">
        <v>0</v>
      </c>
      <c r="HU342" s="59"/>
      <c r="HV342" s="62">
        <f>HO342+HT342</f>
        <v>4.583333333333333E-2</v>
      </c>
      <c r="HW342" s="62"/>
      <c r="HX342" s="59">
        <v>4200</v>
      </c>
      <c r="HY342" s="59">
        <v>1900</v>
      </c>
      <c r="HZ342" s="59">
        <v>1975</v>
      </c>
      <c r="IA342" s="59">
        <f>ROUNDDOWN(HX342/HA342,0)</f>
        <v>6</v>
      </c>
      <c r="IB342" s="59">
        <f>ROUNDDOWN(HY342/HB342,0)</f>
        <v>4</v>
      </c>
      <c r="IC342" s="59">
        <f>ROUNDDOWN(HZ342/HC342,0)</f>
        <v>5</v>
      </c>
      <c r="ID342" s="61">
        <v>0.9</v>
      </c>
      <c r="IE342" s="62">
        <f>PRODUCT(IA342:ID342)</f>
        <v>108</v>
      </c>
      <c r="IF342" s="59">
        <v>500</v>
      </c>
      <c r="IG342" s="62">
        <f>IF342/(IE342*HD342)</f>
        <v>4.6296296296296294E-2</v>
      </c>
      <c r="IH342" s="62"/>
      <c r="II342" s="59"/>
      <c r="IJ342" s="59"/>
      <c r="IK342" s="59"/>
      <c r="IL342" s="59"/>
      <c r="IM342" s="59"/>
      <c r="IN342" s="59"/>
      <c r="IO342" s="59"/>
      <c r="IP342" s="59"/>
      <c r="IQ342" s="59"/>
      <c r="IR342" s="59"/>
      <c r="IS342" s="59"/>
      <c r="IT342" s="59"/>
      <c r="IU342" s="59"/>
      <c r="IV342" s="59"/>
      <c r="IW342" s="59"/>
      <c r="IX342" s="59"/>
      <c r="IY342" s="59"/>
      <c r="IZ342" s="59"/>
      <c r="JA342" s="59"/>
      <c r="JB342" s="59"/>
      <c r="JC342" s="59"/>
      <c r="JD342" s="59"/>
      <c r="JE342" s="59"/>
      <c r="JF342" s="59"/>
      <c r="JG342" s="59"/>
      <c r="JH342" s="59"/>
      <c r="JI342" s="59"/>
      <c r="JJ342" s="59"/>
      <c r="JK342" s="59"/>
      <c r="JL342" s="59"/>
      <c r="JM342" s="59"/>
      <c r="JN342" s="59"/>
      <c r="JO342" s="59"/>
      <c r="JP342" s="59"/>
      <c r="JQ342" s="59"/>
      <c r="JR342" s="59"/>
      <c r="JS342" s="59"/>
      <c r="JT342" s="59"/>
      <c r="JU342" s="59"/>
      <c r="JV342" s="59"/>
      <c r="JW342" s="59"/>
      <c r="JX342" s="59"/>
      <c r="JY342" s="59"/>
      <c r="JZ342" s="59"/>
      <c r="KA342" s="59"/>
      <c r="KB342" s="59"/>
      <c r="KC342" s="96"/>
      <c r="KD342" s="96"/>
      <c r="KE342" s="96"/>
      <c r="KF342" s="59"/>
      <c r="KG342" s="59"/>
      <c r="KH342" s="59"/>
      <c r="KI342" s="59"/>
      <c r="KJ342" s="59"/>
      <c r="KK342" s="59"/>
      <c r="KL342" s="59"/>
      <c r="KM342" s="59"/>
      <c r="KN342" s="59"/>
      <c r="KO342" s="59"/>
      <c r="KP342" s="59"/>
    </row>
    <row r="343" spans="1:302">
      <c r="A343">
        <v>326</v>
      </c>
      <c r="B343" t="s">
        <v>468</v>
      </c>
      <c r="C343" t="s">
        <v>567</v>
      </c>
      <c r="D343" s="28" t="s">
        <v>826</v>
      </c>
      <c r="E343" s="27" t="s">
        <v>825</v>
      </c>
      <c r="F343" s="27"/>
      <c r="G343" s="27" t="s">
        <v>108</v>
      </c>
      <c r="I343" s="27" t="s">
        <v>94</v>
      </c>
      <c r="J343" s="28">
        <v>21591</v>
      </c>
      <c r="K343" s="27" t="s">
        <v>97</v>
      </c>
      <c r="N343" s="28" t="s">
        <v>2188</v>
      </c>
      <c r="O343" s="28" t="s">
        <v>1805</v>
      </c>
      <c r="P343" s="331">
        <v>43839</v>
      </c>
      <c r="Q343" s="28"/>
      <c r="R343" s="28"/>
      <c r="S343" s="27"/>
      <c r="T343" s="27"/>
      <c r="U343" s="27"/>
      <c r="W343" t="s">
        <v>439</v>
      </c>
      <c r="AA343"/>
      <c r="AD343"/>
      <c r="AE343" s="7"/>
      <c r="AF343" s="7"/>
      <c r="AG343" s="7"/>
      <c r="AH343" s="7"/>
      <c r="AI343" s="7"/>
      <c r="AJ343" s="7"/>
      <c r="AK343" s="7"/>
      <c r="AL343" s="7"/>
      <c r="AM343" s="7"/>
      <c r="AN343" s="7"/>
      <c r="AO343" s="6"/>
      <c r="AP343" s="6"/>
      <c r="AQ343" s="7"/>
      <c r="AR343" s="7"/>
      <c r="AS343" s="7"/>
      <c r="AT343" s="4"/>
      <c r="AU343" s="7"/>
      <c r="AV343" s="7"/>
      <c r="AY343" s="8"/>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182"/>
      <c r="DO343" s="4"/>
      <c r="DP343" s="4"/>
      <c r="DQ343" s="4"/>
      <c r="DR343" s="4"/>
      <c r="DS343" s="4"/>
      <c r="DT343" s="4"/>
      <c r="DU343" s="4"/>
      <c r="DV343" s="4"/>
      <c r="DW343" s="4"/>
      <c r="DX343" s="4"/>
      <c r="DY343" s="4"/>
      <c r="DZ343" s="4"/>
      <c r="EA343" s="4"/>
      <c r="EB343" s="4"/>
      <c r="EC343" s="4"/>
      <c r="ED343" s="4"/>
      <c r="EE343" s="4"/>
      <c r="EF343" s="4"/>
      <c r="EG343" s="4"/>
      <c r="EH343" s="4"/>
      <c r="EI343" s="77"/>
      <c r="EJ343" s="10"/>
      <c r="EK343" s="10"/>
      <c r="EL343" s="10"/>
      <c r="EM343" s="10"/>
      <c r="EN343" s="10"/>
      <c r="EO343" s="10"/>
      <c r="EP343" s="10"/>
      <c r="EQ343" s="10"/>
      <c r="ER343" s="10"/>
      <c r="ES343" s="10"/>
      <c r="ET343" s="10"/>
      <c r="EU343" s="4"/>
      <c r="EV343" s="4"/>
      <c r="EW343" s="4"/>
      <c r="GR343" s="77"/>
      <c r="GS343" s="4"/>
      <c r="GT343" s="182"/>
      <c r="GU343" s="62"/>
      <c r="GV343" s="61"/>
      <c r="GW343" s="62"/>
      <c r="GX343" s="62"/>
      <c r="GY343" s="62"/>
      <c r="GZ343" s="62"/>
      <c r="HA343" s="59"/>
      <c r="HB343" s="59"/>
      <c r="HC343" s="59"/>
      <c r="HD343" s="59"/>
      <c r="HE343" s="59"/>
      <c r="HF343" s="62"/>
      <c r="HG343" s="59"/>
      <c r="HH343" s="62"/>
      <c r="HI343" s="59"/>
      <c r="HJ343" s="62"/>
      <c r="HK343" s="59"/>
      <c r="HL343" s="59"/>
      <c r="HM343" s="59"/>
      <c r="HN343" s="59"/>
      <c r="HO343" s="69"/>
      <c r="HP343" s="59"/>
      <c r="HQ343" s="59"/>
      <c r="HR343" s="59"/>
      <c r="HS343" s="59"/>
      <c r="HT343" s="59"/>
      <c r="HU343" s="59"/>
      <c r="HV343" s="62"/>
      <c r="HW343" s="62"/>
      <c r="HX343" s="59"/>
      <c r="HY343" s="59"/>
      <c r="HZ343" s="59"/>
      <c r="IA343" s="59"/>
      <c r="IB343" s="59"/>
      <c r="IC343" s="59"/>
      <c r="ID343" s="61"/>
      <c r="IE343" s="62"/>
      <c r="IF343" s="59"/>
      <c r="IG343" s="62"/>
      <c r="IH343" s="62"/>
      <c r="II343" s="59"/>
      <c r="IJ343" s="59"/>
      <c r="IK343" s="59"/>
      <c r="IL343" s="59"/>
      <c r="IM343" s="59"/>
      <c r="IN343" s="59"/>
      <c r="IO343" s="59"/>
      <c r="IP343" s="59"/>
      <c r="IQ343" s="59"/>
      <c r="IR343" s="59"/>
      <c r="IS343" s="59"/>
      <c r="IT343" s="59"/>
      <c r="IU343" s="59"/>
      <c r="IV343" s="59"/>
      <c r="IW343" s="59"/>
      <c r="IX343" s="59"/>
      <c r="IY343" s="59"/>
      <c r="IZ343" s="59"/>
      <c r="JA343" s="59"/>
      <c r="JB343" s="59"/>
      <c r="JC343" s="59"/>
      <c r="JD343" s="59"/>
      <c r="JE343" s="59"/>
      <c r="JF343" s="59"/>
      <c r="JG343" s="59"/>
      <c r="JH343" s="59"/>
      <c r="JI343" s="59"/>
      <c r="JJ343" s="59"/>
      <c r="JK343" s="59"/>
      <c r="JL343" s="59"/>
      <c r="JM343" s="59"/>
      <c r="JN343" s="59"/>
      <c r="JO343" s="59"/>
      <c r="JP343" s="59"/>
      <c r="JQ343" s="59"/>
      <c r="JR343" s="59"/>
      <c r="JS343" s="59"/>
      <c r="JT343" s="59"/>
      <c r="JU343" s="59"/>
      <c r="JV343" s="59"/>
      <c r="JW343" s="59"/>
      <c r="JX343" s="59"/>
      <c r="JY343" s="59"/>
      <c r="JZ343" s="59"/>
      <c r="KA343" s="59"/>
      <c r="KB343" s="59"/>
      <c r="KC343" s="96"/>
      <c r="KD343" s="96"/>
      <c r="KE343" s="96"/>
      <c r="KF343" s="59"/>
      <c r="KG343" s="59"/>
      <c r="KH343" s="59"/>
      <c r="KI343" s="59"/>
      <c r="KJ343" s="59"/>
      <c r="KK343" s="59"/>
      <c r="KL343" s="59"/>
      <c r="KM343" s="59"/>
      <c r="KN343" s="59"/>
      <c r="KO343" s="59"/>
      <c r="KP343" s="59"/>
    </row>
    <row r="344" spans="1:302">
      <c r="A344">
        <v>327</v>
      </c>
      <c r="B344" t="s">
        <v>468</v>
      </c>
      <c r="C344" t="s">
        <v>1162</v>
      </c>
      <c r="D344" s="28" t="s">
        <v>827</v>
      </c>
      <c r="E344" s="27" t="s">
        <v>828</v>
      </c>
      <c r="F344" s="5" t="s">
        <v>2182</v>
      </c>
      <c r="G344" s="27" t="s">
        <v>108</v>
      </c>
      <c r="I344" s="27" t="s">
        <v>121</v>
      </c>
      <c r="J344" s="28">
        <v>21480</v>
      </c>
      <c r="K344" s="27" t="s">
        <v>97</v>
      </c>
      <c r="N344" s="28"/>
      <c r="O344" s="28"/>
      <c r="P344" s="28"/>
      <c r="Q344" s="28"/>
      <c r="R344" s="28"/>
      <c r="S344" s="27"/>
      <c r="T344" s="27"/>
      <c r="U344" s="27"/>
      <c r="W344"/>
      <c r="X344"/>
      <c r="Y344"/>
      <c r="Z344"/>
      <c r="AA344" t="s">
        <v>1163</v>
      </c>
      <c r="AB344" s="66">
        <v>187.3</v>
      </c>
      <c r="AC344">
        <v>2.9999999999999992E-3</v>
      </c>
      <c r="AD344"/>
      <c r="AE344" s="7">
        <f>BA344</f>
        <v>2.809491</v>
      </c>
      <c r="AF344" s="7"/>
      <c r="AG344" s="7">
        <f>EU344+FA344</f>
        <v>1.0968921389396709</v>
      </c>
      <c r="AH344" s="7">
        <f>DM344</f>
        <v>0</v>
      </c>
      <c r="AI344" s="7">
        <f>DO344</f>
        <v>0</v>
      </c>
      <c r="AJ344" s="7">
        <f>GW344</f>
        <v>2.1937842778793418E-2</v>
      </c>
      <c r="AK344" s="7">
        <f>GU344</f>
        <v>4.8829789236745885E-2</v>
      </c>
      <c r="AL344" s="7">
        <f>GS344</f>
        <v>0.42970214528336381</v>
      </c>
      <c r="AM344" s="7">
        <f>HV344</f>
        <v>1.4166666666666666E-2</v>
      </c>
      <c r="AN344" s="7">
        <f>IG344</f>
        <v>3.9569484013928458E-2</v>
      </c>
      <c r="AO344" s="6"/>
      <c r="AP344" s="6"/>
      <c r="AQ344" s="7">
        <f>SUM(AE344:AO344)</f>
        <v>4.4605890669191695</v>
      </c>
      <c r="AR344" s="7"/>
      <c r="AS344" s="7"/>
      <c r="AT344" s="4"/>
      <c r="AU344" s="7"/>
      <c r="AV344" s="7">
        <f>AQ344+AU344</f>
        <v>4.4605890669191695</v>
      </c>
      <c r="AW344">
        <v>1.4999999999999999E-2</v>
      </c>
      <c r="AX344">
        <v>1.2E-2</v>
      </c>
      <c r="AY344" s="8">
        <v>1</v>
      </c>
      <c r="AZ344">
        <f>AW344-AX344</f>
        <v>2.9999999999999992E-3</v>
      </c>
      <c r="BA344" s="4">
        <f>AW344*AB344-(AZ344*AC344)*AY344</f>
        <v>2.809491</v>
      </c>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v>0</v>
      </c>
      <c r="CF344" s="4">
        <v>0</v>
      </c>
      <c r="CG344" s="4">
        <v>0</v>
      </c>
      <c r="CH344" s="4">
        <v>0</v>
      </c>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v>0</v>
      </c>
      <c r="DN344" s="182">
        <v>0.03</v>
      </c>
      <c r="DO344" s="4">
        <v>0</v>
      </c>
      <c r="DP344" s="4">
        <f>DM344+DO344</f>
        <v>0</v>
      </c>
      <c r="DQ344" s="4"/>
      <c r="DR344" s="4"/>
      <c r="DS344" s="4"/>
      <c r="DT344" s="4"/>
      <c r="DU344" s="4"/>
      <c r="DV344" s="4"/>
      <c r="DW344" s="4"/>
      <c r="DX344" s="4"/>
      <c r="DY344" s="4"/>
      <c r="DZ344" s="4"/>
      <c r="EA344" s="4"/>
      <c r="EB344" s="4"/>
      <c r="EC344" s="4"/>
      <c r="ED344" s="4"/>
      <c r="EE344" s="4"/>
      <c r="EF344" s="4">
        <v>120</v>
      </c>
      <c r="EG344" s="4">
        <v>1200</v>
      </c>
      <c r="EH344" s="4">
        <v>8</v>
      </c>
      <c r="EI344" s="77">
        <v>0.95</v>
      </c>
      <c r="EJ344" s="10">
        <v>2</v>
      </c>
      <c r="EK344" s="10">
        <v>50</v>
      </c>
      <c r="EL344" s="10">
        <f>ROUND(3600/EK344*EH344*EJ344*EI344,0)</f>
        <v>1094</v>
      </c>
      <c r="EM344" s="10"/>
      <c r="EN344" s="10"/>
      <c r="EO344" s="10"/>
      <c r="EP344" s="10"/>
      <c r="EQ344" s="10"/>
      <c r="ER344" s="10"/>
      <c r="ES344" s="10"/>
      <c r="ET344" s="10"/>
      <c r="EU344" s="4">
        <f>EG344/EL344</f>
        <v>1.0968921389396709</v>
      </c>
      <c r="EV344" s="4"/>
      <c r="EW344" s="4"/>
      <c r="GR344" s="77">
        <v>0.11</v>
      </c>
      <c r="GS344" s="4">
        <f>GR344*(BA344+EU344)</f>
        <v>0.42970214528336381</v>
      </c>
      <c r="GT344" s="182">
        <v>1.2500000000000001E-2</v>
      </c>
      <c r="GU344" s="62">
        <f>GT344*(BA344+EU344)</f>
        <v>4.8829789236745885E-2</v>
      </c>
      <c r="GV344" s="61">
        <v>0.02</v>
      </c>
      <c r="GW344" s="62">
        <f>GV344*EU344</f>
        <v>2.1937842778793418E-2</v>
      </c>
      <c r="GX344" s="62">
        <f>GS344+GU344+GW344</f>
        <v>0.50046977729890307</v>
      </c>
      <c r="GY344" s="62" t="s">
        <v>43</v>
      </c>
      <c r="GZ344" s="62" t="s">
        <v>551</v>
      </c>
      <c r="HA344">
        <v>650</v>
      </c>
      <c r="HB344">
        <v>450</v>
      </c>
      <c r="HC344">
        <v>315</v>
      </c>
      <c r="HD344">
        <v>520</v>
      </c>
      <c r="HE344">
        <v>1000</v>
      </c>
      <c r="HF344" s="62">
        <f>ROUNDUP(HE344/HD344,0)</f>
        <v>2</v>
      </c>
      <c r="HG344">
        <v>5</v>
      </c>
      <c r="HH344" s="62">
        <f>HF344*HG344</f>
        <v>10</v>
      </c>
      <c r="HI344">
        <v>850</v>
      </c>
      <c r="HJ344" s="62">
        <f>HH344*HI344</f>
        <v>8500</v>
      </c>
      <c r="HM344">
        <v>2</v>
      </c>
      <c r="HN344" s="62">
        <f>HM344*12*25*HE344</f>
        <v>600000</v>
      </c>
      <c r="HO344" s="62">
        <f>IF(GY344="carton box",HI344/HD344,HJ344/HN344)</f>
        <v>1.4166666666666666E-2</v>
      </c>
      <c r="HP344">
        <v>160</v>
      </c>
      <c r="HQ344">
        <v>0</v>
      </c>
      <c r="HR344">
        <v>0</v>
      </c>
      <c r="HS344">
        <v>0</v>
      </c>
      <c r="HT344">
        <v>0</v>
      </c>
      <c r="HV344" s="62">
        <f>HO344+HT344</f>
        <v>1.4166666666666666E-2</v>
      </c>
      <c r="HW344" s="62"/>
      <c r="HX344">
        <v>2200</v>
      </c>
      <c r="HY344">
        <v>1676</v>
      </c>
      <c r="HZ344">
        <v>2023</v>
      </c>
      <c r="IA344" s="62">
        <f t="shared" ref="IA344:IC347" si="314">ROUNDDOWN(HX344/HA344,0)</f>
        <v>3</v>
      </c>
      <c r="IB344" s="62">
        <f t="shared" si="314"/>
        <v>3</v>
      </c>
      <c r="IC344" s="62">
        <f t="shared" si="314"/>
        <v>6</v>
      </c>
      <c r="ID344" s="61">
        <v>0.9</v>
      </c>
      <c r="IE344" s="65">
        <f>PRODUCT(IA344:ID344)/2</f>
        <v>24.3</v>
      </c>
      <c r="IF344">
        <v>500</v>
      </c>
      <c r="IG344" s="62">
        <f>IF344/(IE344*HD344)</f>
        <v>3.9569484013928458E-2</v>
      </c>
      <c r="IH344" s="62"/>
    </row>
    <row r="345" spans="1:302">
      <c r="A345">
        <v>328</v>
      </c>
      <c r="B345" t="s">
        <v>468</v>
      </c>
      <c r="C345" t="s">
        <v>1164</v>
      </c>
      <c r="D345" s="28" t="s">
        <v>829</v>
      </c>
      <c r="E345" s="27" t="s">
        <v>825</v>
      </c>
      <c r="F345" s="5" t="s">
        <v>2182</v>
      </c>
      <c r="G345" s="27" t="s">
        <v>108</v>
      </c>
      <c r="I345" s="27" t="s">
        <v>121</v>
      </c>
      <c r="J345" s="28">
        <v>21480</v>
      </c>
      <c r="K345" s="27" t="s">
        <v>97</v>
      </c>
      <c r="N345" s="28"/>
      <c r="O345" s="28"/>
      <c r="P345" s="28"/>
      <c r="Q345" s="28"/>
      <c r="R345" s="28"/>
      <c r="S345" s="27"/>
      <c r="T345" s="27"/>
      <c r="U345" s="27"/>
      <c r="W345"/>
      <c r="X345"/>
      <c r="Y345"/>
      <c r="Z345"/>
      <c r="AA345" t="s">
        <v>512</v>
      </c>
      <c r="AB345" s="66">
        <v>94.62</v>
      </c>
      <c r="AC345">
        <v>20</v>
      </c>
      <c r="AD345"/>
      <c r="AE345" s="7">
        <f>BA345</f>
        <v>2.8359100000000002</v>
      </c>
      <c r="AF345" s="7"/>
      <c r="AG345" s="7">
        <f>EU345+FA345</f>
        <v>1.4807502467917077</v>
      </c>
      <c r="AH345" s="7">
        <f>DM345</f>
        <v>0</v>
      </c>
      <c r="AI345" s="7">
        <f>DO345</f>
        <v>0</v>
      </c>
      <c r="AJ345" s="7">
        <f>GW345</f>
        <v>2.9615004935834157E-2</v>
      </c>
      <c r="AK345" s="7">
        <f>GU345</f>
        <v>5.3958253084896352E-2</v>
      </c>
      <c r="AL345" s="7">
        <f>GS345</f>
        <v>0.47483262714708785</v>
      </c>
      <c r="AM345" s="7">
        <f>HV345</f>
        <v>3.0555555555555555E-2</v>
      </c>
      <c r="AN345" s="7">
        <f>IG345</f>
        <v>4.1666666666666664E-2</v>
      </c>
      <c r="AO345" s="6"/>
      <c r="AP345" s="6"/>
      <c r="AQ345" s="7">
        <f>SUM(AE345:AO345)</f>
        <v>4.9472883541817501</v>
      </c>
      <c r="AR345" s="7"/>
      <c r="AS345" s="7"/>
      <c r="AT345" s="4"/>
      <c r="AU345" s="7"/>
      <c r="AV345" s="7">
        <f>AQ345+AU345</f>
        <v>4.9472883541817501</v>
      </c>
      <c r="AW345" s="14">
        <v>3.0499999999999999E-2</v>
      </c>
      <c r="AX345">
        <v>2.8000000000000001E-2</v>
      </c>
      <c r="AY345" s="8">
        <v>1</v>
      </c>
      <c r="AZ345">
        <f>AW345-AX345</f>
        <v>2.4999999999999988E-3</v>
      </c>
      <c r="BA345" s="4">
        <f>AW345*AB345-(AZ345*AC345)*AY345</f>
        <v>2.8359100000000002</v>
      </c>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v>0</v>
      </c>
      <c r="CF345" s="4">
        <v>0</v>
      </c>
      <c r="CG345" s="4">
        <v>0</v>
      </c>
      <c r="CH345" s="4">
        <v>0</v>
      </c>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f>CH345+CM345+CR345+CW345+DB345+DG345+DK345</f>
        <v>0</v>
      </c>
      <c r="DN345" s="182">
        <v>0.03</v>
      </c>
      <c r="DO345" s="4">
        <v>0</v>
      </c>
      <c r="DP345" s="4">
        <f>DM345+DO345</f>
        <v>0</v>
      </c>
      <c r="DQ345" s="4"/>
      <c r="DR345" s="4"/>
      <c r="DS345" s="4"/>
      <c r="DT345" s="4"/>
      <c r="DU345" s="4"/>
      <c r="DV345" s="4"/>
      <c r="DW345" s="4"/>
      <c r="DX345" s="4"/>
      <c r="DY345" s="4"/>
      <c r="DZ345" s="4"/>
      <c r="EA345" s="4"/>
      <c r="EB345" s="4"/>
      <c r="EC345" s="4"/>
      <c r="ED345" s="4"/>
      <c r="EE345" s="4"/>
      <c r="EF345" s="4">
        <v>150</v>
      </c>
      <c r="EG345" s="4">
        <v>1500</v>
      </c>
      <c r="EH345" s="4">
        <v>8</v>
      </c>
      <c r="EI345" s="77">
        <v>0.95</v>
      </c>
      <c r="EJ345" s="10">
        <v>2</v>
      </c>
      <c r="EK345" s="10">
        <v>54</v>
      </c>
      <c r="EL345" s="10">
        <f>ROUND(3600/EK345*EH345*EJ345*EI345,0)</f>
        <v>1013</v>
      </c>
      <c r="EM345" s="10"/>
      <c r="EN345" s="10"/>
      <c r="EO345" s="10"/>
      <c r="EP345" s="10"/>
      <c r="EQ345" s="10"/>
      <c r="ER345" s="10"/>
      <c r="ES345" s="10"/>
      <c r="ET345" s="10"/>
      <c r="EU345" s="4">
        <f>EG345/EL345</f>
        <v>1.4807502467917077</v>
      </c>
      <c r="EV345" s="4"/>
      <c r="EW345" s="4"/>
      <c r="GR345" s="77">
        <v>0.11</v>
      </c>
      <c r="GS345" s="4">
        <f>GR345*(BA345+EU345)</f>
        <v>0.47483262714708785</v>
      </c>
      <c r="GT345" s="182">
        <v>1.2500000000000001E-2</v>
      </c>
      <c r="GU345" s="62">
        <f>GT345*(BA345+EU345)</f>
        <v>5.3958253084896352E-2</v>
      </c>
      <c r="GV345" s="61">
        <v>0.02</v>
      </c>
      <c r="GW345" s="62">
        <f>GV345*EU345</f>
        <v>2.9615004935834157E-2</v>
      </c>
      <c r="GX345" s="62">
        <f>GS345+GU345+GW345</f>
        <v>0.55840588516781831</v>
      </c>
      <c r="GY345" s="62" t="s">
        <v>43</v>
      </c>
      <c r="GZ345" s="62" t="s">
        <v>551</v>
      </c>
      <c r="HA345">
        <v>600</v>
      </c>
      <c r="HB345">
        <v>400</v>
      </c>
      <c r="HC345">
        <v>315</v>
      </c>
      <c r="HD345">
        <v>150</v>
      </c>
      <c r="HE345">
        <v>600</v>
      </c>
      <c r="HF345" s="62">
        <f>ROUNDUP(HE345/HD345,0)</f>
        <v>4</v>
      </c>
      <c r="HG345">
        <v>5</v>
      </c>
      <c r="HH345" s="62">
        <f>HF345*HG345</f>
        <v>20</v>
      </c>
      <c r="HI345">
        <v>550</v>
      </c>
      <c r="HJ345" s="62">
        <f>HH345*HI345</f>
        <v>11000</v>
      </c>
      <c r="HM345">
        <v>2</v>
      </c>
      <c r="HN345" s="62">
        <f>HM345*12*25*HE345</f>
        <v>360000</v>
      </c>
      <c r="HO345" s="62">
        <f>IF(GY345="carton box",HI345/HD345,HJ345/HN345)</f>
        <v>3.0555555555555555E-2</v>
      </c>
      <c r="HP345">
        <v>160</v>
      </c>
      <c r="HQ345">
        <v>0</v>
      </c>
      <c r="HR345">
        <v>0</v>
      </c>
      <c r="HS345">
        <v>0</v>
      </c>
      <c r="HT345">
        <v>0</v>
      </c>
      <c r="HV345" s="62">
        <f>HO345+HT345</f>
        <v>3.0555555555555555E-2</v>
      </c>
      <c r="HW345" s="62"/>
      <c r="HX345">
        <v>2917</v>
      </c>
      <c r="HY345">
        <v>1689</v>
      </c>
      <c r="HZ345">
        <v>1842</v>
      </c>
      <c r="IA345" s="62">
        <f t="shared" si="314"/>
        <v>4</v>
      </c>
      <c r="IB345" s="62">
        <f t="shared" si="314"/>
        <v>4</v>
      </c>
      <c r="IC345" s="62">
        <f t="shared" si="314"/>
        <v>5</v>
      </c>
      <c r="ID345" s="61">
        <v>1</v>
      </c>
      <c r="IE345" s="62">
        <f>PRODUCT(IA345:ID345)</f>
        <v>80</v>
      </c>
      <c r="IF345">
        <v>500</v>
      </c>
      <c r="IG345" s="62">
        <f>IF345/(IE345*HD345)</f>
        <v>4.1666666666666664E-2</v>
      </c>
      <c r="IH345" s="62"/>
    </row>
    <row r="346" spans="1:302">
      <c r="A346">
        <v>329</v>
      </c>
      <c r="B346" t="s">
        <v>468</v>
      </c>
      <c r="C346" t="s">
        <v>1165</v>
      </c>
      <c r="D346" s="28" t="s">
        <v>830</v>
      </c>
      <c r="E346" s="27" t="s">
        <v>170</v>
      </c>
      <c r="F346" s="5" t="s">
        <v>2182</v>
      </c>
      <c r="G346" s="27" t="s">
        <v>108</v>
      </c>
      <c r="I346" s="27" t="s">
        <v>94</v>
      </c>
      <c r="J346" s="28">
        <v>21591</v>
      </c>
      <c r="K346" s="27" t="s">
        <v>97</v>
      </c>
      <c r="N346" s="28"/>
      <c r="O346" s="28"/>
      <c r="P346" s="28"/>
      <c r="Q346" s="28"/>
      <c r="R346" s="28"/>
      <c r="S346" s="27"/>
      <c r="T346" s="27"/>
      <c r="U346" s="27"/>
      <c r="W346" s="13" t="s">
        <v>1166</v>
      </c>
      <c r="AA346" t="s">
        <v>1049</v>
      </c>
      <c r="AB346" s="66">
        <v>172.77</v>
      </c>
      <c r="AC346">
        <f>AB346-5</f>
        <v>167.77</v>
      </c>
      <c r="AD346"/>
      <c r="AE346" s="7">
        <f>BA346</f>
        <v>76.982650000000007</v>
      </c>
      <c r="AF346" s="7"/>
      <c r="AG346" s="7">
        <f>EU346+FA346</f>
        <v>12.06140350877193</v>
      </c>
      <c r="AH346" s="7">
        <f>DM346</f>
        <v>8</v>
      </c>
      <c r="AI346" s="7">
        <f>DO346</f>
        <v>0.22499999999999998</v>
      </c>
      <c r="AJ346" s="7">
        <f>GW346</f>
        <v>0.2412280701754386</v>
      </c>
      <c r="AK346" s="7">
        <f>GU346</f>
        <v>1.1130506688596493</v>
      </c>
      <c r="AL346" s="7">
        <f>GS346</f>
        <v>9.7948458859649126</v>
      </c>
      <c r="AM346" s="7">
        <f>HV346</f>
        <v>3.4166666666666665</v>
      </c>
      <c r="AN346" s="7">
        <f>IG346</f>
        <v>0.92592592592592593</v>
      </c>
      <c r="AO346" s="6"/>
      <c r="AP346" s="6"/>
      <c r="AQ346" s="7">
        <f>SUM(AE346:AO346)</f>
        <v>112.76077072636453</v>
      </c>
      <c r="AR346" s="7"/>
      <c r="AS346" s="7"/>
      <c r="AT346" s="4"/>
      <c r="AU346" s="7"/>
      <c r="AV346" s="7">
        <f>AQ346+AU346</f>
        <v>112.76077072636453</v>
      </c>
      <c r="AW346">
        <v>0.46500000000000002</v>
      </c>
      <c r="AX346">
        <v>0.44500000000000001</v>
      </c>
      <c r="AY346" s="8">
        <v>1</v>
      </c>
      <c r="AZ346">
        <f>AW346-AX346</f>
        <v>2.0000000000000018E-2</v>
      </c>
      <c r="BA346" s="4">
        <f>AW346*AB346-(AZ346*AC346)*AY346</f>
        <v>76.982650000000007</v>
      </c>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v>0</v>
      </c>
      <c r="CF346" s="4">
        <v>2</v>
      </c>
      <c r="CG346" s="4">
        <v>3.75</v>
      </c>
      <c r="CH346" s="4">
        <f>CF346*CG346</f>
        <v>7.5</v>
      </c>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f>CH346+CM346+CR346+CW346+DB346+DG346+DK346+0.5</f>
        <v>8</v>
      </c>
      <c r="DN346" s="182">
        <v>0.03</v>
      </c>
      <c r="DO346" s="4">
        <f>DN346*CG346*CF346</f>
        <v>0.22499999999999998</v>
      </c>
      <c r="DP346" s="4">
        <f>DM346+DO346</f>
        <v>8.2249999999999996</v>
      </c>
      <c r="DQ346" s="4"/>
      <c r="DR346" s="4"/>
      <c r="DS346" s="4"/>
      <c r="DT346" s="4"/>
      <c r="DU346" s="4"/>
      <c r="DV346" s="4"/>
      <c r="DW346" s="4"/>
      <c r="DX346" s="4"/>
      <c r="DY346" s="4"/>
      <c r="DZ346" s="4"/>
      <c r="EA346" s="4"/>
      <c r="EB346" s="4"/>
      <c r="EC346" s="4"/>
      <c r="ED346" s="4"/>
      <c r="EE346" s="4"/>
      <c r="EF346" s="4">
        <v>550</v>
      </c>
      <c r="EG346" s="4">
        <v>5500</v>
      </c>
      <c r="EH346" s="4">
        <v>8</v>
      </c>
      <c r="EI346" s="77">
        <v>0.95</v>
      </c>
      <c r="EJ346" s="10">
        <v>1</v>
      </c>
      <c r="EK346" s="10">
        <v>60</v>
      </c>
      <c r="EL346" s="10">
        <f>ROUND(3600/EK346*EH346*EJ346*EI346,0)</f>
        <v>456</v>
      </c>
      <c r="EM346" s="10"/>
      <c r="EN346" s="10"/>
      <c r="EO346" s="10"/>
      <c r="EP346" s="10"/>
      <c r="EQ346" s="10"/>
      <c r="ER346" s="10"/>
      <c r="ES346" s="10"/>
      <c r="ET346" s="10"/>
      <c r="EU346" s="4">
        <f>EG346/EL346</f>
        <v>12.06140350877193</v>
      </c>
      <c r="EV346" s="4"/>
      <c r="EW346" s="4"/>
      <c r="GR346" s="77">
        <v>0.11</v>
      </c>
      <c r="GS346" s="4">
        <f>GR346*(BA346+EU346)</f>
        <v>9.7948458859649126</v>
      </c>
      <c r="GT346" s="182">
        <v>1.2500000000000001E-2</v>
      </c>
      <c r="GU346" s="62">
        <f>GT346*(BA346+EU346)</f>
        <v>1.1130506688596493</v>
      </c>
      <c r="GV346" s="61">
        <v>0.02</v>
      </c>
      <c r="GW346" s="62">
        <f>GV346*EU346</f>
        <v>0.2412280701754386</v>
      </c>
      <c r="GX346" s="62">
        <f>GS346+GU346+GW346</f>
        <v>11.149124625000001</v>
      </c>
      <c r="GY346" s="62" t="s">
        <v>43</v>
      </c>
      <c r="GZ346" s="62" t="s">
        <v>551</v>
      </c>
      <c r="HA346">
        <v>650</v>
      </c>
      <c r="HB346">
        <v>450</v>
      </c>
      <c r="HC346">
        <v>320</v>
      </c>
      <c r="HD346">
        <v>5</v>
      </c>
      <c r="HE346">
        <v>400</v>
      </c>
      <c r="HF346" s="62">
        <f>ROUNDUP(HE346/HD346,0)</f>
        <v>80</v>
      </c>
      <c r="HG346">
        <v>5</v>
      </c>
      <c r="HH346" s="62">
        <f>HF346*HG346</f>
        <v>400</v>
      </c>
      <c r="HI346">
        <v>550</v>
      </c>
      <c r="HJ346" s="62">
        <f>HH346*HI346</f>
        <v>220000</v>
      </c>
      <c r="HM346">
        <v>2</v>
      </c>
      <c r="HN346" s="62">
        <f>HM346*12*25*HE346</f>
        <v>240000</v>
      </c>
      <c r="HO346" s="62">
        <f>IF(GY346="carton box",HI346/HD346,HJ346/HN346)</f>
        <v>0.91666666666666663</v>
      </c>
      <c r="HP346">
        <v>160</v>
      </c>
      <c r="HQ346">
        <v>0</v>
      </c>
      <c r="HR346">
        <v>0</v>
      </c>
      <c r="HS346">
        <v>0</v>
      </c>
      <c r="HT346">
        <v>0</v>
      </c>
      <c r="HV346" s="62">
        <f>HO346+HT346+2.5</f>
        <v>3.4166666666666665</v>
      </c>
      <c r="HW346" s="62"/>
      <c r="HX346">
        <v>4200</v>
      </c>
      <c r="HY346">
        <v>1900</v>
      </c>
      <c r="HZ346">
        <v>1975</v>
      </c>
      <c r="IA346" s="62">
        <f t="shared" si="314"/>
        <v>6</v>
      </c>
      <c r="IB346" s="62">
        <f t="shared" si="314"/>
        <v>4</v>
      </c>
      <c r="IC346" s="62">
        <f t="shared" si="314"/>
        <v>6</v>
      </c>
      <c r="ID346" s="61">
        <v>0.9</v>
      </c>
      <c r="IE346" s="161">
        <f>PRODUCT(IA346:ID346)-21.6</f>
        <v>108</v>
      </c>
      <c r="IF346">
        <v>500</v>
      </c>
      <c r="IG346" s="62">
        <f>IF346/(IE346*HD346)</f>
        <v>0.92592592592592593</v>
      </c>
      <c r="IH346" s="62"/>
    </row>
    <row r="347" spans="1:302">
      <c r="A347">
        <v>330</v>
      </c>
      <c r="B347" t="s">
        <v>468</v>
      </c>
      <c r="C347" t="s">
        <v>1167</v>
      </c>
      <c r="D347" s="28" t="s">
        <v>831</v>
      </c>
      <c r="E347" s="27" t="s">
        <v>832</v>
      </c>
      <c r="F347" s="5" t="s">
        <v>2182</v>
      </c>
      <c r="G347" s="27" t="s">
        <v>108</v>
      </c>
      <c r="I347" s="27" t="s">
        <v>94</v>
      </c>
      <c r="J347" s="28">
        <v>21591</v>
      </c>
      <c r="K347" s="27" t="s">
        <v>97</v>
      </c>
      <c r="N347" s="28"/>
      <c r="O347" s="28"/>
      <c r="P347" s="28"/>
      <c r="Q347" s="28"/>
      <c r="R347" s="28"/>
      <c r="S347" s="27"/>
      <c r="T347" s="27"/>
      <c r="U347" s="27"/>
      <c r="W347" s="13" t="s">
        <v>1166</v>
      </c>
      <c r="AA347" t="s">
        <v>1168</v>
      </c>
      <c r="AB347" s="66">
        <v>117.53</v>
      </c>
      <c r="AC347">
        <f>AB347-5</f>
        <v>112.53</v>
      </c>
      <c r="AD347"/>
      <c r="AE347" s="7">
        <f>BA347</f>
        <v>9.4623999999999988</v>
      </c>
      <c r="AF347" s="7"/>
      <c r="AG347" s="7">
        <f>EU347+FA347</f>
        <v>3.0701754385964914</v>
      </c>
      <c r="AH347" s="7">
        <f>DM347</f>
        <v>0</v>
      </c>
      <c r="AI347" s="7">
        <f>DO347</f>
        <v>0</v>
      </c>
      <c r="AJ347" s="7">
        <f>GW347</f>
        <v>6.1403508771929828E-2</v>
      </c>
      <c r="AK347" s="7">
        <f>GU347</f>
        <v>0.15665719298245614</v>
      </c>
      <c r="AL347" s="7">
        <f>GS347</f>
        <v>1.3785832982456139</v>
      </c>
      <c r="AM347" s="7">
        <f>HV347</f>
        <v>0.87395833333333339</v>
      </c>
      <c r="AN347" s="7">
        <f>IG347</f>
        <v>0.15432098765432098</v>
      </c>
      <c r="AO347" s="6"/>
      <c r="AP347" s="6"/>
      <c r="AQ347" s="7">
        <f>SUM(AE347:AO347)</f>
        <v>15.157498759584145</v>
      </c>
      <c r="AR347" s="7"/>
      <c r="AS347" s="7"/>
      <c r="AT347" s="4"/>
      <c r="AU347" s="7"/>
      <c r="AV347" s="7">
        <f>AQ347+AU347</f>
        <v>15.157498759584145</v>
      </c>
      <c r="AW347">
        <v>9.1999999999999998E-2</v>
      </c>
      <c r="AX347">
        <v>0.08</v>
      </c>
      <c r="AY347" s="8">
        <v>1</v>
      </c>
      <c r="AZ347">
        <f>AW347-AX347</f>
        <v>1.1999999999999997E-2</v>
      </c>
      <c r="BA347" s="4">
        <f>AW347*AB347-(AZ347*AC347)*AY347</f>
        <v>9.4623999999999988</v>
      </c>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v>0</v>
      </c>
      <c r="CF347" s="4">
        <v>0</v>
      </c>
      <c r="CG347" s="4">
        <v>0</v>
      </c>
      <c r="CH347" s="4">
        <v>0</v>
      </c>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f>CH347+CM347+CR347+CW347+DB347+DG347+DK347</f>
        <v>0</v>
      </c>
      <c r="DN347" s="182">
        <v>0.03</v>
      </c>
      <c r="DO347" s="4">
        <v>0</v>
      </c>
      <c r="DP347" s="4">
        <f>DM347+DO347</f>
        <v>0</v>
      </c>
      <c r="DQ347" s="4"/>
      <c r="DR347" s="4"/>
      <c r="DS347" s="4"/>
      <c r="DT347" s="4"/>
      <c r="DU347" s="4"/>
      <c r="DV347" s="4"/>
      <c r="DW347" s="4"/>
      <c r="DX347" s="4"/>
      <c r="DY347" s="4"/>
      <c r="DZ347" s="4"/>
      <c r="EA347" s="4"/>
      <c r="EB347" s="4"/>
      <c r="EC347" s="4"/>
      <c r="ED347" s="4"/>
      <c r="EE347" s="4"/>
      <c r="EF347" s="4">
        <v>350</v>
      </c>
      <c r="EG347" s="4">
        <v>3500</v>
      </c>
      <c r="EH347" s="4">
        <v>8</v>
      </c>
      <c r="EI347" s="77">
        <v>0.95</v>
      </c>
      <c r="EJ347" s="10">
        <v>2</v>
      </c>
      <c r="EK347" s="10">
        <v>48</v>
      </c>
      <c r="EL347" s="10">
        <f>ROUND(3600/EK347*EH347*EJ347*EI347,0)</f>
        <v>1140</v>
      </c>
      <c r="EM347" s="10"/>
      <c r="EN347" s="10"/>
      <c r="EO347" s="10"/>
      <c r="EP347" s="10"/>
      <c r="EQ347" s="10"/>
      <c r="ER347" s="10"/>
      <c r="ES347" s="10"/>
      <c r="ET347" s="10"/>
      <c r="EU347" s="4">
        <f>EG347/EL347</f>
        <v>3.0701754385964914</v>
      </c>
      <c r="EV347" s="4"/>
      <c r="EW347" s="4"/>
      <c r="GR347" s="77">
        <v>0.11</v>
      </c>
      <c r="GS347" s="4">
        <f>GR347*(BA347+EU347)</f>
        <v>1.3785832982456139</v>
      </c>
      <c r="GT347" s="182">
        <v>1.2500000000000001E-2</v>
      </c>
      <c r="GU347" s="62">
        <f>GT347*(BA347+EU347)</f>
        <v>0.15665719298245614</v>
      </c>
      <c r="GV347" s="61">
        <v>0.02</v>
      </c>
      <c r="GW347" s="62">
        <f>GV347*EU347</f>
        <v>6.1403508771929828E-2</v>
      </c>
      <c r="GX347" s="62">
        <f>GS347+GU347+GW347</f>
        <v>1.5966439999999997</v>
      </c>
      <c r="GY347" s="62" t="s">
        <v>43</v>
      </c>
      <c r="GZ347" s="62" t="s">
        <v>551</v>
      </c>
      <c r="HA347" s="62">
        <v>810</v>
      </c>
      <c r="HB347" s="62">
        <v>568</v>
      </c>
      <c r="HC347" s="62">
        <v>425</v>
      </c>
      <c r="HD347" s="62">
        <v>60</v>
      </c>
      <c r="HE347" s="62">
        <v>400</v>
      </c>
      <c r="HF347" s="62">
        <f>ROUNDUP(HE347/HD347,0)</f>
        <v>7</v>
      </c>
      <c r="HG347" s="62">
        <v>5</v>
      </c>
      <c r="HH347" s="62">
        <f>HF347*HG347</f>
        <v>35</v>
      </c>
      <c r="HI347" s="62">
        <v>850</v>
      </c>
      <c r="HJ347" s="62">
        <f>HH347*HI347</f>
        <v>29750</v>
      </c>
      <c r="HM347" s="62">
        <v>2</v>
      </c>
      <c r="HN347" s="62">
        <f>HM347*12*25*HE347</f>
        <v>240000</v>
      </c>
      <c r="HO347" s="62">
        <f>IF(GY347="carton box",HI347/HD347,HJ347/HN347)</f>
        <v>0.12395833333333334</v>
      </c>
      <c r="HP347" s="62">
        <v>160</v>
      </c>
      <c r="HQ347" s="62">
        <v>0</v>
      </c>
      <c r="HR347" s="62">
        <v>0</v>
      </c>
      <c r="HS347" s="62">
        <v>0</v>
      </c>
      <c r="HT347" s="62">
        <v>0</v>
      </c>
      <c r="HU347" s="62"/>
      <c r="HV347" s="62">
        <f>HO347+HT347+0.75</f>
        <v>0.87395833333333339</v>
      </c>
      <c r="HW347" s="62"/>
      <c r="HX347" s="200">
        <v>4200</v>
      </c>
      <c r="HY347" s="62">
        <v>1900</v>
      </c>
      <c r="HZ347" s="62">
        <v>1975</v>
      </c>
      <c r="IA347" s="62">
        <f t="shared" si="314"/>
        <v>5</v>
      </c>
      <c r="IB347" s="62">
        <f t="shared" si="314"/>
        <v>3</v>
      </c>
      <c r="IC347" s="62">
        <f t="shared" si="314"/>
        <v>4</v>
      </c>
      <c r="ID347" s="61">
        <v>0.9</v>
      </c>
      <c r="IE347" s="62">
        <f>PRODUCT(IA347:ID347)</f>
        <v>54</v>
      </c>
      <c r="IF347" s="62">
        <v>500</v>
      </c>
      <c r="IG347" s="62">
        <f>IF347/(IE347*HD347)</f>
        <v>0.15432098765432098</v>
      </c>
      <c r="IH347" s="62"/>
    </row>
    <row r="348" spans="1:302">
      <c r="A348">
        <v>205</v>
      </c>
      <c r="B348" t="s">
        <v>468</v>
      </c>
      <c r="C348" t="s">
        <v>1888</v>
      </c>
      <c r="D348" s="28" t="s">
        <v>393</v>
      </c>
      <c r="E348" s="27" t="s">
        <v>394</v>
      </c>
      <c r="F348" s="27"/>
      <c r="G348" t="s">
        <v>90</v>
      </c>
      <c r="I348" s="27" t="s">
        <v>226</v>
      </c>
      <c r="J348" s="28">
        <v>21595</v>
      </c>
      <c r="K348" s="27" t="s">
        <v>403</v>
      </c>
      <c r="L348" s="28">
        <v>21712</v>
      </c>
      <c r="M348" s="28" t="s">
        <v>464</v>
      </c>
      <c r="N348" s="28" t="s">
        <v>1767</v>
      </c>
      <c r="O348" s="28" t="s">
        <v>1805</v>
      </c>
      <c r="P348" s="331">
        <v>44293</v>
      </c>
      <c r="Q348" s="28" t="s">
        <v>1841</v>
      </c>
      <c r="R348" s="28" t="s">
        <v>1831</v>
      </c>
      <c r="S348" s="27"/>
      <c r="T348" s="27"/>
      <c r="U348" s="27"/>
      <c r="V348" s="29" t="s">
        <v>79</v>
      </c>
      <c r="W348"/>
      <c r="X348"/>
      <c r="Y348"/>
      <c r="Z348"/>
      <c r="AA348" s="21"/>
    </row>
    <row r="349" spans="1:302">
      <c r="A349">
        <v>332</v>
      </c>
      <c r="B349" t="s">
        <v>468</v>
      </c>
      <c r="C349" s="59" t="s">
        <v>1051</v>
      </c>
      <c r="D349" s="28" t="s">
        <v>835</v>
      </c>
      <c r="E349" s="27" t="s">
        <v>836</v>
      </c>
      <c r="F349" s="5" t="s">
        <v>2182</v>
      </c>
      <c r="G349" s="27" t="s">
        <v>122</v>
      </c>
      <c r="I349" s="27" t="s">
        <v>94</v>
      </c>
      <c r="J349" s="28">
        <v>21591</v>
      </c>
      <c r="K349" s="27" t="s">
        <v>97</v>
      </c>
      <c r="L349" s="59">
        <v>21480</v>
      </c>
      <c r="M349" s="59" t="s">
        <v>1050</v>
      </c>
      <c r="N349" s="28"/>
      <c r="O349" s="28"/>
      <c r="P349" s="28"/>
      <c r="Q349" s="28"/>
      <c r="R349" s="28"/>
      <c r="S349" s="27"/>
      <c r="T349" s="27"/>
      <c r="U349" s="27"/>
      <c r="W349" s="62" t="s">
        <v>1048</v>
      </c>
      <c r="X349" s="62"/>
      <c r="Y349" s="62"/>
      <c r="Z349" s="62"/>
      <c r="AA349" s="58" t="s">
        <v>1049</v>
      </c>
      <c r="AB349" s="344">
        <v>172.77</v>
      </c>
      <c r="AC349" s="62">
        <f>AB349-5</f>
        <v>167.77</v>
      </c>
      <c r="AD349" s="59"/>
      <c r="AE349" s="42">
        <f t="shared" ref="AE349:AE384" si="315">BA349</f>
        <v>33.296840000000003</v>
      </c>
      <c r="AF349" s="42"/>
      <c r="AG349" s="42">
        <f t="shared" ref="AG349:AG360" si="316">EU349+EV349+EM349</f>
        <v>5.8324496288441141</v>
      </c>
      <c r="AH349" s="42">
        <f t="shared" ref="AH349:AH384" si="317">DM349</f>
        <v>0</v>
      </c>
      <c r="AI349" s="42">
        <f t="shared" ref="AI349:AI384" si="318">DO349</f>
        <v>0</v>
      </c>
      <c r="AJ349" s="42">
        <f t="shared" ref="AJ349:AJ384" si="319">GW349</f>
        <v>0.11664899257688228</v>
      </c>
      <c r="AK349" s="42">
        <f t="shared" ref="AK349:AK384" si="320">GU349</f>
        <v>0.49057423276776257</v>
      </c>
      <c r="AL349" s="42">
        <f t="shared" ref="AL349:AL384" si="321">GS349</f>
        <v>4.3042218591728529</v>
      </c>
      <c r="AM349" s="42">
        <f t="shared" ref="AM349:AM384" si="322">HV349</f>
        <v>1.9333333333333333</v>
      </c>
      <c r="AN349" s="42">
        <f t="shared" ref="AN349:AN384" si="323">IG349</f>
        <v>0.23255813953488372</v>
      </c>
      <c r="AO349" s="42">
        <f t="shared" ref="AO349:AO384" si="324">EY349</f>
        <v>0</v>
      </c>
      <c r="AP349" s="42"/>
      <c r="AQ349" s="42">
        <f t="shared" ref="AQ349:AQ384" si="325">SUM(AE349:AO349)</f>
        <v>46.206626186229833</v>
      </c>
      <c r="AR349" s="42"/>
      <c r="AS349" s="42"/>
      <c r="AT349" s="42">
        <f>IJ349</f>
        <v>0</v>
      </c>
      <c r="AU349" s="42">
        <v>0</v>
      </c>
      <c r="AV349" s="42">
        <f t="shared" ref="AV349:AV384" si="326">AQ349+AT349+AU349</f>
        <v>46.206626186229833</v>
      </c>
      <c r="AW349" s="17">
        <v>0.217</v>
      </c>
      <c r="AX349" s="69">
        <v>0.192</v>
      </c>
      <c r="AY349" s="61">
        <v>1</v>
      </c>
      <c r="AZ349" s="59">
        <f t="shared" ref="AZ349:AZ384" si="327">(AW349-AX349)*AY349</f>
        <v>2.4999999999999994E-2</v>
      </c>
      <c r="BA349" s="62">
        <f t="shared" ref="BA349:BA384" si="328">AW349*AB349-AZ349*AC349</f>
        <v>33.296840000000003</v>
      </c>
      <c r="BB349" s="62"/>
      <c r="BC349" s="62"/>
      <c r="BD349" s="62"/>
      <c r="BE349" s="62"/>
      <c r="BF349" s="62"/>
      <c r="BG349" s="62"/>
      <c r="BH349" s="62"/>
      <c r="BI349" s="62"/>
      <c r="BJ349" s="62"/>
      <c r="BK349" s="62"/>
      <c r="BL349" s="62"/>
      <c r="BM349" s="62"/>
      <c r="BN349" s="62"/>
      <c r="BO349" s="62"/>
      <c r="BP349" s="62"/>
      <c r="BQ349" s="62"/>
      <c r="BR349" s="62"/>
      <c r="BS349" s="62"/>
      <c r="BT349" s="62"/>
      <c r="BU349" s="62"/>
      <c r="BV349" s="62"/>
      <c r="BW349" s="62"/>
      <c r="BX349" s="62"/>
      <c r="BY349" s="62"/>
      <c r="BZ349" s="62"/>
      <c r="CA349" s="62"/>
      <c r="CB349" s="62"/>
      <c r="CC349" s="62"/>
      <c r="CD349" s="59"/>
      <c r="CE349" s="59">
        <v>0</v>
      </c>
      <c r="CF349" s="59">
        <v>0</v>
      </c>
      <c r="CG349" s="59">
        <v>0</v>
      </c>
      <c r="CH349" s="62">
        <f t="shared" ref="CH349:CH356" si="329">CF349*CG349</f>
        <v>0</v>
      </c>
      <c r="CI349" s="59"/>
      <c r="CJ349" s="172"/>
      <c r="CK349" s="173"/>
      <c r="CL349" s="59"/>
      <c r="CM349" s="59"/>
      <c r="CN349" s="173"/>
      <c r="CO349" s="59"/>
      <c r="CP349" s="173"/>
      <c r="CQ349" s="59"/>
      <c r="CR349" s="173"/>
      <c r="CS349" s="173"/>
      <c r="CT349" s="59"/>
      <c r="CU349" s="173"/>
      <c r="CV349" s="173"/>
      <c r="CW349" s="173"/>
      <c r="CX349" s="59"/>
      <c r="CY349" s="59"/>
      <c r="CZ349" s="59"/>
      <c r="DA349" s="59"/>
      <c r="DB349" s="59"/>
      <c r="DC349" s="59"/>
      <c r="DD349" s="59"/>
      <c r="DE349" s="59"/>
      <c r="DF349" s="59"/>
      <c r="DG349" s="59"/>
      <c r="DH349" s="59"/>
      <c r="DI349" s="59"/>
      <c r="DJ349" s="59"/>
      <c r="DK349" s="64"/>
      <c r="DL349" s="62"/>
      <c r="DM349" s="62">
        <f>CH349+CM349+CR349+CW349+DB349+DG349+DL349</f>
        <v>0</v>
      </c>
      <c r="DN349" s="64">
        <v>0</v>
      </c>
      <c r="DO349" s="62">
        <v>0</v>
      </c>
      <c r="DP349" s="62">
        <f>DM349+DO349</f>
        <v>0</v>
      </c>
      <c r="DQ349" s="62"/>
      <c r="DR349" s="62"/>
      <c r="DS349" s="62"/>
      <c r="DT349" s="62"/>
      <c r="DU349" s="62"/>
      <c r="DV349" s="62"/>
      <c r="DW349" s="62"/>
      <c r="DX349" s="62"/>
      <c r="DY349" s="62"/>
      <c r="DZ349" s="62"/>
      <c r="EA349" s="62"/>
      <c r="EB349" s="62"/>
      <c r="EC349" s="62"/>
      <c r="ED349" s="62"/>
      <c r="EE349" s="62"/>
      <c r="EF349" s="59">
        <v>550</v>
      </c>
      <c r="EG349" s="62">
        <v>5500</v>
      </c>
      <c r="EH349" s="62">
        <v>8</v>
      </c>
      <c r="EI349" s="61">
        <v>0.95</v>
      </c>
      <c r="EJ349" s="62">
        <v>2</v>
      </c>
      <c r="EK349" s="62">
        <v>58</v>
      </c>
      <c r="EL349" s="65">
        <f>ROUND(3600/EK349*EH349*EJ349*EI349,0)</f>
        <v>943</v>
      </c>
      <c r="EM349" s="62"/>
      <c r="EN349" s="62"/>
      <c r="EO349" s="62"/>
      <c r="EP349" s="65"/>
      <c r="EQ349" s="65"/>
      <c r="ER349" s="65"/>
      <c r="ES349" s="65"/>
      <c r="ET349" s="65"/>
      <c r="EU349" s="62">
        <f>EG349/EL349</f>
        <v>5.8324496288441141</v>
      </c>
      <c r="EV349" s="62"/>
      <c r="EW349" s="62"/>
      <c r="EX349" s="62"/>
      <c r="EY349" s="62"/>
      <c r="EZ349" s="62"/>
      <c r="FA349" s="64"/>
      <c r="FB349" s="64"/>
      <c r="FC349" s="64"/>
      <c r="FD349" s="64"/>
      <c r="FE349" s="64"/>
      <c r="FF349" s="64"/>
      <c r="FG349" s="64"/>
      <c r="FH349" s="64"/>
      <c r="FI349" s="64"/>
      <c r="FJ349" s="64"/>
      <c r="FK349" s="64"/>
      <c r="FL349" s="64"/>
      <c r="FM349" s="64"/>
      <c r="FN349" s="64"/>
      <c r="FO349" s="64"/>
      <c r="FP349" s="64"/>
      <c r="FQ349" s="64"/>
      <c r="FR349" s="64"/>
      <c r="FS349" s="64"/>
      <c r="FT349" s="64"/>
      <c r="FU349" s="64"/>
      <c r="FV349" s="64"/>
      <c r="FW349" s="64"/>
      <c r="FX349" s="64"/>
      <c r="FY349" s="64"/>
      <c r="FZ349" s="64"/>
      <c r="GA349" s="64"/>
      <c r="GB349" s="64"/>
      <c r="GC349" s="64"/>
      <c r="GD349" s="64"/>
      <c r="GE349" s="64"/>
      <c r="GF349" s="64"/>
      <c r="GG349" s="64"/>
      <c r="GH349" s="64"/>
      <c r="GI349" s="64"/>
      <c r="GJ349" s="64"/>
      <c r="GK349" s="64"/>
      <c r="GL349" s="64"/>
      <c r="GM349" s="64"/>
      <c r="GN349" s="64"/>
      <c r="GO349" s="64"/>
      <c r="GP349" s="64"/>
      <c r="GQ349" s="64"/>
      <c r="GR349" s="61">
        <v>0.11</v>
      </c>
      <c r="GS349" s="62">
        <f t="shared" ref="GS349:GS384" si="330">GR349*(BA349+EU349)</f>
        <v>4.3042218591728529</v>
      </c>
      <c r="GT349" s="64">
        <v>1.2500000000000001E-2</v>
      </c>
      <c r="GU349" s="62">
        <f>GT349*(BA349+EU349+EV349+EM349+GW349+DM349)</f>
        <v>0.49057423276776257</v>
      </c>
      <c r="GV349" s="61">
        <v>0.02</v>
      </c>
      <c r="GW349" s="62">
        <f>GV349*EU349</f>
        <v>0.11664899257688228</v>
      </c>
      <c r="GX349" s="62">
        <f t="shared" ref="GX349:GX384" si="331">GS349+GU349+GW349</f>
        <v>4.9114450845174984</v>
      </c>
      <c r="GY349" s="59"/>
      <c r="GZ349" s="59"/>
      <c r="HA349" s="62">
        <v>650</v>
      </c>
      <c r="HB349" s="62">
        <v>450</v>
      </c>
      <c r="HC349" s="59">
        <v>425</v>
      </c>
      <c r="HD349" s="59">
        <v>25</v>
      </c>
      <c r="HE349" s="59">
        <v>400</v>
      </c>
      <c r="HF349" s="62">
        <f t="shared" ref="HF349:HF384" si="332">ROUNDUP(HE349/HD349,0)</f>
        <v>16</v>
      </c>
      <c r="HG349" s="59">
        <v>5</v>
      </c>
      <c r="HH349" s="62">
        <f t="shared" ref="HH349:HH354" si="333">HF349*HG349</f>
        <v>80</v>
      </c>
      <c r="HI349" s="59">
        <v>550</v>
      </c>
      <c r="HJ349" s="62">
        <f t="shared" ref="HJ349:HJ384" si="334">HH349*HI349</f>
        <v>44000</v>
      </c>
      <c r="HK349" s="62"/>
      <c r="HL349" s="62"/>
      <c r="HM349" s="62">
        <v>2</v>
      </c>
      <c r="HN349" s="65">
        <f t="shared" ref="HN349:HN384" si="335">HM349*12*25*HE349</f>
        <v>240000</v>
      </c>
      <c r="HO349" s="62">
        <f t="shared" ref="HO349:HO384" si="336">IF(GY349="carton box",HI349/HD349,HJ349/HN349)</f>
        <v>0.18333333333333332</v>
      </c>
      <c r="HP349" s="62">
        <v>160</v>
      </c>
      <c r="HQ349" s="59">
        <v>1</v>
      </c>
      <c r="HR349" s="62">
        <v>1.75</v>
      </c>
      <c r="HS349" s="62">
        <v>0</v>
      </c>
      <c r="HT349" s="62">
        <v>0</v>
      </c>
      <c r="HU349" s="62"/>
      <c r="HV349" s="62">
        <f t="shared" ref="HV349:HV384" si="337">HO349+HT349+HR349</f>
        <v>1.9333333333333333</v>
      </c>
      <c r="HW349" s="62"/>
      <c r="HX349" s="62">
        <v>4200</v>
      </c>
      <c r="HY349" s="62">
        <v>1900</v>
      </c>
      <c r="HZ349" s="62">
        <v>1975</v>
      </c>
      <c r="IA349" s="62">
        <v>6</v>
      </c>
      <c r="IB349" s="62">
        <v>4</v>
      </c>
      <c r="IC349" s="62">
        <v>4</v>
      </c>
      <c r="ID349" s="61">
        <v>0.9</v>
      </c>
      <c r="IE349" s="62">
        <f>ROUND(PRODUCT(IA349:ID349),0)</f>
        <v>86</v>
      </c>
      <c r="IF349" s="62">
        <v>500</v>
      </c>
      <c r="IG349" s="62">
        <f t="shared" ref="IG349:IG384" si="338">IF349/(IE349*HD349)</f>
        <v>0.23255813953488372</v>
      </c>
      <c r="IH349" s="62"/>
    </row>
    <row r="350" spans="1:302">
      <c r="A350">
        <v>333</v>
      </c>
      <c r="B350" t="s">
        <v>468</v>
      </c>
      <c r="C350" t="s">
        <v>1052</v>
      </c>
      <c r="D350" s="28" t="s">
        <v>837</v>
      </c>
      <c r="E350" s="27" t="s">
        <v>838</v>
      </c>
      <c r="F350" s="5" t="s">
        <v>2182</v>
      </c>
      <c r="G350" s="27" t="s">
        <v>122</v>
      </c>
      <c r="I350" s="27" t="s">
        <v>94</v>
      </c>
      <c r="J350" s="28">
        <v>21591</v>
      </c>
      <c r="K350" s="27" t="s">
        <v>97</v>
      </c>
      <c r="L350" s="59">
        <v>21480</v>
      </c>
      <c r="M350" s="59" t="s">
        <v>1050</v>
      </c>
      <c r="N350" s="28"/>
      <c r="O350" s="28"/>
      <c r="P350" s="28"/>
      <c r="Q350" s="28"/>
      <c r="R350" s="28"/>
      <c r="S350" s="27"/>
      <c r="T350" s="27"/>
      <c r="U350" s="27"/>
      <c r="W350" s="62" t="s">
        <v>1048</v>
      </c>
      <c r="X350" s="62"/>
      <c r="Y350" s="62"/>
      <c r="Z350" s="62"/>
      <c r="AA350" s="56" t="s">
        <v>1049</v>
      </c>
      <c r="AB350" s="340">
        <v>172.77</v>
      </c>
      <c r="AC350" s="4">
        <f>AB350-5</f>
        <v>167.77</v>
      </c>
      <c r="AD350"/>
      <c r="AE350" s="7">
        <f t="shared" si="315"/>
        <v>33.296840000000003</v>
      </c>
      <c r="AF350" s="7"/>
      <c r="AG350" s="7">
        <f t="shared" si="316"/>
        <v>5.8324496288441141</v>
      </c>
      <c r="AH350" s="7">
        <f t="shared" si="317"/>
        <v>0</v>
      </c>
      <c r="AI350" s="7">
        <f t="shared" si="318"/>
        <v>0</v>
      </c>
      <c r="AJ350" s="7">
        <f t="shared" si="319"/>
        <v>0.11664899257688228</v>
      </c>
      <c r="AK350" s="7">
        <f t="shared" si="320"/>
        <v>0.49057423276776257</v>
      </c>
      <c r="AL350" s="7">
        <f t="shared" si="321"/>
        <v>4.3042218591728529</v>
      </c>
      <c r="AM350" s="7">
        <f t="shared" si="322"/>
        <v>1.9333333333333333</v>
      </c>
      <c r="AN350" s="7">
        <f t="shared" si="323"/>
        <v>0.23255813953488372</v>
      </c>
      <c r="AO350" s="7">
        <f t="shared" si="324"/>
        <v>0</v>
      </c>
      <c r="AP350" s="7"/>
      <c r="AQ350" s="7">
        <f t="shared" si="325"/>
        <v>46.206626186229833</v>
      </c>
      <c r="AR350" s="7"/>
      <c r="AS350" s="7"/>
      <c r="AT350" s="7">
        <f>IJ350</f>
        <v>0</v>
      </c>
      <c r="AU350" s="7">
        <v>0</v>
      </c>
      <c r="AV350" s="7">
        <f t="shared" si="326"/>
        <v>46.206626186229833</v>
      </c>
      <c r="AW350" s="24">
        <v>0.217</v>
      </c>
      <c r="AX350" s="14">
        <v>0.192</v>
      </c>
      <c r="AY350" s="8">
        <v>1</v>
      </c>
      <c r="AZ350">
        <f t="shared" si="327"/>
        <v>2.4999999999999994E-2</v>
      </c>
      <c r="BA350" s="4">
        <f t="shared" si="328"/>
        <v>33.296840000000003</v>
      </c>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E350">
        <v>0</v>
      </c>
      <c r="CF350">
        <v>0</v>
      </c>
      <c r="CG350">
        <v>0</v>
      </c>
      <c r="CH350" s="4">
        <f t="shared" si="329"/>
        <v>0</v>
      </c>
      <c r="CJ350" s="70"/>
      <c r="CK350" s="71"/>
      <c r="CN350" s="71"/>
      <c r="CP350" s="71"/>
      <c r="CR350" s="71"/>
      <c r="CS350" s="71"/>
      <c r="CU350" s="71"/>
      <c r="CV350" s="71"/>
      <c r="CW350" s="71"/>
      <c r="DK350" s="9"/>
      <c r="DL350" s="4"/>
      <c r="DM350" s="4">
        <f>CH350+CM350+CR350+CW350+DB350+DG350+DL350</f>
        <v>0</v>
      </c>
      <c r="DN350" s="9">
        <v>0</v>
      </c>
      <c r="DO350" s="4">
        <v>0</v>
      </c>
      <c r="DP350" s="4">
        <f>DM350+DO350</f>
        <v>0</v>
      </c>
      <c r="DQ350" s="4"/>
      <c r="DR350" s="4"/>
      <c r="DS350" s="4"/>
      <c r="DT350" s="4"/>
      <c r="DU350" s="4"/>
      <c r="DV350" s="4"/>
      <c r="DW350" s="4"/>
      <c r="DX350" s="4"/>
      <c r="DY350" s="4"/>
      <c r="DZ350" s="4"/>
      <c r="EA350" s="4"/>
      <c r="EB350" s="4"/>
      <c r="EC350" s="4"/>
      <c r="ED350" s="4"/>
      <c r="EE350" s="4"/>
      <c r="EF350">
        <v>550</v>
      </c>
      <c r="EG350" s="4">
        <v>5500</v>
      </c>
      <c r="EH350" s="4">
        <v>8</v>
      </c>
      <c r="EI350" s="8">
        <v>0.95</v>
      </c>
      <c r="EJ350" s="4">
        <v>2</v>
      </c>
      <c r="EK350" s="4">
        <v>58</v>
      </c>
      <c r="EL350" s="10">
        <f>ROUND(3600/EK350*EH350*EJ350*EI350,0)</f>
        <v>943</v>
      </c>
      <c r="EM350" s="4"/>
      <c r="EN350" s="4"/>
      <c r="EO350" s="4"/>
      <c r="EP350" s="10"/>
      <c r="EQ350" s="10"/>
      <c r="ER350" s="10"/>
      <c r="ES350" s="10"/>
      <c r="ET350" s="10"/>
      <c r="EU350" s="4">
        <f>EG350/EL350</f>
        <v>5.8324496288441141</v>
      </c>
      <c r="EV350" s="4"/>
      <c r="EW350" s="4"/>
      <c r="EX350" s="4"/>
      <c r="EY350" s="4"/>
      <c r="EZ350" s="4"/>
      <c r="FA350" s="9"/>
      <c r="FB350" s="9"/>
      <c r="FC350" s="9"/>
      <c r="FD350" s="9"/>
      <c r="FE350" s="9"/>
      <c r="FF350" s="9"/>
      <c r="FG350" s="9"/>
      <c r="FH350" s="9"/>
      <c r="FI350" s="9"/>
      <c r="FJ350" s="9"/>
      <c r="FK350" s="9"/>
      <c r="FL350" s="9"/>
      <c r="FM350" s="9"/>
      <c r="FN350" s="9"/>
      <c r="FO350" s="9"/>
      <c r="FP350" s="9"/>
      <c r="FQ350" s="9"/>
      <c r="FR350" s="9"/>
      <c r="FS350" s="9"/>
      <c r="FT350" s="9"/>
      <c r="FU350" s="9"/>
      <c r="FV350" s="9"/>
      <c r="FW350" s="9"/>
      <c r="FX350" s="9"/>
      <c r="FY350" s="9"/>
      <c r="FZ350" s="9"/>
      <c r="GA350" s="9"/>
      <c r="GB350" s="9"/>
      <c r="GC350" s="9"/>
      <c r="GD350" s="9"/>
      <c r="GE350" s="9"/>
      <c r="GF350" s="9"/>
      <c r="GG350" s="9"/>
      <c r="GH350" s="9"/>
      <c r="GI350" s="9"/>
      <c r="GJ350" s="9"/>
      <c r="GK350" s="9"/>
      <c r="GL350" s="9"/>
      <c r="GM350" s="9"/>
      <c r="GN350" s="9"/>
      <c r="GO350" s="9"/>
      <c r="GP350" s="9"/>
      <c r="GQ350" s="9"/>
      <c r="GR350" s="8">
        <v>0.11</v>
      </c>
      <c r="GS350" s="4">
        <f t="shared" si="330"/>
        <v>4.3042218591728529</v>
      </c>
      <c r="GT350" s="9">
        <v>1.2500000000000001E-2</v>
      </c>
      <c r="GU350" s="4">
        <f>GT350*(BA350+EU350+EV350+EM350+GW350+DM350)</f>
        <v>0.49057423276776257</v>
      </c>
      <c r="GV350" s="8">
        <v>0.02</v>
      </c>
      <c r="GW350" s="4">
        <f>GV350*EU350</f>
        <v>0.11664899257688228</v>
      </c>
      <c r="GX350" s="4">
        <f t="shared" si="331"/>
        <v>4.9114450845174984</v>
      </c>
      <c r="HA350" s="4">
        <v>650</v>
      </c>
      <c r="HB350" s="4">
        <v>450</v>
      </c>
      <c r="HC350">
        <v>425</v>
      </c>
      <c r="HD350">
        <v>25</v>
      </c>
      <c r="HE350">
        <v>400</v>
      </c>
      <c r="HF350" s="4">
        <f t="shared" si="332"/>
        <v>16</v>
      </c>
      <c r="HG350">
        <v>5</v>
      </c>
      <c r="HH350" s="4">
        <f t="shared" si="333"/>
        <v>80</v>
      </c>
      <c r="HI350">
        <v>550</v>
      </c>
      <c r="HJ350" s="4">
        <f t="shared" si="334"/>
        <v>44000</v>
      </c>
      <c r="HK350" s="4"/>
      <c r="HL350" s="4"/>
      <c r="HM350" s="4">
        <v>2</v>
      </c>
      <c r="HN350" s="10">
        <f t="shared" si="335"/>
        <v>240000</v>
      </c>
      <c r="HO350" s="4">
        <f t="shared" si="336"/>
        <v>0.18333333333333332</v>
      </c>
      <c r="HP350" s="4">
        <v>160</v>
      </c>
      <c r="HQ350">
        <v>1</v>
      </c>
      <c r="HR350" s="4">
        <v>1.75</v>
      </c>
      <c r="HS350" s="4">
        <v>0</v>
      </c>
      <c r="HT350" s="4">
        <v>0</v>
      </c>
      <c r="HU350" s="4"/>
      <c r="HV350" s="4">
        <f t="shared" si="337"/>
        <v>1.9333333333333333</v>
      </c>
      <c r="HW350" s="4"/>
      <c r="HX350" s="4">
        <v>4200</v>
      </c>
      <c r="HY350" s="4">
        <v>1900</v>
      </c>
      <c r="HZ350" s="4">
        <v>1975</v>
      </c>
      <c r="IA350" s="4">
        <v>6</v>
      </c>
      <c r="IB350" s="4">
        <v>4</v>
      </c>
      <c r="IC350" s="4">
        <v>4</v>
      </c>
      <c r="ID350" s="8">
        <v>0.9</v>
      </c>
      <c r="IE350" s="62">
        <f>ROUND(PRODUCT(IA350:ID350),0)</f>
        <v>86</v>
      </c>
      <c r="IF350" s="4">
        <v>500</v>
      </c>
      <c r="IG350" s="4">
        <f t="shared" si="338"/>
        <v>0.23255813953488372</v>
      </c>
      <c r="IH350" s="4"/>
      <c r="II350" s="9"/>
      <c r="IJ350" s="4"/>
      <c r="IK350" s="4"/>
    </row>
    <row r="351" spans="1:302">
      <c r="A351">
        <v>334</v>
      </c>
      <c r="B351" t="s">
        <v>468</v>
      </c>
      <c r="C351" s="59" t="s">
        <v>1053</v>
      </c>
      <c r="D351" s="28" t="s">
        <v>839</v>
      </c>
      <c r="E351" s="27" t="s">
        <v>176</v>
      </c>
      <c r="F351" s="5" t="s">
        <v>2182</v>
      </c>
      <c r="G351" s="27" t="s">
        <v>122</v>
      </c>
      <c r="I351" s="27" t="s">
        <v>94</v>
      </c>
      <c r="J351" s="28">
        <v>21591</v>
      </c>
      <c r="K351" s="27" t="s">
        <v>97</v>
      </c>
      <c r="L351" s="59">
        <v>21480</v>
      </c>
      <c r="M351" s="59" t="s">
        <v>1050</v>
      </c>
      <c r="N351" s="28"/>
      <c r="O351" s="28"/>
      <c r="P351" s="28"/>
      <c r="Q351" s="28"/>
      <c r="R351" s="28"/>
      <c r="S351" s="27"/>
      <c r="T351" s="27"/>
      <c r="U351" s="27"/>
      <c r="W351" s="62" t="s">
        <v>1048</v>
      </c>
      <c r="X351" s="62"/>
      <c r="Y351" s="62"/>
      <c r="Z351" s="62"/>
      <c r="AA351" s="58" t="s">
        <v>1049</v>
      </c>
      <c r="AB351" s="344">
        <v>172.77</v>
      </c>
      <c r="AC351" s="62">
        <f>AB351-5</f>
        <v>167.77</v>
      </c>
      <c r="AD351" s="59"/>
      <c r="AE351" s="42">
        <f t="shared" si="315"/>
        <v>8.6885000000000012</v>
      </c>
      <c r="AF351" s="42"/>
      <c r="AG351" s="42">
        <f t="shared" si="316"/>
        <v>1.4802631578947369</v>
      </c>
      <c r="AH351" s="42">
        <f t="shared" si="317"/>
        <v>0</v>
      </c>
      <c r="AI351" s="42">
        <f t="shared" si="318"/>
        <v>0</v>
      </c>
      <c r="AJ351" s="42">
        <f t="shared" si="319"/>
        <v>2.9605263157894739E-2</v>
      </c>
      <c r="AK351" s="42">
        <f t="shared" si="320"/>
        <v>0.12747960526315791</v>
      </c>
      <c r="AL351" s="42">
        <f t="shared" si="321"/>
        <v>1.1185639473684212</v>
      </c>
      <c r="AM351" s="42">
        <f t="shared" si="322"/>
        <v>0.58854166666666663</v>
      </c>
      <c r="AN351" s="42">
        <f t="shared" si="323"/>
        <v>0.11574074074074074</v>
      </c>
      <c r="AO351" s="42">
        <f t="shared" si="324"/>
        <v>0</v>
      </c>
      <c r="AP351" s="42"/>
      <c r="AQ351" s="42">
        <f t="shared" si="325"/>
        <v>12.148694381091619</v>
      </c>
      <c r="AR351" s="42"/>
      <c r="AS351" s="42"/>
      <c r="AT351" s="42">
        <f>IJ351</f>
        <v>0</v>
      </c>
      <c r="AU351" s="60">
        <v>0</v>
      </c>
      <c r="AV351" s="42">
        <f t="shared" si="326"/>
        <v>12.148694381091619</v>
      </c>
      <c r="AW351" s="17">
        <v>0.06</v>
      </c>
      <c r="AX351" s="68">
        <v>0.05</v>
      </c>
      <c r="AY351" s="61">
        <v>1</v>
      </c>
      <c r="AZ351" s="59">
        <f t="shared" si="327"/>
        <v>9.999999999999995E-3</v>
      </c>
      <c r="BA351" s="62">
        <f t="shared" si="328"/>
        <v>8.6885000000000012</v>
      </c>
      <c r="BB351" s="62"/>
      <c r="BC351" s="62"/>
      <c r="BD351" s="62"/>
      <c r="BE351" s="62"/>
      <c r="BF351" s="62"/>
      <c r="BG351" s="62"/>
      <c r="BH351" s="62"/>
      <c r="BI351" s="62"/>
      <c r="BJ351" s="62"/>
      <c r="BK351" s="62"/>
      <c r="BL351" s="62"/>
      <c r="BM351" s="62"/>
      <c r="BN351" s="62"/>
      <c r="BO351" s="62"/>
      <c r="BP351" s="62"/>
      <c r="BQ351" s="62"/>
      <c r="BR351" s="62"/>
      <c r="BS351" s="62"/>
      <c r="BT351" s="62"/>
      <c r="BU351" s="62"/>
      <c r="BV351" s="62"/>
      <c r="BW351" s="62"/>
      <c r="BX351" s="62"/>
      <c r="BY351" s="62"/>
      <c r="BZ351" s="62"/>
      <c r="CA351" s="62"/>
      <c r="CB351" s="62"/>
      <c r="CC351" s="62"/>
      <c r="CD351" s="59"/>
      <c r="CE351" s="59">
        <v>0</v>
      </c>
      <c r="CF351" s="59">
        <v>0</v>
      </c>
      <c r="CG351" s="59">
        <v>0</v>
      </c>
      <c r="CH351" s="62">
        <f t="shared" si="329"/>
        <v>0</v>
      </c>
      <c r="CI351" s="59"/>
      <c r="CJ351" s="59"/>
      <c r="CK351" s="63"/>
      <c r="CL351" s="59"/>
      <c r="CM351" s="59"/>
      <c r="CN351" s="59"/>
      <c r="CO351" s="59"/>
      <c r="CP351" s="59"/>
      <c r="CQ351" s="59"/>
      <c r="CR351" s="59"/>
      <c r="CS351" s="59"/>
      <c r="CT351" s="59"/>
      <c r="CU351" s="59"/>
      <c r="CV351" s="59"/>
      <c r="CW351" s="59"/>
      <c r="CX351" s="59"/>
      <c r="CY351" s="59"/>
      <c r="CZ351" s="59"/>
      <c r="DA351" s="59"/>
      <c r="DB351" s="59"/>
      <c r="DC351" s="59"/>
      <c r="DD351" s="59"/>
      <c r="DE351" s="59"/>
      <c r="DF351" s="59"/>
      <c r="DG351" s="59"/>
      <c r="DH351" s="59"/>
      <c r="DI351" s="59"/>
      <c r="DJ351" s="59"/>
      <c r="DK351" s="59"/>
      <c r="DL351" s="59"/>
      <c r="DM351" s="59">
        <v>0</v>
      </c>
      <c r="DN351" s="64">
        <v>0</v>
      </c>
      <c r="DO351" s="62">
        <v>0</v>
      </c>
      <c r="DP351" s="62">
        <v>0</v>
      </c>
      <c r="DQ351" s="62"/>
      <c r="DR351" s="62"/>
      <c r="DS351" s="62"/>
      <c r="DT351" s="62"/>
      <c r="DU351" s="62"/>
      <c r="DV351" s="62"/>
      <c r="DW351" s="62"/>
      <c r="DX351" s="62"/>
      <c r="DY351" s="62"/>
      <c r="DZ351" s="62"/>
      <c r="EA351" s="62"/>
      <c r="EB351" s="62"/>
      <c r="EC351" s="62"/>
      <c r="ED351" s="62"/>
      <c r="EE351" s="62"/>
      <c r="EF351" s="59">
        <v>160</v>
      </c>
      <c r="EG351" s="62">
        <v>1800</v>
      </c>
      <c r="EH351" s="62">
        <v>8</v>
      </c>
      <c r="EI351" s="61">
        <v>0.95</v>
      </c>
      <c r="EJ351" s="62">
        <v>2</v>
      </c>
      <c r="EK351" s="62">
        <v>45</v>
      </c>
      <c r="EL351" s="65">
        <f>ROUND(3600/EK351*EH351*EJ351*EI351,0)</f>
        <v>1216</v>
      </c>
      <c r="EM351" s="65"/>
      <c r="EN351" s="65"/>
      <c r="EO351" s="65"/>
      <c r="EP351" s="65"/>
      <c r="EQ351" s="65"/>
      <c r="ER351" s="65"/>
      <c r="ES351" s="65"/>
      <c r="ET351" s="65"/>
      <c r="EU351" s="62">
        <f>EG351/EL351</f>
        <v>1.4802631578947369</v>
      </c>
      <c r="EV351" s="62"/>
      <c r="EW351" s="62"/>
      <c r="EX351" s="62"/>
      <c r="EY351" s="62"/>
      <c r="EZ351" s="62"/>
      <c r="FA351" s="62"/>
      <c r="FB351" s="62"/>
      <c r="FC351" s="62"/>
      <c r="FD351" s="62"/>
      <c r="FE351" s="62"/>
      <c r="FF351" s="62"/>
      <c r="FG351" s="62"/>
      <c r="FH351" s="62"/>
      <c r="FI351" s="62"/>
      <c r="FJ351" s="62"/>
      <c r="FK351" s="62"/>
      <c r="FL351" s="62"/>
      <c r="FM351" s="62"/>
      <c r="FN351" s="62"/>
      <c r="FO351" s="62"/>
      <c r="FP351" s="62"/>
      <c r="FQ351" s="62"/>
      <c r="FR351" s="62"/>
      <c r="FS351" s="62"/>
      <c r="FT351" s="62"/>
      <c r="FU351" s="62"/>
      <c r="FV351" s="62"/>
      <c r="FW351" s="62"/>
      <c r="FX351" s="62"/>
      <c r="FY351" s="62"/>
      <c r="FZ351" s="62"/>
      <c r="GA351" s="62"/>
      <c r="GB351" s="62"/>
      <c r="GC351" s="62"/>
      <c r="GD351" s="62"/>
      <c r="GE351" s="62"/>
      <c r="GF351" s="62"/>
      <c r="GG351" s="62"/>
      <c r="GH351" s="62"/>
      <c r="GI351" s="62"/>
      <c r="GJ351" s="62"/>
      <c r="GK351" s="62"/>
      <c r="GL351" s="62"/>
      <c r="GM351" s="62"/>
      <c r="GN351" s="62"/>
      <c r="GO351" s="62"/>
      <c r="GP351" s="62"/>
      <c r="GQ351" s="62"/>
      <c r="GR351" s="61">
        <v>0.11</v>
      </c>
      <c r="GS351" s="62">
        <f t="shared" si="330"/>
        <v>1.1185639473684212</v>
      </c>
      <c r="GT351" s="64">
        <v>1.2500000000000001E-2</v>
      </c>
      <c r="GU351" s="62">
        <f>GT351*(BA351+EU351+EV351+EM351+GW351+DM351)</f>
        <v>0.12747960526315791</v>
      </c>
      <c r="GV351" s="61">
        <v>0.02</v>
      </c>
      <c r="GW351" s="62">
        <f>GV351*EU351</f>
        <v>2.9605263157894739E-2</v>
      </c>
      <c r="GX351" s="62">
        <f t="shared" si="331"/>
        <v>1.2756488157894739</v>
      </c>
      <c r="GY351" s="59"/>
      <c r="GZ351" s="59"/>
      <c r="HA351" s="62">
        <v>818</v>
      </c>
      <c r="HB351" s="62">
        <v>568</v>
      </c>
      <c r="HC351" s="59">
        <v>425</v>
      </c>
      <c r="HD351" s="59">
        <v>80</v>
      </c>
      <c r="HE351" s="59">
        <v>400</v>
      </c>
      <c r="HF351" s="62">
        <f t="shared" si="332"/>
        <v>5</v>
      </c>
      <c r="HG351" s="59">
        <v>5</v>
      </c>
      <c r="HH351" s="62">
        <f t="shared" si="333"/>
        <v>25</v>
      </c>
      <c r="HI351" s="59">
        <v>850</v>
      </c>
      <c r="HJ351" s="62">
        <f t="shared" si="334"/>
        <v>21250</v>
      </c>
      <c r="HK351" s="62"/>
      <c r="HL351" s="62"/>
      <c r="HM351" s="62">
        <v>2</v>
      </c>
      <c r="HN351" s="65">
        <f t="shared" si="335"/>
        <v>240000</v>
      </c>
      <c r="HO351" s="62">
        <f t="shared" si="336"/>
        <v>8.8541666666666671E-2</v>
      </c>
      <c r="HP351" s="62">
        <v>160</v>
      </c>
      <c r="HQ351" s="59">
        <v>1</v>
      </c>
      <c r="HR351" s="62">
        <v>0.5</v>
      </c>
      <c r="HS351" s="62">
        <v>0</v>
      </c>
      <c r="HT351" s="62">
        <v>0</v>
      </c>
      <c r="HU351" s="62"/>
      <c r="HV351" s="62">
        <f t="shared" si="337"/>
        <v>0.58854166666666663</v>
      </c>
      <c r="HW351" s="62"/>
      <c r="HX351" s="62">
        <v>4200</v>
      </c>
      <c r="HY351" s="62">
        <v>1900</v>
      </c>
      <c r="HZ351" s="62">
        <v>1975</v>
      </c>
      <c r="IA351" s="62">
        <v>5</v>
      </c>
      <c r="IB351" s="62">
        <v>3</v>
      </c>
      <c r="IC351" s="62">
        <v>4</v>
      </c>
      <c r="ID351" s="61">
        <v>0.9</v>
      </c>
      <c r="IE351" s="62">
        <f>ROUND(PRODUCT(IA351:ID351),0)</f>
        <v>54</v>
      </c>
      <c r="IF351" s="62">
        <v>500</v>
      </c>
      <c r="IG351" s="62">
        <f t="shared" si="338"/>
        <v>0.11574074074074074</v>
      </c>
      <c r="IH351" s="62"/>
      <c r="II351" s="59"/>
      <c r="IJ351" s="59"/>
      <c r="IK351" s="59"/>
    </row>
    <row r="352" spans="1:302">
      <c r="A352">
        <v>335</v>
      </c>
      <c r="B352" t="s">
        <v>468</v>
      </c>
      <c r="C352" s="59" t="s">
        <v>1054</v>
      </c>
      <c r="D352" s="28" t="s">
        <v>840</v>
      </c>
      <c r="E352" s="27" t="s">
        <v>841</v>
      </c>
      <c r="F352" s="5" t="s">
        <v>2182</v>
      </c>
      <c r="G352" s="27" t="s">
        <v>122</v>
      </c>
      <c r="I352" s="27" t="s">
        <v>94</v>
      </c>
      <c r="J352" s="28">
        <v>21591</v>
      </c>
      <c r="K352" s="27" t="s">
        <v>97</v>
      </c>
      <c r="L352" s="59">
        <v>21480</v>
      </c>
      <c r="M352" s="59" t="s">
        <v>1050</v>
      </c>
      <c r="N352" s="28"/>
      <c r="O352" s="28"/>
      <c r="P352" s="28"/>
      <c r="Q352" s="28"/>
      <c r="R352" s="28"/>
      <c r="S352" s="27"/>
      <c r="T352" s="27"/>
      <c r="U352" s="27"/>
      <c r="W352" s="62" t="s">
        <v>1048</v>
      </c>
      <c r="X352" s="62"/>
      <c r="Y352" s="62"/>
      <c r="Z352" s="62"/>
      <c r="AA352" s="58" t="s">
        <v>1055</v>
      </c>
      <c r="AB352" s="344">
        <v>105.57</v>
      </c>
      <c r="AC352" s="62">
        <f>AB352-5</f>
        <v>100.57</v>
      </c>
      <c r="AD352" s="59"/>
      <c r="AE352" s="42">
        <f t="shared" si="315"/>
        <v>20.92286</v>
      </c>
      <c r="AF352" s="42"/>
      <c r="AG352" s="42">
        <f t="shared" si="316"/>
        <v>5.7565789473684212</v>
      </c>
      <c r="AH352" s="42">
        <f t="shared" si="317"/>
        <v>0</v>
      </c>
      <c r="AI352" s="42">
        <f t="shared" si="318"/>
        <v>0</v>
      </c>
      <c r="AJ352" s="42">
        <f t="shared" si="319"/>
        <v>0.11513157894736843</v>
      </c>
      <c r="AK352" s="42">
        <f t="shared" si="320"/>
        <v>0.33493213157894741</v>
      </c>
      <c r="AL352" s="42">
        <f t="shared" si="321"/>
        <v>2.9347382842105265</v>
      </c>
      <c r="AM352" s="42">
        <f t="shared" si="322"/>
        <v>0.18333333333333332</v>
      </c>
      <c r="AN352" s="42">
        <f t="shared" si="323"/>
        <v>0.23255813953488372</v>
      </c>
      <c r="AO352" s="42">
        <f t="shared" si="324"/>
        <v>0</v>
      </c>
      <c r="AP352" s="42"/>
      <c r="AQ352" s="42">
        <f t="shared" si="325"/>
        <v>30.480132414973482</v>
      </c>
      <c r="AR352" s="42"/>
      <c r="AS352" s="42"/>
      <c r="AT352" s="60">
        <v>0</v>
      </c>
      <c r="AU352" s="60">
        <v>0</v>
      </c>
      <c r="AV352" s="42">
        <f t="shared" si="326"/>
        <v>30.480132414973482</v>
      </c>
      <c r="AW352" s="17">
        <v>0.20200000000000001</v>
      </c>
      <c r="AX352" s="68">
        <v>0.19800000000000001</v>
      </c>
      <c r="AY352" s="61">
        <v>1</v>
      </c>
      <c r="AZ352" s="59">
        <f t="shared" si="327"/>
        <v>4.0000000000000036E-3</v>
      </c>
      <c r="BA352" s="62">
        <f t="shared" si="328"/>
        <v>20.92286</v>
      </c>
      <c r="BB352" s="62"/>
      <c r="BC352" s="62"/>
      <c r="BD352" s="62"/>
      <c r="BE352" s="62"/>
      <c r="BF352" s="62"/>
      <c r="BG352" s="62"/>
      <c r="BH352" s="62"/>
      <c r="BI352" s="62"/>
      <c r="BJ352" s="62"/>
      <c r="BK352" s="62"/>
      <c r="BL352" s="62"/>
      <c r="BM352" s="62"/>
      <c r="BN352" s="62"/>
      <c r="BO352" s="62"/>
      <c r="BP352" s="62"/>
      <c r="BQ352" s="62"/>
      <c r="BR352" s="62"/>
      <c r="BS352" s="62"/>
      <c r="BT352" s="62"/>
      <c r="BU352" s="62"/>
      <c r="BV352" s="62"/>
      <c r="BW352" s="62"/>
      <c r="BX352" s="62"/>
      <c r="BY352" s="62"/>
      <c r="BZ352" s="62"/>
      <c r="CA352" s="62"/>
      <c r="CB352" s="62"/>
      <c r="CC352" s="62"/>
      <c r="CD352" s="59"/>
      <c r="CE352" s="59">
        <v>0</v>
      </c>
      <c r="CF352" s="59">
        <v>0</v>
      </c>
      <c r="CG352" s="59">
        <v>0</v>
      </c>
      <c r="CH352" s="62">
        <f t="shared" si="329"/>
        <v>0</v>
      </c>
      <c r="CI352" s="59"/>
      <c r="CJ352" s="59"/>
      <c r="CK352" s="63"/>
      <c r="CL352" s="59"/>
      <c r="CM352" s="59"/>
      <c r="CN352" s="59"/>
      <c r="CO352" s="59"/>
      <c r="CP352" s="59"/>
      <c r="CQ352" s="59"/>
      <c r="CR352" s="59"/>
      <c r="CS352" s="59"/>
      <c r="CT352" s="59"/>
      <c r="CU352" s="59"/>
      <c r="CV352" s="59"/>
      <c r="CW352" s="59"/>
      <c r="CX352" s="59"/>
      <c r="CY352" s="59"/>
      <c r="CZ352" s="59"/>
      <c r="DA352" s="59"/>
      <c r="DB352" s="59"/>
      <c r="DC352" s="59"/>
      <c r="DD352" s="59"/>
      <c r="DE352" s="59"/>
      <c r="DF352" s="59"/>
      <c r="DG352" s="59"/>
      <c r="DH352" s="59"/>
      <c r="DI352" s="59"/>
      <c r="DJ352" s="59"/>
      <c r="DK352" s="59"/>
      <c r="DL352" s="59"/>
      <c r="DM352" s="59">
        <v>0</v>
      </c>
      <c r="DN352" s="64">
        <v>0</v>
      </c>
      <c r="DO352" s="62">
        <v>0</v>
      </c>
      <c r="DP352" s="62">
        <v>0</v>
      </c>
      <c r="DQ352" s="62"/>
      <c r="DR352" s="62"/>
      <c r="DS352" s="62"/>
      <c r="DT352" s="62"/>
      <c r="DU352" s="62"/>
      <c r="DV352" s="62"/>
      <c r="DW352" s="62"/>
      <c r="DX352" s="62"/>
      <c r="DY352" s="62"/>
      <c r="DZ352" s="62"/>
      <c r="EA352" s="62"/>
      <c r="EB352" s="62"/>
      <c r="EC352" s="62"/>
      <c r="ED352" s="62"/>
      <c r="EE352" s="62"/>
      <c r="EF352" s="59">
        <v>350</v>
      </c>
      <c r="EG352" s="161">
        <v>3500</v>
      </c>
      <c r="EH352" s="62">
        <v>8</v>
      </c>
      <c r="EI352" s="61">
        <v>0.95</v>
      </c>
      <c r="EJ352" s="62">
        <v>1</v>
      </c>
      <c r="EK352" s="62">
        <v>45</v>
      </c>
      <c r="EL352" s="65">
        <f>ROUND(3600/EK352*EH352*EJ352*EI352,0)</f>
        <v>608</v>
      </c>
      <c r="EM352" s="65"/>
      <c r="EN352" s="65"/>
      <c r="EO352" s="65"/>
      <c r="EP352" s="65"/>
      <c r="EQ352" s="65"/>
      <c r="ER352" s="65"/>
      <c r="ES352" s="65"/>
      <c r="ET352" s="65"/>
      <c r="EU352" s="62">
        <f>EG352/EL352</f>
        <v>5.7565789473684212</v>
      </c>
      <c r="EV352" s="62"/>
      <c r="EW352" s="62"/>
      <c r="EX352" s="62"/>
      <c r="EY352" s="62"/>
      <c r="EZ352" s="62"/>
      <c r="FA352" s="62"/>
      <c r="FB352" s="62"/>
      <c r="FC352" s="62"/>
      <c r="FD352" s="62"/>
      <c r="FE352" s="62"/>
      <c r="FF352" s="62"/>
      <c r="FG352" s="62"/>
      <c r="FH352" s="62"/>
      <c r="FI352" s="62"/>
      <c r="FJ352" s="62"/>
      <c r="FK352" s="62"/>
      <c r="FL352" s="62"/>
      <c r="FM352" s="62"/>
      <c r="FN352" s="62"/>
      <c r="FO352" s="62"/>
      <c r="FP352" s="62"/>
      <c r="FQ352" s="62"/>
      <c r="FR352" s="62"/>
      <c r="FS352" s="62"/>
      <c r="FT352" s="62"/>
      <c r="FU352" s="62"/>
      <c r="FV352" s="62"/>
      <c r="FW352" s="62"/>
      <c r="FX352" s="62"/>
      <c r="FY352" s="62"/>
      <c r="FZ352" s="62"/>
      <c r="GA352" s="62"/>
      <c r="GB352" s="62"/>
      <c r="GC352" s="62"/>
      <c r="GD352" s="62"/>
      <c r="GE352" s="62"/>
      <c r="GF352" s="62"/>
      <c r="GG352" s="62"/>
      <c r="GH352" s="62"/>
      <c r="GI352" s="62"/>
      <c r="GJ352" s="62"/>
      <c r="GK352" s="62"/>
      <c r="GL352" s="62"/>
      <c r="GM352" s="62"/>
      <c r="GN352" s="62"/>
      <c r="GO352" s="62"/>
      <c r="GP352" s="62"/>
      <c r="GQ352" s="62"/>
      <c r="GR352" s="61">
        <v>0.11</v>
      </c>
      <c r="GS352" s="62">
        <f t="shared" si="330"/>
        <v>2.9347382842105265</v>
      </c>
      <c r="GT352" s="64">
        <v>1.2500000000000001E-2</v>
      </c>
      <c r="GU352" s="62">
        <f>GT352*(BA352+EU352+EV352+EM352+GW352+DM352)</f>
        <v>0.33493213157894741</v>
      </c>
      <c r="GV352" s="61">
        <v>0.02</v>
      </c>
      <c r="GW352" s="62">
        <f>GV352*EU352</f>
        <v>0.11513157894736843</v>
      </c>
      <c r="GX352" s="62">
        <f t="shared" si="331"/>
        <v>3.3848019947368426</v>
      </c>
      <c r="GY352" s="59"/>
      <c r="GZ352" s="59"/>
      <c r="HA352" s="62">
        <v>650</v>
      </c>
      <c r="HB352" s="62">
        <v>450</v>
      </c>
      <c r="HC352" s="59">
        <v>425</v>
      </c>
      <c r="HD352" s="59">
        <v>25</v>
      </c>
      <c r="HE352" s="59">
        <v>400</v>
      </c>
      <c r="HF352" s="62">
        <f t="shared" si="332"/>
        <v>16</v>
      </c>
      <c r="HG352" s="59">
        <v>5</v>
      </c>
      <c r="HH352" s="62">
        <f t="shared" si="333"/>
        <v>80</v>
      </c>
      <c r="HI352" s="59">
        <v>550</v>
      </c>
      <c r="HJ352" s="62">
        <f t="shared" si="334"/>
        <v>44000</v>
      </c>
      <c r="HK352" s="62"/>
      <c r="HL352" s="62"/>
      <c r="HM352" s="62">
        <v>2</v>
      </c>
      <c r="HN352" s="65">
        <f t="shared" si="335"/>
        <v>240000</v>
      </c>
      <c r="HO352" s="62">
        <f t="shared" si="336"/>
        <v>0.18333333333333332</v>
      </c>
      <c r="HP352" s="62">
        <v>160</v>
      </c>
      <c r="HQ352" s="59">
        <v>1</v>
      </c>
      <c r="HR352" s="62">
        <v>0</v>
      </c>
      <c r="HS352" s="62">
        <v>0</v>
      </c>
      <c r="HT352" s="62">
        <v>0</v>
      </c>
      <c r="HU352" s="62"/>
      <c r="HV352" s="62">
        <f t="shared" si="337"/>
        <v>0.18333333333333332</v>
      </c>
      <c r="HW352" s="62"/>
      <c r="HX352" s="62">
        <v>4200</v>
      </c>
      <c r="HY352" s="62">
        <v>1900</v>
      </c>
      <c r="HZ352" s="62">
        <v>1975</v>
      </c>
      <c r="IA352" s="62">
        <v>6</v>
      </c>
      <c r="IB352" s="62">
        <v>4</v>
      </c>
      <c r="IC352" s="62">
        <v>4</v>
      </c>
      <c r="ID352" s="61">
        <v>0.9</v>
      </c>
      <c r="IE352" s="62">
        <f>ROUND(PRODUCT(IA352:ID352),0)</f>
        <v>86</v>
      </c>
      <c r="IF352" s="62">
        <v>500</v>
      </c>
      <c r="IG352" s="62">
        <f t="shared" si="338"/>
        <v>0.23255813953488372</v>
      </c>
      <c r="IH352" s="62"/>
      <c r="II352" s="59"/>
      <c r="IJ352" s="59"/>
      <c r="IK352" s="59"/>
    </row>
    <row r="353" spans="1:245">
      <c r="A353">
        <v>336</v>
      </c>
      <c r="B353" t="s">
        <v>468</v>
      </c>
      <c r="C353" s="59" t="s">
        <v>1056</v>
      </c>
      <c r="D353" s="28" t="s">
        <v>842</v>
      </c>
      <c r="E353" s="27" t="s">
        <v>788</v>
      </c>
      <c r="F353" s="5" t="s">
        <v>2182</v>
      </c>
      <c r="G353" s="27" t="s">
        <v>122</v>
      </c>
      <c r="I353" s="27" t="s">
        <v>94</v>
      </c>
      <c r="J353" s="28">
        <v>21591</v>
      </c>
      <c r="K353" s="27" t="s">
        <v>97</v>
      </c>
      <c r="L353" s="59">
        <v>21480</v>
      </c>
      <c r="M353" s="59" t="s">
        <v>1050</v>
      </c>
      <c r="N353" s="28"/>
      <c r="O353" s="28"/>
      <c r="P353" s="28"/>
      <c r="Q353" s="28"/>
      <c r="R353" s="28"/>
      <c r="S353" s="27"/>
      <c r="T353" s="27"/>
      <c r="U353" s="27"/>
      <c r="W353" s="62" t="s">
        <v>1048</v>
      </c>
      <c r="X353" s="62"/>
      <c r="Y353" s="62"/>
      <c r="Z353" s="62"/>
      <c r="AA353" s="58" t="s">
        <v>1049</v>
      </c>
      <c r="AB353" s="344">
        <v>172.77</v>
      </c>
      <c r="AC353" s="62">
        <f>AB353-5</f>
        <v>167.77</v>
      </c>
      <c r="AD353" s="59"/>
      <c r="AE353" s="42">
        <f t="shared" si="315"/>
        <v>69.986850000000018</v>
      </c>
      <c r="AF353" s="42"/>
      <c r="AG353" s="42">
        <f t="shared" si="316"/>
        <v>12.06140350877193</v>
      </c>
      <c r="AH353" s="42">
        <f t="shared" si="317"/>
        <v>0</v>
      </c>
      <c r="AI353" s="42">
        <f t="shared" si="318"/>
        <v>0</v>
      </c>
      <c r="AJ353" s="42">
        <f t="shared" si="319"/>
        <v>0.2412280701754386</v>
      </c>
      <c r="AK353" s="42">
        <f t="shared" si="320"/>
        <v>1.0286185197368425</v>
      </c>
      <c r="AL353" s="42">
        <f t="shared" si="321"/>
        <v>9.0253078859649154</v>
      </c>
      <c r="AM353" s="42">
        <f t="shared" si="322"/>
        <v>2.9583333333333335</v>
      </c>
      <c r="AN353" s="42">
        <f t="shared" si="323"/>
        <v>0.92592592592592593</v>
      </c>
      <c r="AO353" s="42">
        <f t="shared" si="324"/>
        <v>0</v>
      </c>
      <c r="AP353" s="42"/>
      <c r="AQ353" s="42">
        <f t="shared" si="325"/>
        <v>96.2276672439084</v>
      </c>
      <c r="AR353" s="42"/>
      <c r="AS353" s="42"/>
      <c r="AT353" s="60">
        <v>0</v>
      </c>
      <c r="AU353" s="60">
        <v>0</v>
      </c>
      <c r="AV353" s="42">
        <f t="shared" si="326"/>
        <v>96.2276672439084</v>
      </c>
      <c r="AW353" s="17">
        <v>0.40799999999999997</v>
      </c>
      <c r="AX353" s="68">
        <v>0.40500000000000003</v>
      </c>
      <c r="AY353" s="61">
        <v>1</v>
      </c>
      <c r="AZ353" s="59">
        <f t="shared" si="327"/>
        <v>2.9999999999999472E-3</v>
      </c>
      <c r="BA353" s="62">
        <f t="shared" si="328"/>
        <v>69.986850000000018</v>
      </c>
      <c r="BB353" s="62"/>
      <c r="BC353" s="62"/>
      <c r="BD353" s="62"/>
      <c r="BE353" s="62"/>
      <c r="BF353" s="62"/>
      <c r="BG353" s="62"/>
      <c r="BH353" s="62"/>
      <c r="BI353" s="62"/>
      <c r="BJ353" s="62"/>
      <c r="BK353" s="62"/>
      <c r="BL353" s="62"/>
      <c r="BM353" s="62"/>
      <c r="BN353" s="62"/>
      <c r="BO353" s="62"/>
      <c r="BP353" s="62"/>
      <c r="BQ353" s="62"/>
      <c r="BR353" s="62"/>
      <c r="BS353" s="62"/>
      <c r="BT353" s="62"/>
      <c r="BU353" s="62"/>
      <c r="BV353" s="62"/>
      <c r="BW353" s="62"/>
      <c r="BX353" s="62"/>
      <c r="BY353" s="62"/>
      <c r="BZ353" s="62"/>
      <c r="CA353" s="62"/>
      <c r="CB353" s="62"/>
      <c r="CC353" s="62"/>
      <c r="CD353" s="59"/>
      <c r="CE353" s="59">
        <v>0</v>
      </c>
      <c r="CF353" s="59">
        <v>0</v>
      </c>
      <c r="CG353" s="59">
        <v>0</v>
      </c>
      <c r="CH353" s="62">
        <f t="shared" si="329"/>
        <v>0</v>
      </c>
      <c r="CI353" s="59"/>
      <c r="CJ353" s="59"/>
      <c r="CK353" s="63"/>
      <c r="CL353" s="59"/>
      <c r="CM353" s="59"/>
      <c r="CN353" s="59"/>
      <c r="CO353" s="59"/>
      <c r="CP353" s="59"/>
      <c r="CQ353" s="59"/>
      <c r="CR353" s="59"/>
      <c r="CS353" s="59"/>
      <c r="CT353" s="59"/>
      <c r="CU353" s="59"/>
      <c r="CV353" s="59"/>
      <c r="CW353" s="59"/>
      <c r="CX353" s="59"/>
      <c r="CY353" s="59"/>
      <c r="CZ353" s="59"/>
      <c r="DA353" s="59"/>
      <c r="DB353" s="59"/>
      <c r="DC353" s="59"/>
      <c r="DD353" s="59"/>
      <c r="DE353" s="59"/>
      <c r="DF353" s="59"/>
      <c r="DG353" s="59"/>
      <c r="DH353" s="59"/>
      <c r="DI353" s="59"/>
      <c r="DJ353" s="59"/>
      <c r="DK353" s="59"/>
      <c r="DL353" s="59"/>
      <c r="DM353" s="59">
        <v>0</v>
      </c>
      <c r="DN353" s="64">
        <v>0</v>
      </c>
      <c r="DO353" s="62">
        <v>0</v>
      </c>
      <c r="DP353" s="62">
        <v>0</v>
      </c>
      <c r="DQ353" s="62"/>
      <c r="DR353" s="62"/>
      <c r="DS353" s="62"/>
      <c r="DT353" s="62"/>
      <c r="DU353" s="62"/>
      <c r="DV353" s="62"/>
      <c r="DW353" s="62"/>
      <c r="DX353" s="62"/>
      <c r="DY353" s="62"/>
      <c r="DZ353" s="62"/>
      <c r="EA353" s="62"/>
      <c r="EB353" s="62"/>
      <c r="EC353" s="62"/>
      <c r="ED353" s="62"/>
      <c r="EE353" s="62"/>
      <c r="EF353" s="59">
        <v>550</v>
      </c>
      <c r="EG353" s="62">
        <v>5500</v>
      </c>
      <c r="EH353" s="62">
        <v>8</v>
      </c>
      <c r="EI353" s="61">
        <v>0.95</v>
      </c>
      <c r="EJ353" s="62">
        <v>1</v>
      </c>
      <c r="EK353" s="62">
        <v>60</v>
      </c>
      <c r="EL353" s="65">
        <f>ROUND(3600/EK353*EH353*EJ353*EI353,0)</f>
        <v>456</v>
      </c>
      <c r="EM353" s="65"/>
      <c r="EN353" s="65"/>
      <c r="EO353" s="65"/>
      <c r="EP353" s="65"/>
      <c r="EQ353" s="65"/>
      <c r="ER353" s="65"/>
      <c r="ES353" s="65"/>
      <c r="ET353" s="65"/>
      <c r="EU353" s="62">
        <f>EG353/EL353</f>
        <v>12.06140350877193</v>
      </c>
      <c r="EV353" s="62"/>
      <c r="EW353" s="62"/>
      <c r="EX353" s="62"/>
      <c r="EY353" s="62"/>
      <c r="EZ353" s="62"/>
      <c r="FA353" s="62"/>
      <c r="FB353" s="62"/>
      <c r="FC353" s="62"/>
      <c r="FD353" s="62"/>
      <c r="FE353" s="62"/>
      <c r="FF353" s="62"/>
      <c r="FG353" s="62"/>
      <c r="FH353" s="62"/>
      <c r="FI353" s="62"/>
      <c r="FJ353" s="62"/>
      <c r="FK353" s="62"/>
      <c r="FL353" s="62"/>
      <c r="FM353" s="62"/>
      <c r="FN353" s="62"/>
      <c r="FO353" s="62"/>
      <c r="FP353" s="62"/>
      <c r="FQ353" s="62"/>
      <c r="FR353" s="62"/>
      <c r="FS353" s="62"/>
      <c r="FT353" s="62"/>
      <c r="FU353" s="62"/>
      <c r="FV353" s="62"/>
      <c r="FW353" s="62"/>
      <c r="FX353" s="62"/>
      <c r="FY353" s="62"/>
      <c r="FZ353" s="62"/>
      <c r="GA353" s="62"/>
      <c r="GB353" s="62"/>
      <c r="GC353" s="62"/>
      <c r="GD353" s="62"/>
      <c r="GE353" s="62"/>
      <c r="GF353" s="62"/>
      <c r="GG353" s="62"/>
      <c r="GH353" s="62"/>
      <c r="GI353" s="62"/>
      <c r="GJ353" s="62"/>
      <c r="GK353" s="62"/>
      <c r="GL353" s="62"/>
      <c r="GM353" s="62"/>
      <c r="GN353" s="62"/>
      <c r="GO353" s="62"/>
      <c r="GP353" s="62"/>
      <c r="GQ353" s="62"/>
      <c r="GR353" s="61">
        <v>0.11</v>
      </c>
      <c r="GS353" s="62">
        <f t="shared" si="330"/>
        <v>9.0253078859649154</v>
      </c>
      <c r="GT353" s="64">
        <v>1.2500000000000001E-2</v>
      </c>
      <c r="GU353" s="62">
        <f>GT353*(BA353+EU353+EV353+EM353+GW353+DM353)</f>
        <v>1.0286185197368425</v>
      </c>
      <c r="GV353" s="61">
        <v>0.02</v>
      </c>
      <c r="GW353" s="62">
        <f>GV353*EU353</f>
        <v>0.2412280701754386</v>
      </c>
      <c r="GX353" s="62">
        <f t="shared" si="331"/>
        <v>10.295154475877196</v>
      </c>
      <c r="GY353" s="59"/>
      <c r="GZ353" s="59"/>
      <c r="HA353" s="62">
        <v>810</v>
      </c>
      <c r="HB353" s="62">
        <v>568</v>
      </c>
      <c r="HC353" s="59">
        <v>425</v>
      </c>
      <c r="HD353" s="59">
        <v>10</v>
      </c>
      <c r="HE353" s="59">
        <v>400</v>
      </c>
      <c r="HF353" s="62">
        <f t="shared" si="332"/>
        <v>40</v>
      </c>
      <c r="HG353" s="59">
        <v>5</v>
      </c>
      <c r="HH353" s="62">
        <f t="shared" si="333"/>
        <v>200</v>
      </c>
      <c r="HI353" s="59">
        <v>850</v>
      </c>
      <c r="HJ353" s="62">
        <f t="shared" si="334"/>
        <v>170000</v>
      </c>
      <c r="HK353" s="62"/>
      <c r="HL353" s="62"/>
      <c r="HM353" s="62">
        <v>2</v>
      </c>
      <c r="HN353" s="65">
        <f t="shared" si="335"/>
        <v>240000</v>
      </c>
      <c r="HO353" s="62">
        <f t="shared" si="336"/>
        <v>0.70833333333333337</v>
      </c>
      <c r="HP353" s="62">
        <v>160</v>
      </c>
      <c r="HQ353" s="59">
        <v>0</v>
      </c>
      <c r="HR353" s="62">
        <v>2.25</v>
      </c>
      <c r="HS353" s="62">
        <v>0</v>
      </c>
      <c r="HT353" s="62">
        <v>0</v>
      </c>
      <c r="HU353" s="62"/>
      <c r="HV353" s="62">
        <f t="shared" si="337"/>
        <v>2.9583333333333335</v>
      </c>
      <c r="HW353" s="62"/>
      <c r="HX353" s="62">
        <v>4200</v>
      </c>
      <c r="HY353" s="62">
        <v>1900</v>
      </c>
      <c r="HZ353" s="62">
        <v>1975</v>
      </c>
      <c r="IA353" s="62">
        <v>5</v>
      </c>
      <c r="IB353" s="62">
        <v>3</v>
      </c>
      <c r="IC353" s="62">
        <v>4</v>
      </c>
      <c r="ID353" s="61">
        <v>0.9</v>
      </c>
      <c r="IE353" s="62">
        <f>ROUND(PRODUCT(IA353:ID353),0)</f>
        <v>54</v>
      </c>
      <c r="IF353" s="62">
        <v>500</v>
      </c>
      <c r="IG353" s="62">
        <f t="shared" si="338"/>
        <v>0.92592592592592593</v>
      </c>
      <c r="IH353" s="62"/>
      <c r="II353" s="59"/>
      <c r="IJ353" s="59"/>
      <c r="IK353" s="59"/>
    </row>
    <row r="354" spans="1:245">
      <c r="A354">
        <v>337</v>
      </c>
      <c r="B354" t="s">
        <v>468</v>
      </c>
      <c r="C354" s="59" t="s">
        <v>1057</v>
      </c>
      <c r="D354" s="28" t="s">
        <v>843</v>
      </c>
      <c r="E354" s="27" t="s">
        <v>844</v>
      </c>
      <c r="F354" s="5" t="s">
        <v>2182</v>
      </c>
      <c r="G354" s="27" t="s">
        <v>122</v>
      </c>
      <c r="I354" s="27" t="s">
        <v>94</v>
      </c>
      <c r="J354" s="28">
        <v>21591</v>
      </c>
      <c r="K354" s="27" t="s">
        <v>97</v>
      </c>
      <c r="N354" s="28"/>
      <c r="O354" s="28"/>
      <c r="P354" s="28"/>
      <c r="Q354" s="28"/>
      <c r="R354" s="28"/>
      <c r="S354" s="27"/>
      <c r="T354" s="27"/>
      <c r="U354" s="27"/>
      <c r="W354" s="80"/>
      <c r="X354" s="80"/>
      <c r="Y354" s="80"/>
      <c r="Z354" s="80"/>
      <c r="AA354" s="58" t="s">
        <v>1049</v>
      </c>
      <c r="AB354" s="344">
        <v>125</v>
      </c>
      <c r="AC354" s="62">
        <v>0</v>
      </c>
      <c r="AD354" s="59" t="s">
        <v>1058</v>
      </c>
      <c r="AE354" s="42">
        <f t="shared" si="315"/>
        <v>1.75</v>
      </c>
      <c r="AF354" s="42"/>
      <c r="AG354" s="42">
        <f t="shared" si="316"/>
        <v>12.226140350877193</v>
      </c>
      <c r="AH354" s="42">
        <f t="shared" si="317"/>
        <v>0</v>
      </c>
      <c r="AI354" s="42">
        <f t="shared" si="318"/>
        <v>0</v>
      </c>
      <c r="AJ354" s="42">
        <f t="shared" si="319"/>
        <v>2.4122807017543872E-2</v>
      </c>
      <c r="AK354" s="42">
        <f t="shared" si="320"/>
        <v>0.17470175438596491</v>
      </c>
      <c r="AL354" s="42">
        <f t="shared" si="321"/>
        <v>1.5373754385964913</v>
      </c>
      <c r="AM354" s="42">
        <f t="shared" si="322"/>
        <v>0.26718750000000002</v>
      </c>
      <c r="AN354" s="42">
        <f t="shared" si="323"/>
        <v>9.6450617283950615E-2</v>
      </c>
      <c r="AO354" s="42">
        <f t="shared" si="324"/>
        <v>0</v>
      </c>
      <c r="AP354" s="42"/>
      <c r="AQ354" s="42">
        <f t="shared" si="325"/>
        <v>16.075978468161143</v>
      </c>
      <c r="AR354" s="42"/>
      <c r="AS354" s="42"/>
      <c r="AT354" s="60">
        <v>0</v>
      </c>
      <c r="AU354" s="59"/>
      <c r="AV354" s="42">
        <f t="shared" si="326"/>
        <v>16.075978468161143</v>
      </c>
      <c r="AW354" s="17">
        <v>1.4E-2</v>
      </c>
      <c r="AX354" s="68">
        <v>0.01</v>
      </c>
      <c r="AY354" s="61">
        <v>0</v>
      </c>
      <c r="AZ354" s="59">
        <f t="shared" si="327"/>
        <v>0</v>
      </c>
      <c r="BA354" s="62">
        <f t="shared" si="328"/>
        <v>1.75</v>
      </c>
      <c r="BB354" s="62"/>
      <c r="BC354" s="62"/>
      <c r="BD354" s="62"/>
      <c r="BE354" s="62"/>
      <c r="BF354" s="62"/>
      <c r="BG354" s="62"/>
      <c r="BH354" s="62"/>
      <c r="BI354" s="62"/>
      <c r="BJ354" s="62"/>
      <c r="BK354" s="62"/>
      <c r="BL354" s="62"/>
      <c r="BM354" s="62"/>
      <c r="BN354" s="62"/>
      <c r="BO354" s="62"/>
      <c r="BP354" s="62"/>
      <c r="BQ354" s="62"/>
      <c r="BR354" s="62"/>
      <c r="BS354" s="62"/>
      <c r="BT354" s="62"/>
      <c r="BU354" s="62"/>
      <c r="BV354" s="62"/>
      <c r="BW354" s="62"/>
      <c r="BX354" s="62"/>
      <c r="BY354" s="62"/>
      <c r="BZ354" s="62"/>
      <c r="CA354" s="62"/>
      <c r="CB354" s="62"/>
      <c r="CC354" s="62"/>
      <c r="CD354" s="59"/>
      <c r="CE354" s="59">
        <v>0</v>
      </c>
      <c r="CF354" s="59">
        <v>0</v>
      </c>
      <c r="CG354" s="59">
        <v>0</v>
      </c>
      <c r="CH354" s="62">
        <f t="shared" si="329"/>
        <v>0</v>
      </c>
      <c r="CI354" s="59"/>
      <c r="CJ354" s="59"/>
      <c r="CK354" s="63"/>
      <c r="CL354" s="59"/>
      <c r="CM354" s="59"/>
      <c r="CN354" s="59"/>
      <c r="CO354" s="59"/>
      <c r="CP354" s="59"/>
      <c r="CQ354" s="59"/>
      <c r="CR354" s="59"/>
      <c r="CS354" s="59"/>
      <c r="CT354" s="59"/>
      <c r="CU354" s="59"/>
      <c r="CV354" s="59"/>
      <c r="CW354" s="59"/>
      <c r="CX354" s="59"/>
      <c r="CY354" s="59"/>
      <c r="CZ354" s="59"/>
      <c r="DA354" s="59"/>
      <c r="DB354" s="59"/>
      <c r="DC354" s="59"/>
      <c r="DD354" s="59"/>
      <c r="DE354" s="59"/>
      <c r="DF354" s="59"/>
      <c r="DG354" s="59"/>
      <c r="DH354" s="59"/>
      <c r="DI354" s="59"/>
      <c r="DJ354" s="59"/>
      <c r="DK354" s="59"/>
      <c r="DL354" s="59"/>
      <c r="DM354" s="59">
        <v>0</v>
      </c>
      <c r="DN354" s="64">
        <v>0</v>
      </c>
      <c r="DO354" s="62">
        <v>0</v>
      </c>
      <c r="DP354" s="62">
        <v>0</v>
      </c>
      <c r="DQ354" s="62"/>
      <c r="DR354" s="62"/>
      <c r="DS354" s="62"/>
      <c r="DT354" s="62"/>
      <c r="DU354" s="62"/>
      <c r="DV354" s="62"/>
      <c r="DW354" s="62"/>
      <c r="DX354" s="62"/>
      <c r="DY354" s="62"/>
      <c r="DZ354" s="62"/>
      <c r="EA354" s="62"/>
      <c r="EB354" s="62"/>
      <c r="EC354" s="62"/>
      <c r="ED354" s="62"/>
      <c r="EE354" s="62"/>
      <c r="EF354" s="59">
        <v>110</v>
      </c>
      <c r="EG354" s="62">
        <v>1100</v>
      </c>
      <c r="EH354" s="62">
        <v>8</v>
      </c>
      <c r="EI354" s="61">
        <v>0.95</v>
      </c>
      <c r="EJ354" s="62">
        <v>2</v>
      </c>
      <c r="EK354" s="62">
        <v>60</v>
      </c>
      <c r="EL354" s="65">
        <f>3600/EK354*EH354*EJ354*EI354</f>
        <v>912</v>
      </c>
      <c r="EM354" s="65"/>
      <c r="EN354" s="62">
        <v>11.02</v>
      </c>
      <c r="EO354" s="62"/>
      <c r="EP354" s="65"/>
      <c r="EQ354" s="65"/>
      <c r="ER354" s="65"/>
      <c r="ES354" s="65"/>
      <c r="ET354" s="65"/>
      <c r="EU354" s="62">
        <f>EG354/EL354+EN354</f>
        <v>12.226140350877193</v>
      </c>
      <c r="EV354" s="62"/>
      <c r="EW354" s="62"/>
      <c r="EX354" s="62"/>
      <c r="EY354" s="62"/>
      <c r="EZ354" s="62"/>
      <c r="FA354" s="62"/>
      <c r="FB354" s="62"/>
      <c r="FC354" s="62"/>
      <c r="FD354" s="62"/>
      <c r="FE354" s="62"/>
      <c r="FF354" s="62"/>
      <c r="FG354" s="62"/>
      <c r="FH354" s="62"/>
      <c r="FI354" s="62"/>
      <c r="FJ354" s="62"/>
      <c r="FK354" s="62"/>
      <c r="FL354" s="62"/>
      <c r="FM354" s="62"/>
      <c r="FN354" s="62"/>
      <c r="FO354" s="62"/>
      <c r="FP354" s="62"/>
      <c r="FQ354" s="62"/>
      <c r="FR354" s="62"/>
      <c r="FS354" s="62"/>
      <c r="FT354" s="62"/>
      <c r="FU354" s="62"/>
      <c r="FV354" s="62"/>
      <c r="FW354" s="62"/>
      <c r="FX354" s="62"/>
      <c r="FY354" s="62"/>
      <c r="FZ354" s="62"/>
      <c r="GA354" s="62"/>
      <c r="GB354" s="62"/>
      <c r="GC354" s="62"/>
      <c r="GD354" s="62"/>
      <c r="GE354" s="62"/>
      <c r="GF354" s="62"/>
      <c r="GG354" s="62"/>
      <c r="GH354" s="62"/>
      <c r="GI354" s="62"/>
      <c r="GJ354" s="62"/>
      <c r="GK354" s="62"/>
      <c r="GL354" s="62"/>
      <c r="GM354" s="62"/>
      <c r="GN354" s="62"/>
      <c r="GO354" s="62"/>
      <c r="GP354" s="62"/>
      <c r="GQ354" s="62"/>
      <c r="GR354" s="61">
        <v>0.11</v>
      </c>
      <c r="GS354" s="62">
        <f t="shared" si="330"/>
        <v>1.5373754385964913</v>
      </c>
      <c r="GT354" s="64">
        <v>1.2500000000000001E-2</v>
      </c>
      <c r="GU354" s="62">
        <f>GT354*(BA354+EU354)</f>
        <v>0.17470175438596491</v>
      </c>
      <c r="GV354" s="61">
        <v>0.02</v>
      </c>
      <c r="GW354" s="62">
        <f>GV354*(EU354-EN354)</f>
        <v>2.4122807017543872E-2</v>
      </c>
      <c r="GX354" s="62">
        <f t="shared" si="331"/>
        <v>1.7362</v>
      </c>
      <c r="GY354" s="59"/>
      <c r="GZ354" s="59"/>
      <c r="HA354" s="62">
        <v>600</v>
      </c>
      <c r="HB354" s="62">
        <v>450</v>
      </c>
      <c r="HC354" s="59">
        <v>225</v>
      </c>
      <c r="HD354" s="59">
        <v>96</v>
      </c>
      <c r="HE354" s="59">
        <v>800</v>
      </c>
      <c r="HF354" s="62">
        <f t="shared" si="332"/>
        <v>9</v>
      </c>
      <c r="HG354" s="59">
        <v>5</v>
      </c>
      <c r="HH354" s="62">
        <f t="shared" si="333"/>
        <v>45</v>
      </c>
      <c r="HI354" s="59">
        <v>2850</v>
      </c>
      <c r="HJ354" s="62">
        <f t="shared" si="334"/>
        <v>128250</v>
      </c>
      <c r="HK354" s="62"/>
      <c r="HL354" s="62"/>
      <c r="HM354" s="62">
        <v>2</v>
      </c>
      <c r="HN354" s="65">
        <f t="shared" si="335"/>
        <v>480000</v>
      </c>
      <c r="HO354" s="62">
        <f t="shared" si="336"/>
        <v>0.26718750000000002</v>
      </c>
      <c r="HP354" s="62">
        <v>160</v>
      </c>
      <c r="HQ354" s="59">
        <v>0</v>
      </c>
      <c r="HR354" s="62">
        <v>0</v>
      </c>
      <c r="HS354" s="62">
        <v>0</v>
      </c>
      <c r="HT354" s="62">
        <v>0</v>
      </c>
      <c r="HU354" s="62"/>
      <c r="HV354" s="62">
        <f t="shared" si="337"/>
        <v>0.26718750000000002</v>
      </c>
      <c r="HW354" s="62"/>
      <c r="HX354" s="161">
        <v>2916.5</v>
      </c>
      <c r="HY354" s="62">
        <v>1688.5</v>
      </c>
      <c r="HZ354" s="62">
        <v>1842</v>
      </c>
      <c r="IA354" s="62">
        <v>4</v>
      </c>
      <c r="IB354" s="62">
        <v>3</v>
      </c>
      <c r="IC354" s="62">
        <v>8</v>
      </c>
      <c r="ID354" s="61">
        <v>1</v>
      </c>
      <c r="IE354" s="62">
        <f>ROUND(PRODUCT(IA354:ID354),0)-42</f>
        <v>54</v>
      </c>
      <c r="IF354" s="62">
        <v>500</v>
      </c>
      <c r="IG354" s="62">
        <f t="shared" si="338"/>
        <v>9.6450617283950615E-2</v>
      </c>
      <c r="IH354" s="62"/>
      <c r="II354" s="59"/>
      <c r="IJ354" s="59"/>
      <c r="IK354" s="59"/>
    </row>
    <row r="355" spans="1:245">
      <c r="A355">
        <v>338</v>
      </c>
      <c r="B355" t="s">
        <v>468</v>
      </c>
      <c r="C355" s="59" t="s">
        <v>1059</v>
      </c>
      <c r="D355" s="28" t="s">
        <v>845</v>
      </c>
      <c r="E355" s="27" t="s">
        <v>846</v>
      </c>
      <c r="F355" s="5" t="s">
        <v>2182</v>
      </c>
      <c r="G355" s="27" t="s">
        <v>122</v>
      </c>
      <c r="I355" s="27" t="s">
        <v>94</v>
      </c>
      <c r="J355" s="28">
        <v>21591</v>
      </c>
      <c r="K355" s="27" t="s">
        <v>97</v>
      </c>
      <c r="L355" s="59">
        <v>21480</v>
      </c>
      <c r="M355" s="59" t="s">
        <v>1050</v>
      </c>
      <c r="N355" s="28"/>
      <c r="O355" s="28"/>
      <c r="P355" s="28"/>
      <c r="Q355" s="28"/>
      <c r="R355" s="28"/>
      <c r="S355" s="27"/>
      <c r="T355" s="27"/>
      <c r="U355" s="27"/>
      <c r="W355" s="62" t="s">
        <v>1048</v>
      </c>
      <c r="X355" s="62"/>
      <c r="Y355" s="62"/>
      <c r="Z355" s="62"/>
      <c r="AA355" s="58" t="s">
        <v>1049</v>
      </c>
      <c r="AB355" s="344">
        <v>172.77</v>
      </c>
      <c r="AC355" s="62">
        <f>AB355-5</f>
        <v>167.77</v>
      </c>
      <c r="AD355" s="59"/>
      <c r="AE355" s="42">
        <f t="shared" si="315"/>
        <v>33.815150000000003</v>
      </c>
      <c r="AF355" s="42"/>
      <c r="AG355" s="42">
        <f t="shared" si="316"/>
        <v>4.7720042417815485</v>
      </c>
      <c r="AH355" s="42">
        <f t="shared" si="317"/>
        <v>0</v>
      </c>
      <c r="AI355" s="42">
        <f t="shared" si="318"/>
        <v>0</v>
      </c>
      <c r="AJ355" s="42">
        <f t="shared" si="319"/>
        <v>9.5440084835630976E-2</v>
      </c>
      <c r="AK355" s="42">
        <f t="shared" si="320"/>
        <v>0.48353242908271477</v>
      </c>
      <c r="AL355" s="42">
        <f t="shared" si="321"/>
        <v>4.2445869665959703</v>
      </c>
      <c r="AM355" s="42">
        <f t="shared" si="322"/>
        <v>1.1833333333333333</v>
      </c>
      <c r="AN355" s="42">
        <f t="shared" si="323"/>
        <v>0.18518518518518517</v>
      </c>
      <c r="AO355" s="42">
        <f t="shared" si="324"/>
        <v>0</v>
      </c>
      <c r="AP355" s="42"/>
      <c r="AQ355" s="42">
        <f t="shared" si="325"/>
        <v>44.779232240814373</v>
      </c>
      <c r="AR355" s="42"/>
      <c r="AS355" s="42"/>
      <c r="AT355" s="60">
        <v>0</v>
      </c>
      <c r="AU355" s="59"/>
      <c r="AV355" s="42">
        <f t="shared" si="326"/>
        <v>44.779232240814373</v>
      </c>
      <c r="AW355" s="17">
        <v>0.22</v>
      </c>
      <c r="AX355" s="68">
        <v>0.19500000000000001</v>
      </c>
      <c r="AY355" s="61">
        <v>1</v>
      </c>
      <c r="AZ355" s="69">
        <f t="shared" si="327"/>
        <v>2.4999999999999994E-2</v>
      </c>
      <c r="BA355" s="62">
        <f t="shared" si="328"/>
        <v>33.815150000000003</v>
      </c>
      <c r="BB355" s="62"/>
      <c r="BC355" s="62"/>
      <c r="BD355" s="62"/>
      <c r="BE355" s="62"/>
      <c r="BF355" s="62"/>
      <c r="BG355" s="62"/>
      <c r="BH355" s="62"/>
      <c r="BI355" s="62"/>
      <c r="BJ355" s="62"/>
      <c r="BK355" s="62"/>
      <c r="BL355" s="62"/>
      <c r="BM355" s="62"/>
      <c r="BN355" s="62"/>
      <c r="BO355" s="62"/>
      <c r="BP355" s="62"/>
      <c r="BQ355" s="62"/>
      <c r="BR355" s="62"/>
      <c r="BS355" s="62"/>
      <c r="BT355" s="62"/>
      <c r="BU355" s="62"/>
      <c r="BV355" s="62"/>
      <c r="BW355" s="62"/>
      <c r="BX355" s="62"/>
      <c r="BY355" s="62"/>
      <c r="BZ355" s="62"/>
      <c r="CA355" s="62"/>
      <c r="CB355" s="62"/>
      <c r="CC355" s="62"/>
      <c r="CD355" s="59"/>
      <c r="CE355" s="59">
        <v>0</v>
      </c>
      <c r="CF355" s="59">
        <v>0</v>
      </c>
      <c r="CG355" s="59">
        <v>0</v>
      </c>
      <c r="CH355" s="62">
        <f t="shared" si="329"/>
        <v>0</v>
      </c>
      <c r="CI355" s="59"/>
      <c r="CJ355" s="59"/>
      <c r="CK355" s="63"/>
      <c r="CL355" s="59"/>
      <c r="CM355" s="59"/>
      <c r="CN355" s="59"/>
      <c r="CO355" s="59"/>
      <c r="CP355" s="59"/>
      <c r="CQ355" s="59"/>
      <c r="CR355" s="59"/>
      <c r="CS355" s="59"/>
      <c r="CT355" s="59"/>
      <c r="CU355" s="59"/>
      <c r="CV355" s="59"/>
      <c r="CW355" s="59"/>
      <c r="CX355" s="59"/>
      <c r="CY355" s="59"/>
      <c r="CZ355" s="59"/>
      <c r="DA355" s="59"/>
      <c r="DB355" s="59"/>
      <c r="DC355" s="59"/>
      <c r="DD355" s="59"/>
      <c r="DE355" s="59"/>
      <c r="DF355" s="59"/>
      <c r="DG355" s="59"/>
      <c r="DH355" s="59"/>
      <c r="DI355" s="59"/>
      <c r="DJ355" s="59"/>
      <c r="DK355" s="59"/>
      <c r="DL355" s="59"/>
      <c r="DM355" s="59">
        <v>0</v>
      </c>
      <c r="DN355" s="64">
        <v>0</v>
      </c>
      <c r="DO355" s="62">
        <v>0</v>
      </c>
      <c r="DP355" s="62">
        <v>0</v>
      </c>
      <c r="DQ355" s="62"/>
      <c r="DR355" s="62"/>
      <c r="DS355" s="62"/>
      <c r="DT355" s="62"/>
      <c r="DU355" s="62"/>
      <c r="DV355" s="62"/>
      <c r="DW355" s="62"/>
      <c r="DX355" s="62"/>
      <c r="DY355" s="62"/>
      <c r="DZ355" s="62"/>
      <c r="EA355" s="62"/>
      <c r="EB355" s="62"/>
      <c r="EC355" s="62"/>
      <c r="ED355" s="62"/>
      <c r="EE355" s="62"/>
      <c r="EF355" s="59">
        <v>450</v>
      </c>
      <c r="EG355" s="62">
        <v>4500</v>
      </c>
      <c r="EH355" s="62">
        <v>8</v>
      </c>
      <c r="EI355" s="61">
        <v>0.95</v>
      </c>
      <c r="EJ355" s="62">
        <v>2</v>
      </c>
      <c r="EK355" s="62">
        <v>58</v>
      </c>
      <c r="EL355" s="65">
        <f>ROUND(3600/EK355*EH355*EJ355*EI355,0)</f>
        <v>943</v>
      </c>
      <c r="EM355" s="65"/>
      <c r="EN355" s="65"/>
      <c r="EO355" s="65"/>
      <c r="EP355" s="65"/>
      <c r="EQ355" s="65"/>
      <c r="ER355" s="65"/>
      <c r="ES355" s="65"/>
      <c r="ET355" s="65"/>
      <c r="EU355" s="62">
        <f t="shared" ref="EU355:EU384" si="339">EG355/EL355</f>
        <v>4.7720042417815485</v>
      </c>
      <c r="EV355" s="62"/>
      <c r="EW355" s="62"/>
      <c r="EX355" s="62"/>
      <c r="EY355" s="62"/>
      <c r="EZ355" s="62"/>
      <c r="FA355" s="59"/>
      <c r="FB355" s="59"/>
      <c r="FC355" s="59"/>
      <c r="FD355" s="59"/>
      <c r="FE355" s="59"/>
      <c r="FF355" s="59"/>
      <c r="FG355" s="59"/>
      <c r="FH355" s="59"/>
      <c r="FI355" s="59"/>
      <c r="FJ355" s="59"/>
      <c r="FK355" s="59"/>
      <c r="FL355" s="59"/>
      <c r="FM355" s="59"/>
      <c r="FN355" s="59"/>
      <c r="FO355" s="59"/>
      <c r="FP355" s="59"/>
      <c r="FQ355" s="59"/>
      <c r="FR355" s="59"/>
      <c r="FS355" s="59"/>
      <c r="FT355" s="59"/>
      <c r="FU355" s="59"/>
      <c r="FV355" s="59"/>
      <c r="FW355" s="59"/>
      <c r="FX355" s="59"/>
      <c r="FY355" s="59"/>
      <c r="FZ355" s="59"/>
      <c r="GA355" s="59"/>
      <c r="GB355" s="59"/>
      <c r="GC355" s="59"/>
      <c r="GD355" s="59"/>
      <c r="GE355" s="59"/>
      <c r="GF355" s="59"/>
      <c r="GG355" s="59"/>
      <c r="GH355" s="59"/>
      <c r="GI355" s="59"/>
      <c r="GJ355" s="59"/>
      <c r="GK355" s="59"/>
      <c r="GL355" s="59"/>
      <c r="GM355" s="59"/>
      <c r="GN355" s="59"/>
      <c r="GO355" s="59"/>
      <c r="GP355" s="59"/>
      <c r="GQ355" s="59"/>
      <c r="GR355" s="61">
        <v>0.11</v>
      </c>
      <c r="GS355" s="62">
        <f t="shared" si="330"/>
        <v>4.2445869665959703</v>
      </c>
      <c r="GT355" s="64">
        <v>1.2500000000000001E-2</v>
      </c>
      <c r="GU355" s="62">
        <f>GT355*(BA355+EU355+EV355+EM355+GW355+DM355)</f>
        <v>0.48353242908271477</v>
      </c>
      <c r="GV355" s="61">
        <v>0.02</v>
      </c>
      <c r="GW355" s="62">
        <f t="shared" ref="GW355:GW384" si="340">GV355*EU355</f>
        <v>9.5440084835630976E-2</v>
      </c>
      <c r="GX355" s="62">
        <f t="shared" si="331"/>
        <v>4.8235594805143158</v>
      </c>
      <c r="GY355" s="59"/>
      <c r="GZ355" s="59"/>
      <c r="HA355" s="62">
        <v>650</v>
      </c>
      <c r="HB355" s="62">
        <v>450</v>
      </c>
      <c r="HC355" s="59">
        <v>330</v>
      </c>
      <c r="HD355" s="59">
        <v>25</v>
      </c>
      <c r="HE355" s="59">
        <v>400</v>
      </c>
      <c r="HF355" s="62">
        <f t="shared" si="332"/>
        <v>16</v>
      </c>
      <c r="HG355" s="59">
        <v>5</v>
      </c>
      <c r="HH355" s="62">
        <v>80</v>
      </c>
      <c r="HI355" s="59">
        <v>550</v>
      </c>
      <c r="HJ355" s="62">
        <f t="shared" si="334"/>
        <v>44000</v>
      </c>
      <c r="HK355" s="62"/>
      <c r="HL355" s="62"/>
      <c r="HM355" s="62">
        <v>2</v>
      </c>
      <c r="HN355" s="65">
        <f t="shared" si="335"/>
        <v>240000</v>
      </c>
      <c r="HO355" s="62">
        <f t="shared" si="336"/>
        <v>0.18333333333333332</v>
      </c>
      <c r="HP355" s="62">
        <v>160</v>
      </c>
      <c r="HQ355" s="59">
        <v>0</v>
      </c>
      <c r="HR355" s="62">
        <v>1</v>
      </c>
      <c r="HS355" s="62">
        <v>0</v>
      </c>
      <c r="HT355" s="62">
        <v>0</v>
      </c>
      <c r="HU355" s="62"/>
      <c r="HV355" s="62">
        <f t="shared" si="337"/>
        <v>1.1833333333333333</v>
      </c>
      <c r="HW355" s="62"/>
      <c r="HX355" s="62">
        <v>4200</v>
      </c>
      <c r="HY355" s="62">
        <v>1900</v>
      </c>
      <c r="HZ355" s="62">
        <v>1975</v>
      </c>
      <c r="IA355" s="62">
        <v>6</v>
      </c>
      <c r="IB355" s="62">
        <v>4</v>
      </c>
      <c r="IC355" s="62">
        <v>5</v>
      </c>
      <c r="ID355" s="61">
        <v>0.9</v>
      </c>
      <c r="IE355" s="62">
        <f t="shared" ref="IE355:IE364" si="341">ROUND(PRODUCT(IA355:ID355),0)</f>
        <v>108</v>
      </c>
      <c r="IF355" s="62">
        <v>500</v>
      </c>
      <c r="IG355" s="62">
        <f t="shared" si="338"/>
        <v>0.18518518518518517</v>
      </c>
      <c r="IH355" s="62"/>
      <c r="II355" s="59"/>
      <c r="IJ355" s="59"/>
      <c r="IK355" s="59"/>
    </row>
    <row r="356" spans="1:245">
      <c r="A356">
        <v>339</v>
      </c>
      <c r="B356" t="s">
        <v>468</v>
      </c>
      <c r="C356" t="s">
        <v>1060</v>
      </c>
      <c r="D356" s="28" t="s">
        <v>847</v>
      </c>
      <c r="E356" s="27" t="s">
        <v>848</v>
      </c>
      <c r="F356" s="5" t="s">
        <v>2182</v>
      </c>
      <c r="G356" s="27" t="s">
        <v>122</v>
      </c>
      <c r="I356" s="27" t="s">
        <v>94</v>
      </c>
      <c r="J356" s="28">
        <v>21591</v>
      </c>
      <c r="K356" s="27" t="s">
        <v>97</v>
      </c>
      <c r="L356" s="59">
        <v>21480</v>
      </c>
      <c r="M356" s="59" t="s">
        <v>1050</v>
      </c>
      <c r="N356" s="28"/>
      <c r="O356" s="28"/>
      <c r="P356" s="28"/>
      <c r="Q356" s="28"/>
      <c r="R356" s="28"/>
      <c r="S356" s="27"/>
      <c r="T356" s="27"/>
      <c r="U356" s="27"/>
      <c r="W356" s="62" t="s">
        <v>1048</v>
      </c>
      <c r="X356" s="62"/>
      <c r="Y356" s="62"/>
      <c r="Z356" s="62"/>
      <c r="AA356" s="56" t="s">
        <v>1049</v>
      </c>
      <c r="AB356" s="340">
        <v>172.77</v>
      </c>
      <c r="AC356" s="4">
        <f>AB356-5</f>
        <v>167.77</v>
      </c>
      <c r="AD356"/>
      <c r="AE356" s="7">
        <f t="shared" si="315"/>
        <v>33.815150000000003</v>
      </c>
      <c r="AF356" s="7"/>
      <c r="AG356" s="7">
        <f t="shared" si="316"/>
        <v>4.7720042417815485</v>
      </c>
      <c r="AH356" s="7">
        <f t="shared" si="317"/>
        <v>0</v>
      </c>
      <c r="AI356" s="7">
        <f t="shared" si="318"/>
        <v>0</v>
      </c>
      <c r="AJ356" s="7">
        <f t="shared" si="319"/>
        <v>9.5440084835630976E-2</v>
      </c>
      <c r="AK356" s="7">
        <f t="shared" si="320"/>
        <v>0.48353242908271477</v>
      </c>
      <c r="AL356" s="7">
        <f t="shared" si="321"/>
        <v>4.2445869665959703</v>
      </c>
      <c r="AM356" s="7">
        <f t="shared" si="322"/>
        <v>1.1833333333333333</v>
      </c>
      <c r="AN356" s="7">
        <f t="shared" si="323"/>
        <v>0.18518518518518517</v>
      </c>
      <c r="AO356" s="7">
        <f t="shared" si="324"/>
        <v>0</v>
      </c>
      <c r="AP356" s="7"/>
      <c r="AQ356" s="7">
        <f t="shared" si="325"/>
        <v>44.779232240814373</v>
      </c>
      <c r="AR356" s="7"/>
      <c r="AS356" s="7"/>
      <c r="AT356" s="6">
        <v>0</v>
      </c>
      <c r="AV356" s="174">
        <f t="shared" si="326"/>
        <v>44.779232240814373</v>
      </c>
      <c r="AW356" s="24">
        <v>0.22</v>
      </c>
      <c r="AX356" s="2">
        <v>0.19500000000000001</v>
      </c>
      <c r="AY356" s="8">
        <v>1</v>
      </c>
      <c r="AZ356" s="14">
        <f t="shared" si="327"/>
        <v>2.4999999999999994E-2</v>
      </c>
      <c r="BA356" s="4">
        <f t="shared" si="328"/>
        <v>33.815150000000003</v>
      </c>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E356">
        <v>0</v>
      </c>
      <c r="CF356">
        <v>0</v>
      </c>
      <c r="CG356">
        <v>0</v>
      </c>
      <c r="CH356" s="4">
        <f t="shared" si="329"/>
        <v>0</v>
      </c>
      <c r="CK356" s="66"/>
      <c r="DM356">
        <v>0</v>
      </c>
      <c r="DN356" s="9">
        <v>0</v>
      </c>
      <c r="DO356" s="4">
        <v>0</v>
      </c>
      <c r="DP356" s="4">
        <v>0</v>
      </c>
      <c r="DQ356" s="4"/>
      <c r="DR356" s="4"/>
      <c r="DS356" s="4"/>
      <c r="DT356" s="4"/>
      <c r="DU356" s="4"/>
      <c r="DV356" s="4"/>
      <c r="DW356" s="4"/>
      <c r="DX356" s="4"/>
      <c r="DY356" s="4"/>
      <c r="DZ356" s="4"/>
      <c r="EA356" s="4"/>
      <c r="EB356" s="4"/>
      <c r="EC356" s="4"/>
      <c r="ED356" s="4"/>
      <c r="EE356" s="4"/>
      <c r="EF356">
        <v>450</v>
      </c>
      <c r="EG356" s="4">
        <v>4500</v>
      </c>
      <c r="EH356" s="4">
        <v>8</v>
      </c>
      <c r="EI356" s="8">
        <v>0.95</v>
      </c>
      <c r="EJ356" s="4">
        <v>2</v>
      </c>
      <c r="EK356" s="4">
        <v>58</v>
      </c>
      <c r="EL356" s="10">
        <f>ROUND(3600/EK356*EH356*EJ356*EI356,0)</f>
        <v>943</v>
      </c>
      <c r="EM356" s="10"/>
      <c r="EN356" s="10"/>
      <c r="EO356" s="10"/>
      <c r="EP356" s="10"/>
      <c r="EQ356" s="10"/>
      <c r="ER356" s="10"/>
      <c r="ES356" s="10"/>
      <c r="ET356" s="10"/>
      <c r="EU356" s="4">
        <f t="shared" si="339"/>
        <v>4.7720042417815485</v>
      </c>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8">
        <v>0.11</v>
      </c>
      <c r="GS356" s="4">
        <f t="shared" si="330"/>
        <v>4.2445869665959703</v>
      </c>
      <c r="GT356" s="9">
        <v>1.2500000000000001E-2</v>
      </c>
      <c r="GU356" s="4">
        <f>GT356*(BA356+EU356+EV356+EM356+GW356+DM356)</f>
        <v>0.48353242908271477</v>
      </c>
      <c r="GV356" s="8">
        <v>0.02</v>
      </c>
      <c r="GW356" s="4">
        <f t="shared" si="340"/>
        <v>9.5440084835630976E-2</v>
      </c>
      <c r="GX356" s="4">
        <f t="shared" si="331"/>
        <v>4.8235594805143158</v>
      </c>
      <c r="HA356" s="4">
        <v>650</v>
      </c>
      <c r="HB356" s="4">
        <v>450</v>
      </c>
      <c r="HC356">
        <v>330</v>
      </c>
      <c r="HD356">
        <v>25</v>
      </c>
      <c r="HE356">
        <v>400</v>
      </c>
      <c r="HF356" s="4">
        <f t="shared" si="332"/>
        <v>16</v>
      </c>
      <c r="HG356">
        <v>5</v>
      </c>
      <c r="HH356" s="4">
        <v>80</v>
      </c>
      <c r="HI356">
        <v>550</v>
      </c>
      <c r="HJ356" s="4">
        <f t="shared" si="334"/>
        <v>44000</v>
      </c>
      <c r="HK356" s="4"/>
      <c r="HL356" s="4"/>
      <c r="HM356" s="4">
        <v>2</v>
      </c>
      <c r="HN356" s="10">
        <f t="shared" si="335"/>
        <v>240000</v>
      </c>
      <c r="HO356" s="4">
        <f t="shared" si="336"/>
        <v>0.18333333333333332</v>
      </c>
      <c r="HP356" s="4">
        <v>160</v>
      </c>
      <c r="HQ356">
        <v>0</v>
      </c>
      <c r="HR356" s="4">
        <v>1</v>
      </c>
      <c r="HS356" s="4">
        <v>0</v>
      </c>
      <c r="HT356" s="4">
        <v>0</v>
      </c>
      <c r="HU356" s="4"/>
      <c r="HV356" s="4">
        <f t="shared" si="337"/>
        <v>1.1833333333333333</v>
      </c>
      <c r="HW356" s="4"/>
      <c r="HX356" s="4">
        <v>4200</v>
      </c>
      <c r="HY356" s="4">
        <v>1900</v>
      </c>
      <c r="HZ356" s="4">
        <v>1975</v>
      </c>
      <c r="IA356" s="4">
        <v>6</v>
      </c>
      <c r="IB356" s="4">
        <v>4</v>
      </c>
      <c r="IC356" s="4">
        <v>5</v>
      </c>
      <c r="ID356" s="8">
        <v>0.9</v>
      </c>
      <c r="IE356" s="62">
        <f t="shared" si="341"/>
        <v>108</v>
      </c>
      <c r="IF356" s="4">
        <v>500</v>
      </c>
      <c r="IG356" s="4">
        <f t="shared" si="338"/>
        <v>0.18518518518518517</v>
      </c>
      <c r="IH356" s="4"/>
    </row>
    <row r="357" spans="1:245">
      <c r="A357">
        <v>340</v>
      </c>
      <c r="B357" t="s">
        <v>468</v>
      </c>
      <c r="C357" s="59" t="s">
        <v>1061</v>
      </c>
      <c r="D357" s="28" t="s">
        <v>849</v>
      </c>
      <c r="E357" s="27" t="s">
        <v>850</v>
      </c>
      <c r="F357" s="5" t="s">
        <v>2182</v>
      </c>
      <c r="G357" s="27" t="s">
        <v>122</v>
      </c>
      <c r="I357" s="27" t="s">
        <v>121</v>
      </c>
      <c r="J357" s="28">
        <v>21480</v>
      </c>
      <c r="K357" s="27" t="s">
        <v>97</v>
      </c>
      <c r="N357" s="28"/>
      <c r="O357" s="28"/>
      <c r="P357" s="28"/>
      <c r="Q357" s="28"/>
      <c r="R357" s="28"/>
      <c r="S357" s="27"/>
      <c r="T357" s="27"/>
      <c r="U357" s="27"/>
      <c r="W357" s="80"/>
      <c r="X357" s="80"/>
      <c r="Y357" s="80"/>
      <c r="Z357" s="80"/>
      <c r="AA357" s="58" t="s">
        <v>469</v>
      </c>
      <c r="AB357" s="344">
        <v>105.5</v>
      </c>
      <c r="AC357" s="62">
        <v>20</v>
      </c>
      <c r="AD357" s="59"/>
      <c r="AE357" s="42">
        <f t="shared" si="315"/>
        <v>10.239000000000001</v>
      </c>
      <c r="AF357" s="42"/>
      <c r="AG357" s="42">
        <f t="shared" si="316"/>
        <v>3.1980994152046787</v>
      </c>
      <c r="AH357" s="42">
        <f t="shared" si="317"/>
        <v>43.7</v>
      </c>
      <c r="AI357" s="42">
        <f t="shared" si="318"/>
        <v>0.55000000000000004</v>
      </c>
      <c r="AJ357" s="42">
        <f t="shared" si="319"/>
        <v>6.3961988304093581E-2</v>
      </c>
      <c r="AK357" s="42">
        <f t="shared" si="320"/>
        <v>0.16796374269005851</v>
      </c>
      <c r="AL357" s="42">
        <f t="shared" si="321"/>
        <v>1.4780809356725146</v>
      </c>
      <c r="AM357" s="42">
        <f t="shared" si="322"/>
        <v>1.1375</v>
      </c>
      <c r="AN357" s="42">
        <f t="shared" si="323"/>
        <v>0.16108247422680413</v>
      </c>
      <c r="AO357" s="42">
        <f t="shared" si="324"/>
        <v>0.73</v>
      </c>
      <c r="AP357" s="42"/>
      <c r="AQ357" s="42">
        <f t="shared" si="325"/>
        <v>61.425688556098144</v>
      </c>
      <c r="AR357" s="42"/>
      <c r="AS357" s="42"/>
      <c r="AT357" s="60">
        <v>0</v>
      </c>
      <c r="AU357" s="60"/>
      <c r="AV357" s="42">
        <f t="shared" si="326"/>
        <v>61.425688556098144</v>
      </c>
      <c r="AW357" s="17">
        <v>9.8000000000000004E-2</v>
      </c>
      <c r="AX357" s="68">
        <v>9.2999999999999999E-2</v>
      </c>
      <c r="AY357" s="61">
        <v>1</v>
      </c>
      <c r="AZ357" s="69">
        <f t="shared" si="327"/>
        <v>5.0000000000000044E-3</v>
      </c>
      <c r="BA357" s="62">
        <f t="shared" si="328"/>
        <v>10.239000000000001</v>
      </c>
      <c r="BB357" s="62"/>
      <c r="BC357" s="62"/>
      <c r="BD357" s="62"/>
      <c r="BE357" s="62"/>
      <c r="BF357" s="62"/>
      <c r="BG357" s="62"/>
      <c r="BH357" s="62"/>
      <c r="BI357" s="62"/>
      <c r="BJ357" s="62"/>
      <c r="BK357" s="62"/>
      <c r="BL357" s="62"/>
      <c r="BM357" s="62"/>
      <c r="BN357" s="62"/>
      <c r="BO357" s="62"/>
      <c r="BP357" s="62"/>
      <c r="BQ357" s="62"/>
      <c r="BR357" s="62"/>
      <c r="BS357" s="62"/>
      <c r="BT357" s="62"/>
      <c r="BU357" s="62"/>
      <c r="BV357" s="62"/>
      <c r="BW357" s="62"/>
      <c r="BX357" s="62"/>
      <c r="BY357" s="62"/>
      <c r="BZ357" s="62"/>
      <c r="CA357" s="62"/>
      <c r="CB357" s="62"/>
      <c r="CC357" s="62"/>
      <c r="CD357" s="59"/>
      <c r="CE357" s="59">
        <v>0</v>
      </c>
      <c r="CF357" s="59">
        <v>1</v>
      </c>
      <c r="CG357" s="62">
        <v>43.7</v>
      </c>
      <c r="CH357" s="62">
        <f t="shared" ref="CH357:CH381" si="342">CG357*CF357</f>
        <v>43.7</v>
      </c>
      <c r="CI357" s="59"/>
      <c r="CJ357" s="59"/>
      <c r="CK357" s="63"/>
      <c r="CL357" s="59"/>
      <c r="CM357" s="59"/>
      <c r="CN357" s="59"/>
      <c r="CO357" s="59"/>
      <c r="CP357" s="59"/>
      <c r="CQ357" s="59"/>
      <c r="CR357" s="59"/>
      <c r="CS357" s="59"/>
      <c r="CT357" s="59"/>
      <c r="CU357" s="59"/>
      <c r="CV357" s="59"/>
      <c r="CW357" s="59"/>
      <c r="CX357" s="59"/>
      <c r="CY357" s="59"/>
      <c r="CZ357" s="59"/>
      <c r="DA357" s="59"/>
      <c r="DB357" s="59"/>
      <c r="DC357" s="59"/>
      <c r="DD357" s="59"/>
      <c r="DE357" s="59"/>
      <c r="DF357" s="59"/>
      <c r="DG357" s="59"/>
      <c r="DH357" s="59"/>
      <c r="DI357" s="59"/>
      <c r="DJ357" s="59"/>
      <c r="DK357" s="59"/>
      <c r="DL357" s="59"/>
      <c r="DM357" s="62">
        <f t="shared" ref="DM357:DM362" si="343">CH357+CM357+CR357+CW357+DB357+DG357+DL357</f>
        <v>43.7</v>
      </c>
      <c r="DN357" s="64">
        <v>0</v>
      </c>
      <c r="DO357" s="62">
        <v>0.55000000000000004</v>
      </c>
      <c r="DP357" s="62">
        <f t="shared" ref="DP357:DP362" si="344">DM357+DO357</f>
        <v>44.25</v>
      </c>
      <c r="DQ357" s="62"/>
      <c r="DR357" s="62"/>
      <c r="DS357" s="62"/>
      <c r="DT357" s="62"/>
      <c r="DU357" s="62"/>
      <c r="DV357" s="62"/>
      <c r="DW357" s="62"/>
      <c r="DX357" s="62"/>
      <c r="DY357" s="62"/>
      <c r="DZ357" s="62"/>
      <c r="EA357" s="62"/>
      <c r="EB357" s="62"/>
      <c r="EC357" s="62"/>
      <c r="ED357" s="62"/>
      <c r="EE357" s="62"/>
      <c r="EF357" s="59">
        <v>350</v>
      </c>
      <c r="EG357" s="62">
        <v>3500</v>
      </c>
      <c r="EH357" s="62">
        <v>8</v>
      </c>
      <c r="EI357" s="61">
        <v>0.95</v>
      </c>
      <c r="EJ357" s="62">
        <v>2</v>
      </c>
      <c r="EK357" s="62">
        <v>50</v>
      </c>
      <c r="EL357" s="65">
        <f>3600/EK357*EH357*EJ357*EI357</f>
        <v>1094.3999999999999</v>
      </c>
      <c r="EM357" s="65"/>
      <c r="EN357" s="65"/>
      <c r="EO357" s="65"/>
      <c r="EP357" s="65"/>
      <c r="EQ357" s="65"/>
      <c r="ER357" s="65"/>
      <c r="ES357" s="65"/>
      <c r="ET357" s="65"/>
      <c r="EU357" s="62">
        <f t="shared" si="339"/>
        <v>3.1980994152046787</v>
      </c>
      <c r="EV357" s="62"/>
      <c r="EW357" s="62"/>
      <c r="EX357" s="62">
        <v>0</v>
      </c>
      <c r="EY357" s="62">
        <v>0.73</v>
      </c>
      <c r="EZ357" s="62"/>
      <c r="FA357" s="62">
        <f>EX357</f>
        <v>0</v>
      </c>
      <c r="FB357" s="62"/>
      <c r="FC357" s="62"/>
      <c r="FD357" s="62"/>
      <c r="FE357" s="62"/>
      <c r="FF357" s="62"/>
      <c r="FG357" s="62"/>
      <c r="FH357" s="62"/>
      <c r="FI357" s="62"/>
      <c r="FJ357" s="62"/>
      <c r="FK357" s="62"/>
      <c r="FL357" s="62"/>
      <c r="FM357" s="62"/>
      <c r="FN357" s="62"/>
      <c r="FO357" s="62"/>
      <c r="FP357" s="62"/>
      <c r="FQ357" s="62"/>
      <c r="FR357" s="62"/>
      <c r="FS357" s="62"/>
      <c r="FT357" s="62"/>
      <c r="FU357" s="62"/>
      <c r="FV357" s="62"/>
      <c r="FW357" s="62"/>
      <c r="FX357" s="62"/>
      <c r="FY357" s="62"/>
      <c r="FZ357" s="62"/>
      <c r="GA357" s="62"/>
      <c r="GB357" s="62"/>
      <c r="GC357" s="62"/>
      <c r="GD357" s="62"/>
      <c r="GE357" s="62"/>
      <c r="GF357" s="62"/>
      <c r="GG357" s="62"/>
      <c r="GH357" s="62"/>
      <c r="GI357" s="62"/>
      <c r="GJ357" s="62"/>
      <c r="GK357" s="62"/>
      <c r="GL357" s="62"/>
      <c r="GM357" s="62"/>
      <c r="GN357" s="62"/>
      <c r="GO357" s="62"/>
      <c r="GP357" s="62"/>
      <c r="GQ357" s="62"/>
      <c r="GR357" s="61">
        <v>0.11</v>
      </c>
      <c r="GS357" s="62">
        <f t="shared" si="330"/>
        <v>1.4780809356725146</v>
      </c>
      <c r="GT357" s="64">
        <v>1.2500000000000001E-2</v>
      </c>
      <c r="GU357" s="62">
        <f t="shared" ref="GU357:GU384" si="345">GT357*(BA357+EU357)</f>
        <v>0.16796374269005851</v>
      </c>
      <c r="GV357" s="78">
        <v>0.02</v>
      </c>
      <c r="GW357" s="62">
        <f t="shared" si="340"/>
        <v>6.3961988304093581E-2</v>
      </c>
      <c r="GX357" s="62">
        <f t="shared" si="331"/>
        <v>1.7100066666666667</v>
      </c>
      <c r="GY357" s="59"/>
      <c r="GZ357" s="59"/>
      <c r="HA357" s="62">
        <v>650</v>
      </c>
      <c r="HB357" s="62">
        <v>450</v>
      </c>
      <c r="HC357" s="59">
        <v>210</v>
      </c>
      <c r="HD357" s="59">
        <v>16</v>
      </c>
      <c r="HE357" s="65">
        <f>10000/26</f>
        <v>384.61538461538464</v>
      </c>
      <c r="HF357" s="62">
        <f t="shared" si="332"/>
        <v>25</v>
      </c>
      <c r="HG357" s="59">
        <v>5</v>
      </c>
      <c r="HH357" s="62">
        <v>125</v>
      </c>
      <c r="HI357" s="59">
        <v>2100</v>
      </c>
      <c r="HJ357" s="62">
        <f t="shared" si="334"/>
        <v>262500</v>
      </c>
      <c r="HK357" s="62"/>
      <c r="HL357" s="62"/>
      <c r="HM357" s="62">
        <v>2</v>
      </c>
      <c r="HN357" s="10">
        <f t="shared" si="335"/>
        <v>230769.23076923078</v>
      </c>
      <c r="HO357" s="62">
        <f t="shared" si="336"/>
        <v>1.1375</v>
      </c>
      <c r="HP357" s="62">
        <v>160</v>
      </c>
      <c r="HQ357" s="59">
        <v>0</v>
      </c>
      <c r="HR357" s="62">
        <v>0</v>
      </c>
      <c r="HS357" s="62">
        <v>0</v>
      </c>
      <c r="HT357" s="62">
        <v>0</v>
      </c>
      <c r="HU357" s="62"/>
      <c r="HV357" s="62">
        <f t="shared" si="337"/>
        <v>1.1375</v>
      </c>
      <c r="HW357" s="62"/>
      <c r="HX357" s="62">
        <v>4200</v>
      </c>
      <c r="HY357" s="62">
        <v>1900</v>
      </c>
      <c r="HZ357" s="62">
        <v>1975</v>
      </c>
      <c r="IA357" s="62">
        <v>6</v>
      </c>
      <c r="IB357" s="62">
        <v>4</v>
      </c>
      <c r="IC357" s="62">
        <v>9</v>
      </c>
      <c r="ID357" s="61">
        <v>0.9</v>
      </c>
      <c r="IE357" s="62">
        <f t="shared" si="341"/>
        <v>194</v>
      </c>
      <c r="IF357" s="62">
        <v>500</v>
      </c>
      <c r="IG357" s="62">
        <f t="shared" si="338"/>
        <v>0.16108247422680413</v>
      </c>
      <c r="IH357" s="62"/>
      <c r="II357" s="59"/>
      <c r="IJ357" s="59"/>
      <c r="IK357" s="59"/>
    </row>
    <row r="358" spans="1:245">
      <c r="A358">
        <v>341</v>
      </c>
      <c r="B358" t="s">
        <v>468</v>
      </c>
      <c r="C358" s="59" t="s">
        <v>1062</v>
      </c>
      <c r="D358" s="28" t="s">
        <v>849</v>
      </c>
      <c r="E358" s="27" t="s">
        <v>850</v>
      </c>
      <c r="F358" s="5" t="s">
        <v>2182</v>
      </c>
      <c r="G358" s="27" t="s">
        <v>122</v>
      </c>
      <c r="I358" s="27" t="s">
        <v>94</v>
      </c>
      <c r="J358" s="28">
        <v>21591</v>
      </c>
      <c r="K358" s="27" t="s">
        <v>97</v>
      </c>
      <c r="N358" s="28"/>
      <c r="O358" s="28"/>
      <c r="P358" s="28"/>
      <c r="Q358" s="28"/>
      <c r="R358" s="28"/>
      <c r="S358" s="27"/>
      <c r="T358" s="27"/>
      <c r="U358" s="27"/>
      <c r="W358" s="80"/>
      <c r="X358" s="80"/>
      <c r="Y358" s="80"/>
      <c r="Z358" s="80"/>
      <c r="AA358" s="58" t="s">
        <v>469</v>
      </c>
      <c r="AB358" s="344">
        <v>105.5</v>
      </c>
      <c r="AC358" s="62">
        <v>20</v>
      </c>
      <c r="AD358" s="59"/>
      <c r="AE358" s="42">
        <f t="shared" si="315"/>
        <v>10.239000000000001</v>
      </c>
      <c r="AF358" s="42"/>
      <c r="AG358" s="42">
        <f t="shared" si="316"/>
        <v>3.1980994152046787</v>
      </c>
      <c r="AH358" s="42">
        <f t="shared" si="317"/>
        <v>43.7</v>
      </c>
      <c r="AI358" s="42">
        <f t="shared" si="318"/>
        <v>0.55000000000000004</v>
      </c>
      <c r="AJ358" s="42">
        <f t="shared" si="319"/>
        <v>6.3961988304093581E-2</v>
      </c>
      <c r="AK358" s="42">
        <f t="shared" si="320"/>
        <v>0.16796374269005851</v>
      </c>
      <c r="AL358" s="42">
        <f t="shared" si="321"/>
        <v>1.4780809356725146</v>
      </c>
      <c r="AM358" s="42">
        <f t="shared" si="322"/>
        <v>1.1375</v>
      </c>
      <c r="AN358" s="42">
        <f t="shared" si="323"/>
        <v>0.16108247422680413</v>
      </c>
      <c r="AO358" s="42">
        <f t="shared" si="324"/>
        <v>0.73</v>
      </c>
      <c r="AP358" s="42"/>
      <c r="AQ358" s="42">
        <f t="shared" si="325"/>
        <v>61.425688556098144</v>
      </c>
      <c r="AR358" s="42"/>
      <c r="AS358" s="42"/>
      <c r="AT358" s="60">
        <v>0</v>
      </c>
      <c r="AU358" s="60"/>
      <c r="AV358" s="42">
        <f t="shared" si="326"/>
        <v>61.425688556098144</v>
      </c>
      <c r="AW358" s="17">
        <v>9.8000000000000004E-2</v>
      </c>
      <c r="AX358" s="68">
        <v>9.2999999999999999E-2</v>
      </c>
      <c r="AY358" s="61">
        <v>1</v>
      </c>
      <c r="AZ358" s="69">
        <f t="shared" si="327"/>
        <v>5.0000000000000044E-3</v>
      </c>
      <c r="BA358" s="62">
        <f t="shared" si="328"/>
        <v>10.239000000000001</v>
      </c>
      <c r="BB358" s="62"/>
      <c r="BC358" s="62"/>
      <c r="BD358" s="62"/>
      <c r="BE358" s="62"/>
      <c r="BF358" s="62"/>
      <c r="BG358" s="62"/>
      <c r="BH358" s="62"/>
      <c r="BI358" s="62"/>
      <c r="BJ358" s="62"/>
      <c r="BK358" s="62"/>
      <c r="BL358" s="62"/>
      <c r="BM358" s="62"/>
      <c r="BN358" s="62"/>
      <c r="BO358" s="62"/>
      <c r="BP358" s="62"/>
      <c r="BQ358" s="62"/>
      <c r="BR358" s="62"/>
      <c r="BS358" s="62"/>
      <c r="BT358" s="62"/>
      <c r="BU358" s="62"/>
      <c r="BV358" s="62"/>
      <c r="BW358" s="62"/>
      <c r="BX358" s="62"/>
      <c r="BY358" s="62"/>
      <c r="BZ358" s="62"/>
      <c r="CA358" s="62"/>
      <c r="CB358" s="62"/>
      <c r="CC358" s="62"/>
      <c r="CD358" s="59"/>
      <c r="CE358" s="59">
        <v>0</v>
      </c>
      <c r="CF358" s="59">
        <v>1</v>
      </c>
      <c r="CG358" s="62">
        <v>43.7</v>
      </c>
      <c r="CH358" s="62">
        <f t="shared" si="342"/>
        <v>43.7</v>
      </c>
      <c r="CI358" s="59"/>
      <c r="CJ358" s="59"/>
      <c r="CK358" s="63"/>
      <c r="CL358" s="59"/>
      <c r="CM358" s="59"/>
      <c r="CN358" s="59"/>
      <c r="CO358" s="59"/>
      <c r="CP358" s="59"/>
      <c r="CQ358" s="59"/>
      <c r="CR358" s="59"/>
      <c r="CS358" s="59"/>
      <c r="CT358" s="59"/>
      <c r="CU358" s="59"/>
      <c r="CV358" s="59"/>
      <c r="CW358" s="59"/>
      <c r="CX358" s="59"/>
      <c r="CY358" s="59"/>
      <c r="CZ358" s="59"/>
      <c r="DA358" s="59"/>
      <c r="DB358" s="59"/>
      <c r="DC358" s="59"/>
      <c r="DD358" s="59"/>
      <c r="DE358" s="59"/>
      <c r="DF358" s="59"/>
      <c r="DG358" s="59"/>
      <c r="DH358" s="59"/>
      <c r="DI358" s="59"/>
      <c r="DJ358" s="59"/>
      <c r="DK358" s="59"/>
      <c r="DL358" s="59"/>
      <c r="DM358" s="62">
        <f t="shared" si="343"/>
        <v>43.7</v>
      </c>
      <c r="DN358" s="64">
        <v>0</v>
      </c>
      <c r="DO358" s="62">
        <v>0.55000000000000004</v>
      </c>
      <c r="DP358" s="62">
        <f t="shared" si="344"/>
        <v>44.25</v>
      </c>
      <c r="DQ358" s="62"/>
      <c r="DR358" s="62"/>
      <c r="DS358" s="62"/>
      <c r="DT358" s="62"/>
      <c r="DU358" s="62"/>
      <c r="DV358" s="62"/>
      <c r="DW358" s="62"/>
      <c r="DX358" s="62"/>
      <c r="DY358" s="62"/>
      <c r="DZ358" s="62"/>
      <c r="EA358" s="62"/>
      <c r="EB358" s="62"/>
      <c r="EC358" s="62"/>
      <c r="ED358" s="62"/>
      <c r="EE358" s="62"/>
      <c r="EF358" s="59">
        <v>350</v>
      </c>
      <c r="EG358" s="62">
        <v>3500</v>
      </c>
      <c r="EH358" s="62">
        <v>8</v>
      </c>
      <c r="EI358" s="61">
        <v>0.95</v>
      </c>
      <c r="EJ358" s="62">
        <v>2</v>
      </c>
      <c r="EK358" s="62">
        <v>50</v>
      </c>
      <c r="EL358" s="65">
        <f>3600/EK358*EH358*EJ358*EI358</f>
        <v>1094.3999999999999</v>
      </c>
      <c r="EM358" s="65"/>
      <c r="EN358" s="65"/>
      <c r="EO358" s="65"/>
      <c r="EP358" s="65"/>
      <c r="EQ358" s="65"/>
      <c r="ER358" s="65"/>
      <c r="ES358" s="65"/>
      <c r="ET358" s="65"/>
      <c r="EU358" s="62">
        <f t="shared" si="339"/>
        <v>3.1980994152046787</v>
      </c>
      <c r="EV358" s="62"/>
      <c r="EW358" s="62"/>
      <c r="EX358" s="62">
        <v>0</v>
      </c>
      <c r="EY358" s="62">
        <v>0.73</v>
      </c>
      <c r="EZ358" s="62"/>
      <c r="FA358" s="62">
        <f>EX358</f>
        <v>0</v>
      </c>
      <c r="FB358" s="62"/>
      <c r="FC358" s="62"/>
      <c r="FD358" s="62"/>
      <c r="FE358" s="62"/>
      <c r="FF358" s="62"/>
      <c r="FG358" s="62"/>
      <c r="FH358" s="62"/>
      <c r="FI358" s="62"/>
      <c r="FJ358" s="62"/>
      <c r="FK358" s="62"/>
      <c r="FL358" s="62"/>
      <c r="FM358" s="62"/>
      <c r="FN358" s="62"/>
      <c r="FO358" s="62"/>
      <c r="FP358" s="62"/>
      <c r="FQ358" s="62"/>
      <c r="FR358" s="62"/>
      <c r="FS358" s="62"/>
      <c r="FT358" s="62"/>
      <c r="FU358" s="62"/>
      <c r="FV358" s="62"/>
      <c r="FW358" s="62"/>
      <c r="FX358" s="62"/>
      <c r="FY358" s="62"/>
      <c r="FZ358" s="62"/>
      <c r="GA358" s="62"/>
      <c r="GB358" s="62"/>
      <c r="GC358" s="62"/>
      <c r="GD358" s="62"/>
      <c r="GE358" s="62"/>
      <c r="GF358" s="62"/>
      <c r="GG358" s="62"/>
      <c r="GH358" s="62"/>
      <c r="GI358" s="62"/>
      <c r="GJ358" s="62"/>
      <c r="GK358" s="62"/>
      <c r="GL358" s="62"/>
      <c r="GM358" s="62"/>
      <c r="GN358" s="62"/>
      <c r="GO358" s="62"/>
      <c r="GP358" s="62"/>
      <c r="GQ358" s="62"/>
      <c r="GR358" s="61">
        <v>0.11</v>
      </c>
      <c r="GS358" s="62">
        <f t="shared" si="330"/>
        <v>1.4780809356725146</v>
      </c>
      <c r="GT358" s="64">
        <v>1.2500000000000001E-2</v>
      </c>
      <c r="GU358" s="62">
        <f t="shared" si="345"/>
        <v>0.16796374269005851</v>
      </c>
      <c r="GV358" s="78">
        <v>0.02</v>
      </c>
      <c r="GW358" s="62">
        <f t="shared" si="340"/>
        <v>6.3961988304093581E-2</v>
      </c>
      <c r="GX358" s="62">
        <f t="shared" si="331"/>
        <v>1.7100066666666667</v>
      </c>
      <c r="GY358" s="59"/>
      <c r="GZ358" s="59"/>
      <c r="HA358" s="62">
        <v>650</v>
      </c>
      <c r="HB358" s="62">
        <v>450</v>
      </c>
      <c r="HC358" s="59">
        <v>210</v>
      </c>
      <c r="HD358" s="59">
        <v>16</v>
      </c>
      <c r="HE358" s="65">
        <f>10000/26</f>
        <v>384.61538461538464</v>
      </c>
      <c r="HF358" s="62">
        <f t="shared" si="332"/>
        <v>25</v>
      </c>
      <c r="HG358" s="59">
        <v>5</v>
      </c>
      <c r="HH358" s="62">
        <v>125</v>
      </c>
      <c r="HI358" s="59">
        <v>2100</v>
      </c>
      <c r="HJ358" s="62">
        <f t="shared" si="334"/>
        <v>262500</v>
      </c>
      <c r="HK358" s="62"/>
      <c r="HL358" s="62"/>
      <c r="HM358" s="62">
        <v>2</v>
      </c>
      <c r="HN358" s="10">
        <f t="shared" si="335"/>
        <v>230769.23076923078</v>
      </c>
      <c r="HO358" s="62">
        <f t="shared" si="336"/>
        <v>1.1375</v>
      </c>
      <c r="HP358" s="62">
        <v>160</v>
      </c>
      <c r="HQ358" s="59">
        <v>0</v>
      </c>
      <c r="HR358" s="62">
        <v>0</v>
      </c>
      <c r="HS358" s="62">
        <v>0</v>
      </c>
      <c r="HT358" s="62">
        <v>0</v>
      </c>
      <c r="HU358" s="62"/>
      <c r="HV358" s="62">
        <f t="shared" si="337"/>
        <v>1.1375</v>
      </c>
      <c r="HW358" s="62"/>
      <c r="HX358" s="62">
        <v>4200</v>
      </c>
      <c r="HY358" s="62">
        <v>1900</v>
      </c>
      <c r="HZ358" s="62">
        <v>1975</v>
      </c>
      <c r="IA358" s="62">
        <v>6</v>
      </c>
      <c r="IB358" s="62">
        <v>4</v>
      </c>
      <c r="IC358" s="62">
        <v>9</v>
      </c>
      <c r="ID358" s="61">
        <v>0.9</v>
      </c>
      <c r="IE358" s="62">
        <f t="shared" si="341"/>
        <v>194</v>
      </c>
      <c r="IF358" s="62">
        <v>500</v>
      </c>
      <c r="IG358" s="62">
        <f t="shared" si="338"/>
        <v>0.16108247422680413</v>
      </c>
      <c r="IH358" s="62"/>
      <c r="II358" s="59"/>
      <c r="IJ358" s="59"/>
      <c r="IK358" s="59"/>
    </row>
    <row r="359" spans="1:245">
      <c r="A359">
        <v>342</v>
      </c>
      <c r="B359" t="s">
        <v>468</v>
      </c>
      <c r="C359" s="59" t="s">
        <v>1063</v>
      </c>
      <c r="D359" s="28" t="s">
        <v>851</v>
      </c>
      <c r="E359" s="27" t="s">
        <v>852</v>
      </c>
      <c r="F359" s="5" t="s">
        <v>2182</v>
      </c>
      <c r="G359" s="27" t="s">
        <v>122</v>
      </c>
      <c r="I359" s="27" t="s">
        <v>121</v>
      </c>
      <c r="J359" s="28">
        <v>21480</v>
      </c>
      <c r="K359" s="27" t="s">
        <v>97</v>
      </c>
      <c r="N359" s="28"/>
      <c r="O359" s="28"/>
      <c r="P359" s="28"/>
      <c r="Q359" s="28"/>
      <c r="R359" s="28"/>
      <c r="S359" s="27"/>
      <c r="T359" s="27"/>
      <c r="U359" s="27"/>
      <c r="W359" s="80"/>
      <c r="X359" s="80"/>
      <c r="Y359" s="80"/>
      <c r="Z359" s="80"/>
      <c r="AA359" s="58" t="s">
        <v>469</v>
      </c>
      <c r="AB359" s="344">
        <v>105.5</v>
      </c>
      <c r="AC359" s="62">
        <v>20</v>
      </c>
      <c r="AD359" s="59"/>
      <c r="AE359" s="42">
        <f t="shared" si="315"/>
        <v>9.8170000000000002</v>
      </c>
      <c r="AF359" s="42"/>
      <c r="AG359" s="42">
        <f t="shared" si="316"/>
        <v>3.1980994152046787</v>
      </c>
      <c r="AH359" s="42">
        <f t="shared" si="317"/>
        <v>43.7</v>
      </c>
      <c r="AI359" s="42">
        <f t="shared" si="318"/>
        <v>0.55000000000000004</v>
      </c>
      <c r="AJ359" s="42">
        <f t="shared" si="319"/>
        <v>6.3961988304093581E-2</v>
      </c>
      <c r="AK359" s="42">
        <f t="shared" si="320"/>
        <v>0.16268874269005851</v>
      </c>
      <c r="AL359" s="42">
        <f t="shared" si="321"/>
        <v>1.4316609356725147</v>
      </c>
      <c r="AM359" s="42">
        <f t="shared" si="322"/>
        <v>1.1375</v>
      </c>
      <c r="AN359" s="42">
        <f t="shared" si="323"/>
        <v>0.16108247422680413</v>
      </c>
      <c r="AO359" s="42">
        <f t="shared" si="324"/>
        <v>0.73</v>
      </c>
      <c r="AP359" s="42"/>
      <c r="AQ359" s="42">
        <f t="shared" si="325"/>
        <v>60.951993556098152</v>
      </c>
      <c r="AR359" s="42"/>
      <c r="AS359" s="42"/>
      <c r="AT359" s="60">
        <v>0</v>
      </c>
      <c r="AU359" s="60"/>
      <c r="AV359" s="42">
        <f t="shared" si="326"/>
        <v>60.951993556098152</v>
      </c>
      <c r="AW359" s="17">
        <v>9.4E-2</v>
      </c>
      <c r="AX359" s="68">
        <v>8.8999999999999996E-2</v>
      </c>
      <c r="AY359" s="61">
        <v>1</v>
      </c>
      <c r="AZ359" s="69">
        <f t="shared" si="327"/>
        <v>5.0000000000000044E-3</v>
      </c>
      <c r="BA359" s="62">
        <f t="shared" si="328"/>
        <v>9.8170000000000002</v>
      </c>
      <c r="BB359" s="62"/>
      <c r="BC359" s="62"/>
      <c r="BD359" s="62"/>
      <c r="BE359" s="62"/>
      <c r="BF359" s="62"/>
      <c r="BG359" s="62"/>
      <c r="BH359" s="62"/>
      <c r="BI359" s="62"/>
      <c r="BJ359" s="62"/>
      <c r="BK359" s="62"/>
      <c r="BL359" s="62"/>
      <c r="BM359" s="62"/>
      <c r="BN359" s="62"/>
      <c r="BO359" s="62"/>
      <c r="BP359" s="62"/>
      <c r="BQ359" s="62"/>
      <c r="BR359" s="62"/>
      <c r="BS359" s="62"/>
      <c r="BT359" s="62"/>
      <c r="BU359" s="62"/>
      <c r="BV359" s="62"/>
      <c r="BW359" s="62"/>
      <c r="BX359" s="62"/>
      <c r="BY359" s="62"/>
      <c r="BZ359" s="62"/>
      <c r="CA359" s="62"/>
      <c r="CB359" s="62"/>
      <c r="CC359" s="62"/>
      <c r="CD359" s="59"/>
      <c r="CE359" s="59">
        <v>0</v>
      </c>
      <c r="CF359" s="59">
        <v>1</v>
      </c>
      <c r="CG359" s="62">
        <v>43.7</v>
      </c>
      <c r="CH359" s="62">
        <f t="shared" si="342"/>
        <v>43.7</v>
      </c>
      <c r="CI359" s="59"/>
      <c r="CJ359" s="59"/>
      <c r="CK359" s="63"/>
      <c r="CL359" s="59"/>
      <c r="CM359" s="59"/>
      <c r="CN359" s="59"/>
      <c r="CO359" s="59"/>
      <c r="CP359" s="59"/>
      <c r="CQ359" s="59"/>
      <c r="CR359" s="59"/>
      <c r="CS359" s="59"/>
      <c r="CT359" s="59"/>
      <c r="CU359" s="59"/>
      <c r="CV359" s="59"/>
      <c r="CW359" s="59"/>
      <c r="CX359" s="59"/>
      <c r="CY359" s="59"/>
      <c r="CZ359" s="59"/>
      <c r="DA359" s="59"/>
      <c r="DB359" s="59"/>
      <c r="DC359" s="59"/>
      <c r="DD359" s="59"/>
      <c r="DE359" s="59"/>
      <c r="DF359" s="59"/>
      <c r="DG359" s="59"/>
      <c r="DH359" s="59"/>
      <c r="DI359" s="59"/>
      <c r="DJ359" s="59"/>
      <c r="DK359" s="59"/>
      <c r="DL359" s="59"/>
      <c r="DM359" s="62">
        <f t="shared" si="343"/>
        <v>43.7</v>
      </c>
      <c r="DN359" s="64">
        <v>0</v>
      </c>
      <c r="DO359" s="62">
        <v>0.55000000000000004</v>
      </c>
      <c r="DP359" s="62">
        <f t="shared" si="344"/>
        <v>44.25</v>
      </c>
      <c r="DQ359" s="62"/>
      <c r="DR359" s="62"/>
      <c r="DS359" s="62"/>
      <c r="DT359" s="62"/>
      <c r="DU359" s="62"/>
      <c r="DV359" s="62"/>
      <c r="DW359" s="62"/>
      <c r="DX359" s="62"/>
      <c r="DY359" s="62"/>
      <c r="DZ359" s="62"/>
      <c r="EA359" s="62"/>
      <c r="EB359" s="62"/>
      <c r="EC359" s="62"/>
      <c r="ED359" s="62"/>
      <c r="EE359" s="62"/>
      <c r="EF359" s="59">
        <v>350</v>
      </c>
      <c r="EG359" s="62">
        <v>3500</v>
      </c>
      <c r="EH359" s="62">
        <v>8</v>
      </c>
      <c r="EI359" s="61">
        <v>0.95</v>
      </c>
      <c r="EJ359" s="62">
        <v>2</v>
      </c>
      <c r="EK359" s="62">
        <v>50</v>
      </c>
      <c r="EL359" s="65">
        <f>3600/EK359*EH359*EJ359*EI359</f>
        <v>1094.3999999999999</v>
      </c>
      <c r="EM359" s="65"/>
      <c r="EN359" s="65"/>
      <c r="EO359" s="65"/>
      <c r="EP359" s="65"/>
      <c r="EQ359" s="65"/>
      <c r="ER359" s="65"/>
      <c r="ES359" s="65"/>
      <c r="ET359" s="65"/>
      <c r="EU359" s="62">
        <f t="shared" si="339"/>
        <v>3.1980994152046787</v>
      </c>
      <c r="EV359" s="62"/>
      <c r="EW359" s="62"/>
      <c r="EX359" s="62">
        <v>0</v>
      </c>
      <c r="EY359" s="62">
        <v>0.73</v>
      </c>
      <c r="EZ359" s="62"/>
      <c r="FA359" s="62">
        <v>0</v>
      </c>
      <c r="FB359" s="62"/>
      <c r="FC359" s="62"/>
      <c r="FD359" s="62"/>
      <c r="FE359" s="62"/>
      <c r="FF359" s="62"/>
      <c r="FG359" s="62"/>
      <c r="FH359" s="62"/>
      <c r="FI359" s="62"/>
      <c r="FJ359" s="62"/>
      <c r="FK359" s="62"/>
      <c r="FL359" s="62"/>
      <c r="FM359" s="62"/>
      <c r="FN359" s="62"/>
      <c r="FO359" s="62"/>
      <c r="FP359" s="62"/>
      <c r="FQ359" s="62"/>
      <c r="FR359" s="62"/>
      <c r="FS359" s="62"/>
      <c r="FT359" s="62"/>
      <c r="FU359" s="62"/>
      <c r="FV359" s="62"/>
      <c r="FW359" s="62"/>
      <c r="FX359" s="62"/>
      <c r="FY359" s="62"/>
      <c r="FZ359" s="62"/>
      <c r="GA359" s="62"/>
      <c r="GB359" s="62"/>
      <c r="GC359" s="62"/>
      <c r="GD359" s="62"/>
      <c r="GE359" s="62"/>
      <c r="GF359" s="62"/>
      <c r="GG359" s="62"/>
      <c r="GH359" s="62"/>
      <c r="GI359" s="62"/>
      <c r="GJ359" s="62"/>
      <c r="GK359" s="62"/>
      <c r="GL359" s="62"/>
      <c r="GM359" s="62"/>
      <c r="GN359" s="62"/>
      <c r="GO359" s="62"/>
      <c r="GP359" s="62"/>
      <c r="GQ359" s="62"/>
      <c r="GR359" s="61">
        <v>0.11</v>
      </c>
      <c r="GS359" s="62">
        <f t="shared" si="330"/>
        <v>1.4316609356725147</v>
      </c>
      <c r="GT359" s="64">
        <v>1.2500000000000001E-2</v>
      </c>
      <c r="GU359" s="62">
        <f t="shared" si="345"/>
        <v>0.16268874269005851</v>
      </c>
      <c r="GV359" s="78">
        <v>0.02</v>
      </c>
      <c r="GW359" s="62">
        <f t="shared" si="340"/>
        <v>6.3961988304093581E-2</v>
      </c>
      <c r="GX359" s="62">
        <f t="shared" si="331"/>
        <v>1.6583116666666669</v>
      </c>
      <c r="GY359" s="59"/>
      <c r="GZ359" s="59"/>
      <c r="HA359" s="62">
        <v>650</v>
      </c>
      <c r="HB359" s="62">
        <v>450</v>
      </c>
      <c r="HC359" s="59">
        <v>210</v>
      </c>
      <c r="HD359" s="59">
        <v>16</v>
      </c>
      <c r="HE359" s="65">
        <f>10000/26</f>
        <v>384.61538461538464</v>
      </c>
      <c r="HF359" s="62">
        <f t="shared" si="332"/>
        <v>25</v>
      </c>
      <c r="HG359" s="59">
        <v>5</v>
      </c>
      <c r="HH359" s="62">
        <v>125</v>
      </c>
      <c r="HI359" s="59">
        <v>2100</v>
      </c>
      <c r="HJ359" s="62">
        <f t="shared" si="334"/>
        <v>262500</v>
      </c>
      <c r="HK359" s="62"/>
      <c r="HL359" s="62"/>
      <c r="HM359" s="62">
        <v>2</v>
      </c>
      <c r="HN359" s="10">
        <f t="shared" si="335"/>
        <v>230769.23076923078</v>
      </c>
      <c r="HO359" s="62">
        <f t="shared" si="336"/>
        <v>1.1375</v>
      </c>
      <c r="HP359" s="62">
        <v>160</v>
      </c>
      <c r="HQ359" s="59">
        <v>0</v>
      </c>
      <c r="HR359" s="62">
        <v>0</v>
      </c>
      <c r="HS359" s="62">
        <v>0</v>
      </c>
      <c r="HT359" s="62">
        <v>0</v>
      </c>
      <c r="HU359" s="62"/>
      <c r="HV359" s="62">
        <f t="shared" si="337"/>
        <v>1.1375</v>
      </c>
      <c r="HW359" s="62"/>
      <c r="HX359" s="62">
        <v>4200</v>
      </c>
      <c r="HY359" s="62">
        <v>1900</v>
      </c>
      <c r="HZ359" s="62">
        <v>1975</v>
      </c>
      <c r="IA359" s="62">
        <v>6</v>
      </c>
      <c r="IB359" s="62">
        <v>4</v>
      </c>
      <c r="IC359" s="62">
        <v>9</v>
      </c>
      <c r="ID359" s="61">
        <v>0.9</v>
      </c>
      <c r="IE359" s="62">
        <f t="shared" si="341"/>
        <v>194</v>
      </c>
      <c r="IF359" s="62">
        <v>500</v>
      </c>
      <c r="IG359" s="62">
        <f t="shared" si="338"/>
        <v>0.16108247422680413</v>
      </c>
      <c r="IH359" s="62"/>
      <c r="II359" s="59"/>
      <c r="IJ359" s="59"/>
      <c r="IK359" s="59"/>
    </row>
    <row r="360" spans="1:245">
      <c r="A360">
        <v>343</v>
      </c>
      <c r="B360" t="s">
        <v>468</v>
      </c>
      <c r="C360" t="s">
        <v>1064</v>
      </c>
      <c r="D360" s="28" t="s">
        <v>851</v>
      </c>
      <c r="E360" s="27" t="s">
        <v>852</v>
      </c>
      <c r="F360" s="5" t="s">
        <v>2182</v>
      </c>
      <c r="G360" s="27" t="s">
        <v>122</v>
      </c>
      <c r="I360" s="27" t="s">
        <v>94</v>
      </c>
      <c r="J360" s="28">
        <v>21591</v>
      </c>
      <c r="K360" s="27" t="s">
        <v>97</v>
      </c>
      <c r="N360" s="28"/>
      <c r="O360" s="28"/>
      <c r="P360" s="28"/>
      <c r="Q360" s="28"/>
      <c r="R360" s="28"/>
      <c r="S360" s="27"/>
      <c r="T360" s="27"/>
      <c r="U360" s="27"/>
      <c r="AA360" s="56" t="s">
        <v>469</v>
      </c>
      <c r="AB360" s="344">
        <v>105.5</v>
      </c>
      <c r="AC360" s="62">
        <v>20</v>
      </c>
      <c r="AD360" s="59"/>
      <c r="AE360" s="42">
        <f t="shared" si="315"/>
        <v>9.8170000000000002</v>
      </c>
      <c r="AF360" s="42"/>
      <c r="AG360" s="42">
        <f t="shared" si="316"/>
        <v>3.1980994152046787</v>
      </c>
      <c r="AH360" s="42">
        <f t="shared" si="317"/>
        <v>43.7</v>
      </c>
      <c r="AI360" s="42">
        <f t="shared" si="318"/>
        <v>0.55000000000000004</v>
      </c>
      <c r="AJ360" s="42">
        <f t="shared" si="319"/>
        <v>6.3961988304093581E-2</v>
      </c>
      <c r="AK360" s="42">
        <f t="shared" si="320"/>
        <v>0.16268874269005851</v>
      </c>
      <c r="AL360" s="42">
        <f t="shared" si="321"/>
        <v>1.4316609356725147</v>
      </c>
      <c r="AM360" s="42">
        <f t="shared" si="322"/>
        <v>1.1375</v>
      </c>
      <c r="AN360" s="42">
        <f t="shared" si="323"/>
        <v>0.16108247422680413</v>
      </c>
      <c r="AO360" s="42">
        <f t="shared" si="324"/>
        <v>0.73</v>
      </c>
      <c r="AP360" s="42"/>
      <c r="AQ360" s="42">
        <f t="shared" si="325"/>
        <v>60.951993556098152</v>
      </c>
      <c r="AR360" s="42"/>
      <c r="AS360" s="42"/>
      <c r="AT360" s="60">
        <v>0</v>
      </c>
      <c r="AU360" s="59"/>
      <c r="AV360" s="42">
        <f t="shared" si="326"/>
        <v>60.951993556098152</v>
      </c>
      <c r="AW360" s="17">
        <v>9.4E-2</v>
      </c>
      <c r="AX360" s="68">
        <v>8.8999999999999996E-2</v>
      </c>
      <c r="AY360" s="61">
        <v>1</v>
      </c>
      <c r="AZ360" s="69">
        <f t="shared" si="327"/>
        <v>5.0000000000000044E-3</v>
      </c>
      <c r="BA360" s="62">
        <f t="shared" si="328"/>
        <v>9.8170000000000002</v>
      </c>
      <c r="BB360" s="62"/>
      <c r="BC360" s="62"/>
      <c r="BD360" s="62"/>
      <c r="BE360" s="62"/>
      <c r="BF360" s="62"/>
      <c r="BG360" s="62"/>
      <c r="BH360" s="62"/>
      <c r="BI360" s="62"/>
      <c r="BJ360" s="62"/>
      <c r="BK360" s="62"/>
      <c r="BL360" s="62"/>
      <c r="BM360" s="62"/>
      <c r="BN360" s="62"/>
      <c r="BO360" s="62"/>
      <c r="BP360" s="62"/>
      <c r="BQ360" s="62"/>
      <c r="BR360" s="62"/>
      <c r="BS360" s="62"/>
      <c r="BT360" s="62"/>
      <c r="BU360" s="62"/>
      <c r="BV360" s="62"/>
      <c r="BW360" s="62"/>
      <c r="BX360" s="62"/>
      <c r="BY360" s="62"/>
      <c r="BZ360" s="62"/>
      <c r="CA360" s="62"/>
      <c r="CB360" s="62"/>
      <c r="CC360" s="62"/>
      <c r="CD360" s="59"/>
      <c r="CE360" s="59">
        <v>0</v>
      </c>
      <c r="CF360" s="59">
        <v>1</v>
      </c>
      <c r="CG360" s="62">
        <v>43.7</v>
      </c>
      <c r="CH360" s="62">
        <f t="shared" si="342"/>
        <v>43.7</v>
      </c>
      <c r="CI360" s="59"/>
      <c r="CJ360" s="59"/>
      <c r="CK360" s="63"/>
      <c r="CL360" s="62"/>
      <c r="CM360" s="59"/>
      <c r="CN360" s="59"/>
      <c r="CO360" s="59"/>
      <c r="CP360" s="62"/>
      <c r="CQ360" s="62"/>
      <c r="CR360" s="59"/>
      <c r="CS360" s="59"/>
      <c r="CT360" s="59"/>
      <c r="CU360" s="59"/>
      <c r="CV360" s="59"/>
      <c r="CW360" s="59"/>
      <c r="CX360" s="59"/>
      <c r="CY360" s="59"/>
      <c r="CZ360" s="59"/>
      <c r="DA360" s="59"/>
      <c r="DB360" s="59"/>
      <c r="DC360" s="59"/>
      <c r="DD360" s="59"/>
      <c r="DE360" s="59"/>
      <c r="DF360" s="59"/>
      <c r="DG360" s="59"/>
      <c r="DH360" s="59"/>
      <c r="DI360" s="59"/>
      <c r="DJ360" s="59"/>
      <c r="DK360" s="59"/>
      <c r="DL360" s="59"/>
      <c r="DM360" s="62">
        <f t="shared" si="343"/>
        <v>43.7</v>
      </c>
      <c r="DN360" s="64">
        <v>0</v>
      </c>
      <c r="DO360" s="62">
        <v>0.55000000000000004</v>
      </c>
      <c r="DP360" s="62">
        <f t="shared" si="344"/>
        <v>44.25</v>
      </c>
      <c r="DQ360" s="62"/>
      <c r="DR360" s="62"/>
      <c r="DS360" s="62"/>
      <c r="DT360" s="62"/>
      <c r="DU360" s="62"/>
      <c r="DV360" s="62"/>
      <c r="DW360" s="62"/>
      <c r="DX360" s="62"/>
      <c r="DY360" s="62"/>
      <c r="DZ360" s="62"/>
      <c r="EA360" s="62"/>
      <c r="EB360" s="62"/>
      <c r="EC360" s="62"/>
      <c r="ED360" s="62"/>
      <c r="EE360" s="62"/>
      <c r="EF360" s="59">
        <v>350</v>
      </c>
      <c r="EG360" s="62">
        <v>3500</v>
      </c>
      <c r="EH360" s="62">
        <v>8</v>
      </c>
      <c r="EI360" s="61">
        <v>0.95</v>
      </c>
      <c r="EJ360" s="62">
        <v>2</v>
      </c>
      <c r="EK360" s="62">
        <v>50</v>
      </c>
      <c r="EL360" s="65">
        <f>3600/EK360*EH360*EJ360*EI360</f>
        <v>1094.3999999999999</v>
      </c>
      <c r="EM360" s="65"/>
      <c r="EN360" s="65"/>
      <c r="EO360" s="65"/>
      <c r="EP360" s="65"/>
      <c r="EQ360" s="65"/>
      <c r="ER360" s="65"/>
      <c r="ES360" s="65"/>
      <c r="ET360" s="65"/>
      <c r="EU360" s="62">
        <f t="shared" si="339"/>
        <v>3.1980994152046787</v>
      </c>
      <c r="EV360" s="62"/>
      <c r="EW360" s="62"/>
      <c r="EX360" s="62">
        <v>0</v>
      </c>
      <c r="EY360" s="62">
        <v>0.73</v>
      </c>
      <c r="EZ360" s="62"/>
      <c r="FA360" s="62">
        <v>0</v>
      </c>
      <c r="FB360" s="62"/>
      <c r="FC360" s="62"/>
      <c r="FD360" s="62"/>
      <c r="FE360" s="62"/>
      <c r="FF360" s="62"/>
      <c r="FG360" s="62"/>
      <c r="FH360" s="62"/>
      <c r="FI360" s="62"/>
      <c r="FJ360" s="62"/>
      <c r="FK360" s="62"/>
      <c r="FL360" s="62"/>
      <c r="FM360" s="62"/>
      <c r="FN360" s="62"/>
      <c r="FO360" s="62"/>
      <c r="FP360" s="62"/>
      <c r="FQ360" s="62"/>
      <c r="FR360" s="62"/>
      <c r="FS360" s="62"/>
      <c r="FT360" s="62"/>
      <c r="FU360" s="62"/>
      <c r="FV360" s="62"/>
      <c r="FW360" s="62"/>
      <c r="FX360" s="62"/>
      <c r="FY360" s="62"/>
      <c r="FZ360" s="62"/>
      <c r="GA360" s="62"/>
      <c r="GB360" s="62"/>
      <c r="GC360" s="62"/>
      <c r="GD360" s="62"/>
      <c r="GE360" s="62"/>
      <c r="GF360" s="62"/>
      <c r="GG360" s="62"/>
      <c r="GH360" s="62"/>
      <c r="GI360" s="62"/>
      <c r="GJ360" s="62"/>
      <c r="GK360" s="62"/>
      <c r="GL360" s="62"/>
      <c r="GM360" s="62"/>
      <c r="GN360" s="62"/>
      <c r="GO360" s="62"/>
      <c r="GP360" s="62"/>
      <c r="GQ360" s="62"/>
      <c r="GR360" s="61">
        <v>0.11</v>
      </c>
      <c r="GS360" s="62">
        <f t="shared" si="330"/>
        <v>1.4316609356725147</v>
      </c>
      <c r="GT360" s="64">
        <v>1.2500000000000001E-2</v>
      </c>
      <c r="GU360" s="62">
        <f t="shared" si="345"/>
        <v>0.16268874269005851</v>
      </c>
      <c r="GV360" s="61">
        <v>0.02</v>
      </c>
      <c r="GW360" s="62">
        <f t="shared" si="340"/>
        <v>6.3961988304093581E-2</v>
      </c>
      <c r="GX360" s="62">
        <f t="shared" si="331"/>
        <v>1.6583116666666669</v>
      </c>
      <c r="GY360" s="59"/>
      <c r="GZ360" s="59"/>
      <c r="HA360" s="62">
        <v>650</v>
      </c>
      <c r="HB360" s="62">
        <v>450</v>
      </c>
      <c r="HC360" s="59">
        <v>210</v>
      </c>
      <c r="HD360" s="59">
        <v>16</v>
      </c>
      <c r="HE360" s="65">
        <f>10000/26</f>
        <v>384.61538461538464</v>
      </c>
      <c r="HF360" s="62">
        <f t="shared" si="332"/>
        <v>25</v>
      </c>
      <c r="HG360" s="59">
        <v>5</v>
      </c>
      <c r="HH360" s="62">
        <v>125</v>
      </c>
      <c r="HI360" s="59">
        <v>2100</v>
      </c>
      <c r="HJ360" s="62">
        <f t="shared" si="334"/>
        <v>262500</v>
      </c>
      <c r="HK360" s="62"/>
      <c r="HL360" s="62"/>
      <c r="HM360" s="62">
        <v>2</v>
      </c>
      <c r="HN360" s="10">
        <f t="shared" si="335"/>
        <v>230769.23076923078</v>
      </c>
      <c r="HO360" s="62">
        <f t="shared" si="336"/>
        <v>1.1375</v>
      </c>
      <c r="HP360" s="62">
        <v>160</v>
      </c>
      <c r="HQ360" s="59">
        <v>0</v>
      </c>
      <c r="HR360" s="62">
        <v>0</v>
      </c>
      <c r="HS360" s="62">
        <v>0</v>
      </c>
      <c r="HT360" s="62">
        <v>0</v>
      </c>
      <c r="HU360" s="62"/>
      <c r="HV360" s="62">
        <f t="shared" si="337"/>
        <v>1.1375</v>
      </c>
      <c r="HW360" s="62"/>
      <c r="HX360" s="62">
        <v>4200</v>
      </c>
      <c r="HY360" s="62">
        <v>1900</v>
      </c>
      <c r="HZ360" s="62">
        <v>1975</v>
      </c>
      <c r="IA360" s="62">
        <v>6</v>
      </c>
      <c r="IB360" s="62">
        <v>4</v>
      </c>
      <c r="IC360" s="62">
        <v>9</v>
      </c>
      <c r="ID360" s="61">
        <v>0.9</v>
      </c>
      <c r="IE360" s="62">
        <f t="shared" si="341"/>
        <v>194</v>
      </c>
      <c r="IF360" s="62">
        <v>500</v>
      </c>
      <c r="IG360" s="62">
        <f t="shared" si="338"/>
        <v>0.16108247422680413</v>
      </c>
      <c r="IH360" s="62"/>
      <c r="II360" s="59"/>
      <c r="IJ360" s="59"/>
      <c r="IK360" s="59"/>
    </row>
    <row r="361" spans="1:245">
      <c r="A361">
        <v>344</v>
      </c>
      <c r="B361" t="s">
        <v>468</v>
      </c>
      <c r="C361" s="59" t="s">
        <v>1065</v>
      </c>
      <c r="D361" s="28" t="s">
        <v>853</v>
      </c>
      <c r="E361" s="27" t="s">
        <v>854</v>
      </c>
      <c r="F361" s="5" t="s">
        <v>2182</v>
      </c>
      <c r="G361" s="27" t="s">
        <v>122</v>
      </c>
      <c r="I361" s="27" t="s">
        <v>94</v>
      </c>
      <c r="J361" s="28">
        <v>21591</v>
      </c>
      <c r="K361" s="27" t="s">
        <v>97</v>
      </c>
      <c r="N361" s="28"/>
      <c r="O361" s="28"/>
      <c r="P361" s="28"/>
      <c r="Q361" s="28"/>
      <c r="R361" s="28"/>
      <c r="S361" s="27"/>
      <c r="T361" s="27"/>
      <c r="U361" s="27"/>
      <c r="W361" s="59"/>
      <c r="X361" s="59"/>
      <c r="Y361" s="59"/>
      <c r="Z361" s="59"/>
      <c r="AA361" s="58" t="s">
        <v>1066</v>
      </c>
      <c r="AB361" s="344">
        <v>126.72</v>
      </c>
      <c r="AC361" s="62">
        <v>20</v>
      </c>
      <c r="AD361" s="59"/>
      <c r="AE361" s="42">
        <f t="shared" si="315"/>
        <v>1.0804799999999999</v>
      </c>
      <c r="AF361" s="42"/>
      <c r="AG361" s="42">
        <f>EU361+EV361+EM361+EX361+EN361</f>
        <v>8.5734210526315788</v>
      </c>
      <c r="AH361" s="42">
        <f t="shared" si="317"/>
        <v>9</v>
      </c>
      <c r="AI361" s="42">
        <f t="shared" si="318"/>
        <v>0.1125</v>
      </c>
      <c r="AJ361" s="42">
        <f t="shared" si="319"/>
        <v>9.8684210526315784E-3</v>
      </c>
      <c r="AK361" s="42">
        <f t="shared" si="320"/>
        <v>1.9673763157894736E-2</v>
      </c>
      <c r="AL361" s="42">
        <f t="shared" si="321"/>
        <v>0.17312911578947368</v>
      </c>
      <c r="AM361" s="42">
        <f t="shared" si="322"/>
        <v>0.47499999999999998</v>
      </c>
      <c r="AN361" s="42">
        <f t="shared" si="323"/>
        <v>8.0128205128205135E-2</v>
      </c>
      <c r="AO361" s="42">
        <f t="shared" si="324"/>
        <v>0</v>
      </c>
      <c r="AP361" s="42"/>
      <c r="AQ361" s="42">
        <f t="shared" si="325"/>
        <v>19.524200557759784</v>
      </c>
      <c r="AR361" s="59"/>
      <c r="AS361" s="59"/>
      <c r="AT361" s="42">
        <v>0</v>
      </c>
      <c r="AU361" s="59"/>
      <c r="AV361" s="42">
        <f t="shared" si="326"/>
        <v>19.524200557759784</v>
      </c>
      <c r="AW361" s="17">
        <v>8.9999999999999993E-3</v>
      </c>
      <c r="AX361" s="68">
        <v>6.0000000000000001E-3</v>
      </c>
      <c r="AY361" s="61">
        <v>1</v>
      </c>
      <c r="AZ361" s="69">
        <f t="shared" si="327"/>
        <v>2.9999999999999992E-3</v>
      </c>
      <c r="BA361" s="62">
        <f t="shared" si="328"/>
        <v>1.0804799999999999</v>
      </c>
      <c r="BB361" s="62"/>
      <c r="BC361" s="62"/>
      <c r="BD361" s="62"/>
      <c r="BE361" s="62"/>
      <c r="BF361" s="62"/>
      <c r="BG361" s="62"/>
      <c r="BH361" s="62"/>
      <c r="BI361" s="62"/>
      <c r="BJ361" s="62"/>
      <c r="BK361" s="62"/>
      <c r="BL361" s="62"/>
      <c r="BM361" s="62"/>
      <c r="BN361" s="62"/>
      <c r="BO361" s="62"/>
      <c r="BP361" s="62"/>
      <c r="BQ361" s="62"/>
      <c r="BR361" s="62"/>
      <c r="BS361" s="62"/>
      <c r="BT361" s="62"/>
      <c r="BU361" s="62"/>
      <c r="BV361" s="62"/>
      <c r="BW361" s="62"/>
      <c r="BX361" s="62"/>
      <c r="BY361" s="62"/>
      <c r="BZ361" s="62"/>
      <c r="CA361" s="62"/>
      <c r="CB361" s="62"/>
      <c r="CC361" s="62"/>
      <c r="CD361" s="59"/>
      <c r="CE361" s="59">
        <v>0</v>
      </c>
      <c r="CF361" s="59">
        <v>1</v>
      </c>
      <c r="CG361" s="62">
        <v>9</v>
      </c>
      <c r="CH361" s="62">
        <f t="shared" si="342"/>
        <v>9</v>
      </c>
      <c r="CI361" s="59"/>
      <c r="CJ361" s="59"/>
      <c r="CK361" s="63"/>
      <c r="CL361" s="59"/>
      <c r="CM361" s="59"/>
      <c r="CN361" s="59"/>
      <c r="CO361" s="59"/>
      <c r="CP361" s="59"/>
      <c r="CQ361" s="59"/>
      <c r="CR361" s="59"/>
      <c r="CS361" s="59"/>
      <c r="CT361" s="59"/>
      <c r="CU361" s="59"/>
      <c r="CV361" s="59"/>
      <c r="CW361" s="59"/>
      <c r="CX361" s="59"/>
      <c r="CY361" s="59"/>
      <c r="CZ361" s="59"/>
      <c r="DA361" s="59"/>
      <c r="DB361" s="59"/>
      <c r="DC361" s="59"/>
      <c r="DD361" s="59"/>
      <c r="DE361" s="59"/>
      <c r="DF361" s="59"/>
      <c r="DG361" s="59"/>
      <c r="DH361" s="59"/>
      <c r="DI361" s="59"/>
      <c r="DJ361" s="59"/>
      <c r="DK361" s="59"/>
      <c r="DL361" s="59"/>
      <c r="DM361" s="62">
        <f t="shared" si="343"/>
        <v>9</v>
      </c>
      <c r="DN361" s="64">
        <v>1.2500000000000001E-2</v>
      </c>
      <c r="DO361" s="62">
        <f>DN361*DM361</f>
        <v>0.1125</v>
      </c>
      <c r="DP361" s="62">
        <f t="shared" si="344"/>
        <v>9.1125000000000007</v>
      </c>
      <c r="DQ361" s="62"/>
      <c r="DR361" s="62"/>
      <c r="DS361" s="62"/>
      <c r="DT361" s="62"/>
      <c r="DU361" s="62"/>
      <c r="DV361" s="62"/>
      <c r="DW361" s="62"/>
      <c r="DX361" s="62"/>
      <c r="DY361" s="62"/>
      <c r="DZ361" s="62"/>
      <c r="EA361" s="62"/>
      <c r="EB361" s="62"/>
      <c r="EC361" s="62"/>
      <c r="ED361" s="62"/>
      <c r="EE361" s="62"/>
      <c r="EF361" s="59">
        <v>60</v>
      </c>
      <c r="EG361" s="62">
        <v>600</v>
      </c>
      <c r="EH361" s="62">
        <v>8</v>
      </c>
      <c r="EI361" s="61">
        <v>0.95</v>
      </c>
      <c r="EJ361" s="62">
        <v>2</v>
      </c>
      <c r="EK361" s="62">
        <v>45</v>
      </c>
      <c r="EL361" s="65">
        <f>3600/EK361*EH361*EJ361*EI361</f>
        <v>1216</v>
      </c>
      <c r="EM361" s="59"/>
      <c r="EN361" s="59">
        <v>7.83</v>
      </c>
      <c r="EO361" s="59"/>
      <c r="EP361" s="59"/>
      <c r="EQ361" s="59"/>
      <c r="ER361" s="59"/>
      <c r="ES361" s="59"/>
      <c r="ET361" s="59"/>
      <c r="EU361" s="62">
        <f t="shared" si="339"/>
        <v>0.49342105263157893</v>
      </c>
      <c r="EV361" s="59"/>
      <c r="EW361" s="59"/>
      <c r="EX361" s="62">
        <f>45/(3600/20)</f>
        <v>0.25</v>
      </c>
      <c r="EY361" s="62">
        <v>0</v>
      </c>
      <c r="EZ361" s="62"/>
      <c r="FA361" s="62">
        <f>EX361+EY361</f>
        <v>0.25</v>
      </c>
      <c r="FB361" s="62"/>
      <c r="FC361" s="62"/>
      <c r="FD361" s="62"/>
      <c r="FE361" s="62"/>
      <c r="FF361" s="62"/>
      <c r="FG361" s="62"/>
      <c r="FH361" s="62"/>
      <c r="FI361" s="62"/>
      <c r="FJ361" s="62"/>
      <c r="FK361" s="62"/>
      <c r="FL361" s="62"/>
      <c r="FM361" s="62"/>
      <c r="FN361" s="62"/>
      <c r="FO361" s="62"/>
      <c r="FP361" s="62"/>
      <c r="FQ361" s="62"/>
      <c r="FR361" s="62"/>
      <c r="FS361" s="62"/>
      <c r="FT361" s="62"/>
      <c r="FU361" s="62"/>
      <c r="FV361" s="62"/>
      <c r="FW361" s="62"/>
      <c r="FX361" s="62"/>
      <c r="FY361" s="62"/>
      <c r="FZ361" s="62"/>
      <c r="GA361" s="62"/>
      <c r="GB361" s="62"/>
      <c r="GC361" s="62"/>
      <c r="GD361" s="62"/>
      <c r="GE361" s="62"/>
      <c r="GF361" s="62"/>
      <c r="GG361" s="62"/>
      <c r="GH361" s="62"/>
      <c r="GI361" s="62"/>
      <c r="GJ361" s="62"/>
      <c r="GK361" s="62"/>
      <c r="GL361" s="62"/>
      <c r="GM361" s="62"/>
      <c r="GN361" s="62"/>
      <c r="GO361" s="62"/>
      <c r="GP361" s="62"/>
      <c r="GQ361" s="62"/>
      <c r="GR361" s="61">
        <v>0.11</v>
      </c>
      <c r="GS361" s="62">
        <f t="shared" si="330"/>
        <v>0.17312911578947368</v>
      </c>
      <c r="GT361" s="64">
        <v>1.2500000000000001E-2</v>
      </c>
      <c r="GU361" s="62">
        <f t="shared" si="345"/>
        <v>1.9673763157894736E-2</v>
      </c>
      <c r="GV361" s="61">
        <v>0.02</v>
      </c>
      <c r="GW361" s="62">
        <f t="shared" si="340"/>
        <v>9.8684210526315784E-3</v>
      </c>
      <c r="GX361" s="62">
        <f t="shared" si="331"/>
        <v>0.2026713</v>
      </c>
      <c r="GY361" s="59"/>
      <c r="GZ361" s="59"/>
      <c r="HA361" s="62">
        <v>600</v>
      </c>
      <c r="HB361" s="62">
        <v>450</v>
      </c>
      <c r="HC361" s="59">
        <v>225</v>
      </c>
      <c r="HD361" s="59">
        <v>96</v>
      </c>
      <c r="HE361" s="59">
        <v>100</v>
      </c>
      <c r="HF361" s="62">
        <f t="shared" si="332"/>
        <v>2</v>
      </c>
      <c r="HG361" s="59">
        <v>5</v>
      </c>
      <c r="HH361" s="62">
        <v>10</v>
      </c>
      <c r="HI361" s="59">
        <v>2850</v>
      </c>
      <c r="HJ361" s="62">
        <f t="shared" si="334"/>
        <v>28500</v>
      </c>
      <c r="HK361" s="59"/>
      <c r="HL361" s="59"/>
      <c r="HM361" s="62">
        <v>2</v>
      </c>
      <c r="HN361" s="65">
        <f t="shared" si="335"/>
        <v>60000</v>
      </c>
      <c r="HO361" s="62">
        <f t="shared" si="336"/>
        <v>0.47499999999999998</v>
      </c>
      <c r="HP361" s="62">
        <v>160</v>
      </c>
      <c r="HQ361" s="59">
        <v>0</v>
      </c>
      <c r="HR361" s="62">
        <v>0</v>
      </c>
      <c r="HS361" s="62">
        <v>0</v>
      </c>
      <c r="HT361" s="62">
        <v>0</v>
      </c>
      <c r="HU361" s="62"/>
      <c r="HV361" s="62">
        <f t="shared" si="337"/>
        <v>0.47499999999999998</v>
      </c>
      <c r="HW361" s="62"/>
      <c r="HX361" s="62">
        <v>2200</v>
      </c>
      <c r="HY361" s="62">
        <v>1679</v>
      </c>
      <c r="HZ361" s="62">
        <v>2023</v>
      </c>
      <c r="IA361" s="62">
        <v>3</v>
      </c>
      <c r="IB361" s="62">
        <v>3</v>
      </c>
      <c r="IC361" s="62">
        <v>8</v>
      </c>
      <c r="ID361" s="61">
        <v>0.9</v>
      </c>
      <c r="IE361" s="62">
        <f t="shared" si="341"/>
        <v>65</v>
      </c>
      <c r="IF361" s="62">
        <v>500</v>
      </c>
      <c r="IG361" s="62">
        <f t="shared" si="338"/>
        <v>8.0128205128205135E-2</v>
      </c>
      <c r="IH361" s="62"/>
      <c r="II361" s="59"/>
      <c r="IJ361" s="59"/>
      <c r="IK361" s="59"/>
    </row>
    <row r="362" spans="1:245">
      <c r="A362">
        <v>345</v>
      </c>
      <c r="B362" t="s">
        <v>468</v>
      </c>
      <c r="C362" s="59" t="s">
        <v>1067</v>
      </c>
      <c r="D362" s="80" t="s">
        <v>1218</v>
      </c>
      <c r="E362" s="27" t="s">
        <v>855</v>
      </c>
      <c r="F362" s="5" t="s">
        <v>2182</v>
      </c>
      <c r="G362" s="27" t="s">
        <v>122</v>
      </c>
      <c r="I362" s="27" t="s">
        <v>94</v>
      </c>
      <c r="J362" s="28">
        <v>21591</v>
      </c>
      <c r="K362" s="27" t="s">
        <v>97</v>
      </c>
      <c r="N362" s="28"/>
      <c r="O362" s="28"/>
      <c r="P362" s="28"/>
      <c r="Q362" s="28"/>
      <c r="R362" s="28"/>
      <c r="S362" s="27"/>
      <c r="T362" s="27"/>
      <c r="U362" s="27"/>
      <c r="W362" s="59"/>
      <c r="X362" s="59"/>
      <c r="Y362" s="59"/>
      <c r="Z362" s="59"/>
      <c r="AA362" s="58" t="s">
        <v>1066</v>
      </c>
      <c r="AB362" s="344">
        <v>126.72</v>
      </c>
      <c r="AC362" s="62">
        <v>20</v>
      </c>
      <c r="AD362" s="59"/>
      <c r="AE362" s="42">
        <f t="shared" si="315"/>
        <v>1.0804799999999999</v>
      </c>
      <c r="AF362" s="42"/>
      <c r="AG362" s="42">
        <f>EU362+EV362+EM362+EN362+EX362</f>
        <v>8.5734210526315788</v>
      </c>
      <c r="AH362" s="42">
        <f t="shared" si="317"/>
        <v>7.87</v>
      </c>
      <c r="AI362" s="42">
        <f t="shared" si="318"/>
        <v>9.8375000000000004E-2</v>
      </c>
      <c r="AJ362" s="42">
        <f t="shared" si="319"/>
        <v>9.8684210526315784E-3</v>
      </c>
      <c r="AK362" s="42">
        <f t="shared" si="320"/>
        <v>1.9673763157894736E-2</v>
      </c>
      <c r="AL362" s="42">
        <f t="shared" si="321"/>
        <v>0.17312911578947368</v>
      </c>
      <c r="AM362" s="42">
        <f t="shared" si="322"/>
        <v>0.47499999999999998</v>
      </c>
      <c r="AN362" s="42">
        <f t="shared" si="323"/>
        <v>8.0128205128205135E-2</v>
      </c>
      <c r="AO362" s="42">
        <f t="shared" si="324"/>
        <v>0</v>
      </c>
      <c r="AP362" s="42"/>
      <c r="AQ362" s="42">
        <f t="shared" si="325"/>
        <v>18.380075557759785</v>
      </c>
      <c r="AR362" s="59"/>
      <c r="AS362" s="59"/>
      <c r="AT362" s="60">
        <v>0</v>
      </c>
      <c r="AU362" s="59"/>
      <c r="AV362" s="42">
        <f t="shared" si="326"/>
        <v>18.380075557759785</v>
      </c>
      <c r="AW362" s="17">
        <v>8.9999999999999993E-3</v>
      </c>
      <c r="AX362" s="68">
        <v>6.0000000000000001E-3</v>
      </c>
      <c r="AY362" s="61">
        <v>1</v>
      </c>
      <c r="AZ362" s="69">
        <f t="shared" si="327"/>
        <v>2.9999999999999992E-3</v>
      </c>
      <c r="BA362" s="62">
        <f t="shared" si="328"/>
        <v>1.0804799999999999</v>
      </c>
      <c r="BB362" s="62"/>
      <c r="BC362" s="62"/>
      <c r="BD362" s="62"/>
      <c r="BE362" s="62"/>
      <c r="BF362" s="62"/>
      <c r="BG362" s="62"/>
      <c r="BH362" s="62"/>
      <c r="BI362" s="62"/>
      <c r="BJ362" s="62"/>
      <c r="BK362" s="62"/>
      <c r="BL362" s="62"/>
      <c r="BM362" s="62"/>
      <c r="BN362" s="62"/>
      <c r="BO362" s="62"/>
      <c r="BP362" s="62"/>
      <c r="BQ362" s="62"/>
      <c r="BR362" s="62"/>
      <c r="BS362" s="62"/>
      <c r="BT362" s="62"/>
      <c r="BU362" s="62"/>
      <c r="BV362" s="62"/>
      <c r="BW362" s="62"/>
      <c r="BX362" s="62"/>
      <c r="BY362" s="62"/>
      <c r="BZ362" s="62"/>
      <c r="CA362" s="62"/>
      <c r="CB362" s="62"/>
      <c r="CC362" s="62"/>
      <c r="CD362" s="59"/>
      <c r="CE362" s="59">
        <v>0</v>
      </c>
      <c r="CF362" s="59">
        <v>1</v>
      </c>
      <c r="CG362" s="62">
        <v>7.87</v>
      </c>
      <c r="CH362" s="62">
        <f t="shared" si="342"/>
        <v>7.87</v>
      </c>
      <c r="CI362" s="59"/>
      <c r="CJ362" s="59"/>
      <c r="CK362" s="63"/>
      <c r="CL362" s="59"/>
      <c r="CM362" s="59"/>
      <c r="CN362" s="59"/>
      <c r="CO362" s="59"/>
      <c r="CP362" s="59"/>
      <c r="CQ362" s="59"/>
      <c r="CR362" s="59"/>
      <c r="CS362" s="59"/>
      <c r="CT362" s="59"/>
      <c r="CU362" s="59"/>
      <c r="CV362" s="59"/>
      <c r="CW362" s="59"/>
      <c r="CX362" s="59"/>
      <c r="CY362" s="59"/>
      <c r="CZ362" s="59"/>
      <c r="DA362" s="59"/>
      <c r="DB362" s="59"/>
      <c r="DC362" s="59"/>
      <c r="DD362" s="59"/>
      <c r="DE362" s="59"/>
      <c r="DF362" s="59"/>
      <c r="DG362" s="59"/>
      <c r="DH362" s="59"/>
      <c r="DI362" s="59"/>
      <c r="DJ362" s="59"/>
      <c r="DK362" s="59"/>
      <c r="DL362" s="59"/>
      <c r="DM362" s="62">
        <f t="shared" si="343"/>
        <v>7.87</v>
      </c>
      <c r="DN362" s="64">
        <v>1.2500000000000001E-2</v>
      </c>
      <c r="DO362" s="62">
        <f>DN362*DM362</f>
        <v>9.8375000000000004E-2</v>
      </c>
      <c r="DP362" s="62">
        <f t="shared" si="344"/>
        <v>7.968375</v>
      </c>
      <c r="DQ362" s="62"/>
      <c r="DR362" s="62"/>
      <c r="DS362" s="62"/>
      <c r="DT362" s="62"/>
      <c r="DU362" s="62"/>
      <c r="DV362" s="62"/>
      <c r="DW362" s="62"/>
      <c r="DX362" s="62"/>
      <c r="DY362" s="62"/>
      <c r="DZ362" s="62"/>
      <c r="EA362" s="62"/>
      <c r="EB362" s="62"/>
      <c r="EC362" s="62"/>
      <c r="ED362" s="62"/>
      <c r="EE362" s="62"/>
      <c r="EF362" s="59">
        <v>60</v>
      </c>
      <c r="EG362" s="62">
        <v>600</v>
      </c>
      <c r="EH362" s="62">
        <v>8</v>
      </c>
      <c r="EI362" s="61">
        <v>0.95</v>
      </c>
      <c r="EJ362" s="62">
        <v>2</v>
      </c>
      <c r="EK362" s="62">
        <v>45</v>
      </c>
      <c r="EL362" s="65">
        <f t="shared" ref="EL362:EL367" si="346">ROUND(3600/EK362*EH362*EJ362*EI362,0)</f>
        <v>1216</v>
      </c>
      <c r="EM362" s="59"/>
      <c r="EN362" s="59">
        <v>7.83</v>
      </c>
      <c r="EO362" s="59"/>
      <c r="EP362" s="59"/>
      <c r="EQ362" s="59"/>
      <c r="ER362" s="59"/>
      <c r="ES362" s="59"/>
      <c r="ET362" s="59"/>
      <c r="EU362" s="62">
        <f t="shared" si="339"/>
        <v>0.49342105263157893</v>
      </c>
      <c r="EV362" s="59"/>
      <c r="EW362" s="59"/>
      <c r="EX362" s="62">
        <f>45/(3600/20)</f>
        <v>0.25</v>
      </c>
      <c r="EY362" s="62">
        <v>0</v>
      </c>
      <c r="EZ362" s="62"/>
      <c r="FA362" s="62">
        <f>EX362+EY362</f>
        <v>0.25</v>
      </c>
      <c r="FB362" s="62"/>
      <c r="FC362" s="62"/>
      <c r="FD362" s="62"/>
      <c r="FE362" s="62"/>
      <c r="FF362" s="62"/>
      <c r="FG362" s="62"/>
      <c r="FH362" s="62"/>
      <c r="FI362" s="62"/>
      <c r="FJ362" s="62"/>
      <c r="FK362" s="62"/>
      <c r="FL362" s="62"/>
      <c r="FM362" s="62"/>
      <c r="FN362" s="62"/>
      <c r="FO362" s="62"/>
      <c r="FP362" s="62"/>
      <c r="FQ362" s="62"/>
      <c r="FR362" s="62"/>
      <c r="FS362" s="62"/>
      <c r="FT362" s="62"/>
      <c r="FU362" s="62"/>
      <c r="FV362" s="62"/>
      <c r="FW362" s="62"/>
      <c r="FX362" s="62"/>
      <c r="FY362" s="62"/>
      <c r="FZ362" s="62"/>
      <c r="GA362" s="62"/>
      <c r="GB362" s="62"/>
      <c r="GC362" s="62"/>
      <c r="GD362" s="62"/>
      <c r="GE362" s="62"/>
      <c r="GF362" s="62"/>
      <c r="GG362" s="62"/>
      <c r="GH362" s="62"/>
      <c r="GI362" s="62"/>
      <c r="GJ362" s="62"/>
      <c r="GK362" s="62"/>
      <c r="GL362" s="62"/>
      <c r="GM362" s="62"/>
      <c r="GN362" s="62"/>
      <c r="GO362" s="62"/>
      <c r="GP362" s="62"/>
      <c r="GQ362" s="62"/>
      <c r="GR362" s="61">
        <v>0.11</v>
      </c>
      <c r="GS362" s="62">
        <f t="shared" si="330"/>
        <v>0.17312911578947368</v>
      </c>
      <c r="GT362" s="64">
        <v>1.2500000000000001E-2</v>
      </c>
      <c r="GU362" s="62">
        <f t="shared" si="345"/>
        <v>1.9673763157894736E-2</v>
      </c>
      <c r="GV362" s="61">
        <v>0.02</v>
      </c>
      <c r="GW362" s="62">
        <f t="shared" si="340"/>
        <v>9.8684210526315784E-3</v>
      </c>
      <c r="GX362" s="62">
        <f t="shared" si="331"/>
        <v>0.2026713</v>
      </c>
      <c r="GY362" s="59"/>
      <c r="GZ362" s="59"/>
      <c r="HA362" s="62">
        <v>600</v>
      </c>
      <c r="HB362" s="62">
        <v>450</v>
      </c>
      <c r="HC362" s="59">
        <v>225</v>
      </c>
      <c r="HD362" s="59">
        <v>96</v>
      </c>
      <c r="HE362" s="59">
        <v>100</v>
      </c>
      <c r="HF362" s="62">
        <f t="shared" si="332"/>
        <v>2</v>
      </c>
      <c r="HG362" s="59">
        <v>5</v>
      </c>
      <c r="HH362" s="62">
        <v>10</v>
      </c>
      <c r="HI362" s="59">
        <v>2850</v>
      </c>
      <c r="HJ362" s="62">
        <f t="shared" si="334"/>
        <v>28500</v>
      </c>
      <c r="HK362" s="59"/>
      <c r="HL362" s="59"/>
      <c r="HM362" s="62">
        <v>2</v>
      </c>
      <c r="HN362" s="65">
        <f t="shared" si="335"/>
        <v>60000</v>
      </c>
      <c r="HO362" s="62">
        <f t="shared" si="336"/>
        <v>0.47499999999999998</v>
      </c>
      <c r="HP362" s="62">
        <v>160</v>
      </c>
      <c r="HQ362" s="59">
        <v>0</v>
      </c>
      <c r="HR362" s="62">
        <v>0</v>
      </c>
      <c r="HS362" s="62">
        <v>0</v>
      </c>
      <c r="HT362" s="62">
        <v>0</v>
      </c>
      <c r="HU362" s="62"/>
      <c r="HV362" s="62">
        <f t="shared" si="337"/>
        <v>0.47499999999999998</v>
      </c>
      <c r="HW362" s="62"/>
      <c r="HX362" s="62">
        <v>2200</v>
      </c>
      <c r="HY362" s="62">
        <v>1676</v>
      </c>
      <c r="HZ362" s="62">
        <v>2023</v>
      </c>
      <c r="IA362" s="62">
        <v>3</v>
      </c>
      <c r="IB362" s="62">
        <v>3</v>
      </c>
      <c r="IC362" s="62">
        <v>8</v>
      </c>
      <c r="ID362" s="61">
        <v>0.9</v>
      </c>
      <c r="IE362" s="62">
        <f t="shared" si="341"/>
        <v>65</v>
      </c>
      <c r="IF362" s="62">
        <v>500</v>
      </c>
      <c r="IG362" s="62">
        <f t="shared" si="338"/>
        <v>8.0128205128205135E-2</v>
      </c>
      <c r="IH362" s="62"/>
      <c r="II362" s="59"/>
      <c r="IJ362" s="59"/>
      <c r="IK362" s="59"/>
    </row>
    <row r="363" spans="1:245">
      <c r="A363">
        <v>346</v>
      </c>
      <c r="B363" t="s">
        <v>468</v>
      </c>
      <c r="C363" t="s">
        <v>1068</v>
      </c>
      <c r="D363" s="28" t="s">
        <v>856</v>
      </c>
      <c r="E363" s="27" t="s">
        <v>857</v>
      </c>
      <c r="F363" s="5" t="s">
        <v>2182</v>
      </c>
      <c r="G363" s="27" t="s">
        <v>122</v>
      </c>
      <c r="I363" s="27" t="s">
        <v>121</v>
      </c>
      <c r="J363" s="28">
        <v>21480</v>
      </c>
      <c r="K363" s="27" t="s">
        <v>97</v>
      </c>
      <c r="N363" s="28"/>
      <c r="O363" s="28"/>
      <c r="P363" s="28"/>
      <c r="Q363" s="28"/>
      <c r="R363" s="28"/>
      <c r="S363" s="27"/>
      <c r="T363" s="27"/>
      <c r="U363" s="27"/>
      <c r="W363"/>
      <c r="X363"/>
      <c r="Y363"/>
      <c r="Z363"/>
      <c r="AA363" s="56" t="s">
        <v>1069</v>
      </c>
      <c r="AB363" s="340">
        <v>118.8</v>
      </c>
      <c r="AC363" s="4">
        <f>AB363-5</f>
        <v>113.8</v>
      </c>
      <c r="AD363"/>
      <c r="AE363" s="7">
        <f t="shared" si="315"/>
        <v>1.6732</v>
      </c>
      <c r="AF363" s="7"/>
      <c r="AG363" s="7">
        <f t="shared" ref="AG363:AG384" si="347">EU363+EV363+EM363</f>
        <v>1.0198300283286119</v>
      </c>
      <c r="AH363" s="7">
        <f t="shared" si="317"/>
        <v>0</v>
      </c>
      <c r="AI363" s="7">
        <f t="shared" si="318"/>
        <v>0</v>
      </c>
      <c r="AJ363" s="7">
        <f t="shared" si="319"/>
        <v>2.0396600566572238E-2</v>
      </c>
      <c r="AK363" s="7">
        <f t="shared" si="320"/>
        <v>3.3662875354107648E-2</v>
      </c>
      <c r="AL363" s="7">
        <f t="shared" si="321"/>
        <v>0.29623330311614732</v>
      </c>
      <c r="AM363" s="7">
        <f t="shared" si="322"/>
        <v>1.8055555555555554E-2</v>
      </c>
      <c r="AN363" s="7">
        <f t="shared" si="323"/>
        <v>5.7471264367816091E-2</v>
      </c>
      <c r="AO363" s="7">
        <f t="shared" si="324"/>
        <v>0</v>
      </c>
      <c r="AP363" s="7"/>
      <c r="AQ363" s="7">
        <f t="shared" si="325"/>
        <v>3.1188496272888107</v>
      </c>
      <c r="AT363" s="6">
        <v>0</v>
      </c>
      <c r="AV363" s="7">
        <f t="shared" si="326"/>
        <v>3.1188496272888107</v>
      </c>
      <c r="AW363" s="24">
        <v>1.6E-2</v>
      </c>
      <c r="AX363" s="2">
        <v>1.4E-2</v>
      </c>
      <c r="AY363" s="8">
        <v>1</v>
      </c>
      <c r="AZ363" s="14">
        <f t="shared" si="327"/>
        <v>2E-3</v>
      </c>
      <c r="BA363" s="4">
        <f t="shared" si="328"/>
        <v>1.6732</v>
      </c>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E363">
        <v>0</v>
      </c>
      <c r="CF363">
        <v>0</v>
      </c>
      <c r="CG363" s="4">
        <v>0</v>
      </c>
      <c r="CH363" s="4">
        <f t="shared" si="342"/>
        <v>0</v>
      </c>
      <c r="CK363" s="66"/>
      <c r="DM363">
        <v>0</v>
      </c>
      <c r="DN363" s="9">
        <v>0</v>
      </c>
      <c r="DO363" s="4">
        <v>0</v>
      </c>
      <c r="DP363">
        <v>0</v>
      </c>
      <c r="EF363">
        <v>180</v>
      </c>
      <c r="EG363" s="4">
        <v>1800</v>
      </c>
      <c r="EH363" s="4">
        <v>8</v>
      </c>
      <c r="EI363" s="8">
        <v>0.95</v>
      </c>
      <c r="EJ363" s="4">
        <v>4</v>
      </c>
      <c r="EK363" s="4">
        <v>62</v>
      </c>
      <c r="EL363" s="10">
        <f t="shared" si="346"/>
        <v>1765</v>
      </c>
      <c r="EU363" s="4">
        <f t="shared" si="339"/>
        <v>1.0198300283286119</v>
      </c>
      <c r="GR363" s="8">
        <v>0.11</v>
      </c>
      <c r="GS363" s="4">
        <f t="shared" si="330"/>
        <v>0.29623330311614732</v>
      </c>
      <c r="GT363" s="9">
        <v>1.2500000000000001E-2</v>
      </c>
      <c r="GU363" s="4">
        <f t="shared" si="345"/>
        <v>3.3662875354107648E-2</v>
      </c>
      <c r="GV363" s="8">
        <v>0.02</v>
      </c>
      <c r="GW363" s="4">
        <f t="shared" si="340"/>
        <v>2.0396600566572238E-2</v>
      </c>
      <c r="GX363" s="4">
        <f t="shared" si="331"/>
        <v>0.35029277903682721</v>
      </c>
      <c r="HA363" s="4">
        <v>650</v>
      </c>
      <c r="HB363" s="4">
        <v>450</v>
      </c>
      <c r="HC363">
        <v>480</v>
      </c>
      <c r="HD363">
        <v>300</v>
      </c>
      <c r="HE363">
        <v>600</v>
      </c>
      <c r="HF363" s="4">
        <f t="shared" si="332"/>
        <v>2</v>
      </c>
      <c r="HG363">
        <v>5</v>
      </c>
      <c r="HH363" s="4">
        <v>10</v>
      </c>
      <c r="HI363">
        <v>650</v>
      </c>
      <c r="HJ363" s="4">
        <f t="shared" si="334"/>
        <v>6500</v>
      </c>
      <c r="HM363" s="4">
        <v>2</v>
      </c>
      <c r="HN363" s="10">
        <f t="shared" si="335"/>
        <v>360000</v>
      </c>
      <c r="HO363" s="4">
        <f t="shared" si="336"/>
        <v>1.8055555555555554E-2</v>
      </c>
      <c r="HP363" s="4">
        <v>160</v>
      </c>
      <c r="HQ363">
        <v>0</v>
      </c>
      <c r="HR363" s="4">
        <v>0</v>
      </c>
      <c r="HS363" s="4">
        <v>0</v>
      </c>
      <c r="HT363" s="4">
        <v>0</v>
      </c>
      <c r="HU363" s="4"/>
      <c r="HV363" s="4">
        <f t="shared" si="337"/>
        <v>1.8055555555555554E-2</v>
      </c>
      <c r="HW363" s="4"/>
      <c r="HX363" s="4">
        <v>2917</v>
      </c>
      <c r="HY363" s="4">
        <v>1689</v>
      </c>
      <c r="HZ363" s="4">
        <v>1842</v>
      </c>
      <c r="IA363" s="4">
        <v>4</v>
      </c>
      <c r="IB363" s="4">
        <v>3</v>
      </c>
      <c r="IC363" s="4">
        <v>3</v>
      </c>
      <c r="ID363" s="8">
        <v>0.8</v>
      </c>
      <c r="IE363" s="62">
        <f t="shared" si="341"/>
        <v>29</v>
      </c>
      <c r="IF363" s="4">
        <v>500</v>
      </c>
      <c r="IG363" s="4">
        <f t="shared" si="338"/>
        <v>5.7471264367816091E-2</v>
      </c>
      <c r="IH363" s="4"/>
    </row>
    <row r="364" spans="1:245" ht="15.75">
      <c r="A364">
        <v>347</v>
      </c>
      <c r="B364" t="s">
        <v>468</v>
      </c>
      <c r="C364" s="59" t="s">
        <v>1070</v>
      </c>
      <c r="D364" s="28" t="s">
        <v>858</v>
      </c>
      <c r="E364" s="27" t="s">
        <v>859</v>
      </c>
      <c r="F364" s="5" t="s">
        <v>2182</v>
      </c>
      <c r="G364" s="27" t="s">
        <v>122</v>
      </c>
      <c r="I364" s="27" t="s">
        <v>94</v>
      </c>
      <c r="J364" s="28">
        <v>21591</v>
      </c>
      <c r="K364" s="27" t="s">
        <v>97</v>
      </c>
      <c r="N364" s="28"/>
      <c r="O364" s="28"/>
      <c r="P364" s="28"/>
      <c r="Q364" s="28"/>
      <c r="R364" s="28"/>
      <c r="S364" s="27"/>
      <c r="T364" s="27"/>
      <c r="U364" s="27"/>
      <c r="W364" s="59"/>
      <c r="X364" s="59"/>
      <c r="Y364" s="59"/>
      <c r="Z364" s="59"/>
      <c r="AA364" s="58" t="s">
        <v>126</v>
      </c>
      <c r="AB364" s="344">
        <v>102</v>
      </c>
      <c r="AC364" s="62">
        <v>0</v>
      </c>
      <c r="AD364" s="59"/>
      <c r="AE364" s="42">
        <f t="shared" si="315"/>
        <v>6.9696600000000002</v>
      </c>
      <c r="AF364" s="42">
        <f>DU364</f>
        <v>6.13</v>
      </c>
      <c r="AG364" s="42">
        <f t="shared" si="347"/>
        <v>1.2795905310300704</v>
      </c>
      <c r="AH364" s="42">
        <f t="shared" si="317"/>
        <v>0</v>
      </c>
      <c r="AI364" s="42">
        <f t="shared" si="318"/>
        <v>0</v>
      </c>
      <c r="AJ364" s="42">
        <f t="shared" si="319"/>
        <v>2.5591810620601407E-2</v>
      </c>
      <c r="AK364" s="42">
        <f t="shared" si="320"/>
        <v>0.1031156316378759</v>
      </c>
      <c r="AL364" s="42">
        <f t="shared" si="321"/>
        <v>0.90741755841330785</v>
      </c>
      <c r="AM364" s="42">
        <f t="shared" si="322"/>
        <v>2.2916666666666665E-2</v>
      </c>
      <c r="AN364" s="42">
        <f t="shared" si="323"/>
        <v>4.1666666666666664E-2</v>
      </c>
      <c r="AO364" s="42">
        <f t="shared" si="324"/>
        <v>0</v>
      </c>
      <c r="AP364" s="42"/>
      <c r="AQ364" s="42">
        <f t="shared" si="325"/>
        <v>15.479958865035188</v>
      </c>
      <c r="AR364" s="59"/>
      <c r="AS364" s="59"/>
      <c r="AT364" s="60">
        <v>0</v>
      </c>
      <c r="AU364" s="59"/>
      <c r="AV364" s="42">
        <f t="shared" si="326"/>
        <v>15.479958865035188</v>
      </c>
      <c r="AW364" s="17">
        <v>6.8330000000000002E-2</v>
      </c>
      <c r="AX364" s="68">
        <v>6.003E-2</v>
      </c>
      <c r="AY364" s="61">
        <v>1</v>
      </c>
      <c r="AZ364" s="69">
        <f t="shared" si="327"/>
        <v>8.3000000000000018E-3</v>
      </c>
      <c r="BA364" s="62">
        <f t="shared" si="328"/>
        <v>6.9696600000000002</v>
      </c>
      <c r="BB364" s="62"/>
      <c r="BC364" s="62"/>
      <c r="BD364" s="62"/>
      <c r="BE364" s="62"/>
      <c r="BF364" s="62"/>
      <c r="BG364" s="62"/>
      <c r="BH364" s="62"/>
      <c r="BI364" s="62"/>
      <c r="BJ364" s="62"/>
      <c r="BK364" s="62"/>
      <c r="BL364" s="62"/>
      <c r="BM364" s="62"/>
      <c r="BN364" s="62"/>
      <c r="BO364" s="62"/>
      <c r="BP364" s="62"/>
      <c r="BQ364" s="62"/>
      <c r="BR364" s="62"/>
      <c r="BS364" s="62"/>
      <c r="BT364" s="62"/>
      <c r="BU364" s="62"/>
      <c r="BV364" s="62"/>
      <c r="BW364" s="62"/>
      <c r="BX364" s="62"/>
      <c r="BY364" s="62"/>
      <c r="BZ364" s="62"/>
      <c r="CA364" s="62"/>
      <c r="CB364" s="62"/>
      <c r="CC364" s="62"/>
      <c r="CD364" s="59"/>
      <c r="CE364" s="59">
        <v>0</v>
      </c>
      <c r="CF364" s="59">
        <v>0</v>
      </c>
      <c r="CG364" s="62">
        <v>0</v>
      </c>
      <c r="CH364" s="62">
        <f t="shared" si="342"/>
        <v>0</v>
      </c>
      <c r="CI364" s="59"/>
      <c r="CJ364" s="59"/>
      <c r="CK364" s="63"/>
      <c r="CL364" s="59"/>
      <c r="CM364" s="59"/>
      <c r="CN364" s="59"/>
      <c r="CO364" s="59"/>
      <c r="CP364" s="59"/>
      <c r="CQ364" s="59"/>
      <c r="CR364" s="59"/>
      <c r="CS364" s="59"/>
      <c r="CT364" s="59"/>
      <c r="CU364" s="59"/>
      <c r="CV364" s="59"/>
      <c r="CW364" s="59"/>
      <c r="CX364" s="59"/>
      <c r="CY364" s="59"/>
      <c r="CZ364" s="59"/>
      <c r="DA364" s="59"/>
      <c r="DB364" s="59"/>
      <c r="DC364" s="59"/>
      <c r="DD364" s="59"/>
      <c r="DE364" s="59"/>
      <c r="DF364" s="59"/>
      <c r="DG364" s="59"/>
      <c r="DH364" s="59"/>
      <c r="DI364" s="59"/>
      <c r="DJ364" s="59"/>
      <c r="DK364" s="59"/>
      <c r="DL364" s="59"/>
      <c r="DM364" s="59">
        <v>0</v>
      </c>
      <c r="DN364" s="64">
        <v>0</v>
      </c>
      <c r="DO364" s="62">
        <v>0</v>
      </c>
      <c r="DP364" s="59">
        <v>0</v>
      </c>
      <c r="DQ364" s="175" t="s">
        <v>1071</v>
      </c>
      <c r="DR364" s="176" t="s">
        <v>1072</v>
      </c>
      <c r="DS364" s="59">
        <v>1</v>
      </c>
      <c r="DT364" s="59">
        <v>6.13</v>
      </c>
      <c r="DU364" s="59">
        <f>DS364*DT364</f>
        <v>6.13</v>
      </c>
      <c r="DV364" s="59"/>
      <c r="DW364" s="59"/>
      <c r="DX364" s="59"/>
      <c r="DY364" s="59"/>
      <c r="DZ364" s="59"/>
      <c r="EA364" s="59"/>
      <c r="EB364" s="59"/>
      <c r="EC364" s="59"/>
      <c r="ED364" s="59"/>
      <c r="EE364" s="59"/>
      <c r="EF364" s="59">
        <v>200</v>
      </c>
      <c r="EG364" s="62">
        <v>2000</v>
      </c>
      <c r="EH364" s="62">
        <v>8</v>
      </c>
      <c r="EI364" s="61">
        <v>0.95</v>
      </c>
      <c r="EJ364" s="62">
        <v>4</v>
      </c>
      <c r="EK364" s="62">
        <v>70</v>
      </c>
      <c r="EL364" s="65">
        <f t="shared" si="346"/>
        <v>1563</v>
      </c>
      <c r="EM364" s="59"/>
      <c r="EN364" s="59"/>
      <c r="EO364" s="59"/>
      <c r="EP364" s="59"/>
      <c r="EQ364" s="59"/>
      <c r="ER364" s="59"/>
      <c r="ES364" s="59"/>
      <c r="ET364" s="59"/>
      <c r="EU364" s="62">
        <f t="shared" si="339"/>
        <v>1.2795905310300704</v>
      </c>
      <c r="EV364" s="59"/>
      <c r="EW364" s="59"/>
      <c r="EX364" s="59"/>
      <c r="EY364" s="59"/>
      <c r="EZ364" s="59"/>
      <c r="FA364" s="59"/>
      <c r="FB364" s="59"/>
      <c r="FC364" s="59"/>
      <c r="FD364" s="59"/>
      <c r="FE364" s="59"/>
      <c r="FF364" s="59"/>
      <c r="FG364" s="59"/>
      <c r="FH364" s="59"/>
      <c r="FI364" s="59"/>
      <c r="FJ364" s="59"/>
      <c r="FK364" s="59"/>
      <c r="FL364" s="59"/>
      <c r="FM364" s="59"/>
      <c r="FN364" s="59"/>
      <c r="FO364" s="59"/>
      <c r="FP364" s="59"/>
      <c r="FQ364" s="59"/>
      <c r="FR364" s="59"/>
      <c r="FS364" s="59"/>
      <c r="FT364" s="59"/>
      <c r="FU364" s="59"/>
      <c r="FV364" s="59"/>
      <c r="FW364" s="59"/>
      <c r="FX364" s="59"/>
      <c r="FY364" s="59"/>
      <c r="FZ364" s="59"/>
      <c r="GA364" s="59"/>
      <c r="GB364" s="59"/>
      <c r="GC364" s="59"/>
      <c r="GD364" s="59"/>
      <c r="GE364" s="59"/>
      <c r="GF364" s="59"/>
      <c r="GG364" s="59"/>
      <c r="GH364" s="59"/>
      <c r="GI364" s="59"/>
      <c r="GJ364" s="59"/>
      <c r="GK364" s="59"/>
      <c r="GL364" s="59"/>
      <c r="GM364" s="59"/>
      <c r="GN364" s="59"/>
      <c r="GO364" s="59"/>
      <c r="GP364" s="59"/>
      <c r="GQ364" s="59"/>
      <c r="GR364" s="61">
        <v>0.11</v>
      </c>
      <c r="GS364" s="62">
        <f t="shared" si="330"/>
        <v>0.90741755841330785</v>
      </c>
      <c r="GT364" s="64">
        <v>1.2500000000000001E-2</v>
      </c>
      <c r="GU364" s="62">
        <f t="shared" si="345"/>
        <v>0.1031156316378759</v>
      </c>
      <c r="GV364" s="61">
        <v>0.02</v>
      </c>
      <c r="GW364" s="62">
        <f t="shared" si="340"/>
        <v>2.5591810620601407E-2</v>
      </c>
      <c r="GX364" s="62">
        <f t="shared" si="331"/>
        <v>1.0361250006717853</v>
      </c>
      <c r="GY364" s="59"/>
      <c r="GZ364" s="59"/>
      <c r="HA364" s="62">
        <v>650</v>
      </c>
      <c r="HB364" s="62">
        <v>450</v>
      </c>
      <c r="HC364" s="59">
        <v>315</v>
      </c>
      <c r="HD364" s="59">
        <v>200</v>
      </c>
      <c r="HE364" s="59">
        <v>400</v>
      </c>
      <c r="HF364" s="62">
        <f t="shared" si="332"/>
        <v>2</v>
      </c>
      <c r="HG364" s="59">
        <v>5</v>
      </c>
      <c r="HH364" s="62">
        <v>10</v>
      </c>
      <c r="HI364" s="59">
        <v>550</v>
      </c>
      <c r="HJ364" s="62">
        <f t="shared" si="334"/>
        <v>5500</v>
      </c>
      <c r="HK364" s="59"/>
      <c r="HL364" s="59"/>
      <c r="HM364" s="62">
        <v>2</v>
      </c>
      <c r="HN364" s="65">
        <f t="shared" si="335"/>
        <v>240000</v>
      </c>
      <c r="HO364" s="62">
        <f t="shared" si="336"/>
        <v>2.2916666666666665E-2</v>
      </c>
      <c r="HP364" s="62">
        <v>160</v>
      </c>
      <c r="HQ364" s="59">
        <v>0</v>
      </c>
      <c r="HR364" s="62">
        <v>0</v>
      </c>
      <c r="HS364" s="62">
        <v>0</v>
      </c>
      <c r="HT364" s="62">
        <v>0</v>
      </c>
      <c r="HU364" s="62"/>
      <c r="HV364" s="62">
        <f t="shared" si="337"/>
        <v>2.2916666666666665E-2</v>
      </c>
      <c r="HW364" s="62"/>
      <c r="HX364" s="161">
        <v>2916.5</v>
      </c>
      <c r="HY364" s="161">
        <v>1688.5</v>
      </c>
      <c r="HZ364" s="62">
        <v>1842</v>
      </c>
      <c r="IA364" s="62">
        <v>4</v>
      </c>
      <c r="IB364" s="62">
        <v>3</v>
      </c>
      <c r="IC364" s="62">
        <v>5</v>
      </c>
      <c r="ID364" s="61">
        <v>1</v>
      </c>
      <c r="IE364" s="62">
        <f t="shared" si="341"/>
        <v>60</v>
      </c>
      <c r="IF364" s="62">
        <v>500</v>
      </c>
      <c r="IG364" s="62">
        <f t="shared" si="338"/>
        <v>4.1666666666666664E-2</v>
      </c>
      <c r="IH364" s="62"/>
      <c r="II364" s="59"/>
      <c r="IJ364" s="59"/>
      <c r="IK364" s="59"/>
    </row>
    <row r="365" spans="1:245">
      <c r="A365">
        <v>348</v>
      </c>
      <c r="B365" t="s">
        <v>468</v>
      </c>
      <c r="C365" s="59" t="s">
        <v>1074</v>
      </c>
      <c r="D365" s="28" t="s">
        <v>860</v>
      </c>
      <c r="E365" s="27" t="s">
        <v>371</v>
      </c>
      <c r="F365" s="5" t="s">
        <v>2182</v>
      </c>
      <c r="G365" s="27" t="s">
        <v>122</v>
      </c>
      <c r="I365" s="27" t="s">
        <v>121</v>
      </c>
      <c r="J365" s="28">
        <v>21480</v>
      </c>
      <c r="K365" s="27" t="s">
        <v>97</v>
      </c>
      <c r="N365" s="28"/>
      <c r="O365" s="28"/>
      <c r="P365" s="28"/>
      <c r="Q365" s="28"/>
      <c r="R365" s="28"/>
      <c r="S365" s="27"/>
      <c r="T365" s="27"/>
      <c r="U365" s="27"/>
      <c r="W365" s="59"/>
      <c r="X365" s="59"/>
      <c r="Y365" s="59"/>
      <c r="Z365" s="59"/>
      <c r="AA365" s="58" t="s">
        <v>1073</v>
      </c>
      <c r="AB365" s="344">
        <v>116.16</v>
      </c>
      <c r="AC365" s="62">
        <v>0</v>
      </c>
      <c r="AD365" s="59"/>
      <c r="AE365" s="42">
        <f t="shared" si="315"/>
        <v>0.23232</v>
      </c>
      <c r="AF365" s="42"/>
      <c r="AG365" s="42">
        <f t="shared" si="347"/>
        <v>0.20100502512562815</v>
      </c>
      <c r="AH365" s="42">
        <f t="shared" si="317"/>
        <v>0</v>
      </c>
      <c r="AI365" s="42">
        <f t="shared" si="318"/>
        <v>0</v>
      </c>
      <c r="AJ365" s="42">
        <f t="shared" si="319"/>
        <v>4.0201005025125632E-3</v>
      </c>
      <c r="AK365" s="42">
        <f t="shared" si="320"/>
        <v>5.4165628140703526E-3</v>
      </c>
      <c r="AL365" s="42">
        <f t="shared" si="321"/>
        <v>4.7665752763819097E-2</v>
      </c>
      <c r="AM365" s="42">
        <f t="shared" si="322"/>
        <v>4.583333333333333E-2</v>
      </c>
      <c r="AN365" s="42">
        <f t="shared" si="323"/>
        <v>1.2500000000000001E-2</v>
      </c>
      <c r="AO365" s="42">
        <f t="shared" si="324"/>
        <v>0</v>
      </c>
      <c r="AP365" s="42"/>
      <c r="AQ365" s="42">
        <f t="shared" si="325"/>
        <v>0.54876077453936345</v>
      </c>
      <c r="AR365" s="59"/>
      <c r="AS365" s="59"/>
      <c r="AT365" s="60">
        <v>0</v>
      </c>
      <c r="AU365" s="59"/>
      <c r="AV365" s="42">
        <f t="shared" si="326"/>
        <v>0.54876077453936345</v>
      </c>
      <c r="AW365" s="17">
        <v>2E-3</v>
      </c>
      <c r="AX365" s="68">
        <v>2E-3</v>
      </c>
      <c r="AY365" s="61">
        <v>1</v>
      </c>
      <c r="AZ365" s="69">
        <f t="shared" si="327"/>
        <v>0</v>
      </c>
      <c r="BA365" s="62">
        <f t="shared" si="328"/>
        <v>0.23232</v>
      </c>
      <c r="BB365" s="62"/>
      <c r="BC365" s="62"/>
      <c r="BD365" s="62"/>
      <c r="BE365" s="62"/>
      <c r="BF365" s="62"/>
      <c r="BG365" s="62"/>
      <c r="BH365" s="62"/>
      <c r="BI365" s="62"/>
      <c r="BJ365" s="62"/>
      <c r="BK365" s="62"/>
      <c r="BL365" s="62"/>
      <c r="BM365" s="62"/>
      <c r="BN365" s="62"/>
      <c r="BO365" s="62"/>
      <c r="BP365" s="62"/>
      <c r="BQ365" s="62"/>
      <c r="BR365" s="62"/>
      <c r="BS365" s="62"/>
      <c r="BT365" s="62"/>
      <c r="BU365" s="62"/>
      <c r="BV365" s="62"/>
      <c r="BW365" s="62"/>
      <c r="BX365" s="62"/>
      <c r="BY365" s="62"/>
      <c r="BZ365" s="62"/>
      <c r="CA365" s="62"/>
      <c r="CB365" s="62"/>
      <c r="CC365" s="62"/>
      <c r="CD365" s="59"/>
      <c r="CE365" s="59">
        <v>0</v>
      </c>
      <c r="CF365" s="59">
        <v>0</v>
      </c>
      <c r="CG365" s="62">
        <v>0</v>
      </c>
      <c r="CH365" s="62">
        <f t="shared" si="342"/>
        <v>0</v>
      </c>
      <c r="CI365" s="59"/>
      <c r="CJ365" s="59"/>
      <c r="CK365" s="63"/>
      <c r="CL365" s="59"/>
      <c r="CM365" s="59"/>
      <c r="CN365" s="59"/>
      <c r="CO365" s="59"/>
      <c r="CP365" s="59"/>
      <c r="CQ365" s="59"/>
      <c r="CR365" s="59"/>
      <c r="CS365" s="59"/>
      <c r="CT365" s="59"/>
      <c r="CU365" s="59"/>
      <c r="CV365" s="59"/>
      <c r="CW365" s="59"/>
      <c r="CX365" s="59"/>
      <c r="CY365" s="59"/>
      <c r="CZ365" s="59"/>
      <c r="DA365" s="59"/>
      <c r="DB365" s="59"/>
      <c r="DC365" s="59"/>
      <c r="DD365" s="59"/>
      <c r="DE365" s="59"/>
      <c r="DF365" s="59"/>
      <c r="DG365" s="59"/>
      <c r="DH365" s="59"/>
      <c r="DI365" s="59"/>
      <c r="DJ365" s="59"/>
      <c r="DK365" s="59"/>
      <c r="DL365" s="59"/>
      <c r="DM365" s="59">
        <v>0</v>
      </c>
      <c r="DN365" s="64">
        <v>0.03</v>
      </c>
      <c r="DO365" s="62">
        <v>0</v>
      </c>
      <c r="DP365" s="59">
        <v>0</v>
      </c>
      <c r="DQ365" s="59"/>
      <c r="DR365" s="59"/>
      <c r="DS365" s="59"/>
      <c r="DT365" s="59"/>
      <c r="DU365" s="59"/>
      <c r="DV365" s="59"/>
      <c r="DW365" s="59"/>
      <c r="DX365" s="59"/>
      <c r="DY365" s="59"/>
      <c r="DZ365" s="59"/>
      <c r="EA365" s="59"/>
      <c r="EB365" s="59"/>
      <c r="EC365" s="59"/>
      <c r="ED365" s="59"/>
      <c r="EE365" s="59"/>
      <c r="EF365" s="59">
        <v>80</v>
      </c>
      <c r="EG365" s="62">
        <v>800</v>
      </c>
      <c r="EH365" s="62">
        <v>8</v>
      </c>
      <c r="EI365" s="61">
        <v>0.95</v>
      </c>
      <c r="EJ365" s="62">
        <v>8</v>
      </c>
      <c r="EK365" s="62">
        <v>55</v>
      </c>
      <c r="EL365" s="65">
        <f t="shared" si="346"/>
        <v>3980</v>
      </c>
      <c r="EM365" s="59"/>
      <c r="EN365" s="59"/>
      <c r="EO365" s="59"/>
      <c r="EP365" s="59"/>
      <c r="EQ365" s="59"/>
      <c r="ER365" s="59"/>
      <c r="ES365" s="59"/>
      <c r="ET365" s="59"/>
      <c r="EU365" s="62">
        <f t="shared" si="339"/>
        <v>0.20100502512562815</v>
      </c>
      <c r="EV365" s="59"/>
      <c r="EW365" s="59"/>
      <c r="EX365" s="59"/>
      <c r="EY365" s="59"/>
      <c r="EZ365" s="59"/>
      <c r="FA365" s="59"/>
      <c r="FB365" s="59"/>
      <c r="FC365" s="59"/>
      <c r="FD365" s="59"/>
      <c r="FE365" s="59"/>
      <c r="FF365" s="59"/>
      <c r="FG365" s="59"/>
      <c r="FH365" s="59"/>
      <c r="FI365" s="59"/>
      <c r="FJ365" s="59"/>
      <c r="FK365" s="59"/>
      <c r="FL365" s="59"/>
      <c r="FM365" s="59"/>
      <c r="FN365" s="59"/>
      <c r="FO365" s="59"/>
      <c r="FP365" s="59"/>
      <c r="FQ365" s="59"/>
      <c r="FR365" s="59"/>
      <c r="FS365" s="59"/>
      <c r="FT365" s="59"/>
      <c r="FU365" s="59"/>
      <c r="FV365" s="59"/>
      <c r="FW365" s="59"/>
      <c r="FX365" s="59"/>
      <c r="FY365" s="59"/>
      <c r="FZ365" s="59"/>
      <c r="GA365" s="59"/>
      <c r="GB365" s="59"/>
      <c r="GC365" s="59"/>
      <c r="GD365" s="59"/>
      <c r="GE365" s="59"/>
      <c r="GF365" s="59"/>
      <c r="GG365" s="59"/>
      <c r="GH365" s="59"/>
      <c r="GI365" s="59"/>
      <c r="GJ365" s="59"/>
      <c r="GK365" s="59"/>
      <c r="GL365" s="59"/>
      <c r="GM365" s="59"/>
      <c r="GN365" s="59"/>
      <c r="GO365" s="59"/>
      <c r="GP365" s="59"/>
      <c r="GQ365" s="59"/>
      <c r="GR365" s="61">
        <v>0.11</v>
      </c>
      <c r="GS365" s="62">
        <f t="shared" si="330"/>
        <v>4.7665752763819097E-2</v>
      </c>
      <c r="GT365" s="64">
        <v>1.2500000000000001E-2</v>
      </c>
      <c r="GU365" s="62">
        <f t="shared" si="345"/>
        <v>5.4165628140703526E-3</v>
      </c>
      <c r="GV365" s="61">
        <v>0.02</v>
      </c>
      <c r="GW365" s="62">
        <f t="shared" si="340"/>
        <v>4.0201005025125632E-3</v>
      </c>
      <c r="GX365" s="62">
        <f t="shared" si="331"/>
        <v>5.7102416080402014E-2</v>
      </c>
      <c r="GY365" s="59"/>
      <c r="GZ365" s="59"/>
      <c r="HA365" s="62">
        <v>650</v>
      </c>
      <c r="HB365" s="62">
        <v>450</v>
      </c>
      <c r="HC365" s="59">
        <v>330</v>
      </c>
      <c r="HD365" s="59">
        <v>1000</v>
      </c>
      <c r="HE365" s="59">
        <v>100</v>
      </c>
      <c r="HF365" s="62">
        <f t="shared" si="332"/>
        <v>1</v>
      </c>
      <c r="HG365" s="59">
        <v>5</v>
      </c>
      <c r="HH365" s="62">
        <v>5</v>
      </c>
      <c r="HI365" s="59">
        <v>550</v>
      </c>
      <c r="HJ365" s="62">
        <f t="shared" si="334"/>
        <v>2750</v>
      </c>
      <c r="HK365" s="59"/>
      <c r="HL365" s="59"/>
      <c r="HM365" s="62">
        <v>2</v>
      </c>
      <c r="HN365" s="65">
        <f t="shared" si="335"/>
        <v>60000</v>
      </c>
      <c r="HO365" s="62">
        <f t="shared" si="336"/>
        <v>4.583333333333333E-2</v>
      </c>
      <c r="HP365" s="62">
        <v>160</v>
      </c>
      <c r="HQ365" s="59">
        <v>0</v>
      </c>
      <c r="HR365" s="62">
        <v>0</v>
      </c>
      <c r="HS365" s="62">
        <v>0</v>
      </c>
      <c r="HT365" s="62">
        <v>0</v>
      </c>
      <c r="HU365" s="62"/>
      <c r="HV365" s="62">
        <f t="shared" si="337"/>
        <v>4.583333333333333E-2</v>
      </c>
      <c r="HW365" s="62"/>
      <c r="HX365" s="62">
        <v>4200</v>
      </c>
      <c r="HY365" s="62">
        <v>1900</v>
      </c>
      <c r="HZ365" s="62">
        <v>1975</v>
      </c>
      <c r="IA365" s="62">
        <v>6</v>
      </c>
      <c r="IB365" s="62">
        <v>4</v>
      </c>
      <c r="IC365" s="62">
        <v>5</v>
      </c>
      <c r="ID365" s="61">
        <v>1</v>
      </c>
      <c r="IE365" s="62">
        <f>ROUND(PRODUCT(IA365:ID365),0)-80</f>
        <v>40</v>
      </c>
      <c r="IF365" s="62">
        <v>500</v>
      </c>
      <c r="IG365" s="62">
        <f t="shared" si="338"/>
        <v>1.2500000000000001E-2</v>
      </c>
      <c r="IH365" s="62"/>
      <c r="II365" s="59"/>
      <c r="IJ365" s="59"/>
      <c r="IK365" s="59"/>
    </row>
    <row r="366" spans="1:245">
      <c r="A366">
        <v>349</v>
      </c>
      <c r="B366" t="s">
        <v>468</v>
      </c>
      <c r="C366" s="59" t="s">
        <v>1074</v>
      </c>
      <c r="D366" s="28" t="s">
        <v>860</v>
      </c>
      <c r="E366" s="27" t="s">
        <v>371</v>
      </c>
      <c r="F366" s="5" t="s">
        <v>2182</v>
      </c>
      <c r="G366" s="27" t="s">
        <v>122</v>
      </c>
      <c r="I366" s="27" t="s">
        <v>94</v>
      </c>
      <c r="J366" s="28">
        <v>21591</v>
      </c>
      <c r="K366" s="27" t="s">
        <v>97</v>
      </c>
      <c r="L366">
        <v>21480</v>
      </c>
      <c r="M366" t="s">
        <v>94</v>
      </c>
      <c r="N366" s="28"/>
      <c r="O366" s="28"/>
      <c r="P366" s="28"/>
      <c r="Q366" s="28"/>
      <c r="R366" s="28"/>
      <c r="S366" s="27"/>
      <c r="T366" s="27"/>
      <c r="U366" s="27"/>
      <c r="W366" s="13" t="s">
        <v>1107</v>
      </c>
      <c r="AA366" s="58" t="s">
        <v>1073</v>
      </c>
      <c r="AB366" s="344">
        <v>116.16</v>
      </c>
      <c r="AC366" s="62">
        <v>0</v>
      </c>
      <c r="AD366" s="59"/>
      <c r="AE366" s="42">
        <f t="shared" si="315"/>
        <v>0.23232</v>
      </c>
      <c r="AF366" s="42"/>
      <c r="AG366" s="42">
        <f t="shared" si="347"/>
        <v>0.20100502512562815</v>
      </c>
      <c r="AH366" s="42">
        <f t="shared" si="317"/>
        <v>0</v>
      </c>
      <c r="AI366" s="42">
        <f t="shared" si="318"/>
        <v>0</v>
      </c>
      <c r="AJ366" s="42">
        <f t="shared" si="319"/>
        <v>4.0201005025125632E-3</v>
      </c>
      <c r="AK366" s="42">
        <f t="shared" si="320"/>
        <v>5.4165628140703526E-3</v>
      </c>
      <c r="AL366" s="42">
        <f t="shared" si="321"/>
        <v>4.7665752763819097E-2</v>
      </c>
      <c r="AM366" s="42">
        <f t="shared" si="322"/>
        <v>4.583333333333333E-2</v>
      </c>
      <c r="AN366" s="42">
        <f t="shared" si="323"/>
        <v>1.2500000000000001E-2</v>
      </c>
      <c r="AO366" s="42">
        <f t="shared" si="324"/>
        <v>0</v>
      </c>
      <c r="AP366" s="42"/>
      <c r="AQ366" s="42">
        <f t="shared" si="325"/>
        <v>0.54876077453936345</v>
      </c>
      <c r="AR366" s="59"/>
      <c r="AS366" s="59"/>
      <c r="AT366" s="60">
        <v>0</v>
      </c>
      <c r="AU366" s="59"/>
      <c r="AV366" s="42">
        <f t="shared" si="326"/>
        <v>0.54876077453936345</v>
      </c>
      <c r="AW366" s="17">
        <v>2E-3</v>
      </c>
      <c r="AX366" s="68">
        <v>2E-3</v>
      </c>
      <c r="AY366" s="61">
        <v>1</v>
      </c>
      <c r="AZ366" s="69">
        <f t="shared" si="327"/>
        <v>0</v>
      </c>
      <c r="BA366" s="62">
        <f t="shared" si="328"/>
        <v>0.23232</v>
      </c>
      <c r="BB366" s="62"/>
      <c r="BC366" s="62"/>
      <c r="BD366" s="62"/>
      <c r="BE366" s="62"/>
      <c r="BF366" s="62"/>
      <c r="BG366" s="62"/>
      <c r="BH366" s="62"/>
      <c r="BI366" s="62"/>
      <c r="BJ366" s="62"/>
      <c r="BK366" s="62"/>
      <c r="BL366" s="62"/>
      <c r="BM366" s="62"/>
      <c r="BN366" s="62"/>
      <c r="BO366" s="62"/>
      <c r="BP366" s="62"/>
      <c r="BQ366" s="62"/>
      <c r="BR366" s="62"/>
      <c r="BS366" s="62"/>
      <c r="BT366" s="62"/>
      <c r="BU366" s="62"/>
      <c r="BV366" s="62"/>
      <c r="BW366" s="62"/>
      <c r="BX366" s="62"/>
      <c r="BY366" s="62"/>
      <c r="BZ366" s="62"/>
      <c r="CA366" s="62"/>
      <c r="CB366" s="62"/>
      <c r="CC366" s="62"/>
      <c r="CD366" s="59"/>
      <c r="CE366" s="59">
        <v>0</v>
      </c>
      <c r="CF366" s="59">
        <v>0</v>
      </c>
      <c r="CG366" s="62">
        <v>0</v>
      </c>
      <c r="CH366" s="62">
        <f t="shared" si="342"/>
        <v>0</v>
      </c>
      <c r="CI366" s="59"/>
      <c r="CJ366" s="59"/>
      <c r="CK366" s="63"/>
      <c r="CL366" s="59"/>
      <c r="CM366" s="59"/>
      <c r="CN366" s="59"/>
      <c r="CO366" s="59"/>
      <c r="CP366" s="59"/>
      <c r="CQ366" s="59"/>
      <c r="CR366" s="59"/>
      <c r="CS366" s="59"/>
      <c r="CT366" s="59"/>
      <c r="CU366" s="59"/>
      <c r="CV366" s="59"/>
      <c r="CW366" s="59"/>
      <c r="CX366" s="59"/>
      <c r="CY366" s="59"/>
      <c r="CZ366" s="59"/>
      <c r="DA366" s="59"/>
      <c r="DB366" s="59"/>
      <c r="DC366" s="59"/>
      <c r="DD366" s="59"/>
      <c r="DE366" s="59"/>
      <c r="DF366" s="59"/>
      <c r="DG366" s="59"/>
      <c r="DH366" s="59"/>
      <c r="DI366" s="59"/>
      <c r="DJ366" s="59"/>
      <c r="DK366" s="59"/>
      <c r="DL366" s="59"/>
      <c r="DM366" s="59">
        <v>0</v>
      </c>
      <c r="DN366" s="64">
        <v>0.03</v>
      </c>
      <c r="DO366" s="62">
        <v>0</v>
      </c>
      <c r="DP366" s="59">
        <v>0</v>
      </c>
      <c r="DQ366" s="59"/>
      <c r="DR366" s="59"/>
      <c r="DS366" s="59"/>
      <c r="DT366" s="59"/>
      <c r="DU366" s="59"/>
      <c r="DV366" s="59"/>
      <c r="DW366" s="59"/>
      <c r="DX366" s="59"/>
      <c r="DY366" s="59"/>
      <c r="DZ366" s="59"/>
      <c r="EA366" s="59"/>
      <c r="EB366" s="59"/>
      <c r="EC366" s="59"/>
      <c r="ED366" s="59"/>
      <c r="EE366" s="59"/>
      <c r="EF366" s="59">
        <v>80</v>
      </c>
      <c r="EG366" s="62">
        <v>800</v>
      </c>
      <c r="EH366" s="62">
        <v>8</v>
      </c>
      <c r="EI366" s="61">
        <v>0.95</v>
      </c>
      <c r="EJ366" s="62">
        <v>8</v>
      </c>
      <c r="EK366" s="62">
        <v>55</v>
      </c>
      <c r="EL366" s="65">
        <f t="shared" si="346"/>
        <v>3980</v>
      </c>
      <c r="EM366" s="59"/>
      <c r="EN366" s="59"/>
      <c r="EO366" s="59"/>
      <c r="EP366" s="59"/>
      <c r="EQ366" s="59"/>
      <c r="ER366" s="59"/>
      <c r="ES366" s="59"/>
      <c r="ET366" s="59"/>
      <c r="EU366" s="62">
        <f t="shared" si="339"/>
        <v>0.20100502512562815</v>
      </c>
      <c r="EV366" s="59"/>
      <c r="EW366" s="59"/>
      <c r="EX366" s="59"/>
      <c r="EY366" s="59"/>
      <c r="EZ366" s="59"/>
      <c r="FA366" s="59"/>
      <c r="FB366" s="59"/>
      <c r="FC366" s="59"/>
      <c r="FD366" s="59"/>
      <c r="FE366" s="59"/>
      <c r="FF366" s="59"/>
      <c r="FG366" s="59"/>
      <c r="FH366" s="59"/>
      <c r="FI366" s="59"/>
      <c r="FJ366" s="59"/>
      <c r="FK366" s="59"/>
      <c r="FL366" s="59"/>
      <c r="FM366" s="59"/>
      <c r="FN366" s="59"/>
      <c r="FO366" s="59"/>
      <c r="FP366" s="59"/>
      <c r="FQ366" s="59"/>
      <c r="FR366" s="59"/>
      <c r="FS366" s="59"/>
      <c r="FT366" s="59"/>
      <c r="FU366" s="59"/>
      <c r="FV366" s="59"/>
      <c r="FW366" s="59"/>
      <c r="FX366" s="59"/>
      <c r="FY366" s="59"/>
      <c r="FZ366" s="59"/>
      <c r="GA366" s="59"/>
      <c r="GB366" s="59"/>
      <c r="GC366" s="59"/>
      <c r="GD366" s="59"/>
      <c r="GE366" s="59"/>
      <c r="GF366" s="59"/>
      <c r="GG366" s="59"/>
      <c r="GH366" s="59"/>
      <c r="GI366" s="59"/>
      <c r="GJ366" s="59"/>
      <c r="GK366" s="59"/>
      <c r="GL366" s="59"/>
      <c r="GM366" s="59"/>
      <c r="GN366" s="59"/>
      <c r="GO366" s="59"/>
      <c r="GP366" s="59"/>
      <c r="GQ366" s="59"/>
      <c r="GR366" s="61">
        <v>0.11</v>
      </c>
      <c r="GS366" s="62">
        <f t="shared" si="330"/>
        <v>4.7665752763819097E-2</v>
      </c>
      <c r="GT366" s="64">
        <v>1.2500000000000001E-2</v>
      </c>
      <c r="GU366" s="62">
        <f t="shared" si="345"/>
        <v>5.4165628140703526E-3</v>
      </c>
      <c r="GV366" s="61">
        <v>0.02</v>
      </c>
      <c r="GW366" s="62">
        <f t="shared" si="340"/>
        <v>4.0201005025125632E-3</v>
      </c>
      <c r="GX366" s="62">
        <f t="shared" si="331"/>
        <v>5.7102416080402014E-2</v>
      </c>
      <c r="GY366" s="59"/>
      <c r="GZ366" s="59"/>
      <c r="HA366" s="62">
        <v>650</v>
      </c>
      <c r="HB366" s="62">
        <v>450</v>
      </c>
      <c r="HC366" s="59">
        <v>330</v>
      </c>
      <c r="HD366" s="59">
        <v>1000</v>
      </c>
      <c r="HE366" s="59">
        <v>100</v>
      </c>
      <c r="HF366" s="62">
        <f t="shared" si="332"/>
        <v>1</v>
      </c>
      <c r="HG366" s="59">
        <v>5</v>
      </c>
      <c r="HH366" s="62">
        <v>5</v>
      </c>
      <c r="HI366" s="59">
        <v>550</v>
      </c>
      <c r="HJ366" s="62">
        <f t="shared" si="334"/>
        <v>2750</v>
      </c>
      <c r="HK366" s="59"/>
      <c r="HL366" s="59"/>
      <c r="HM366" s="62">
        <v>2</v>
      </c>
      <c r="HN366" s="65">
        <f t="shared" si="335"/>
        <v>60000</v>
      </c>
      <c r="HO366" s="62">
        <f t="shared" si="336"/>
        <v>4.583333333333333E-2</v>
      </c>
      <c r="HP366" s="62">
        <v>160</v>
      </c>
      <c r="HQ366" s="59">
        <v>0</v>
      </c>
      <c r="HR366" s="62">
        <v>0</v>
      </c>
      <c r="HS366" s="62">
        <v>0</v>
      </c>
      <c r="HT366" s="62">
        <v>0</v>
      </c>
      <c r="HU366" s="62"/>
      <c r="HV366" s="62">
        <f t="shared" si="337"/>
        <v>4.583333333333333E-2</v>
      </c>
      <c r="HW366" s="62"/>
      <c r="HX366" s="62">
        <v>4200</v>
      </c>
      <c r="HY366" s="62">
        <v>1900</v>
      </c>
      <c r="HZ366" s="62">
        <v>1975</v>
      </c>
      <c r="IA366" s="62">
        <v>6</v>
      </c>
      <c r="IB366" s="62">
        <v>4</v>
      </c>
      <c r="IC366" s="62">
        <v>5</v>
      </c>
      <c r="ID366" s="61">
        <v>1</v>
      </c>
      <c r="IE366" s="62">
        <f>ROUND(PRODUCT(IA366:ID366),0)-80</f>
        <v>40</v>
      </c>
      <c r="IF366" s="62">
        <v>500</v>
      </c>
      <c r="IG366" s="62">
        <f t="shared" si="338"/>
        <v>1.2500000000000001E-2</v>
      </c>
      <c r="IH366" s="62"/>
    </row>
    <row r="367" spans="1:245">
      <c r="A367">
        <v>350</v>
      </c>
      <c r="B367" t="s">
        <v>468</v>
      </c>
      <c r="C367" s="59" t="s">
        <v>1074</v>
      </c>
      <c r="D367" s="28" t="s">
        <v>860</v>
      </c>
      <c r="E367" s="27" t="s">
        <v>371</v>
      </c>
      <c r="F367" s="5" t="s">
        <v>2182</v>
      </c>
      <c r="G367" s="27" t="s">
        <v>122</v>
      </c>
      <c r="I367" s="27" t="s">
        <v>226</v>
      </c>
      <c r="J367" s="28">
        <v>21480</v>
      </c>
      <c r="K367" s="27" t="s">
        <v>97</v>
      </c>
      <c r="N367" s="28"/>
      <c r="O367" s="28"/>
      <c r="P367" s="28"/>
      <c r="Q367" s="28"/>
      <c r="R367" s="28"/>
      <c r="S367" s="27"/>
      <c r="T367" s="27"/>
      <c r="U367" s="27"/>
      <c r="AA367" s="58" t="s">
        <v>1073</v>
      </c>
      <c r="AB367" s="344">
        <v>116.16</v>
      </c>
      <c r="AC367" s="62">
        <v>0</v>
      </c>
      <c r="AD367" s="59"/>
      <c r="AE367" s="42">
        <f t="shared" si="315"/>
        <v>0.23232</v>
      </c>
      <c r="AF367" s="42"/>
      <c r="AG367" s="42">
        <f t="shared" si="347"/>
        <v>0.20100502512562815</v>
      </c>
      <c r="AH367" s="42">
        <f t="shared" si="317"/>
        <v>0</v>
      </c>
      <c r="AI367" s="42">
        <f t="shared" si="318"/>
        <v>0</v>
      </c>
      <c r="AJ367" s="42">
        <f t="shared" si="319"/>
        <v>4.0201005025125632E-3</v>
      </c>
      <c r="AK367" s="42">
        <f t="shared" si="320"/>
        <v>5.4165628140703526E-3</v>
      </c>
      <c r="AL367" s="42">
        <f t="shared" si="321"/>
        <v>4.7665752763819097E-2</v>
      </c>
      <c r="AM367" s="42">
        <f t="shared" si="322"/>
        <v>4.583333333333333E-2</v>
      </c>
      <c r="AN367" s="42">
        <f t="shared" si="323"/>
        <v>1.2500000000000001E-2</v>
      </c>
      <c r="AO367" s="42">
        <f t="shared" si="324"/>
        <v>0</v>
      </c>
      <c r="AP367" s="42"/>
      <c r="AQ367" s="42">
        <f t="shared" si="325"/>
        <v>0.54876077453936345</v>
      </c>
      <c r="AR367" s="59"/>
      <c r="AS367" s="59"/>
      <c r="AT367" s="60">
        <v>0</v>
      </c>
      <c r="AU367" s="59"/>
      <c r="AV367" s="42">
        <f t="shared" si="326"/>
        <v>0.54876077453936345</v>
      </c>
      <c r="AW367" s="17">
        <v>2E-3</v>
      </c>
      <c r="AX367" s="68">
        <v>2E-3</v>
      </c>
      <c r="AY367" s="61">
        <v>1</v>
      </c>
      <c r="AZ367" s="69">
        <f t="shared" si="327"/>
        <v>0</v>
      </c>
      <c r="BA367" s="62">
        <f t="shared" si="328"/>
        <v>0.23232</v>
      </c>
      <c r="BB367" s="62"/>
      <c r="BC367" s="62"/>
      <c r="BD367" s="62"/>
      <c r="BE367" s="62"/>
      <c r="BF367" s="62"/>
      <c r="BG367" s="62"/>
      <c r="BH367" s="62"/>
      <c r="BI367" s="62"/>
      <c r="BJ367" s="62"/>
      <c r="BK367" s="62"/>
      <c r="BL367" s="62"/>
      <c r="BM367" s="62"/>
      <c r="BN367" s="62"/>
      <c r="BO367" s="62"/>
      <c r="BP367" s="62"/>
      <c r="BQ367" s="62"/>
      <c r="BR367" s="62"/>
      <c r="BS367" s="62"/>
      <c r="BT367" s="62"/>
      <c r="BU367" s="62"/>
      <c r="BV367" s="62"/>
      <c r="BW367" s="62"/>
      <c r="BX367" s="62"/>
      <c r="BY367" s="62"/>
      <c r="BZ367" s="62"/>
      <c r="CA367" s="62"/>
      <c r="CB367" s="62"/>
      <c r="CC367" s="62"/>
      <c r="CD367" s="59"/>
      <c r="CE367" s="59">
        <v>0</v>
      </c>
      <c r="CF367" s="59">
        <v>0</v>
      </c>
      <c r="CG367" s="62">
        <v>0</v>
      </c>
      <c r="CH367" s="62">
        <f t="shared" si="342"/>
        <v>0</v>
      </c>
      <c r="CI367" s="59"/>
      <c r="CJ367" s="59"/>
      <c r="CK367" s="63"/>
      <c r="CL367" s="59"/>
      <c r="CM367" s="59"/>
      <c r="CN367" s="59"/>
      <c r="CO367" s="59"/>
      <c r="CP367" s="59"/>
      <c r="CQ367" s="59"/>
      <c r="CR367" s="59"/>
      <c r="CS367" s="59"/>
      <c r="CT367" s="59"/>
      <c r="CU367" s="59"/>
      <c r="CV367" s="59"/>
      <c r="CW367" s="59"/>
      <c r="CX367" s="59"/>
      <c r="CY367" s="59"/>
      <c r="CZ367" s="59"/>
      <c r="DA367" s="59"/>
      <c r="DB367" s="59"/>
      <c r="DC367" s="59"/>
      <c r="DD367" s="59"/>
      <c r="DE367" s="59"/>
      <c r="DF367" s="59"/>
      <c r="DG367" s="59"/>
      <c r="DH367" s="59"/>
      <c r="DI367" s="59"/>
      <c r="DJ367" s="59"/>
      <c r="DK367" s="59"/>
      <c r="DL367" s="59"/>
      <c r="DM367" s="59">
        <v>0</v>
      </c>
      <c r="DN367" s="64">
        <v>0.03</v>
      </c>
      <c r="DO367" s="62">
        <v>0</v>
      </c>
      <c r="DP367" s="59">
        <v>0</v>
      </c>
      <c r="DQ367" s="59"/>
      <c r="DR367" s="59"/>
      <c r="DS367" s="59"/>
      <c r="DT367" s="59"/>
      <c r="DU367" s="59"/>
      <c r="DV367" s="59"/>
      <c r="DW367" s="59"/>
      <c r="DX367" s="59"/>
      <c r="DY367" s="59"/>
      <c r="DZ367" s="59"/>
      <c r="EA367" s="59"/>
      <c r="EB367" s="59"/>
      <c r="EC367" s="59"/>
      <c r="ED367" s="59"/>
      <c r="EE367" s="59"/>
      <c r="EF367" s="59">
        <v>80</v>
      </c>
      <c r="EG367" s="62">
        <v>800</v>
      </c>
      <c r="EH367" s="62">
        <v>8</v>
      </c>
      <c r="EI367" s="61">
        <v>0.95</v>
      </c>
      <c r="EJ367" s="62">
        <v>8</v>
      </c>
      <c r="EK367" s="62">
        <v>55</v>
      </c>
      <c r="EL367" s="65">
        <f t="shared" si="346"/>
        <v>3980</v>
      </c>
      <c r="EM367" s="59"/>
      <c r="EN367" s="59"/>
      <c r="EO367" s="59"/>
      <c r="EP367" s="59"/>
      <c r="EQ367" s="59"/>
      <c r="ER367" s="59"/>
      <c r="ES367" s="59"/>
      <c r="ET367" s="59"/>
      <c r="EU367" s="62">
        <f t="shared" si="339"/>
        <v>0.20100502512562815</v>
      </c>
      <c r="EV367" s="59"/>
      <c r="EW367" s="59"/>
      <c r="EX367" s="59"/>
      <c r="EY367" s="59"/>
      <c r="EZ367" s="59"/>
      <c r="FA367" s="59"/>
      <c r="FB367" s="59"/>
      <c r="FC367" s="59"/>
      <c r="FD367" s="59"/>
      <c r="FE367" s="59"/>
      <c r="FF367" s="59"/>
      <c r="FG367" s="59"/>
      <c r="FH367" s="59"/>
      <c r="FI367" s="59"/>
      <c r="FJ367" s="59"/>
      <c r="FK367" s="59"/>
      <c r="FL367" s="59"/>
      <c r="FM367" s="59"/>
      <c r="FN367" s="59"/>
      <c r="FO367" s="59"/>
      <c r="FP367" s="59"/>
      <c r="FQ367" s="59"/>
      <c r="FR367" s="59"/>
      <c r="FS367" s="59"/>
      <c r="FT367" s="59"/>
      <c r="FU367" s="59"/>
      <c r="FV367" s="59"/>
      <c r="FW367" s="59"/>
      <c r="FX367" s="59"/>
      <c r="FY367" s="59"/>
      <c r="FZ367" s="59"/>
      <c r="GA367" s="59"/>
      <c r="GB367" s="59"/>
      <c r="GC367" s="59"/>
      <c r="GD367" s="59"/>
      <c r="GE367" s="59"/>
      <c r="GF367" s="59"/>
      <c r="GG367" s="59"/>
      <c r="GH367" s="59"/>
      <c r="GI367" s="59"/>
      <c r="GJ367" s="59"/>
      <c r="GK367" s="59"/>
      <c r="GL367" s="59"/>
      <c r="GM367" s="59"/>
      <c r="GN367" s="59"/>
      <c r="GO367" s="59"/>
      <c r="GP367" s="59"/>
      <c r="GQ367" s="59"/>
      <c r="GR367" s="61">
        <v>0.11</v>
      </c>
      <c r="GS367" s="62">
        <f t="shared" si="330"/>
        <v>4.7665752763819097E-2</v>
      </c>
      <c r="GT367" s="64">
        <v>1.2500000000000001E-2</v>
      </c>
      <c r="GU367" s="62">
        <f t="shared" si="345"/>
        <v>5.4165628140703526E-3</v>
      </c>
      <c r="GV367" s="61">
        <v>0.02</v>
      </c>
      <c r="GW367" s="62">
        <f t="shared" si="340"/>
        <v>4.0201005025125632E-3</v>
      </c>
      <c r="GX367" s="62">
        <f t="shared" si="331"/>
        <v>5.7102416080402014E-2</v>
      </c>
      <c r="GY367" s="59"/>
      <c r="GZ367" s="59"/>
      <c r="HA367" s="62">
        <v>650</v>
      </c>
      <c r="HB367" s="62">
        <v>450</v>
      </c>
      <c r="HC367" s="59">
        <v>330</v>
      </c>
      <c r="HD367" s="59">
        <v>1000</v>
      </c>
      <c r="HE367" s="59">
        <v>100</v>
      </c>
      <c r="HF367" s="62">
        <f t="shared" si="332"/>
        <v>1</v>
      </c>
      <c r="HG367" s="59">
        <v>5</v>
      </c>
      <c r="HH367" s="62">
        <v>5</v>
      </c>
      <c r="HI367" s="59">
        <v>550</v>
      </c>
      <c r="HJ367" s="62">
        <f t="shared" si="334"/>
        <v>2750</v>
      </c>
      <c r="HK367" s="59"/>
      <c r="HL367" s="59"/>
      <c r="HM367" s="62">
        <v>2</v>
      </c>
      <c r="HN367" s="65">
        <f t="shared" si="335"/>
        <v>60000</v>
      </c>
      <c r="HO367" s="62">
        <f t="shared" si="336"/>
        <v>4.583333333333333E-2</v>
      </c>
      <c r="HP367" s="62">
        <v>160</v>
      </c>
      <c r="HQ367" s="59">
        <v>0</v>
      </c>
      <c r="HR367" s="62">
        <v>0</v>
      </c>
      <c r="HS367" s="62">
        <v>0</v>
      </c>
      <c r="HT367" s="62">
        <v>0</v>
      </c>
      <c r="HU367" s="62"/>
      <c r="HV367" s="62">
        <f t="shared" si="337"/>
        <v>4.583333333333333E-2</v>
      </c>
      <c r="HW367" s="62"/>
      <c r="HX367" s="62">
        <v>4200</v>
      </c>
      <c r="HY367" s="62">
        <v>1900</v>
      </c>
      <c r="HZ367" s="62">
        <v>1975</v>
      </c>
      <c r="IA367" s="62">
        <v>6</v>
      </c>
      <c r="IB367" s="62">
        <v>4</v>
      </c>
      <c r="IC367" s="62">
        <v>5</v>
      </c>
      <c r="ID367" s="61">
        <v>1</v>
      </c>
      <c r="IE367" s="62">
        <f>ROUND(PRODUCT(IA367:ID367),0)-80</f>
        <v>40</v>
      </c>
      <c r="IF367" s="62">
        <v>500</v>
      </c>
      <c r="IG367" s="62">
        <f t="shared" si="338"/>
        <v>1.2500000000000001E-2</v>
      </c>
      <c r="IH367" s="62"/>
    </row>
    <row r="368" spans="1:245">
      <c r="A368">
        <v>351</v>
      </c>
      <c r="B368" t="s">
        <v>468</v>
      </c>
      <c r="C368" t="s">
        <v>1077</v>
      </c>
      <c r="D368" s="28" t="s">
        <v>861</v>
      </c>
      <c r="E368" s="27" t="s">
        <v>862</v>
      </c>
      <c r="F368" s="5" t="s">
        <v>2182</v>
      </c>
      <c r="G368" s="27" t="s">
        <v>122</v>
      </c>
      <c r="I368" s="27" t="s">
        <v>94</v>
      </c>
      <c r="J368" s="28">
        <v>21591</v>
      </c>
      <c r="K368" s="27" t="s">
        <v>97</v>
      </c>
      <c r="N368" s="28"/>
      <c r="O368" s="28"/>
      <c r="P368" s="28"/>
      <c r="Q368" s="28"/>
      <c r="R368" s="28"/>
      <c r="S368" s="27"/>
      <c r="T368" s="27"/>
      <c r="U368" s="27"/>
      <c r="W368"/>
      <c r="X368"/>
      <c r="Y368"/>
      <c r="Z368"/>
      <c r="AA368" s="56" t="s">
        <v>1073</v>
      </c>
      <c r="AB368" s="349">
        <v>93.78</v>
      </c>
      <c r="AC368" s="4">
        <f t="shared" ref="AC368:AC373" si="348">AB368-5</f>
        <v>88.78</v>
      </c>
      <c r="AD368"/>
      <c r="AE368" s="7">
        <f t="shared" si="315"/>
        <v>4.5164400000000002</v>
      </c>
      <c r="AF368" s="7"/>
      <c r="AG368" s="7">
        <f t="shared" si="347"/>
        <v>1.6447368421052633</v>
      </c>
      <c r="AH368" s="7">
        <f t="shared" si="317"/>
        <v>0</v>
      </c>
      <c r="AI368" s="7">
        <f t="shared" si="318"/>
        <v>0</v>
      </c>
      <c r="AJ368" s="7">
        <f t="shared" si="319"/>
        <v>3.2894736842105268E-2</v>
      </c>
      <c r="AK368" s="7">
        <f t="shared" si="320"/>
        <v>7.7014710526315797E-2</v>
      </c>
      <c r="AL368" s="7">
        <f t="shared" si="321"/>
        <v>0.67772945263157891</v>
      </c>
      <c r="AM368" s="7">
        <f t="shared" si="322"/>
        <v>4.583333333333333E-2</v>
      </c>
      <c r="AN368" s="7">
        <f t="shared" si="323"/>
        <v>6.9444444444444448E-2</v>
      </c>
      <c r="AO368" s="7">
        <f t="shared" si="324"/>
        <v>0</v>
      </c>
      <c r="AP368" s="7"/>
      <c r="AQ368" s="7">
        <f t="shared" si="325"/>
        <v>7.0640935198830412</v>
      </c>
      <c r="AT368" s="6">
        <v>0</v>
      </c>
      <c r="AV368" s="7">
        <f t="shared" si="326"/>
        <v>7.0640935198830412</v>
      </c>
      <c r="AW368" s="24">
        <v>5.0999999999999997E-2</v>
      </c>
      <c r="AX368" s="2">
        <v>4.8000000000000001E-2</v>
      </c>
      <c r="AY368" s="8">
        <v>1</v>
      </c>
      <c r="AZ368" s="14">
        <f t="shared" si="327"/>
        <v>2.9999999999999957E-3</v>
      </c>
      <c r="BA368" s="4">
        <f t="shared" si="328"/>
        <v>4.5164400000000002</v>
      </c>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E368">
        <v>0</v>
      </c>
      <c r="CF368">
        <v>0</v>
      </c>
      <c r="CG368" s="4">
        <v>0</v>
      </c>
      <c r="CH368" s="4">
        <f t="shared" si="342"/>
        <v>0</v>
      </c>
      <c r="CK368" s="66"/>
      <c r="DM368">
        <v>0</v>
      </c>
      <c r="DN368" s="9">
        <v>0</v>
      </c>
      <c r="DO368" s="4">
        <v>0</v>
      </c>
      <c r="DP368">
        <v>0</v>
      </c>
      <c r="EF368">
        <v>180</v>
      </c>
      <c r="EG368" s="4">
        <v>1800</v>
      </c>
      <c r="EH368" s="4">
        <v>8</v>
      </c>
      <c r="EI368" s="8">
        <v>0.95</v>
      </c>
      <c r="EJ368" s="4">
        <v>2</v>
      </c>
      <c r="EK368" s="4">
        <v>50</v>
      </c>
      <c r="EL368" s="10">
        <f t="shared" ref="EL368:EL384" si="349">3600/EK368*EH368*EJ368*EI368</f>
        <v>1094.3999999999999</v>
      </c>
      <c r="EU368" s="4">
        <f t="shared" si="339"/>
        <v>1.6447368421052633</v>
      </c>
      <c r="GR368" s="8">
        <v>0.11</v>
      </c>
      <c r="GS368" s="4">
        <f t="shared" si="330"/>
        <v>0.67772945263157891</v>
      </c>
      <c r="GT368" s="9">
        <v>1.2500000000000001E-2</v>
      </c>
      <c r="GU368" s="4">
        <f t="shared" si="345"/>
        <v>7.7014710526315797E-2</v>
      </c>
      <c r="GV368" s="8">
        <v>0.02</v>
      </c>
      <c r="GW368" s="4">
        <f t="shared" si="340"/>
        <v>3.2894736842105268E-2</v>
      </c>
      <c r="GX368" s="4">
        <f t="shared" si="331"/>
        <v>0.78763890000000003</v>
      </c>
      <c r="HA368" s="4">
        <v>650</v>
      </c>
      <c r="HB368" s="4">
        <v>450</v>
      </c>
      <c r="HC368">
        <v>315</v>
      </c>
      <c r="HD368">
        <v>120</v>
      </c>
      <c r="HE368">
        <v>400</v>
      </c>
      <c r="HF368" s="4">
        <f t="shared" si="332"/>
        <v>4</v>
      </c>
      <c r="HG368">
        <v>5</v>
      </c>
      <c r="HH368" s="4">
        <v>20</v>
      </c>
      <c r="HI368">
        <v>550</v>
      </c>
      <c r="HJ368" s="4">
        <f t="shared" si="334"/>
        <v>11000</v>
      </c>
      <c r="HM368" s="4">
        <v>2</v>
      </c>
      <c r="HN368" s="10">
        <f t="shared" si="335"/>
        <v>240000</v>
      </c>
      <c r="HO368" s="4">
        <f t="shared" si="336"/>
        <v>4.583333333333333E-2</v>
      </c>
      <c r="HP368" s="4">
        <v>160</v>
      </c>
      <c r="HQ368">
        <v>0</v>
      </c>
      <c r="HR368" s="4">
        <v>0</v>
      </c>
      <c r="HS368" s="4">
        <v>0</v>
      </c>
      <c r="HT368" s="4">
        <v>0</v>
      </c>
      <c r="HU368" s="4"/>
      <c r="HV368" s="4">
        <f t="shared" si="337"/>
        <v>4.583333333333333E-2</v>
      </c>
      <c r="HW368" s="4"/>
      <c r="HX368" s="45">
        <v>2916.5</v>
      </c>
      <c r="HY368" s="45">
        <v>1688.5</v>
      </c>
      <c r="HZ368" s="4">
        <v>1842</v>
      </c>
      <c r="IA368" s="4">
        <v>4</v>
      </c>
      <c r="IB368" s="4">
        <v>3</v>
      </c>
      <c r="IC368" s="4">
        <v>5</v>
      </c>
      <c r="ID368" s="8">
        <v>1</v>
      </c>
      <c r="IE368" s="62">
        <f t="shared" ref="IE368:IE373" si="350">ROUND(PRODUCT(IA368:ID368),0)</f>
        <v>60</v>
      </c>
      <c r="IF368" s="4">
        <v>500</v>
      </c>
      <c r="IG368" s="4">
        <f t="shared" si="338"/>
        <v>6.9444444444444448E-2</v>
      </c>
      <c r="IH368" s="4"/>
    </row>
    <row r="369" spans="1:246">
      <c r="A369">
        <v>352</v>
      </c>
      <c r="B369" t="s">
        <v>468</v>
      </c>
      <c r="C369" t="s">
        <v>1076</v>
      </c>
      <c r="D369" s="28" t="s">
        <v>863</v>
      </c>
      <c r="E369" s="27" t="s">
        <v>864</v>
      </c>
      <c r="F369" s="5" t="s">
        <v>2182</v>
      </c>
      <c r="G369" s="27" t="s">
        <v>122</v>
      </c>
      <c r="I369" s="27" t="s">
        <v>94</v>
      </c>
      <c r="J369" s="28">
        <v>21591</v>
      </c>
      <c r="K369" s="27" t="s">
        <v>97</v>
      </c>
      <c r="N369" s="28"/>
      <c r="O369" s="28"/>
      <c r="P369" s="28"/>
      <c r="Q369" s="28"/>
      <c r="R369" s="28"/>
      <c r="S369" s="27"/>
      <c r="T369" s="27"/>
      <c r="U369" s="27"/>
      <c r="AA369" s="56" t="s">
        <v>1075</v>
      </c>
      <c r="AB369" s="340">
        <v>107.28</v>
      </c>
      <c r="AC369" s="4">
        <f t="shared" si="348"/>
        <v>102.28</v>
      </c>
      <c r="AD369"/>
      <c r="AE369" s="7">
        <f t="shared" si="315"/>
        <v>5.1644400000000008</v>
      </c>
      <c r="AF369" s="7"/>
      <c r="AG369" s="7">
        <f t="shared" si="347"/>
        <v>2.192982456140351</v>
      </c>
      <c r="AH369" s="7">
        <f t="shared" si="317"/>
        <v>0</v>
      </c>
      <c r="AI369" s="7">
        <f t="shared" si="318"/>
        <v>0</v>
      </c>
      <c r="AJ369" s="7">
        <f t="shared" si="319"/>
        <v>4.3859649122807022E-2</v>
      </c>
      <c r="AK369" s="7">
        <f t="shared" si="320"/>
        <v>0.14714844912280703</v>
      </c>
      <c r="AL369" s="7">
        <f t="shared" si="321"/>
        <v>0.80931647017543873</v>
      </c>
      <c r="AM369" s="7">
        <f t="shared" si="322"/>
        <v>4.583333333333333E-2</v>
      </c>
      <c r="AN369" s="7">
        <f t="shared" si="323"/>
        <v>6.9444444444444448E-2</v>
      </c>
      <c r="AO369" s="7">
        <f t="shared" si="324"/>
        <v>0</v>
      </c>
      <c r="AP369" s="7"/>
      <c r="AQ369" s="7">
        <f t="shared" si="325"/>
        <v>8.4730248023391823</v>
      </c>
      <c r="AT369" s="6">
        <v>0</v>
      </c>
      <c r="AV369" s="7">
        <f t="shared" si="326"/>
        <v>8.4730248023391823</v>
      </c>
      <c r="AW369" s="24">
        <v>5.0999999999999997E-2</v>
      </c>
      <c r="AX369" s="2">
        <v>4.8000000000000001E-2</v>
      </c>
      <c r="AY369" s="8">
        <v>1</v>
      </c>
      <c r="AZ369" s="14">
        <f t="shared" si="327"/>
        <v>2.9999999999999957E-3</v>
      </c>
      <c r="BA369" s="4">
        <f t="shared" si="328"/>
        <v>5.1644400000000008</v>
      </c>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E369">
        <v>0</v>
      </c>
      <c r="CF369">
        <v>0</v>
      </c>
      <c r="CG369" s="4">
        <v>0</v>
      </c>
      <c r="CH369" s="4">
        <f t="shared" si="342"/>
        <v>0</v>
      </c>
      <c r="CK369" s="66"/>
      <c r="DM369">
        <v>0</v>
      </c>
      <c r="DN369" s="9">
        <v>0</v>
      </c>
      <c r="DO369" s="4">
        <v>0</v>
      </c>
      <c r="DP369">
        <v>0</v>
      </c>
      <c r="EF369">
        <v>200</v>
      </c>
      <c r="EG369" s="4">
        <v>2000</v>
      </c>
      <c r="EH369" s="4">
        <v>8</v>
      </c>
      <c r="EI369" s="8">
        <v>0.95</v>
      </c>
      <c r="EJ369" s="4">
        <v>2</v>
      </c>
      <c r="EK369" s="4">
        <v>60</v>
      </c>
      <c r="EL369" s="10">
        <f t="shared" si="349"/>
        <v>912</v>
      </c>
      <c r="EU369" s="4">
        <f t="shared" si="339"/>
        <v>2.192982456140351</v>
      </c>
      <c r="GR369" s="8">
        <v>0.11</v>
      </c>
      <c r="GS369" s="4">
        <f t="shared" si="330"/>
        <v>0.80931647017543873</v>
      </c>
      <c r="GT369" s="9">
        <v>0.02</v>
      </c>
      <c r="GU369" s="4">
        <f t="shared" si="345"/>
        <v>0.14714844912280703</v>
      </c>
      <c r="GV369" s="8">
        <v>0.02</v>
      </c>
      <c r="GW369" s="4">
        <f t="shared" si="340"/>
        <v>4.3859649122807022E-2</v>
      </c>
      <c r="GX369" s="4">
        <f t="shared" si="331"/>
        <v>1.0003245684210527</v>
      </c>
      <c r="HA369" s="4">
        <v>650</v>
      </c>
      <c r="HB369" s="4">
        <v>450</v>
      </c>
      <c r="HC369">
        <v>315</v>
      </c>
      <c r="HD369">
        <v>120</v>
      </c>
      <c r="HE369">
        <v>400</v>
      </c>
      <c r="HF369" s="4">
        <f t="shared" si="332"/>
        <v>4</v>
      </c>
      <c r="HG369">
        <v>5</v>
      </c>
      <c r="HH369" s="4">
        <v>20</v>
      </c>
      <c r="HI369">
        <v>550</v>
      </c>
      <c r="HJ369" s="4">
        <f t="shared" si="334"/>
        <v>11000</v>
      </c>
      <c r="HM369" s="4">
        <v>2</v>
      </c>
      <c r="HN369" s="10">
        <f t="shared" si="335"/>
        <v>240000</v>
      </c>
      <c r="HO369" s="4">
        <f t="shared" si="336"/>
        <v>4.583333333333333E-2</v>
      </c>
      <c r="HP369" s="4">
        <v>160</v>
      </c>
      <c r="HQ369">
        <v>0</v>
      </c>
      <c r="HR369" s="4">
        <v>0</v>
      </c>
      <c r="HS369" s="4">
        <v>0</v>
      </c>
      <c r="HT369" s="4">
        <v>0</v>
      </c>
      <c r="HU369" s="4"/>
      <c r="HV369" s="4">
        <f t="shared" si="337"/>
        <v>4.583333333333333E-2</v>
      </c>
      <c r="HW369" s="4"/>
      <c r="HX369" s="4">
        <v>2917</v>
      </c>
      <c r="HY369" s="4">
        <v>1689</v>
      </c>
      <c r="HZ369" s="4">
        <v>1842</v>
      </c>
      <c r="IA369" s="4">
        <v>4</v>
      </c>
      <c r="IB369" s="4">
        <v>3</v>
      </c>
      <c r="IC369" s="4">
        <v>5</v>
      </c>
      <c r="ID369" s="8">
        <v>1</v>
      </c>
      <c r="IE369" s="62">
        <f t="shared" si="350"/>
        <v>60</v>
      </c>
      <c r="IF369" s="4">
        <v>500</v>
      </c>
      <c r="IG369" s="4">
        <f t="shared" si="338"/>
        <v>6.9444444444444448E-2</v>
      </c>
      <c r="IH369" s="4"/>
    </row>
    <row r="370" spans="1:246">
      <c r="A370">
        <v>353</v>
      </c>
      <c r="B370" t="s">
        <v>468</v>
      </c>
      <c r="C370" t="s">
        <v>1078</v>
      </c>
      <c r="D370" s="28" t="s">
        <v>865</v>
      </c>
      <c r="E370" s="27" t="s">
        <v>866</v>
      </c>
      <c r="F370" s="5" t="s">
        <v>2182</v>
      </c>
      <c r="G370" s="27" t="s">
        <v>122</v>
      </c>
      <c r="I370" s="27" t="s">
        <v>94</v>
      </c>
      <c r="J370" s="28">
        <v>21591</v>
      </c>
      <c r="K370" s="27" t="s">
        <v>97</v>
      </c>
      <c r="N370" s="28"/>
      <c r="O370" s="28"/>
      <c r="P370" s="28"/>
      <c r="Q370" s="28"/>
      <c r="R370" s="28"/>
      <c r="S370" s="27"/>
      <c r="T370" s="27"/>
      <c r="U370" s="27"/>
      <c r="W370"/>
      <c r="X370"/>
      <c r="Y370"/>
      <c r="Z370"/>
      <c r="AA370" s="56" t="s">
        <v>1075</v>
      </c>
      <c r="AB370" s="340">
        <v>107.28</v>
      </c>
      <c r="AC370" s="4">
        <f t="shared" si="348"/>
        <v>102.28</v>
      </c>
      <c r="AD370"/>
      <c r="AE370" s="7">
        <f t="shared" si="315"/>
        <v>28.673760000000001</v>
      </c>
      <c r="AF370" s="7"/>
      <c r="AG370" s="7">
        <f t="shared" si="347"/>
        <v>5.7565789473684212</v>
      </c>
      <c r="AH370" s="7">
        <f t="shared" si="317"/>
        <v>0</v>
      </c>
      <c r="AI370" s="7">
        <f t="shared" si="318"/>
        <v>0</v>
      </c>
      <c r="AJ370" s="7">
        <f t="shared" si="319"/>
        <v>0.11513157894736843</v>
      </c>
      <c r="AK370" s="7">
        <f t="shared" si="320"/>
        <v>0.68860677894736855</v>
      </c>
      <c r="AL370" s="7">
        <f t="shared" si="321"/>
        <v>3.7873372842105271</v>
      </c>
      <c r="AM370" s="7">
        <f t="shared" si="322"/>
        <v>0.35416666666666669</v>
      </c>
      <c r="AN370" s="7">
        <f t="shared" si="323"/>
        <v>1.0416666666666667</v>
      </c>
      <c r="AO370" s="7">
        <f t="shared" si="324"/>
        <v>0</v>
      </c>
      <c r="AP370" s="7"/>
      <c r="AQ370" s="7">
        <f t="shared" si="325"/>
        <v>40.417247922807022</v>
      </c>
      <c r="AT370" s="6">
        <v>0</v>
      </c>
      <c r="AV370" s="7">
        <f t="shared" si="326"/>
        <v>40.417247922807022</v>
      </c>
      <c r="AW370" s="24">
        <v>0.27300000000000002</v>
      </c>
      <c r="AX370" s="2">
        <v>0.26700000000000002</v>
      </c>
      <c r="AY370" s="8">
        <v>1</v>
      </c>
      <c r="AZ370" s="14">
        <f t="shared" si="327"/>
        <v>6.0000000000000053E-3</v>
      </c>
      <c r="BA370" s="4">
        <f t="shared" si="328"/>
        <v>28.673760000000001</v>
      </c>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E370">
        <v>0</v>
      </c>
      <c r="CF370">
        <v>0</v>
      </c>
      <c r="CG370" s="4">
        <v>0</v>
      </c>
      <c r="CH370" s="4">
        <f t="shared" si="342"/>
        <v>0</v>
      </c>
      <c r="CK370" s="66"/>
      <c r="DM370">
        <v>0</v>
      </c>
      <c r="DN370" s="9">
        <v>0</v>
      </c>
      <c r="DO370" s="4">
        <v>0</v>
      </c>
      <c r="DP370">
        <v>0</v>
      </c>
      <c r="EF370">
        <v>450</v>
      </c>
      <c r="EG370" s="4">
        <v>4500</v>
      </c>
      <c r="EH370" s="4">
        <v>8</v>
      </c>
      <c r="EI370" s="8">
        <v>0.95</v>
      </c>
      <c r="EJ370" s="4">
        <v>2</v>
      </c>
      <c r="EK370" s="4">
        <v>70</v>
      </c>
      <c r="EL370" s="10">
        <f t="shared" si="349"/>
        <v>781.71428571428567</v>
      </c>
      <c r="EU370" s="4">
        <f t="shared" si="339"/>
        <v>5.7565789473684212</v>
      </c>
      <c r="GR370" s="8">
        <v>0.11</v>
      </c>
      <c r="GS370" s="4">
        <f t="shared" si="330"/>
        <v>3.7873372842105271</v>
      </c>
      <c r="GT370" s="9">
        <v>0.02</v>
      </c>
      <c r="GU370" s="4">
        <f t="shared" si="345"/>
        <v>0.68860677894736855</v>
      </c>
      <c r="GV370" s="8">
        <v>0.02</v>
      </c>
      <c r="GW370" s="4">
        <f t="shared" si="340"/>
        <v>0.11513157894736843</v>
      </c>
      <c r="GX370" s="4">
        <f t="shared" si="331"/>
        <v>4.5910756421052641</v>
      </c>
      <c r="HA370" s="4">
        <v>810</v>
      </c>
      <c r="HB370" s="4">
        <v>568</v>
      </c>
      <c r="HC370">
        <v>425</v>
      </c>
      <c r="HD370">
        <v>20</v>
      </c>
      <c r="HE370">
        <v>400</v>
      </c>
      <c r="HF370" s="4">
        <f t="shared" si="332"/>
        <v>20</v>
      </c>
      <c r="HG370">
        <v>5</v>
      </c>
      <c r="HH370" s="4">
        <v>100</v>
      </c>
      <c r="HI370">
        <v>850</v>
      </c>
      <c r="HJ370" s="4">
        <f t="shared" si="334"/>
        <v>85000</v>
      </c>
      <c r="HM370" s="4">
        <v>2</v>
      </c>
      <c r="HN370" s="10">
        <f t="shared" si="335"/>
        <v>240000</v>
      </c>
      <c r="HO370" s="4">
        <f t="shared" si="336"/>
        <v>0.35416666666666669</v>
      </c>
      <c r="HP370" s="4">
        <v>160</v>
      </c>
      <c r="HQ370">
        <v>0</v>
      </c>
      <c r="HR370" s="4">
        <v>0</v>
      </c>
      <c r="HS370" s="4">
        <v>0</v>
      </c>
      <c r="HT370" s="4">
        <v>0</v>
      </c>
      <c r="HU370" s="4"/>
      <c r="HV370" s="4">
        <f t="shared" si="337"/>
        <v>0.35416666666666669</v>
      </c>
      <c r="HW370" s="4"/>
      <c r="HX370" s="4">
        <v>2917</v>
      </c>
      <c r="HY370" s="4">
        <v>1689</v>
      </c>
      <c r="HZ370" s="4">
        <v>1842</v>
      </c>
      <c r="IA370" s="4">
        <v>3</v>
      </c>
      <c r="IB370" s="4">
        <v>2</v>
      </c>
      <c r="IC370" s="4">
        <v>4</v>
      </c>
      <c r="ID370" s="8">
        <v>1</v>
      </c>
      <c r="IE370" s="62">
        <f t="shared" si="350"/>
        <v>24</v>
      </c>
      <c r="IF370" s="4">
        <v>500</v>
      </c>
      <c r="IG370" s="4">
        <f t="shared" si="338"/>
        <v>1.0416666666666667</v>
      </c>
      <c r="IH370" s="4"/>
    </row>
    <row r="371" spans="1:246">
      <c r="A371">
        <v>354</v>
      </c>
      <c r="B371" t="s">
        <v>468</v>
      </c>
      <c r="C371" t="s">
        <v>1079</v>
      </c>
      <c r="D371" s="28" t="s">
        <v>867</v>
      </c>
      <c r="E371" s="27" t="s">
        <v>868</v>
      </c>
      <c r="F371" s="5" t="s">
        <v>2182</v>
      </c>
      <c r="G371" s="27" t="s">
        <v>122</v>
      </c>
      <c r="I371" s="27" t="s">
        <v>94</v>
      </c>
      <c r="J371" s="28">
        <v>21591</v>
      </c>
      <c r="K371" s="27" t="s">
        <v>97</v>
      </c>
      <c r="N371" s="28"/>
      <c r="O371" s="28"/>
      <c r="P371" s="28"/>
      <c r="Q371" s="28"/>
      <c r="R371" s="28"/>
      <c r="S371" s="27"/>
      <c r="T371" s="27"/>
      <c r="U371" s="27"/>
      <c r="AA371" s="56" t="s">
        <v>1075</v>
      </c>
      <c r="AB371" s="340">
        <v>107.28</v>
      </c>
      <c r="AC371" s="4">
        <f t="shared" si="348"/>
        <v>102.28</v>
      </c>
      <c r="AD371"/>
      <c r="AE371" s="7">
        <f t="shared" si="315"/>
        <v>5.8181199999999995</v>
      </c>
      <c r="AF371" s="7"/>
      <c r="AG371" s="7">
        <f t="shared" si="347"/>
        <v>1.3706140350877194</v>
      </c>
      <c r="AH371" s="7">
        <f t="shared" si="317"/>
        <v>0</v>
      </c>
      <c r="AI371" s="7">
        <f t="shared" si="318"/>
        <v>0</v>
      </c>
      <c r="AJ371" s="7">
        <f t="shared" si="319"/>
        <v>2.7412280701754388E-2</v>
      </c>
      <c r="AK371" s="7">
        <f t="shared" si="320"/>
        <v>0.14377468070175436</v>
      </c>
      <c r="AL371" s="7">
        <f t="shared" si="321"/>
        <v>0.79076074385964901</v>
      </c>
      <c r="AM371" s="7">
        <f t="shared" si="322"/>
        <v>4.583333333333333E-2</v>
      </c>
      <c r="AN371" s="7">
        <f t="shared" si="323"/>
        <v>6.6666666666666666E-2</v>
      </c>
      <c r="AO371" s="7">
        <f t="shared" si="324"/>
        <v>0</v>
      </c>
      <c r="AP371" s="7"/>
      <c r="AQ371" s="7">
        <f t="shared" si="325"/>
        <v>8.2631817403508752</v>
      </c>
      <c r="AT371" s="6">
        <v>0</v>
      </c>
      <c r="AV371" s="7">
        <f t="shared" si="326"/>
        <v>8.2631817403508752</v>
      </c>
      <c r="AW371" s="24">
        <v>5.8999999999999997E-2</v>
      </c>
      <c r="AX371" s="2">
        <v>5.3999999999999999E-2</v>
      </c>
      <c r="AY371" s="8">
        <v>1</v>
      </c>
      <c r="AZ371" s="14">
        <f t="shared" si="327"/>
        <v>4.9999999999999975E-3</v>
      </c>
      <c r="BA371" s="4">
        <f t="shared" si="328"/>
        <v>5.8181199999999995</v>
      </c>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E371">
        <v>0</v>
      </c>
      <c r="CF371">
        <v>0</v>
      </c>
      <c r="CG371" s="4">
        <v>0</v>
      </c>
      <c r="CH371" s="4">
        <f t="shared" si="342"/>
        <v>0</v>
      </c>
      <c r="CK371" s="66"/>
      <c r="DM371">
        <v>0</v>
      </c>
      <c r="DN371" s="9">
        <v>0</v>
      </c>
      <c r="DO371" s="4">
        <v>0</v>
      </c>
      <c r="DP371">
        <v>0</v>
      </c>
      <c r="EF371">
        <v>150</v>
      </c>
      <c r="EG371" s="4">
        <v>1500</v>
      </c>
      <c r="EH371" s="4">
        <v>8</v>
      </c>
      <c r="EI371" s="8">
        <v>0.95</v>
      </c>
      <c r="EJ371" s="4">
        <v>2</v>
      </c>
      <c r="EK371" s="4">
        <v>50</v>
      </c>
      <c r="EL371" s="10">
        <f t="shared" si="349"/>
        <v>1094.3999999999999</v>
      </c>
      <c r="EU371" s="4">
        <f t="shared" si="339"/>
        <v>1.3706140350877194</v>
      </c>
      <c r="GR371" s="8">
        <v>0.11</v>
      </c>
      <c r="GS371" s="4">
        <f t="shared" si="330"/>
        <v>0.79076074385964901</v>
      </c>
      <c r="GT371" s="9">
        <v>0.02</v>
      </c>
      <c r="GU371" s="4">
        <f t="shared" si="345"/>
        <v>0.14377468070175436</v>
      </c>
      <c r="GV371" s="8">
        <v>0.02</v>
      </c>
      <c r="GW371" s="4">
        <f t="shared" si="340"/>
        <v>2.7412280701754388E-2</v>
      </c>
      <c r="GX371" s="4">
        <f t="shared" si="331"/>
        <v>0.96194770526315776</v>
      </c>
      <c r="HA371" s="4">
        <v>650</v>
      </c>
      <c r="HB371" s="4">
        <v>450</v>
      </c>
      <c r="HC371">
        <v>330</v>
      </c>
      <c r="HD371">
        <v>125</v>
      </c>
      <c r="HE371">
        <v>400</v>
      </c>
      <c r="HF371" s="4">
        <f t="shared" si="332"/>
        <v>4</v>
      </c>
      <c r="HG371">
        <v>5</v>
      </c>
      <c r="HH371" s="4">
        <v>20</v>
      </c>
      <c r="HI371">
        <v>550</v>
      </c>
      <c r="HJ371" s="4">
        <f t="shared" si="334"/>
        <v>11000</v>
      </c>
      <c r="HM371" s="4">
        <v>2</v>
      </c>
      <c r="HN371" s="10">
        <f t="shared" si="335"/>
        <v>240000</v>
      </c>
      <c r="HO371" s="4">
        <f t="shared" si="336"/>
        <v>4.583333333333333E-2</v>
      </c>
      <c r="HP371" s="4">
        <v>160</v>
      </c>
      <c r="HQ371">
        <v>0</v>
      </c>
      <c r="HR371" s="4">
        <v>0</v>
      </c>
      <c r="HS371" s="4">
        <v>0</v>
      </c>
      <c r="HT371" s="4">
        <v>0</v>
      </c>
      <c r="HU371" s="4"/>
      <c r="HV371" s="4">
        <f t="shared" si="337"/>
        <v>4.583333333333333E-2</v>
      </c>
      <c r="HW371" s="4"/>
      <c r="HX371" s="4">
        <v>2917</v>
      </c>
      <c r="HY371" s="4">
        <v>1689</v>
      </c>
      <c r="HZ371" s="4">
        <v>1842</v>
      </c>
      <c r="IA371" s="4">
        <v>4</v>
      </c>
      <c r="IB371" s="4">
        <v>3</v>
      </c>
      <c r="IC371" s="4">
        <v>5</v>
      </c>
      <c r="ID371" s="8">
        <v>1</v>
      </c>
      <c r="IE371" s="62">
        <f t="shared" si="350"/>
        <v>60</v>
      </c>
      <c r="IF371" s="4">
        <v>500</v>
      </c>
      <c r="IG371" s="4">
        <f t="shared" si="338"/>
        <v>6.6666666666666666E-2</v>
      </c>
      <c r="IH371" s="4"/>
    </row>
    <row r="372" spans="1:246">
      <c r="A372">
        <v>355</v>
      </c>
      <c r="B372" t="s">
        <v>468</v>
      </c>
      <c r="C372" t="s">
        <v>1080</v>
      </c>
      <c r="D372" s="28" t="s">
        <v>869</v>
      </c>
      <c r="E372" s="27" t="s">
        <v>166</v>
      </c>
      <c r="F372" s="5" t="s">
        <v>2182</v>
      </c>
      <c r="G372" s="27" t="s">
        <v>122</v>
      </c>
      <c r="I372" s="27" t="s">
        <v>94</v>
      </c>
      <c r="J372" s="28">
        <v>21591</v>
      </c>
      <c r="K372" s="27" t="s">
        <v>97</v>
      </c>
      <c r="N372" s="28"/>
      <c r="O372" s="28"/>
      <c r="P372" s="28"/>
      <c r="Q372" s="28"/>
      <c r="R372" s="28"/>
      <c r="S372" s="27"/>
      <c r="T372" s="27"/>
      <c r="U372" s="27"/>
      <c r="W372"/>
      <c r="X372"/>
      <c r="Y372"/>
      <c r="Z372"/>
      <c r="AA372" s="56" t="s">
        <v>1081</v>
      </c>
      <c r="AB372" s="340">
        <v>93.78</v>
      </c>
      <c r="AC372" s="4">
        <f t="shared" si="348"/>
        <v>88.78</v>
      </c>
      <c r="AD372"/>
      <c r="AE372" s="7">
        <f t="shared" si="315"/>
        <v>30.503500000000003</v>
      </c>
      <c r="AF372" s="7"/>
      <c r="AG372" s="7">
        <f t="shared" si="347"/>
        <v>5.7565789473684212</v>
      </c>
      <c r="AH372" s="7">
        <f t="shared" si="317"/>
        <v>0</v>
      </c>
      <c r="AI372" s="7">
        <f t="shared" si="318"/>
        <v>0</v>
      </c>
      <c r="AJ372" s="7">
        <f t="shared" si="319"/>
        <v>0.11513157894736843</v>
      </c>
      <c r="AK372" s="7">
        <f t="shared" si="320"/>
        <v>0.45325098684210535</v>
      </c>
      <c r="AL372" s="7">
        <f t="shared" si="321"/>
        <v>3.9886086842105271</v>
      </c>
      <c r="AM372" s="7">
        <f t="shared" si="322"/>
        <v>0.16041666666666668</v>
      </c>
      <c r="AN372" s="7">
        <f t="shared" si="323"/>
        <v>0.1388888888888889</v>
      </c>
      <c r="AO372" s="7">
        <f t="shared" si="324"/>
        <v>0</v>
      </c>
      <c r="AP372" s="7"/>
      <c r="AQ372" s="7">
        <f t="shared" si="325"/>
        <v>41.116375752923986</v>
      </c>
      <c r="AT372" s="6">
        <v>0</v>
      </c>
      <c r="AV372" s="7">
        <f t="shared" si="326"/>
        <v>41.116375752923986</v>
      </c>
      <c r="AW372" s="24">
        <v>0.33</v>
      </c>
      <c r="AX372" s="2">
        <v>0.32500000000000001</v>
      </c>
      <c r="AY372" s="8">
        <v>1</v>
      </c>
      <c r="AZ372" s="14">
        <f t="shared" si="327"/>
        <v>5.0000000000000044E-3</v>
      </c>
      <c r="BA372" s="4">
        <f t="shared" si="328"/>
        <v>30.503500000000003</v>
      </c>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E372">
        <v>0</v>
      </c>
      <c r="CF372">
        <v>0</v>
      </c>
      <c r="CG372" s="4">
        <v>0</v>
      </c>
      <c r="CH372" s="4">
        <f t="shared" si="342"/>
        <v>0</v>
      </c>
      <c r="CK372" s="66"/>
      <c r="DM372">
        <v>0</v>
      </c>
      <c r="DN372" s="9">
        <v>0</v>
      </c>
      <c r="DO372" s="4">
        <v>0</v>
      </c>
      <c r="DP372">
        <v>0</v>
      </c>
      <c r="EF372">
        <v>450</v>
      </c>
      <c r="EG372" s="4">
        <v>4500</v>
      </c>
      <c r="EH372" s="4">
        <v>8</v>
      </c>
      <c r="EI372" s="8">
        <v>0.95</v>
      </c>
      <c r="EJ372" s="4">
        <v>2</v>
      </c>
      <c r="EK372" s="4">
        <v>70</v>
      </c>
      <c r="EL372" s="10">
        <f t="shared" si="349"/>
        <v>781.71428571428567</v>
      </c>
      <c r="EU372" s="4">
        <f t="shared" si="339"/>
        <v>5.7565789473684212</v>
      </c>
      <c r="GR372" s="8">
        <v>0.11</v>
      </c>
      <c r="GS372" s="4">
        <f t="shared" si="330"/>
        <v>3.9886086842105271</v>
      </c>
      <c r="GT372" s="9">
        <v>1.2500000000000001E-2</v>
      </c>
      <c r="GU372" s="4">
        <f t="shared" si="345"/>
        <v>0.45325098684210535</v>
      </c>
      <c r="GV372" s="8">
        <v>0.02</v>
      </c>
      <c r="GW372" s="4">
        <f t="shared" si="340"/>
        <v>0.11513157894736843</v>
      </c>
      <c r="GX372" s="4">
        <f t="shared" si="331"/>
        <v>4.5569912500000003</v>
      </c>
      <c r="HA372" s="4">
        <v>650</v>
      </c>
      <c r="HB372" s="4">
        <v>450</v>
      </c>
      <c r="HC372">
        <v>330</v>
      </c>
      <c r="HD372">
        <v>30</v>
      </c>
      <c r="HE372">
        <v>400</v>
      </c>
      <c r="HF372" s="4">
        <f t="shared" si="332"/>
        <v>14</v>
      </c>
      <c r="HG372">
        <v>5</v>
      </c>
      <c r="HH372" s="4">
        <v>70</v>
      </c>
      <c r="HI372">
        <v>550</v>
      </c>
      <c r="HJ372" s="4">
        <f t="shared" si="334"/>
        <v>38500</v>
      </c>
      <c r="HM372" s="4">
        <v>2</v>
      </c>
      <c r="HN372" s="10">
        <f t="shared" si="335"/>
        <v>240000</v>
      </c>
      <c r="HO372" s="4">
        <f t="shared" si="336"/>
        <v>0.16041666666666668</v>
      </c>
      <c r="HP372" s="4">
        <v>160</v>
      </c>
      <c r="HQ372">
        <v>0</v>
      </c>
      <c r="HR372" s="4">
        <v>0</v>
      </c>
      <c r="HS372" s="4">
        <v>0</v>
      </c>
      <c r="HT372" s="4">
        <v>0</v>
      </c>
      <c r="HU372" s="4"/>
      <c r="HV372" s="4">
        <f t="shared" si="337"/>
        <v>0.16041666666666668</v>
      </c>
      <c r="HW372" s="4"/>
      <c r="HX372" s="4">
        <v>4200</v>
      </c>
      <c r="HY372" s="4">
        <v>1900</v>
      </c>
      <c r="HZ372" s="4">
        <v>1975</v>
      </c>
      <c r="IA372" s="4">
        <v>6</v>
      </c>
      <c r="IB372" s="4">
        <v>4</v>
      </c>
      <c r="IC372" s="4">
        <v>5</v>
      </c>
      <c r="ID372" s="8">
        <v>1</v>
      </c>
      <c r="IE372" s="62">
        <f t="shared" si="350"/>
        <v>120</v>
      </c>
      <c r="IF372" s="4">
        <v>500</v>
      </c>
      <c r="IG372" s="4">
        <f t="shared" si="338"/>
        <v>0.1388888888888889</v>
      </c>
      <c r="IH372" s="4"/>
    </row>
    <row r="373" spans="1:246">
      <c r="A373">
        <v>356</v>
      </c>
      <c r="B373" t="s">
        <v>468</v>
      </c>
      <c r="C373" t="s">
        <v>1082</v>
      </c>
      <c r="D373" s="28" t="s">
        <v>870</v>
      </c>
      <c r="E373" s="27" t="s">
        <v>871</v>
      </c>
      <c r="F373" s="5" t="s">
        <v>2182</v>
      </c>
      <c r="G373" s="27" t="s">
        <v>122</v>
      </c>
      <c r="I373" s="27" t="s">
        <v>94</v>
      </c>
      <c r="J373" s="28">
        <v>21591</v>
      </c>
      <c r="K373" s="27" t="s">
        <v>97</v>
      </c>
      <c r="N373" s="28"/>
      <c r="O373" s="28"/>
      <c r="P373" s="28"/>
      <c r="Q373" s="28"/>
      <c r="R373" s="28"/>
      <c r="S373" s="27"/>
      <c r="T373" s="27"/>
      <c r="U373" s="27"/>
      <c r="W373"/>
      <c r="X373"/>
      <c r="Y373"/>
      <c r="Z373"/>
      <c r="AA373" s="56" t="s">
        <v>1083</v>
      </c>
      <c r="AB373" s="340">
        <v>123.49</v>
      </c>
      <c r="AC373" s="4">
        <f t="shared" si="348"/>
        <v>118.49</v>
      </c>
      <c r="AD373" t="s">
        <v>285</v>
      </c>
      <c r="AE373" s="7">
        <f t="shared" si="315"/>
        <v>40.15925</v>
      </c>
      <c r="AF373" s="7"/>
      <c r="AG373" s="7">
        <f t="shared" si="347"/>
        <v>5.7565789473684212</v>
      </c>
      <c r="AH373" s="7">
        <f t="shared" si="317"/>
        <v>0</v>
      </c>
      <c r="AI373" s="7">
        <f t="shared" si="318"/>
        <v>0</v>
      </c>
      <c r="AJ373" s="7">
        <f t="shared" si="319"/>
        <v>0.11513157894736843</v>
      </c>
      <c r="AK373" s="7">
        <f t="shared" si="320"/>
        <v>0.57394786184210533</v>
      </c>
      <c r="AL373" s="7">
        <f t="shared" si="321"/>
        <v>5.0507411842105272</v>
      </c>
      <c r="AM373" s="7">
        <f t="shared" si="322"/>
        <v>0.16041666666666668</v>
      </c>
      <c r="AN373" s="7">
        <f t="shared" si="323"/>
        <v>0.1388888888888889</v>
      </c>
      <c r="AO373" s="7">
        <f t="shared" si="324"/>
        <v>0</v>
      </c>
      <c r="AP373" s="7"/>
      <c r="AQ373" s="7">
        <f t="shared" si="325"/>
        <v>51.954955127923988</v>
      </c>
      <c r="AT373" s="6">
        <v>0</v>
      </c>
      <c r="AV373" s="7">
        <f t="shared" si="326"/>
        <v>51.954955127923988</v>
      </c>
      <c r="AW373" s="24">
        <v>0.33</v>
      </c>
      <c r="AX373" s="2">
        <v>0.32500000000000001</v>
      </c>
      <c r="AY373" s="8">
        <v>1</v>
      </c>
      <c r="AZ373" s="14">
        <f t="shared" si="327"/>
        <v>5.0000000000000044E-3</v>
      </c>
      <c r="BA373" s="4">
        <f t="shared" si="328"/>
        <v>40.15925</v>
      </c>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E373">
        <v>0</v>
      </c>
      <c r="CF373">
        <v>0</v>
      </c>
      <c r="CG373" s="4">
        <v>0</v>
      </c>
      <c r="CH373" s="4">
        <f t="shared" si="342"/>
        <v>0</v>
      </c>
      <c r="CK373" s="66"/>
      <c r="DM373">
        <v>0</v>
      </c>
      <c r="DN373" s="9">
        <v>0</v>
      </c>
      <c r="DO373" s="4">
        <v>0</v>
      </c>
      <c r="DP373">
        <v>0</v>
      </c>
      <c r="EF373">
        <v>450</v>
      </c>
      <c r="EG373" s="4">
        <v>4500</v>
      </c>
      <c r="EH373" s="4">
        <v>8</v>
      </c>
      <c r="EI373" s="8">
        <v>0.95</v>
      </c>
      <c r="EJ373" s="4">
        <v>2</v>
      </c>
      <c r="EK373" s="4">
        <v>70</v>
      </c>
      <c r="EL373" s="10">
        <f t="shared" si="349"/>
        <v>781.71428571428567</v>
      </c>
      <c r="EU373" s="4">
        <f t="shared" si="339"/>
        <v>5.7565789473684212</v>
      </c>
      <c r="GR373" s="8">
        <v>0.11</v>
      </c>
      <c r="GS373" s="4">
        <f t="shared" si="330"/>
        <v>5.0507411842105272</v>
      </c>
      <c r="GT373" s="9">
        <v>1.2500000000000001E-2</v>
      </c>
      <c r="GU373" s="4">
        <f t="shared" si="345"/>
        <v>0.57394786184210533</v>
      </c>
      <c r="GV373" s="8">
        <v>0.02</v>
      </c>
      <c r="GW373" s="4">
        <f t="shared" si="340"/>
        <v>0.11513157894736843</v>
      </c>
      <c r="GX373" s="4">
        <f t="shared" si="331"/>
        <v>5.739820625000001</v>
      </c>
      <c r="HA373" s="4">
        <v>650</v>
      </c>
      <c r="HB373" s="4">
        <v>450</v>
      </c>
      <c r="HC373">
        <v>330</v>
      </c>
      <c r="HD373">
        <v>30</v>
      </c>
      <c r="HE373">
        <v>400</v>
      </c>
      <c r="HF373" s="4">
        <f t="shared" si="332"/>
        <v>14</v>
      </c>
      <c r="HG373">
        <v>5</v>
      </c>
      <c r="HH373" s="4">
        <v>70</v>
      </c>
      <c r="HI373">
        <v>550</v>
      </c>
      <c r="HJ373" s="4">
        <f t="shared" si="334"/>
        <v>38500</v>
      </c>
      <c r="HM373" s="4">
        <v>2</v>
      </c>
      <c r="HN373" s="10">
        <f t="shared" si="335"/>
        <v>240000</v>
      </c>
      <c r="HO373" s="4">
        <f t="shared" si="336"/>
        <v>0.16041666666666668</v>
      </c>
      <c r="HP373" s="4">
        <v>160</v>
      </c>
      <c r="HQ373">
        <v>0</v>
      </c>
      <c r="HR373" s="4">
        <v>0</v>
      </c>
      <c r="HS373" s="4">
        <v>0</v>
      </c>
      <c r="HT373" s="4">
        <v>0</v>
      </c>
      <c r="HU373" s="4"/>
      <c r="HV373" s="4">
        <f t="shared" si="337"/>
        <v>0.16041666666666668</v>
      </c>
      <c r="HW373" s="4"/>
      <c r="HX373" s="4">
        <v>4200</v>
      </c>
      <c r="HY373" s="4">
        <v>1900</v>
      </c>
      <c r="HZ373" s="4">
        <v>1975</v>
      </c>
      <c r="IA373" s="4">
        <v>6</v>
      </c>
      <c r="IB373" s="4">
        <v>4</v>
      </c>
      <c r="IC373" s="4">
        <v>5</v>
      </c>
      <c r="ID373" s="8">
        <v>1</v>
      </c>
      <c r="IE373" s="62">
        <f t="shared" si="350"/>
        <v>120</v>
      </c>
      <c r="IF373" s="4">
        <v>500</v>
      </c>
      <c r="IG373" s="4">
        <f t="shared" si="338"/>
        <v>0.1388888888888889</v>
      </c>
      <c r="IH373" s="4"/>
    </row>
    <row r="374" spans="1:246">
      <c r="A374">
        <v>357</v>
      </c>
      <c r="B374" t="s">
        <v>468</v>
      </c>
      <c r="C374" t="s">
        <v>1084</v>
      </c>
      <c r="D374" s="28" t="s">
        <v>872</v>
      </c>
      <c r="E374" s="27" t="s">
        <v>873</v>
      </c>
      <c r="F374" s="5" t="s">
        <v>2182</v>
      </c>
      <c r="G374" s="27" t="s">
        <v>122</v>
      </c>
      <c r="I374" s="27" t="s">
        <v>94</v>
      </c>
      <c r="J374" s="28">
        <v>21591</v>
      </c>
      <c r="K374" s="27" t="s">
        <v>97</v>
      </c>
      <c r="N374" s="28"/>
      <c r="O374" s="28"/>
      <c r="P374" s="28"/>
      <c r="Q374" s="28"/>
      <c r="R374" s="28"/>
      <c r="S374" s="27"/>
      <c r="T374" s="27"/>
      <c r="U374" s="27"/>
      <c r="W374"/>
      <c r="X374"/>
      <c r="Y374"/>
      <c r="Z374"/>
      <c r="AA374" s="56" t="s">
        <v>1085</v>
      </c>
      <c r="AB374" s="340">
        <v>190.5</v>
      </c>
      <c r="AC374" s="4">
        <v>20</v>
      </c>
      <c r="AD374" t="s">
        <v>1086</v>
      </c>
      <c r="AE374" s="7">
        <f t="shared" si="315"/>
        <v>1.5892500000000001</v>
      </c>
      <c r="AF374" s="7"/>
      <c r="AG374" s="7">
        <f t="shared" si="347"/>
        <v>1.2335526315789473</v>
      </c>
      <c r="AH374" s="7">
        <f t="shared" si="317"/>
        <v>0</v>
      </c>
      <c r="AI374" s="7">
        <f t="shared" si="318"/>
        <v>0</v>
      </c>
      <c r="AJ374" s="7">
        <f t="shared" si="319"/>
        <v>2.4671052631578948E-2</v>
      </c>
      <c r="AK374" s="7">
        <f t="shared" si="320"/>
        <v>3.5285032894736848E-2</v>
      </c>
      <c r="AL374" s="7">
        <f t="shared" si="321"/>
        <v>0.31050828947368425</v>
      </c>
      <c r="AM374" s="7">
        <f t="shared" si="322"/>
        <v>1.1805555555555555E-2</v>
      </c>
      <c r="AN374" s="7">
        <f t="shared" si="323"/>
        <v>7.8125E-3</v>
      </c>
      <c r="AO374" s="7">
        <f t="shared" si="324"/>
        <v>0</v>
      </c>
      <c r="AP374" s="7"/>
      <c r="AQ374" s="7">
        <f t="shared" si="325"/>
        <v>3.2128850621345029</v>
      </c>
      <c r="AT374" s="6">
        <v>0</v>
      </c>
      <c r="AV374" s="7">
        <f t="shared" si="326"/>
        <v>3.2128850621345029</v>
      </c>
      <c r="AW374" s="177">
        <v>8.5000000000000006E-3</v>
      </c>
      <c r="AX374" s="178">
        <v>7.0000000000000001E-3</v>
      </c>
      <c r="AY374" s="8">
        <v>1</v>
      </c>
      <c r="AZ374" s="14">
        <f t="shared" si="327"/>
        <v>1.5000000000000005E-3</v>
      </c>
      <c r="BA374" s="4">
        <f t="shared" si="328"/>
        <v>1.5892500000000001</v>
      </c>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E374">
        <v>0</v>
      </c>
      <c r="CF374">
        <v>0</v>
      </c>
      <c r="CG374" s="4">
        <v>0</v>
      </c>
      <c r="CH374" s="4">
        <f t="shared" si="342"/>
        <v>0</v>
      </c>
      <c r="CK374" s="66"/>
      <c r="DM374">
        <v>0</v>
      </c>
      <c r="DN374" s="9">
        <v>0</v>
      </c>
      <c r="DO374" s="4">
        <v>0</v>
      </c>
      <c r="DP374">
        <v>0</v>
      </c>
      <c r="EF374">
        <v>150</v>
      </c>
      <c r="EG374" s="4">
        <v>1500</v>
      </c>
      <c r="EH374" s="4">
        <v>8</v>
      </c>
      <c r="EI374" s="8">
        <v>0.95</v>
      </c>
      <c r="EJ374" s="4">
        <v>2</v>
      </c>
      <c r="EK374" s="4">
        <v>45</v>
      </c>
      <c r="EL374" s="10">
        <f t="shared" si="349"/>
        <v>1216</v>
      </c>
      <c r="EU374" s="4">
        <f t="shared" si="339"/>
        <v>1.2335526315789473</v>
      </c>
      <c r="GR374" s="8">
        <v>0.11</v>
      </c>
      <c r="GS374" s="4">
        <f t="shared" si="330"/>
        <v>0.31050828947368425</v>
      </c>
      <c r="GT374" s="9">
        <v>1.2500000000000001E-2</v>
      </c>
      <c r="GU374" s="4">
        <f t="shared" si="345"/>
        <v>3.5285032894736848E-2</v>
      </c>
      <c r="GV374" s="8">
        <v>0.02</v>
      </c>
      <c r="GW374" s="4">
        <f t="shared" si="340"/>
        <v>2.4671052631578948E-2</v>
      </c>
      <c r="GX374" s="4">
        <f t="shared" si="331"/>
        <v>0.37046437500000001</v>
      </c>
      <c r="HA374" s="4">
        <v>650</v>
      </c>
      <c r="HB374" s="4">
        <v>450</v>
      </c>
      <c r="HC374">
        <v>315</v>
      </c>
      <c r="HD374">
        <v>1000</v>
      </c>
      <c r="HE374">
        <v>600</v>
      </c>
      <c r="HF374" s="4">
        <f t="shared" si="332"/>
        <v>1</v>
      </c>
      <c r="HG374">
        <v>5</v>
      </c>
      <c r="HH374" s="4">
        <v>5</v>
      </c>
      <c r="HI374">
        <v>850</v>
      </c>
      <c r="HJ374" s="4">
        <f t="shared" si="334"/>
        <v>4250</v>
      </c>
      <c r="HM374" s="4">
        <v>2</v>
      </c>
      <c r="HN374" s="10">
        <f t="shared" si="335"/>
        <v>360000</v>
      </c>
      <c r="HO374" s="4">
        <f t="shared" si="336"/>
        <v>1.1805555555555555E-2</v>
      </c>
      <c r="HP374" s="4">
        <v>160</v>
      </c>
      <c r="HQ374">
        <v>0</v>
      </c>
      <c r="HR374" s="4">
        <v>0</v>
      </c>
      <c r="HS374" s="4">
        <v>0</v>
      </c>
      <c r="HT374" s="4">
        <v>0</v>
      </c>
      <c r="HU374" s="4"/>
      <c r="HV374" s="4">
        <f t="shared" si="337"/>
        <v>1.1805555555555555E-2</v>
      </c>
      <c r="HW374" s="4"/>
      <c r="HX374" s="4">
        <v>4200</v>
      </c>
      <c r="HY374" s="4">
        <v>1900</v>
      </c>
      <c r="HZ374" s="4">
        <v>1975</v>
      </c>
      <c r="IA374" s="4">
        <v>6</v>
      </c>
      <c r="IB374" s="4">
        <v>4</v>
      </c>
      <c r="IC374" s="4">
        <v>6</v>
      </c>
      <c r="ID374" s="8">
        <v>1</v>
      </c>
      <c r="IE374" s="62">
        <f>ROUND(PRODUCT(IA374:ID374),0)-80</f>
        <v>64</v>
      </c>
      <c r="IF374" s="4">
        <v>500</v>
      </c>
      <c r="IG374" s="4">
        <f t="shared" si="338"/>
        <v>7.8125E-3</v>
      </c>
      <c r="IH374" s="4"/>
    </row>
    <row r="375" spans="1:246">
      <c r="A375">
        <v>358</v>
      </c>
      <c r="B375" t="s">
        <v>468</v>
      </c>
      <c r="C375" t="s">
        <v>1087</v>
      </c>
      <c r="D375" s="28" t="s">
        <v>874</v>
      </c>
      <c r="E375" s="27" t="s">
        <v>875</v>
      </c>
      <c r="F375" s="5" t="s">
        <v>2182</v>
      </c>
      <c r="G375" s="27" t="s">
        <v>122</v>
      </c>
      <c r="I375" s="27" t="s">
        <v>94</v>
      </c>
      <c r="J375" s="28">
        <v>21591</v>
      </c>
      <c r="K375" s="27" t="s">
        <v>97</v>
      </c>
      <c r="N375" s="28"/>
      <c r="O375" s="28"/>
      <c r="P375" s="28"/>
      <c r="Q375" s="28"/>
      <c r="R375" s="28"/>
      <c r="S375" s="27"/>
      <c r="T375" s="27"/>
      <c r="U375" s="27"/>
      <c r="W375"/>
      <c r="X375"/>
      <c r="Y375"/>
      <c r="Z375"/>
      <c r="AA375" s="56" t="s">
        <v>1088</v>
      </c>
      <c r="AB375" s="340">
        <v>102.51</v>
      </c>
      <c r="AC375" s="4">
        <f>AB375-5</f>
        <v>97.51</v>
      </c>
      <c r="AD375"/>
      <c r="AE375" s="7">
        <f t="shared" si="315"/>
        <v>2.3677299999999999</v>
      </c>
      <c r="AF375" s="7"/>
      <c r="AG375" s="7">
        <f t="shared" si="347"/>
        <v>1.7105263157894739</v>
      </c>
      <c r="AH375" s="7">
        <f t="shared" si="317"/>
        <v>0</v>
      </c>
      <c r="AI375" s="7">
        <f t="shared" si="318"/>
        <v>0</v>
      </c>
      <c r="AJ375" s="7">
        <f t="shared" si="319"/>
        <v>3.4210526315789476E-2</v>
      </c>
      <c r="AK375" s="7">
        <f t="shared" si="320"/>
        <v>5.0978203947368433E-2</v>
      </c>
      <c r="AL375" s="7">
        <f t="shared" si="321"/>
        <v>0.47715598894736849</v>
      </c>
      <c r="AM375" s="7">
        <f t="shared" si="322"/>
        <v>5.2380952380952382E-2</v>
      </c>
      <c r="AN375" s="7">
        <f t="shared" si="323"/>
        <v>8.3333333333333329E-2</v>
      </c>
      <c r="AO375" s="7">
        <f t="shared" si="324"/>
        <v>0</v>
      </c>
      <c r="AP375" s="7"/>
      <c r="AQ375" s="7">
        <f t="shared" si="325"/>
        <v>4.7763153207142857</v>
      </c>
      <c r="AT375" s="6">
        <v>0</v>
      </c>
      <c r="AV375" s="7">
        <f t="shared" si="326"/>
        <v>4.7763153207142857</v>
      </c>
      <c r="AW375" s="24">
        <v>2.5000000000000001E-2</v>
      </c>
      <c r="AX375" s="2">
        <v>2.3E-2</v>
      </c>
      <c r="AY375" s="8">
        <v>1</v>
      </c>
      <c r="AZ375" s="14">
        <f t="shared" si="327"/>
        <v>2.0000000000000018E-3</v>
      </c>
      <c r="BA375" s="4">
        <f t="shared" si="328"/>
        <v>2.3677299999999999</v>
      </c>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E375">
        <v>0</v>
      </c>
      <c r="CF375">
        <v>0</v>
      </c>
      <c r="CG375" s="4">
        <v>0</v>
      </c>
      <c r="CH375" s="4">
        <f t="shared" si="342"/>
        <v>0</v>
      </c>
      <c r="CK375" s="66"/>
      <c r="DM375">
        <v>0</v>
      </c>
      <c r="DN375" s="9">
        <v>0</v>
      </c>
      <c r="DO375" s="4">
        <v>0</v>
      </c>
      <c r="DP375">
        <v>0</v>
      </c>
      <c r="EF375">
        <v>180</v>
      </c>
      <c r="EG375" s="4">
        <v>1800</v>
      </c>
      <c r="EH375" s="4">
        <v>8</v>
      </c>
      <c r="EI375" s="8">
        <v>0.95</v>
      </c>
      <c r="EJ375" s="4">
        <v>2</v>
      </c>
      <c r="EK375" s="4">
        <v>52</v>
      </c>
      <c r="EL375" s="10">
        <f t="shared" si="349"/>
        <v>1052.3076923076922</v>
      </c>
      <c r="EU375" s="4">
        <f t="shared" si="339"/>
        <v>1.7105263157894739</v>
      </c>
      <c r="GR375" s="8">
        <v>0.11700000000000001</v>
      </c>
      <c r="GS375" s="4">
        <f t="shared" si="330"/>
        <v>0.47715598894736849</v>
      </c>
      <c r="GT375" s="9">
        <v>1.2500000000000001E-2</v>
      </c>
      <c r="GU375" s="4">
        <f t="shared" si="345"/>
        <v>5.0978203947368433E-2</v>
      </c>
      <c r="GV375" s="8">
        <v>0.02</v>
      </c>
      <c r="GW375" s="4">
        <f t="shared" si="340"/>
        <v>3.4210526315789476E-2</v>
      </c>
      <c r="GX375" s="4">
        <f t="shared" si="331"/>
        <v>0.56234471921052642</v>
      </c>
      <c r="HA375" s="4">
        <v>650</v>
      </c>
      <c r="HB375" s="4">
        <v>450</v>
      </c>
      <c r="HC375">
        <v>480</v>
      </c>
      <c r="HD375">
        <v>100</v>
      </c>
      <c r="HE375">
        <v>350</v>
      </c>
      <c r="HF375" s="4">
        <f t="shared" si="332"/>
        <v>4</v>
      </c>
      <c r="HG375">
        <v>5</v>
      </c>
      <c r="HH375" s="4">
        <v>20</v>
      </c>
      <c r="HI375">
        <v>550</v>
      </c>
      <c r="HJ375" s="4">
        <f t="shared" si="334"/>
        <v>11000</v>
      </c>
      <c r="HM375" s="4">
        <v>2</v>
      </c>
      <c r="HN375" s="10">
        <f t="shared" si="335"/>
        <v>210000</v>
      </c>
      <c r="HO375" s="4">
        <f t="shared" si="336"/>
        <v>5.2380952380952382E-2</v>
      </c>
      <c r="HP375" s="4">
        <v>160</v>
      </c>
      <c r="HQ375">
        <v>0</v>
      </c>
      <c r="HR375" s="4">
        <v>0</v>
      </c>
      <c r="HS375" s="4">
        <v>0</v>
      </c>
      <c r="HT375" s="4">
        <v>0</v>
      </c>
      <c r="HU375" s="4"/>
      <c r="HV375" s="4">
        <f t="shared" si="337"/>
        <v>5.2380952380952382E-2</v>
      </c>
      <c r="HW375" s="4"/>
      <c r="HX375" s="4">
        <v>2917</v>
      </c>
      <c r="HY375" s="4">
        <v>1689</v>
      </c>
      <c r="HZ375" s="4">
        <v>1842</v>
      </c>
      <c r="IA375" s="4">
        <v>4</v>
      </c>
      <c r="IB375" s="4">
        <v>3</v>
      </c>
      <c r="IC375" s="4">
        <v>5</v>
      </c>
      <c r="ID375" s="8">
        <v>1</v>
      </c>
      <c r="IE375" s="62">
        <f t="shared" ref="IE375:IE380" si="351">ROUND(PRODUCT(IA375:ID375),0)</f>
        <v>60</v>
      </c>
      <c r="IF375" s="4">
        <v>500</v>
      </c>
      <c r="IG375" s="4">
        <f t="shared" si="338"/>
        <v>8.3333333333333329E-2</v>
      </c>
      <c r="IH375" s="4"/>
    </row>
    <row r="376" spans="1:246">
      <c r="A376">
        <v>359</v>
      </c>
      <c r="B376" t="s">
        <v>468</v>
      </c>
      <c r="C376" t="s">
        <v>1089</v>
      </c>
      <c r="D376" s="28" t="s">
        <v>876</v>
      </c>
      <c r="E376" s="27" t="s">
        <v>84</v>
      </c>
      <c r="F376" s="5" t="s">
        <v>2182</v>
      </c>
      <c r="G376" s="27" t="s">
        <v>122</v>
      </c>
      <c r="I376" s="27" t="s">
        <v>94</v>
      </c>
      <c r="J376" s="28">
        <v>21591</v>
      </c>
      <c r="K376" s="27" t="s">
        <v>97</v>
      </c>
      <c r="L376">
        <v>21480</v>
      </c>
      <c r="M376" t="s">
        <v>94</v>
      </c>
      <c r="N376" s="28"/>
      <c r="O376" s="28"/>
      <c r="P376" s="28"/>
      <c r="Q376" s="28"/>
      <c r="R376" s="28"/>
      <c r="S376" s="27"/>
      <c r="T376" s="27"/>
      <c r="U376" s="27"/>
      <c r="W376" t="s">
        <v>1090</v>
      </c>
      <c r="X376"/>
      <c r="Y376"/>
      <c r="Z376"/>
      <c r="AA376" s="56" t="s">
        <v>1091</v>
      </c>
      <c r="AB376" s="340">
        <v>118.25</v>
      </c>
      <c r="AC376" s="4">
        <v>20</v>
      </c>
      <c r="AD376" t="s">
        <v>1092</v>
      </c>
      <c r="AE376" s="7">
        <f t="shared" si="315"/>
        <v>9.1549150000000008</v>
      </c>
      <c r="AF376" s="7"/>
      <c r="AG376" s="7">
        <f t="shared" si="347"/>
        <v>1.2061403508771931</v>
      </c>
      <c r="AH376" s="7">
        <f t="shared" si="317"/>
        <v>10.17</v>
      </c>
      <c r="AI376" s="7">
        <f t="shared" si="318"/>
        <v>0.31</v>
      </c>
      <c r="AJ376" s="7">
        <f t="shared" si="319"/>
        <v>2.4122807017543862E-2</v>
      </c>
      <c r="AK376" s="7">
        <f t="shared" si="320"/>
        <v>0.12951319188596494</v>
      </c>
      <c r="AL376" s="7">
        <f t="shared" si="321"/>
        <v>1.1397160885964914</v>
      </c>
      <c r="AM376" s="7">
        <f t="shared" si="322"/>
        <v>4.583333333333333E-2</v>
      </c>
      <c r="AN376" s="7">
        <f t="shared" si="323"/>
        <v>3.8580246913580245E-2</v>
      </c>
      <c r="AO376" s="4">
        <f t="shared" si="324"/>
        <v>0</v>
      </c>
      <c r="AP376" s="4"/>
      <c r="AQ376" s="7">
        <f t="shared" si="325"/>
        <v>22.218821018624109</v>
      </c>
      <c r="AT376" s="6">
        <v>0</v>
      </c>
      <c r="AV376" s="7">
        <f t="shared" si="326"/>
        <v>22.218821018624109</v>
      </c>
      <c r="AW376" s="24">
        <v>7.7420000000000003E-2</v>
      </c>
      <c r="AX376" s="2">
        <v>7.7420000000000003E-2</v>
      </c>
      <c r="AY376" s="8">
        <v>1</v>
      </c>
      <c r="AZ376" s="14">
        <f t="shared" si="327"/>
        <v>0</v>
      </c>
      <c r="BA376" s="4">
        <f t="shared" si="328"/>
        <v>9.1549150000000008</v>
      </c>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E376">
        <v>0</v>
      </c>
      <c r="CF376">
        <v>3</v>
      </c>
      <c r="CG376" s="4">
        <v>3.39</v>
      </c>
      <c r="CH376" s="62">
        <f t="shared" si="342"/>
        <v>10.17</v>
      </c>
      <c r="CK376" s="66"/>
      <c r="DM376" s="4">
        <f>CH376+CM376+CR376+CW376+DB376+DG376+DL376</f>
        <v>10.17</v>
      </c>
      <c r="DN376" s="9">
        <v>0</v>
      </c>
      <c r="DO376" s="4">
        <v>0.31</v>
      </c>
      <c r="DP376" s="4">
        <v>0</v>
      </c>
      <c r="DQ376" s="4"/>
      <c r="DR376" s="4"/>
      <c r="DS376" s="4"/>
      <c r="DT376" s="4"/>
      <c r="DU376" s="4"/>
      <c r="DV376" s="4"/>
      <c r="DW376" s="4"/>
      <c r="DX376" s="4"/>
      <c r="DY376" s="4"/>
      <c r="DZ376" s="4"/>
      <c r="EA376" s="4"/>
      <c r="EB376" s="4"/>
      <c r="EC376" s="4"/>
      <c r="ED376" s="4"/>
      <c r="EE376" s="4"/>
      <c r="EF376">
        <v>220</v>
      </c>
      <c r="EG376" s="4">
        <v>2200</v>
      </c>
      <c r="EH376" s="4">
        <v>8</v>
      </c>
      <c r="EI376" s="8">
        <v>0.95</v>
      </c>
      <c r="EJ376" s="4">
        <v>4</v>
      </c>
      <c r="EK376" s="4">
        <v>60</v>
      </c>
      <c r="EL376" s="10">
        <f t="shared" si="349"/>
        <v>1824</v>
      </c>
      <c r="EU376" s="4">
        <f t="shared" si="339"/>
        <v>1.2061403508771931</v>
      </c>
      <c r="GR376" s="8">
        <v>0.11</v>
      </c>
      <c r="GS376" s="4">
        <f t="shared" si="330"/>
        <v>1.1397160885964914</v>
      </c>
      <c r="GT376" s="9">
        <v>1.2500000000000001E-2</v>
      </c>
      <c r="GU376" s="4">
        <f t="shared" si="345"/>
        <v>0.12951319188596494</v>
      </c>
      <c r="GV376" s="8">
        <v>0.02</v>
      </c>
      <c r="GW376" s="4">
        <f t="shared" si="340"/>
        <v>2.4122807017543862E-2</v>
      </c>
      <c r="GX376" s="4">
        <f t="shared" si="331"/>
        <v>1.2933520875000002</v>
      </c>
      <c r="HA376" s="4">
        <v>650</v>
      </c>
      <c r="HB376" s="4">
        <v>450</v>
      </c>
      <c r="HC376">
        <v>330</v>
      </c>
      <c r="HD376">
        <v>108</v>
      </c>
      <c r="HE376">
        <v>400</v>
      </c>
      <c r="HF376" s="4">
        <f t="shared" si="332"/>
        <v>4</v>
      </c>
      <c r="HG376">
        <v>5</v>
      </c>
      <c r="HH376" s="4">
        <v>20</v>
      </c>
      <c r="HI376">
        <v>550</v>
      </c>
      <c r="HJ376" s="4">
        <f t="shared" si="334"/>
        <v>11000</v>
      </c>
      <c r="HM376" s="4">
        <v>2</v>
      </c>
      <c r="HN376" s="10">
        <f t="shared" si="335"/>
        <v>240000</v>
      </c>
      <c r="HO376" s="4">
        <f t="shared" si="336"/>
        <v>4.583333333333333E-2</v>
      </c>
      <c r="HP376" s="4">
        <v>160</v>
      </c>
      <c r="HQ376">
        <v>0</v>
      </c>
      <c r="HR376" s="4">
        <v>0</v>
      </c>
      <c r="HS376" s="4">
        <v>0</v>
      </c>
      <c r="HT376" s="4">
        <v>0</v>
      </c>
      <c r="HU376" s="4"/>
      <c r="HV376" s="4">
        <f t="shared" si="337"/>
        <v>4.583333333333333E-2</v>
      </c>
      <c r="HW376" s="4"/>
      <c r="HX376" s="4">
        <v>4200</v>
      </c>
      <c r="HY376" s="4">
        <v>1900</v>
      </c>
      <c r="HZ376" s="4">
        <v>1975</v>
      </c>
      <c r="IA376" s="4">
        <v>6</v>
      </c>
      <c r="IB376" s="4">
        <v>4</v>
      </c>
      <c r="IC376" s="4">
        <v>5</v>
      </c>
      <c r="ID376" s="8">
        <v>1</v>
      </c>
      <c r="IE376" s="62">
        <f t="shared" si="351"/>
        <v>120</v>
      </c>
      <c r="IF376" s="4">
        <v>500</v>
      </c>
      <c r="IG376" s="4">
        <f t="shared" si="338"/>
        <v>3.8580246913580245E-2</v>
      </c>
      <c r="IH376" s="4"/>
    </row>
    <row r="377" spans="1:246">
      <c r="A377">
        <v>360</v>
      </c>
      <c r="B377" t="s">
        <v>468</v>
      </c>
      <c r="C377" t="s">
        <v>1093</v>
      </c>
      <c r="D377" s="28" t="s">
        <v>877</v>
      </c>
      <c r="E377" s="27" t="s">
        <v>878</v>
      </c>
      <c r="F377" s="5" t="s">
        <v>2182</v>
      </c>
      <c r="G377" s="27" t="s">
        <v>122</v>
      </c>
      <c r="I377" s="27" t="s">
        <v>94</v>
      </c>
      <c r="J377" s="28">
        <v>21591</v>
      </c>
      <c r="K377" s="27" t="s">
        <v>97</v>
      </c>
      <c r="L377">
        <v>21480</v>
      </c>
      <c r="M377" t="s">
        <v>94</v>
      </c>
      <c r="N377" s="28"/>
      <c r="O377" s="28"/>
      <c r="P377" s="28"/>
      <c r="Q377" s="28"/>
      <c r="R377" s="28"/>
      <c r="S377" s="27"/>
      <c r="T377" s="27"/>
      <c r="U377" s="27"/>
      <c r="W377" t="s">
        <v>1090</v>
      </c>
      <c r="X377"/>
      <c r="Y377"/>
      <c r="Z377"/>
      <c r="AA377" s="56" t="s">
        <v>1073</v>
      </c>
      <c r="AB377" s="340">
        <v>104.05</v>
      </c>
      <c r="AC377" s="4">
        <f>AB377-5</f>
        <v>99.05</v>
      </c>
      <c r="AD377"/>
      <c r="AE377" s="7">
        <f t="shared" si="315"/>
        <v>5.6436999999999999</v>
      </c>
      <c r="AF377" s="7"/>
      <c r="AG377" s="7">
        <f t="shared" si="347"/>
        <v>1.3706140350877194</v>
      </c>
      <c r="AH377" s="7">
        <f t="shared" si="317"/>
        <v>0</v>
      </c>
      <c r="AI377" s="7">
        <f t="shared" si="318"/>
        <v>0</v>
      </c>
      <c r="AJ377" s="7">
        <f t="shared" si="319"/>
        <v>2.7412280701754388E-2</v>
      </c>
      <c r="AK377" s="7">
        <f t="shared" si="320"/>
        <v>8.7678925438596497E-2</v>
      </c>
      <c r="AL377" s="7">
        <f t="shared" si="321"/>
        <v>0.77157454385964908</v>
      </c>
      <c r="AM377" s="7">
        <f t="shared" si="322"/>
        <v>4.583333333333333E-2</v>
      </c>
      <c r="AN377" s="7">
        <f t="shared" si="323"/>
        <v>3.3333333333333333E-2</v>
      </c>
      <c r="AO377" s="4">
        <f t="shared" si="324"/>
        <v>0</v>
      </c>
      <c r="AP377" s="4"/>
      <c r="AQ377" s="7">
        <f t="shared" si="325"/>
        <v>7.9801464517543854</v>
      </c>
      <c r="AT377" s="6">
        <v>0</v>
      </c>
      <c r="AV377" s="7">
        <f t="shared" si="326"/>
        <v>7.9801464517543854</v>
      </c>
      <c r="AW377" s="24">
        <v>5.8999999999999997E-2</v>
      </c>
      <c r="AX377" s="2">
        <v>5.3999999999999999E-2</v>
      </c>
      <c r="AY377" s="8">
        <v>1</v>
      </c>
      <c r="AZ377" s="14">
        <f t="shared" si="327"/>
        <v>4.9999999999999975E-3</v>
      </c>
      <c r="BA377" s="4">
        <f t="shared" si="328"/>
        <v>5.6436999999999999</v>
      </c>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E377">
        <v>0</v>
      </c>
      <c r="CF377">
        <v>0</v>
      </c>
      <c r="CG377" s="4">
        <v>0</v>
      </c>
      <c r="CH377" s="4">
        <f t="shared" si="342"/>
        <v>0</v>
      </c>
      <c r="CK377" s="66"/>
      <c r="DM377" s="4">
        <f>CH377+CM377+CR377+CW377+DB377+DG377+DL377</f>
        <v>0</v>
      </c>
      <c r="DN377" s="9">
        <v>0</v>
      </c>
      <c r="DO377" s="4">
        <v>0</v>
      </c>
      <c r="DP377">
        <v>0</v>
      </c>
      <c r="EF377">
        <v>150</v>
      </c>
      <c r="EG377" s="4">
        <v>1500</v>
      </c>
      <c r="EH377" s="4">
        <v>8</v>
      </c>
      <c r="EI377" s="8">
        <v>0.95</v>
      </c>
      <c r="EJ377" s="4">
        <v>2</v>
      </c>
      <c r="EK377" s="4">
        <v>50</v>
      </c>
      <c r="EL377" s="10">
        <f t="shared" si="349"/>
        <v>1094.3999999999999</v>
      </c>
      <c r="EU377" s="4">
        <f t="shared" si="339"/>
        <v>1.3706140350877194</v>
      </c>
      <c r="GR377" s="8">
        <v>0.11</v>
      </c>
      <c r="GS377" s="4">
        <f t="shared" si="330"/>
        <v>0.77157454385964908</v>
      </c>
      <c r="GT377" s="9">
        <v>1.2500000000000001E-2</v>
      </c>
      <c r="GU377" s="4">
        <f t="shared" si="345"/>
        <v>8.7678925438596497E-2</v>
      </c>
      <c r="GV377" s="8">
        <v>0.02</v>
      </c>
      <c r="GW377" s="4">
        <f t="shared" si="340"/>
        <v>2.7412280701754388E-2</v>
      </c>
      <c r="GX377" s="4">
        <f t="shared" si="331"/>
        <v>0.88666574999999992</v>
      </c>
      <c r="HA377" s="4">
        <v>650</v>
      </c>
      <c r="HB377" s="4">
        <v>450</v>
      </c>
      <c r="HC377">
        <v>330</v>
      </c>
      <c r="HD377">
        <v>125</v>
      </c>
      <c r="HE377">
        <v>400</v>
      </c>
      <c r="HF377" s="4">
        <f t="shared" si="332"/>
        <v>4</v>
      </c>
      <c r="HG377">
        <v>5</v>
      </c>
      <c r="HH377" s="4">
        <v>20</v>
      </c>
      <c r="HI377">
        <v>550</v>
      </c>
      <c r="HJ377" s="4">
        <f t="shared" si="334"/>
        <v>11000</v>
      </c>
      <c r="HM377" s="4">
        <v>2</v>
      </c>
      <c r="HN377" s="10">
        <f t="shared" si="335"/>
        <v>240000</v>
      </c>
      <c r="HO377" s="4">
        <f t="shared" si="336"/>
        <v>4.583333333333333E-2</v>
      </c>
      <c r="HP377" s="4">
        <v>160</v>
      </c>
      <c r="HQ377">
        <v>0</v>
      </c>
      <c r="HR377" s="4">
        <v>0</v>
      </c>
      <c r="HS377" s="4">
        <v>0</v>
      </c>
      <c r="HT377" s="4">
        <v>0</v>
      </c>
      <c r="HU377" s="4"/>
      <c r="HV377" s="4">
        <f t="shared" si="337"/>
        <v>4.583333333333333E-2</v>
      </c>
      <c r="HW377" s="4"/>
      <c r="HX377" s="4">
        <v>4200</v>
      </c>
      <c r="HY377" s="4">
        <v>1900</v>
      </c>
      <c r="HZ377" s="4">
        <v>1975</v>
      </c>
      <c r="IA377" s="4">
        <v>6</v>
      </c>
      <c r="IB377" s="4">
        <v>4</v>
      </c>
      <c r="IC377" s="4">
        <v>5</v>
      </c>
      <c r="ID377" s="8">
        <v>1</v>
      </c>
      <c r="IE377" s="62">
        <f t="shared" si="351"/>
        <v>120</v>
      </c>
      <c r="IF377" s="4">
        <v>500</v>
      </c>
      <c r="IG377" s="4">
        <f t="shared" si="338"/>
        <v>3.3333333333333333E-2</v>
      </c>
      <c r="IH377" s="4"/>
    </row>
    <row r="378" spans="1:246">
      <c r="A378">
        <v>361</v>
      </c>
      <c r="B378" t="s">
        <v>468</v>
      </c>
      <c r="C378" t="s">
        <v>1094</v>
      </c>
      <c r="D378" s="28" t="s">
        <v>879</v>
      </c>
      <c r="E378" s="27" t="s">
        <v>880</v>
      </c>
      <c r="F378" s="5" t="s">
        <v>2182</v>
      </c>
      <c r="G378" s="27" t="s">
        <v>122</v>
      </c>
      <c r="I378" s="27" t="s">
        <v>94</v>
      </c>
      <c r="J378" s="28">
        <v>21591</v>
      </c>
      <c r="K378" s="27" t="s">
        <v>97</v>
      </c>
      <c r="L378">
        <v>21480</v>
      </c>
      <c r="M378" t="s">
        <v>94</v>
      </c>
      <c r="N378" s="28"/>
      <c r="O378" s="28"/>
      <c r="P378" s="28"/>
      <c r="Q378" s="28"/>
      <c r="R378" s="28"/>
      <c r="S378" s="27"/>
      <c r="T378" s="27"/>
      <c r="U378" s="27"/>
      <c r="W378" t="s">
        <v>1090</v>
      </c>
      <c r="X378"/>
      <c r="Y378"/>
      <c r="Z378"/>
      <c r="AA378" s="56" t="s">
        <v>1095</v>
      </c>
      <c r="AB378" s="340">
        <v>116.16</v>
      </c>
      <c r="AC378" s="4">
        <f>AB378-5</f>
        <v>111.16</v>
      </c>
      <c r="AD378"/>
      <c r="AE378" s="7">
        <f t="shared" si="315"/>
        <v>31.044720000000002</v>
      </c>
      <c r="AF378" s="7"/>
      <c r="AG378" s="7">
        <f t="shared" si="347"/>
        <v>3.8377192982456139</v>
      </c>
      <c r="AH378" s="7">
        <f t="shared" si="317"/>
        <v>0</v>
      </c>
      <c r="AI378" s="7">
        <f t="shared" si="318"/>
        <v>0</v>
      </c>
      <c r="AJ378" s="7">
        <f t="shared" si="319"/>
        <v>7.6754385964912283E-2</v>
      </c>
      <c r="AK378" s="7">
        <f t="shared" si="320"/>
        <v>0.43603049122807019</v>
      </c>
      <c r="AL378" s="7">
        <f t="shared" si="321"/>
        <v>3.8370683228070175</v>
      </c>
      <c r="AM378" s="7">
        <f t="shared" si="322"/>
        <v>0.35416666666666669</v>
      </c>
      <c r="AN378" s="7">
        <f t="shared" si="323"/>
        <v>0.41666666666666669</v>
      </c>
      <c r="AO378" s="4">
        <f t="shared" si="324"/>
        <v>0</v>
      </c>
      <c r="AP378" s="4"/>
      <c r="AQ378" s="7">
        <f t="shared" si="325"/>
        <v>40.003125831578942</v>
      </c>
      <c r="AT378" s="6">
        <v>0</v>
      </c>
      <c r="AV378" s="7">
        <f t="shared" si="326"/>
        <v>40.003125831578942</v>
      </c>
      <c r="AW378" s="24">
        <v>0.27300000000000002</v>
      </c>
      <c r="AX378" s="2">
        <v>0.26700000000000002</v>
      </c>
      <c r="AY378" s="8">
        <v>1</v>
      </c>
      <c r="AZ378" s="14">
        <f t="shared" si="327"/>
        <v>6.0000000000000053E-3</v>
      </c>
      <c r="BA378" s="4">
        <f t="shared" si="328"/>
        <v>31.044720000000002</v>
      </c>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E378">
        <v>0</v>
      </c>
      <c r="CF378">
        <v>0</v>
      </c>
      <c r="CG378" s="4">
        <v>0</v>
      </c>
      <c r="CH378" s="4">
        <f t="shared" si="342"/>
        <v>0</v>
      </c>
      <c r="CK378" s="66"/>
      <c r="DM378" s="4">
        <f>CH378+CM378+CR378+CW378+DB378+DG378+DL378</f>
        <v>0</v>
      </c>
      <c r="DN378" s="9">
        <v>0</v>
      </c>
      <c r="DO378" s="4">
        <v>0</v>
      </c>
      <c r="DP378">
        <v>0</v>
      </c>
      <c r="EF378">
        <v>350</v>
      </c>
      <c r="EG378" s="4">
        <v>3500</v>
      </c>
      <c r="EH378" s="4">
        <v>8</v>
      </c>
      <c r="EI378" s="8">
        <v>0.95</v>
      </c>
      <c r="EJ378" s="4">
        <v>2</v>
      </c>
      <c r="EK378" s="4">
        <v>60</v>
      </c>
      <c r="EL378" s="10">
        <f t="shared" si="349"/>
        <v>912</v>
      </c>
      <c r="EU378" s="4">
        <f t="shared" si="339"/>
        <v>3.8377192982456139</v>
      </c>
      <c r="GR378" s="8">
        <v>0.11</v>
      </c>
      <c r="GS378" s="4">
        <f t="shared" si="330"/>
        <v>3.8370683228070175</v>
      </c>
      <c r="GT378" s="9">
        <v>1.2500000000000001E-2</v>
      </c>
      <c r="GU378" s="4">
        <f t="shared" si="345"/>
        <v>0.43603049122807019</v>
      </c>
      <c r="GV378" s="8">
        <v>0.02</v>
      </c>
      <c r="GW378" s="4">
        <f t="shared" si="340"/>
        <v>7.6754385964912283E-2</v>
      </c>
      <c r="GX378" s="4">
        <f t="shared" si="331"/>
        <v>4.3498532000000001</v>
      </c>
      <c r="HA378" s="4">
        <v>810</v>
      </c>
      <c r="HB378" s="4">
        <v>568</v>
      </c>
      <c r="HC378">
        <v>425</v>
      </c>
      <c r="HD378">
        <v>20</v>
      </c>
      <c r="HE378">
        <v>400</v>
      </c>
      <c r="HF378" s="4">
        <f t="shared" si="332"/>
        <v>20</v>
      </c>
      <c r="HG378">
        <v>5</v>
      </c>
      <c r="HH378" s="4">
        <v>100</v>
      </c>
      <c r="HI378">
        <v>850</v>
      </c>
      <c r="HJ378" s="4">
        <f t="shared" si="334"/>
        <v>85000</v>
      </c>
      <c r="HM378" s="4">
        <v>2</v>
      </c>
      <c r="HN378" s="10">
        <f t="shared" si="335"/>
        <v>240000</v>
      </c>
      <c r="HO378" s="4">
        <f t="shared" si="336"/>
        <v>0.35416666666666669</v>
      </c>
      <c r="HP378" s="4">
        <v>160</v>
      </c>
      <c r="HQ378">
        <v>0</v>
      </c>
      <c r="HR378" s="4">
        <v>0</v>
      </c>
      <c r="HS378" s="4">
        <v>0</v>
      </c>
      <c r="HT378" s="4">
        <v>0</v>
      </c>
      <c r="HU378" s="4"/>
      <c r="HV378" s="4">
        <f t="shared" si="337"/>
        <v>0.35416666666666669</v>
      </c>
      <c r="HW378" s="4"/>
      <c r="HX378" s="4">
        <v>4200</v>
      </c>
      <c r="HY378" s="4">
        <v>1900</v>
      </c>
      <c r="HZ378" s="4">
        <v>1975</v>
      </c>
      <c r="IA378" s="4">
        <v>5</v>
      </c>
      <c r="IB378" s="4">
        <v>3</v>
      </c>
      <c r="IC378" s="4">
        <v>4</v>
      </c>
      <c r="ID378" s="8">
        <v>1</v>
      </c>
      <c r="IE378" s="62">
        <f t="shared" si="351"/>
        <v>60</v>
      </c>
      <c r="IF378" s="4">
        <v>500</v>
      </c>
      <c r="IG378" s="4">
        <f t="shared" si="338"/>
        <v>0.41666666666666669</v>
      </c>
      <c r="IH378" s="4"/>
    </row>
    <row r="379" spans="1:246">
      <c r="A379">
        <v>362</v>
      </c>
      <c r="B379" t="s">
        <v>468</v>
      </c>
      <c r="C379" t="s">
        <v>1096</v>
      </c>
      <c r="D379" s="28" t="s">
        <v>881</v>
      </c>
      <c r="E379" s="27" t="s">
        <v>882</v>
      </c>
      <c r="F379" s="5" t="s">
        <v>2182</v>
      </c>
      <c r="G379" s="27" t="s">
        <v>122</v>
      </c>
      <c r="I379" s="27" t="s">
        <v>94</v>
      </c>
      <c r="J379" s="28">
        <v>21591</v>
      </c>
      <c r="K379" s="27" t="s">
        <v>97</v>
      </c>
      <c r="L379">
        <v>21480</v>
      </c>
      <c r="M379" t="s">
        <v>94</v>
      </c>
      <c r="N379" s="28"/>
      <c r="O379" s="28"/>
      <c r="P379" s="28"/>
      <c r="Q379" s="28"/>
      <c r="R379" s="28"/>
      <c r="S379" s="27"/>
      <c r="T379" s="27"/>
      <c r="U379" s="27"/>
      <c r="W379" t="s">
        <v>1090</v>
      </c>
      <c r="X379"/>
      <c r="Y379"/>
      <c r="Z379"/>
      <c r="AA379" s="56" t="s">
        <v>1073</v>
      </c>
      <c r="AB379" s="340">
        <v>104.05</v>
      </c>
      <c r="AC379" s="4">
        <f>AB379-5</f>
        <v>99.05</v>
      </c>
      <c r="AD379"/>
      <c r="AE379" s="7">
        <f t="shared" si="315"/>
        <v>2.8243499999999999</v>
      </c>
      <c r="AF379" s="7"/>
      <c r="AG379" s="7">
        <f t="shared" si="347"/>
        <v>0.65789473684210531</v>
      </c>
      <c r="AH379" s="7">
        <f t="shared" si="317"/>
        <v>0</v>
      </c>
      <c r="AI379" s="7">
        <f t="shared" si="318"/>
        <v>0</v>
      </c>
      <c r="AJ379" s="7">
        <f t="shared" si="319"/>
        <v>1.3157894736842106E-2</v>
      </c>
      <c r="AK379" s="7">
        <f t="shared" si="320"/>
        <v>4.3528059210526319E-2</v>
      </c>
      <c r="AL379" s="7">
        <f t="shared" si="321"/>
        <v>0.38304692105263155</v>
      </c>
      <c r="AM379" s="7">
        <f t="shared" si="322"/>
        <v>2.2916666666666665E-2</v>
      </c>
      <c r="AN379" s="7">
        <f t="shared" si="323"/>
        <v>1.6666666666666666E-2</v>
      </c>
      <c r="AO379" s="4">
        <f t="shared" si="324"/>
        <v>0</v>
      </c>
      <c r="AP379" s="4"/>
      <c r="AQ379" s="7">
        <f t="shared" si="325"/>
        <v>3.9615609451754388</v>
      </c>
      <c r="AT379" s="6">
        <v>0</v>
      </c>
      <c r="AV379" s="7">
        <f t="shared" si="326"/>
        <v>3.9615609451754388</v>
      </c>
      <c r="AW379" s="24">
        <v>0.03</v>
      </c>
      <c r="AX379" s="2">
        <v>2.7E-2</v>
      </c>
      <c r="AY379" s="8">
        <v>1</v>
      </c>
      <c r="AZ379" s="14">
        <f t="shared" si="327"/>
        <v>2.9999999999999992E-3</v>
      </c>
      <c r="BA379" s="4">
        <f t="shared" si="328"/>
        <v>2.8243499999999999</v>
      </c>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E379">
        <v>0</v>
      </c>
      <c r="CF379">
        <v>0</v>
      </c>
      <c r="CG379" s="4">
        <v>0</v>
      </c>
      <c r="CH379" s="4">
        <f t="shared" si="342"/>
        <v>0</v>
      </c>
      <c r="CK379" s="66"/>
      <c r="DM379">
        <v>0</v>
      </c>
      <c r="DN379" s="9">
        <v>0</v>
      </c>
      <c r="DO379" s="4">
        <v>0</v>
      </c>
      <c r="DP379">
        <v>0</v>
      </c>
      <c r="EF379">
        <v>90</v>
      </c>
      <c r="EG379" s="4">
        <v>900</v>
      </c>
      <c r="EH379" s="4">
        <v>8</v>
      </c>
      <c r="EI379" s="8">
        <v>0.95</v>
      </c>
      <c r="EJ379" s="4">
        <v>2</v>
      </c>
      <c r="EK379" s="4">
        <v>40</v>
      </c>
      <c r="EL379" s="10">
        <f t="shared" si="349"/>
        <v>1368</v>
      </c>
      <c r="EU379" s="4">
        <f t="shared" si="339"/>
        <v>0.65789473684210531</v>
      </c>
      <c r="GR379" s="8">
        <v>0.11</v>
      </c>
      <c r="GS379" s="4">
        <f t="shared" si="330"/>
        <v>0.38304692105263155</v>
      </c>
      <c r="GT379" s="9">
        <v>1.2500000000000001E-2</v>
      </c>
      <c r="GU379" s="4">
        <f t="shared" si="345"/>
        <v>4.3528059210526319E-2</v>
      </c>
      <c r="GV379" s="8">
        <v>0.02</v>
      </c>
      <c r="GW379" s="4">
        <f t="shared" si="340"/>
        <v>1.3157894736842106E-2</v>
      </c>
      <c r="GX379" s="4">
        <f t="shared" si="331"/>
        <v>0.43973287499999997</v>
      </c>
      <c r="HA379" s="4">
        <v>650</v>
      </c>
      <c r="HB379" s="4">
        <v>450</v>
      </c>
      <c r="HC379">
        <v>330</v>
      </c>
      <c r="HD379">
        <v>250</v>
      </c>
      <c r="HE379">
        <v>400</v>
      </c>
      <c r="HF379" s="4">
        <f t="shared" si="332"/>
        <v>2</v>
      </c>
      <c r="HG379">
        <v>5</v>
      </c>
      <c r="HH379" s="4">
        <v>10</v>
      </c>
      <c r="HI379">
        <v>550</v>
      </c>
      <c r="HJ379" s="4">
        <f t="shared" si="334"/>
        <v>5500</v>
      </c>
      <c r="HM379" s="4">
        <v>2</v>
      </c>
      <c r="HN379" s="10">
        <f t="shared" si="335"/>
        <v>240000</v>
      </c>
      <c r="HO379" s="4">
        <f t="shared" si="336"/>
        <v>2.2916666666666665E-2</v>
      </c>
      <c r="HP379" s="4">
        <v>160</v>
      </c>
      <c r="HQ379">
        <v>0</v>
      </c>
      <c r="HR379" s="4">
        <v>0</v>
      </c>
      <c r="HS379" s="4">
        <v>0</v>
      </c>
      <c r="HT379" s="4">
        <v>0</v>
      </c>
      <c r="HU379" s="4"/>
      <c r="HV379" s="4">
        <f t="shared" si="337"/>
        <v>2.2916666666666665E-2</v>
      </c>
      <c r="HW379" s="4"/>
      <c r="HX379" s="4">
        <v>4200</v>
      </c>
      <c r="HY379" s="4">
        <v>1900</v>
      </c>
      <c r="HZ379" s="4">
        <v>1975</v>
      </c>
      <c r="IA379" s="4">
        <v>6</v>
      </c>
      <c r="IB379" s="4">
        <v>4</v>
      </c>
      <c r="IC379" s="4">
        <v>5</v>
      </c>
      <c r="ID379" s="8">
        <v>1</v>
      </c>
      <c r="IE379" s="62">
        <f t="shared" si="351"/>
        <v>120</v>
      </c>
      <c r="IF379" s="4">
        <v>500</v>
      </c>
      <c r="IG379" s="4">
        <f t="shared" si="338"/>
        <v>1.6666666666666666E-2</v>
      </c>
      <c r="IH379" s="4"/>
    </row>
    <row r="380" spans="1:246">
      <c r="A380">
        <v>363</v>
      </c>
      <c r="B380" t="s">
        <v>468</v>
      </c>
      <c r="C380" s="59" t="s">
        <v>1097</v>
      </c>
      <c r="D380" s="28" t="s">
        <v>883</v>
      </c>
      <c r="E380" s="27" t="s">
        <v>158</v>
      </c>
      <c r="F380" s="5" t="s">
        <v>2182</v>
      </c>
      <c r="G380" s="27" t="s">
        <v>122</v>
      </c>
      <c r="I380" s="27" t="s">
        <v>94</v>
      </c>
      <c r="J380" s="28">
        <v>21591</v>
      </c>
      <c r="K380" s="27" t="s">
        <v>97</v>
      </c>
      <c r="L380">
        <v>21480</v>
      </c>
      <c r="M380" t="s">
        <v>94</v>
      </c>
      <c r="N380" s="28"/>
      <c r="O380" s="28"/>
      <c r="P380" s="28"/>
      <c r="Q380" s="28"/>
      <c r="R380" s="28"/>
      <c r="S380" s="27"/>
      <c r="T380" s="27"/>
      <c r="U380" s="27"/>
      <c r="W380" t="s">
        <v>1090</v>
      </c>
      <c r="X380"/>
      <c r="Y380"/>
      <c r="Z380"/>
      <c r="AA380" s="58" t="s">
        <v>1073</v>
      </c>
      <c r="AB380" s="344">
        <v>104.05</v>
      </c>
      <c r="AC380" s="62">
        <f>AB380-5</f>
        <v>99.05</v>
      </c>
      <c r="AD380" s="59"/>
      <c r="AE380" s="42">
        <f t="shared" si="315"/>
        <v>1.7838500000000002</v>
      </c>
      <c r="AF380" s="42"/>
      <c r="AG380" s="42">
        <f t="shared" si="347"/>
        <v>0.65789473684210531</v>
      </c>
      <c r="AH380" s="42">
        <f t="shared" si="317"/>
        <v>0</v>
      </c>
      <c r="AI380" s="42">
        <f t="shared" si="318"/>
        <v>0</v>
      </c>
      <c r="AJ380" s="42">
        <f t="shared" si="319"/>
        <v>1.3157894736842106E-2</v>
      </c>
      <c r="AK380" s="42">
        <f t="shared" si="320"/>
        <v>3.0521809210526319E-2</v>
      </c>
      <c r="AL380" s="42">
        <f t="shared" si="321"/>
        <v>0.26859192105263158</v>
      </c>
      <c r="AM380" s="42">
        <f t="shared" si="322"/>
        <v>2.2916666666666665E-2</v>
      </c>
      <c r="AN380" s="42">
        <f t="shared" si="323"/>
        <v>1.6666666666666666E-2</v>
      </c>
      <c r="AO380" s="62">
        <f t="shared" si="324"/>
        <v>0</v>
      </c>
      <c r="AP380" s="62"/>
      <c r="AQ380" s="42">
        <f t="shared" si="325"/>
        <v>2.7935996951754389</v>
      </c>
      <c r="AR380" s="59"/>
      <c r="AS380" s="59"/>
      <c r="AT380" s="60">
        <v>0</v>
      </c>
      <c r="AU380" s="59"/>
      <c r="AV380" s="42">
        <f t="shared" si="326"/>
        <v>2.7935996951754389</v>
      </c>
      <c r="AW380" s="17">
        <v>0.02</v>
      </c>
      <c r="AX380" s="68">
        <v>1.7000000000000001E-2</v>
      </c>
      <c r="AY380" s="61">
        <v>1</v>
      </c>
      <c r="AZ380" s="69">
        <f t="shared" si="327"/>
        <v>2.9999999999999992E-3</v>
      </c>
      <c r="BA380" s="62">
        <f t="shared" si="328"/>
        <v>1.7838500000000002</v>
      </c>
      <c r="BB380" s="62"/>
      <c r="BC380" s="62"/>
      <c r="BD380" s="62"/>
      <c r="BE380" s="62"/>
      <c r="BF380" s="62"/>
      <c r="BG380" s="62"/>
      <c r="BH380" s="62"/>
      <c r="BI380" s="62"/>
      <c r="BJ380" s="62"/>
      <c r="BK380" s="62"/>
      <c r="BL380" s="62"/>
      <c r="BM380" s="62"/>
      <c r="BN380" s="62"/>
      <c r="BO380" s="62"/>
      <c r="BP380" s="62"/>
      <c r="BQ380" s="62"/>
      <c r="BR380" s="62"/>
      <c r="BS380" s="62"/>
      <c r="BT380" s="62"/>
      <c r="BU380" s="62"/>
      <c r="BV380" s="62"/>
      <c r="BW380" s="62"/>
      <c r="BX380" s="62"/>
      <c r="BY380" s="62"/>
      <c r="BZ380" s="62"/>
      <c r="CA380" s="62"/>
      <c r="CB380" s="62"/>
      <c r="CC380" s="62"/>
      <c r="CD380" s="59"/>
      <c r="CE380" s="59">
        <v>0</v>
      </c>
      <c r="CF380" s="59">
        <v>0</v>
      </c>
      <c r="CG380" s="62">
        <v>0</v>
      </c>
      <c r="CH380" s="62">
        <f t="shared" si="342"/>
        <v>0</v>
      </c>
      <c r="CI380" s="59"/>
      <c r="CJ380" s="59"/>
      <c r="CK380" s="63"/>
      <c r="CL380" s="59"/>
      <c r="CM380" s="59"/>
      <c r="CN380" s="59"/>
      <c r="CO380" s="59"/>
      <c r="CP380" s="59"/>
      <c r="CQ380" s="59"/>
      <c r="CR380" s="59"/>
      <c r="CS380" s="59"/>
      <c r="CT380" s="59"/>
      <c r="CU380" s="59"/>
      <c r="CV380" s="59"/>
      <c r="CW380" s="59"/>
      <c r="CX380" s="59"/>
      <c r="CY380" s="59"/>
      <c r="CZ380" s="59"/>
      <c r="DA380" s="59"/>
      <c r="DB380" s="59"/>
      <c r="DC380" s="59"/>
      <c r="DD380" s="59"/>
      <c r="DE380" s="59"/>
      <c r="DF380" s="59"/>
      <c r="DG380" s="59"/>
      <c r="DH380" s="59"/>
      <c r="DI380" s="59"/>
      <c r="DJ380" s="59"/>
      <c r="DK380" s="59"/>
      <c r="DL380" s="59"/>
      <c r="DM380" s="59">
        <v>0</v>
      </c>
      <c r="DN380" s="64">
        <v>0</v>
      </c>
      <c r="DO380" s="62">
        <v>0</v>
      </c>
      <c r="DP380" s="59">
        <v>0</v>
      </c>
      <c r="DQ380" s="59"/>
      <c r="DR380" s="59"/>
      <c r="DS380" s="59"/>
      <c r="DT380" s="59"/>
      <c r="DU380" s="59"/>
      <c r="DV380" s="59"/>
      <c r="DW380" s="59"/>
      <c r="DX380" s="59"/>
      <c r="DY380" s="59"/>
      <c r="DZ380" s="59"/>
      <c r="EA380" s="59"/>
      <c r="EB380" s="59"/>
      <c r="EC380" s="59"/>
      <c r="ED380" s="59"/>
      <c r="EE380" s="59"/>
      <c r="EF380" s="62">
        <v>90</v>
      </c>
      <c r="EG380" s="62">
        <v>900</v>
      </c>
      <c r="EH380" s="62">
        <v>8</v>
      </c>
      <c r="EI380" s="61">
        <v>0.95</v>
      </c>
      <c r="EJ380" s="62">
        <v>2</v>
      </c>
      <c r="EK380" s="62">
        <v>40</v>
      </c>
      <c r="EL380" s="65">
        <f t="shared" si="349"/>
        <v>1368</v>
      </c>
      <c r="EM380" s="59"/>
      <c r="EN380" s="59"/>
      <c r="EO380" s="59"/>
      <c r="EP380" s="59"/>
      <c r="EQ380" s="59"/>
      <c r="ER380" s="59"/>
      <c r="ES380" s="59"/>
      <c r="ET380" s="59"/>
      <c r="EU380" s="62">
        <f t="shared" si="339"/>
        <v>0.65789473684210531</v>
      </c>
      <c r="EV380" s="59"/>
      <c r="EW380" s="59"/>
      <c r="EX380" s="59"/>
      <c r="EY380" s="59"/>
      <c r="EZ380" s="59"/>
      <c r="FA380" s="59"/>
      <c r="FB380" s="59"/>
      <c r="FC380" s="59"/>
      <c r="FD380" s="59"/>
      <c r="FE380" s="59"/>
      <c r="FF380" s="59"/>
      <c r="FG380" s="59"/>
      <c r="FH380" s="59"/>
      <c r="FI380" s="59"/>
      <c r="FJ380" s="59"/>
      <c r="FK380" s="59"/>
      <c r="FL380" s="59"/>
      <c r="FM380" s="59"/>
      <c r="FN380" s="59"/>
      <c r="FO380" s="59"/>
      <c r="FP380" s="59"/>
      <c r="FQ380" s="59"/>
      <c r="FR380" s="59"/>
      <c r="FS380" s="59"/>
      <c r="FT380" s="59"/>
      <c r="FU380" s="59"/>
      <c r="FV380" s="59"/>
      <c r="FW380" s="59"/>
      <c r="FX380" s="59"/>
      <c r="FY380" s="59"/>
      <c r="FZ380" s="59"/>
      <c r="GA380" s="59"/>
      <c r="GB380" s="59"/>
      <c r="GC380" s="59"/>
      <c r="GD380" s="59"/>
      <c r="GE380" s="59"/>
      <c r="GF380" s="59"/>
      <c r="GG380" s="59"/>
      <c r="GH380" s="59"/>
      <c r="GI380" s="59"/>
      <c r="GJ380" s="59"/>
      <c r="GK380" s="59"/>
      <c r="GL380" s="59"/>
      <c r="GM380" s="59"/>
      <c r="GN380" s="59"/>
      <c r="GO380" s="59"/>
      <c r="GP380" s="59"/>
      <c r="GQ380" s="59"/>
      <c r="GR380" s="61">
        <v>0.11</v>
      </c>
      <c r="GS380" s="62">
        <f t="shared" si="330"/>
        <v>0.26859192105263158</v>
      </c>
      <c r="GT380" s="64">
        <v>1.2500000000000001E-2</v>
      </c>
      <c r="GU380" s="62">
        <f t="shared" si="345"/>
        <v>3.0521809210526319E-2</v>
      </c>
      <c r="GV380" s="61">
        <v>0.02</v>
      </c>
      <c r="GW380" s="62">
        <f t="shared" si="340"/>
        <v>1.3157894736842106E-2</v>
      </c>
      <c r="GX380" s="62">
        <f t="shared" si="331"/>
        <v>0.312271625</v>
      </c>
      <c r="GY380" s="59"/>
      <c r="GZ380" s="59"/>
      <c r="HA380" s="62">
        <v>650</v>
      </c>
      <c r="HB380" s="62">
        <v>450</v>
      </c>
      <c r="HC380" s="59">
        <v>330</v>
      </c>
      <c r="HD380" s="59">
        <v>250</v>
      </c>
      <c r="HE380" s="59">
        <v>400</v>
      </c>
      <c r="HF380" s="62">
        <f t="shared" si="332"/>
        <v>2</v>
      </c>
      <c r="HG380" s="59">
        <v>5</v>
      </c>
      <c r="HH380" s="62">
        <v>10</v>
      </c>
      <c r="HI380" s="59">
        <v>550</v>
      </c>
      <c r="HJ380" s="62">
        <f t="shared" si="334"/>
        <v>5500</v>
      </c>
      <c r="HK380" s="59"/>
      <c r="HL380" s="59"/>
      <c r="HM380" s="62">
        <v>2</v>
      </c>
      <c r="HN380" s="65">
        <f t="shared" si="335"/>
        <v>240000</v>
      </c>
      <c r="HO380" s="62">
        <f t="shared" si="336"/>
        <v>2.2916666666666665E-2</v>
      </c>
      <c r="HP380" s="62">
        <v>160</v>
      </c>
      <c r="HQ380" s="59">
        <v>0</v>
      </c>
      <c r="HR380" s="62">
        <v>0</v>
      </c>
      <c r="HS380" s="62">
        <v>0</v>
      </c>
      <c r="HT380" s="62">
        <v>0</v>
      </c>
      <c r="HU380" s="62"/>
      <c r="HV380" s="62">
        <f t="shared" si="337"/>
        <v>2.2916666666666665E-2</v>
      </c>
      <c r="HW380" s="62"/>
      <c r="HX380" s="62">
        <v>4200</v>
      </c>
      <c r="HY380" s="62">
        <v>1900</v>
      </c>
      <c r="HZ380" s="62">
        <v>1975</v>
      </c>
      <c r="IA380" s="62">
        <v>6</v>
      </c>
      <c r="IB380" s="62">
        <v>4</v>
      </c>
      <c r="IC380" s="62">
        <v>5</v>
      </c>
      <c r="ID380" s="61">
        <v>1</v>
      </c>
      <c r="IE380" s="62">
        <f t="shared" si="351"/>
        <v>120</v>
      </c>
      <c r="IF380" s="62">
        <v>500</v>
      </c>
      <c r="IG380" s="62">
        <f t="shared" si="338"/>
        <v>1.6666666666666666E-2</v>
      </c>
      <c r="IH380" s="62"/>
      <c r="II380" s="59"/>
      <c r="IJ380" s="59"/>
      <c r="IK380" s="59"/>
      <c r="IL380" s="59"/>
    </row>
    <row r="381" spans="1:246">
      <c r="A381">
        <v>364</v>
      </c>
      <c r="B381" t="s">
        <v>468</v>
      </c>
      <c r="C381" s="59" t="s">
        <v>1098</v>
      </c>
      <c r="D381" s="28" t="s">
        <v>884</v>
      </c>
      <c r="E381" s="27" t="s">
        <v>885</v>
      </c>
      <c r="F381" s="5" t="s">
        <v>2182</v>
      </c>
      <c r="G381" s="27" t="s">
        <v>122</v>
      </c>
      <c r="I381" s="27" t="s">
        <v>94</v>
      </c>
      <c r="J381" s="28">
        <v>21591</v>
      </c>
      <c r="K381" s="27" t="s">
        <v>97</v>
      </c>
      <c r="N381" s="28"/>
      <c r="O381" s="28"/>
      <c r="P381" s="28"/>
      <c r="Q381" s="28"/>
      <c r="R381" s="28"/>
      <c r="S381" s="27"/>
      <c r="T381" s="27"/>
      <c r="U381" s="27"/>
      <c r="W381" s="59"/>
      <c r="X381" s="59"/>
      <c r="Y381" s="59"/>
      <c r="Z381" s="59"/>
      <c r="AA381" s="58" t="s">
        <v>1099</v>
      </c>
      <c r="AB381" s="344">
        <v>102.51</v>
      </c>
      <c r="AC381" s="62">
        <f>AB381-5</f>
        <v>97.51</v>
      </c>
      <c r="AD381" s="59" t="s">
        <v>1100</v>
      </c>
      <c r="AE381" s="42">
        <f t="shared" si="315"/>
        <v>41.019000000000005</v>
      </c>
      <c r="AF381" s="42"/>
      <c r="AG381" s="42">
        <f t="shared" si="347"/>
        <v>9.594298245614036</v>
      </c>
      <c r="AH381" s="42">
        <f t="shared" si="317"/>
        <v>11</v>
      </c>
      <c r="AI381" s="42">
        <f t="shared" si="318"/>
        <v>0.33</v>
      </c>
      <c r="AJ381" s="42">
        <f t="shared" si="319"/>
        <v>0.19188596491228072</v>
      </c>
      <c r="AK381" s="42">
        <f t="shared" si="320"/>
        <v>0.63266622807017558</v>
      </c>
      <c r="AL381" s="42">
        <f t="shared" si="321"/>
        <v>6.1393930771929837</v>
      </c>
      <c r="AM381" s="42">
        <f t="shared" si="322"/>
        <v>0.45833333333333331</v>
      </c>
      <c r="AN381" s="42">
        <f t="shared" si="323"/>
        <v>1.1574074074074074</v>
      </c>
      <c r="AO381" s="62">
        <f t="shared" si="324"/>
        <v>0</v>
      </c>
      <c r="AP381" s="62"/>
      <c r="AQ381" s="42">
        <f t="shared" si="325"/>
        <v>70.522984256530208</v>
      </c>
      <c r="AR381" s="59"/>
      <c r="AS381" s="59"/>
      <c r="AT381" s="60">
        <v>0</v>
      </c>
      <c r="AU381" s="59"/>
      <c r="AV381" s="42">
        <f t="shared" si="326"/>
        <v>70.522984256530208</v>
      </c>
      <c r="AW381" s="17">
        <v>0.40300000000000002</v>
      </c>
      <c r="AX381" s="68">
        <v>0.4</v>
      </c>
      <c r="AY381" s="61">
        <v>1</v>
      </c>
      <c r="AZ381" s="69">
        <f t="shared" si="327"/>
        <v>3.0000000000000027E-3</v>
      </c>
      <c r="BA381" s="62">
        <f t="shared" si="328"/>
        <v>41.019000000000005</v>
      </c>
      <c r="BB381" s="62"/>
      <c r="BC381" s="62"/>
      <c r="BD381" s="62"/>
      <c r="BE381" s="62"/>
      <c r="BF381" s="62"/>
      <c r="BG381" s="62"/>
      <c r="BH381" s="62"/>
      <c r="BI381" s="62"/>
      <c r="BJ381" s="62"/>
      <c r="BK381" s="62"/>
      <c r="BL381" s="62"/>
      <c r="BM381" s="62"/>
      <c r="BN381" s="62"/>
      <c r="BO381" s="62"/>
      <c r="BP381" s="62"/>
      <c r="BQ381" s="62"/>
      <c r="BR381" s="62"/>
      <c r="BS381" s="62"/>
      <c r="BT381" s="62"/>
      <c r="BU381" s="62"/>
      <c r="BV381" s="62"/>
      <c r="BW381" s="62"/>
      <c r="BX381" s="62"/>
      <c r="BY381" s="62"/>
      <c r="BZ381" s="62"/>
      <c r="CA381" s="62"/>
      <c r="CB381" s="62"/>
      <c r="CC381" s="62"/>
      <c r="CD381" s="59"/>
      <c r="CE381" s="59">
        <v>0</v>
      </c>
      <c r="CF381" s="59">
        <v>4</v>
      </c>
      <c r="CG381" s="62">
        <v>2.75</v>
      </c>
      <c r="CH381" s="62">
        <f t="shared" si="342"/>
        <v>11</v>
      </c>
      <c r="CI381" s="59"/>
      <c r="CJ381" s="59"/>
      <c r="CK381" s="63"/>
      <c r="CL381" s="59"/>
      <c r="CM381" s="59"/>
      <c r="CN381" s="59"/>
      <c r="CO381" s="59"/>
      <c r="CP381" s="59"/>
      <c r="CQ381" s="59"/>
      <c r="CR381" s="59"/>
      <c r="CS381" s="59"/>
      <c r="CT381" s="59"/>
      <c r="CU381" s="59"/>
      <c r="CV381" s="59"/>
      <c r="CW381" s="59"/>
      <c r="CX381" s="59"/>
      <c r="CY381" s="59"/>
      <c r="CZ381" s="59"/>
      <c r="DA381" s="59"/>
      <c r="DB381" s="59"/>
      <c r="DC381" s="59"/>
      <c r="DD381" s="59"/>
      <c r="DE381" s="59"/>
      <c r="DF381" s="59"/>
      <c r="DG381" s="59"/>
      <c r="DH381" s="59"/>
      <c r="DI381" s="59"/>
      <c r="DJ381" s="59"/>
      <c r="DK381" s="59"/>
      <c r="DL381" s="59"/>
      <c r="DM381" s="62">
        <f>CH381+CM381+CR381+CW381+DB381+DG381+DL381</f>
        <v>11</v>
      </c>
      <c r="DN381" s="64">
        <v>0.03</v>
      </c>
      <c r="DO381" s="62">
        <v>0.33</v>
      </c>
      <c r="DP381" s="62">
        <f>DM381+DO381</f>
        <v>11.33</v>
      </c>
      <c r="DQ381" s="62"/>
      <c r="DR381" s="62"/>
      <c r="DS381" s="62"/>
      <c r="DT381" s="62"/>
      <c r="DU381" s="62"/>
      <c r="DV381" s="62"/>
      <c r="DW381" s="62"/>
      <c r="DX381" s="62"/>
      <c r="DY381" s="62"/>
      <c r="DZ381" s="62"/>
      <c r="EA381" s="62"/>
      <c r="EB381" s="62"/>
      <c r="EC381" s="62"/>
      <c r="ED381" s="62"/>
      <c r="EE381" s="62"/>
      <c r="EF381" s="59">
        <v>350</v>
      </c>
      <c r="EG381" s="62">
        <v>3500</v>
      </c>
      <c r="EH381" s="62">
        <v>8</v>
      </c>
      <c r="EI381" s="61">
        <v>0.95</v>
      </c>
      <c r="EJ381" s="62">
        <v>1</v>
      </c>
      <c r="EK381" s="62">
        <v>75</v>
      </c>
      <c r="EL381" s="65">
        <f t="shared" si="349"/>
        <v>364.79999999999995</v>
      </c>
      <c r="EM381" s="59"/>
      <c r="EN381" s="59"/>
      <c r="EO381" s="59"/>
      <c r="EP381" s="59"/>
      <c r="EQ381" s="59"/>
      <c r="ER381" s="59"/>
      <c r="ES381" s="59"/>
      <c r="ET381" s="59"/>
      <c r="EU381" s="62">
        <f t="shared" si="339"/>
        <v>9.594298245614036</v>
      </c>
      <c r="EV381" s="59"/>
      <c r="EW381" s="59"/>
      <c r="EX381" s="59"/>
      <c r="EY381" s="59"/>
      <c r="EZ381" s="59"/>
      <c r="FA381" s="59"/>
      <c r="FB381" s="59"/>
      <c r="FC381" s="59"/>
      <c r="FD381" s="59"/>
      <c r="FE381" s="59"/>
      <c r="FF381" s="59"/>
      <c r="FG381" s="59"/>
      <c r="FH381" s="59"/>
      <c r="FI381" s="59"/>
      <c r="FJ381" s="59"/>
      <c r="FK381" s="59"/>
      <c r="FL381" s="59"/>
      <c r="FM381" s="59"/>
      <c r="FN381" s="59"/>
      <c r="FO381" s="59"/>
      <c r="FP381" s="59"/>
      <c r="FQ381" s="59"/>
      <c r="FR381" s="59"/>
      <c r="FS381" s="59"/>
      <c r="FT381" s="59"/>
      <c r="FU381" s="59"/>
      <c r="FV381" s="59"/>
      <c r="FW381" s="59"/>
      <c r="FX381" s="59"/>
      <c r="FY381" s="59"/>
      <c r="FZ381" s="59"/>
      <c r="GA381" s="59"/>
      <c r="GB381" s="59"/>
      <c r="GC381" s="59"/>
      <c r="GD381" s="59"/>
      <c r="GE381" s="59"/>
      <c r="GF381" s="59"/>
      <c r="GG381" s="59"/>
      <c r="GH381" s="59"/>
      <c r="GI381" s="59"/>
      <c r="GJ381" s="59"/>
      <c r="GK381" s="59"/>
      <c r="GL381" s="59"/>
      <c r="GM381" s="59"/>
      <c r="GN381" s="59"/>
      <c r="GO381" s="59"/>
      <c r="GP381" s="59"/>
      <c r="GQ381" s="59"/>
      <c r="GR381" s="61">
        <v>0.12130000000000001</v>
      </c>
      <c r="GS381" s="62">
        <f t="shared" si="330"/>
        <v>6.1393930771929837</v>
      </c>
      <c r="GT381" s="64">
        <v>1.2500000000000001E-2</v>
      </c>
      <c r="GU381" s="62">
        <f t="shared" si="345"/>
        <v>0.63266622807017558</v>
      </c>
      <c r="GV381" s="61">
        <v>0.02</v>
      </c>
      <c r="GW381" s="62">
        <f t="shared" si="340"/>
        <v>0.19188596491228072</v>
      </c>
      <c r="GX381" s="62">
        <f t="shared" si="331"/>
        <v>6.9639452701754401</v>
      </c>
      <c r="GY381" s="59"/>
      <c r="GZ381" s="59"/>
      <c r="HA381" s="62">
        <v>810</v>
      </c>
      <c r="HB381" s="62">
        <v>568</v>
      </c>
      <c r="HC381" s="59">
        <v>425</v>
      </c>
      <c r="HD381" s="59">
        <v>20</v>
      </c>
      <c r="HE381" s="59">
        <v>300</v>
      </c>
      <c r="HF381" s="62">
        <f t="shared" si="332"/>
        <v>15</v>
      </c>
      <c r="HG381" s="59">
        <v>5</v>
      </c>
      <c r="HH381" s="62">
        <v>75</v>
      </c>
      <c r="HI381" s="59">
        <v>1100</v>
      </c>
      <c r="HJ381" s="62">
        <f t="shared" si="334"/>
        <v>82500</v>
      </c>
      <c r="HK381" s="59"/>
      <c r="HL381" s="59"/>
      <c r="HM381" s="62">
        <v>2</v>
      </c>
      <c r="HN381" s="65">
        <f t="shared" si="335"/>
        <v>180000</v>
      </c>
      <c r="HO381" s="62">
        <f t="shared" si="336"/>
        <v>0.45833333333333331</v>
      </c>
      <c r="HP381" s="62">
        <v>160</v>
      </c>
      <c r="HQ381" s="59">
        <v>0</v>
      </c>
      <c r="HR381" s="62">
        <v>0</v>
      </c>
      <c r="HS381" s="62">
        <v>0</v>
      </c>
      <c r="HT381" s="62">
        <v>0</v>
      </c>
      <c r="HU381" s="62"/>
      <c r="HV381" s="62">
        <f t="shared" si="337"/>
        <v>0.45833333333333331</v>
      </c>
      <c r="HW381" s="62"/>
      <c r="HX381" s="62">
        <v>2917</v>
      </c>
      <c r="HY381" s="62">
        <v>1689</v>
      </c>
      <c r="HZ381" s="62">
        <v>1842</v>
      </c>
      <c r="IA381" s="62">
        <v>3</v>
      </c>
      <c r="IB381" s="62">
        <v>2</v>
      </c>
      <c r="IC381" s="62">
        <v>4</v>
      </c>
      <c r="ID381" s="61">
        <v>0.9</v>
      </c>
      <c r="IE381" s="62">
        <f>PRODUCT(IA381:ID381)</f>
        <v>21.6</v>
      </c>
      <c r="IF381" s="62">
        <v>500</v>
      </c>
      <c r="IG381" s="62">
        <f t="shared" si="338"/>
        <v>1.1574074074074074</v>
      </c>
      <c r="IH381" s="62"/>
      <c r="II381" s="59"/>
      <c r="IJ381" s="59"/>
      <c r="IK381" s="59"/>
    </row>
    <row r="382" spans="1:246">
      <c r="A382">
        <v>365</v>
      </c>
      <c r="B382" t="s">
        <v>468</v>
      </c>
      <c r="C382" t="s">
        <v>1101</v>
      </c>
      <c r="D382" s="28" t="s">
        <v>886</v>
      </c>
      <c r="E382" s="27" t="s">
        <v>666</v>
      </c>
      <c r="F382" s="5" t="s">
        <v>2182</v>
      </c>
      <c r="G382" s="27" t="s">
        <v>122</v>
      </c>
      <c r="I382" s="27" t="s">
        <v>94</v>
      </c>
      <c r="J382" s="28">
        <v>21591</v>
      </c>
      <c r="K382" s="27" t="s">
        <v>97</v>
      </c>
      <c r="N382" s="28"/>
      <c r="O382" s="28"/>
      <c r="P382" s="28"/>
      <c r="Q382" s="28"/>
      <c r="R382" s="28"/>
      <c r="S382" s="27"/>
      <c r="T382" s="27"/>
      <c r="U382" s="27"/>
      <c r="W382"/>
      <c r="X382"/>
      <c r="Y382"/>
      <c r="Z382"/>
      <c r="AA382" s="56" t="s">
        <v>1102</v>
      </c>
      <c r="AB382" s="340">
        <v>111.78</v>
      </c>
      <c r="AC382" s="4">
        <v>20</v>
      </c>
      <c r="AD382" t="s">
        <v>1100</v>
      </c>
      <c r="AE382" s="7">
        <f t="shared" si="315"/>
        <v>27.661440000000002</v>
      </c>
      <c r="AF382" s="7"/>
      <c r="AG382" s="7">
        <f t="shared" si="347"/>
        <v>7.6754385964912277</v>
      </c>
      <c r="AH382" s="7">
        <f t="shared" si="317"/>
        <v>0</v>
      </c>
      <c r="AI382" s="7">
        <f t="shared" si="318"/>
        <v>0</v>
      </c>
      <c r="AJ382" s="7">
        <f t="shared" si="319"/>
        <v>0.15350877192982457</v>
      </c>
      <c r="AK382" s="7">
        <f t="shared" si="320"/>
        <v>0.44171098245614043</v>
      </c>
      <c r="AL382" s="7">
        <f t="shared" si="321"/>
        <v>4.1980211772631586</v>
      </c>
      <c r="AM382" s="7">
        <f t="shared" si="322"/>
        <v>0.15277777777777779</v>
      </c>
      <c r="AN382" s="7">
        <f t="shared" si="323"/>
        <v>0.38580246913580246</v>
      </c>
      <c r="AO382" s="4">
        <f t="shared" si="324"/>
        <v>0</v>
      </c>
      <c r="AP382" s="4"/>
      <c r="AQ382" s="42">
        <f t="shared" si="325"/>
        <v>40.668699775053938</v>
      </c>
      <c r="AT382" s="6">
        <v>0</v>
      </c>
      <c r="AV382" s="7">
        <f t="shared" si="326"/>
        <v>40.668699775053938</v>
      </c>
      <c r="AW382" s="24">
        <v>0.248</v>
      </c>
      <c r="AX382" s="2">
        <v>0.245</v>
      </c>
      <c r="AY382" s="8">
        <v>1</v>
      </c>
      <c r="AZ382" s="14">
        <f t="shared" si="327"/>
        <v>3.0000000000000027E-3</v>
      </c>
      <c r="BA382" s="4">
        <f t="shared" si="328"/>
        <v>27.661440000000002</v>
      </c>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E382">
        <v>0</v>
      </c>
      <c r="CF382">
        <v>0</v>
      </c>
      <c r="CG382" s="4">
        <v>0</v>
      </c>
      <c r="CH382">
        <v>0</v>
      </c>
      <c r="CK382" s="66"/>
      <c r="DM382" s="4">
        <f>CH382+CM382+CR382+CW382+DB382+DG382+DL382</f>
        <v>0</v>
      </c>
      <c r="DN382" s="9">
        <v>0</v>
      </c>
      <c r="DO382" s="4">
        <v>0</v>
      </c>
      <c r="DP382" s="4">
        <f>DM382+DO382</f>
        <v>0</v>
      </c>
      <c r="DQ382" s="4"/>
      <c r="DR382" s="4"/>
      <c r="DS382" s="4"/>
      <c r="DT382" s="4"/>
      <c r="DU382" s="4"/>
      <c r="DV382" s="4"/>
      <c r="DW382" s="4"/>
      <c r="DX382" s="4"/>
      <c r="DY382" s="4"/>
      <c r="DZ382" s="4"/>
      <c r="EA382" s="4"/>
      <c r="EB382" s="4"/>
      <c r="EC382" s="4"/>
      <c r="ED382" s="4"/>
      <c r="EE382" s="4"/>
      <c r="EF382">
        <v>350</v>
      </c>
      <c r="EG382" s="4">
        <v>3500</v>
      </c>
      <c r="EH382" s="4">
        <v>8</v>
      </c>
      <c r="EI382" s="8">
        <v>0.95</v>
      </c>
      <c r="EJ382" s="4">
        <v>1</v>
      </c>
      <c r="EK382" s="4">
        <v>60</v>
      </c>
      <c r="EL382" s="10">
        <f t="shared" si="349"/>
        <v>456</v>
      </c>
      <c r="EU382" s="4">
        <f t="shared" si="339"/>
        <v>7.6754385964912277</v>
      </c>
      <c r="GR382" s="8">
        <v>0.1188</v>
      </c>
      <c r="GS382" s="4">
        <f t="shared" si="330"/>
        <v>4.1980211772631586</v>
      </c>
      <c r="GT382" s="9">
        <v>1.2500000000000001E-2</v>
      </c>
      <c r="GU382" s="4">
        <f t="shared" si="345"/>
        <v>0.44171098245614043</v>
      </c>
      <c r="GV382" s="8">
        <v>0.02</v>
      </c>
      <c r="GW382" s="4">
        <f t="shared" si="340"/>
        <v>0.15350877192982457</v>
      </c>
      <c r="GX382" s="4">
        <f t="shared" si="331"/>
        <v>4.7932409316491231</v>
      </c>
      <c r="HA382" s="4">
        <v>810</v>
      </c>
      <c r="HB382" s="4">
        <v>568</v>
      </c>
      <c r="HC382">
        <v>425</v>
      </c>
      <c r="HD382">
        <v>60</v>
      </c>
      <c r="HE382">
        <v>300</v>
      </c>
      <c r="HF382" s="4">
        <f t="shared" si="332"/>
        <v>5</v>
      </c>
      <c r="HG382">
        <v>5</v>
      </c>
      <c r="HH382" s="4">
        <v>25</v>
      </c>
      <c r="HI382">
        <v>1100</v>
      </c>
      <c r="HJ382" s="4">
        <f t="shared" si="334"/>
        <v>27500</v>
      </c>
      <c r="HM382" s="4">
        <v>2</v>
      </c>
      <c r="HN382" s="10">
        <f t="shared" si="335"/>
        <v>180000</v>
      </c>
      <c r="HO382" s="4">
        <f t="shared" si="336"/>
        <v>0.15277777777777779</v>
      </c>
      <c r="HP382" s="4">
        <v>160</v>
      </c>
      <c r="HQ382">
        <v>0</v>
      </c>
      <c r="HR382" s="4">
        <v>0</v>
      </c>
      <c r="HS382" s="4">
        <v>0</v>
      </c>
      <c r="HT382" s="4">
        <v>0</v>
      </c>
      <c r="HU382" s="4"/>
      <c r="HV382" s="4">
        <f t="shared" si="337"/>
        <v>0.15277777777777779</v>
      </c>
      <c r="HW382" s="4"/>
      <c r="HX382" s="4">
        <v>2917</v>
      </c>
      <c r="HY382" s="4">
        <v>1689</v>
      </c>
      <c r="HZ382" s="4">
        <v>1842</v>
      </c>
      <c r="IA382" s="4">
        <v>3</v>
      </c>
      <c r="IB382" s="4">
        <v>2</v>
      </c>
      <c r="IC382" s="4">
        <v>4</v>
      </c>
      <c r="ID382" s="8">
        <v>0.9</v>
      </c>
      <c r="IE382" s="62">
        <f>PRODUCT(IA382:ID382)</f>
        <v>21.6</v>
      </c>
      <c r="IF382" s="4">
        <v>500</v>
      </c>
      <c r="IG382" s="4">
        <f t="shared" si="338"/>
        <v>0.38580246913580246</v>
      </c>
      <c r="IH382" s="4"/>
    </row>
    <row r="383" spans="1:246">
      <c r="A383">
        <v>366</v>
      </c>
      <c r="B383" t="s">
        <v>468</v>
      </c>
      <c r="C383" t="s">
        <v>1103</v>
      </c>
      <c r="D383" s="28" t="s">
        <v>887</v>
      </c>
      <c r="E383" s="27" t="s">
        <v>888</v>
      </c>
      <c r="F383" s="5" t="s">
        <v>2182</v>
      </c>
      <c r="G383" s="27" t="s">
        <v>122</v>
      </c>
      <c r="I383" s="27" t="s">
        <v>94</v>
      </c>
      <c r="J383" s="28">
        <v>21591</v>
      </c>
      <c r="K383" s="27" t="s">
        <v>97</v>
      </c>
      <c r="N383" s="28"/>
      <c r="O383" s="28"/>
      <c r="P383" s="28"/>
      <c r="Q383" s="28"/>
      <c r="R383" s="28"/>
      <c r="S383" s="27"/>
      <c r="T383" s="27"/>
      <c r="U383" s="27"/>
      <c r="W383"/>
      <c r="X383"/>
      <c r="Y383"/>
      <c r="Z383"/>
      <c r="AA383" s="56" t="s">
        <v>1104</v>
      </c>
      <c r="AB383" s="340">
        <v>136.84</v>
      </c>
      <c r="AC383">
        <v>20</v>
      </c>
      <c r="AD383" t="s">
        <v>1100</v>
      </c>
      <c r="AE383" s="7">
        <f t="shared" si="315"/>
        <v>33.87632</v>
      </c>
      <c r="AF383" s="7"/>
      <c r="AG383" s="7">
        <f t="shared" si="347"/>
        <v>7.6754385964912277</v>
      </c>
      <c r="AH383" s="7">
        <f t="shared" si="317"/>
        <v>0</v>
      </c>
      <c r="AI383" s="7">
        <f t="shared" si="318"/>
        <v>0</v>
      </c>
      <c r="AJ383" s="7">
        <f t="shared" si="319"/>
        <v>0.15350877192982457</v>
      </c>
      <c r="AK383" s="7">
        <f t="shared" si="320"/>
        <v>0.5193969824561403</v>
      </c>
      <c r="AL383" s="7">
        <f t="shared" si="321"/>
        <v>4.5706934456140349</v>
      </c>
      <c r="AM383" s="7">
        <f t="shared" si="322"/>
        <v>0.15277777777777779</v>
      </c>
      <c r="AN383" s="7">
        <f t="shared" si="323"/>
        <v>0.38580246913580246</v>
      </c>
      <c r="AO383" s="4">
        <f t="shared" si="324"/>
        <v>0</v>
      </c>
      <c r="AP383" s="4"/>
      <c r="AQ383" s="42">
        <f t="shared" si="325"/>
        <v>47.333938043404807</v>
      </c>
      <c r="AT383" s="6">
        <v>0</v>
      </c>
      <c r="AV383" s="7">
        <f t="shared" si="326"/>
        <v>47.333938043404807</v>
      </c>
      <c r="AW383" s="24">
        <v>0.248</v>
      </c>
      <c r="AX383" s="2">
        <v>0.245</v>
      </c>
      <c r="AY383" s="8">
        <v>1</v>
      </c>
      <c r="AZ383" s="14">
        <f t="shared" si="327"/>
        <v>3.0000000000000027E-3</v>
      </c>
      <c r="BA383" s="4">
        <f t="shared" si="328"/>
        <v>33.87632</v>
      </c>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E383">
        <v>0</v>
      </c>
      <c r="CF383">
        <v>0</v>
      </c>
      <c r="CG383" s="4">
        <v>0</v>
      </c>
      <c r="CH383">
        <v>0</v>
      </c>
      <c r="CK383" s="66"/>
      <c r="DM383">
        <v>0</v>
      </c>
      <c r="DN383" s="9">
        <v>0</v>
      </c>
      <c r="DO383" s="4">
        <v>0</v>
      </c>
      <c r="DP383">
        <v>0</v>
      </c>
      <c r="EF383">
        <v>350</v>
      </c>
      <c r="EG383" s="4">
        <v>3500</v>
      </c>
      <c r="EH383" s="4">
        <v>8</v>
      </c>
      <c r="EI383" s="8">
        <v>0.95</v>
      </c>
      <c r="EJ383" s="4">
        <v>1</v>
      </c>
      <c r="EK383" s="4">
        <v>60</v>
      </c>
      <c r="EL383" s="10">
        <f t="shared" si="349"/>
        <v>456</v>
      </c>
      <c r="EU383" s="4">
        <f t="shared" si="339"/>
        <v>7.6754385964912277</v>
      </c>
      <c r="GR383" s="8">
        <v>0.11</v>
      </c>
      <c r="GS383" s="4">
        <f t="shared" si="330"/>
        <v>4.5706934456140349</v>
      </c>
      <c r="GT383" s="9">
        <v>1.2500000000000001E-2</v>
      </c>
      <c r="GU383" s="4">
        <f t="shared" si="345"/>
        <v>0.5193969824561403</v>
      </c>
      <c r="GV383" s="8">
        <v>0.02</v>
      </c>
      <c r="GW383" s="4">
        <f t="shared" si="340"/>
        <v>0.15350877192982457</v>
      </c>
      <c r="GX383" s="4">
        <f t="shared" si="331"/>
        <v>5.2435991999999993</v>
      </c>
      <c r="HA383" s="4">
        <v>810</v>
      </c>
      <c r="HB383" s="4">
        <v>568</v>
      </c>
      <c r="HC383">
        <v>425</v>
      </c>
      <c r="HD383">
        <v>60</v>
      </c>
      <c r="HE383">
        <v>300</v>
      </c>
      <c r="HF383" s="4">
        <f t="shared" si="332"/>
        <v>5</v>
      </c>
      <c r="HG383">
        <v>5</v>
      </c>
      <c r="HH383" s="4">
        <v>25</v>
      </c>
      <c r="HI383">
        <v>1100</v>
      </c>
      <c r="HJ383" s="4">
        <f t="shared" si="334"/>
        <v>27500</v>
      </c>
      <c r="HM383" s="4">
        <v>2</v>
      </c>
      <c r="HN383" s="10">
        <f t="shared" si="335"/>
        <v>180000</v>
      </c>
      <c r="HO383" s="4">
        <f t="shared" si="336"/>
        <v>0.15277777777777779</v>
      </c>
      <c r="HP383" s="4">
        <v>160</v>
      </c>
      <c r="HQ383">
        <v>0</v>
      </c>
      <c r="HR383" s="4">
        <v>0</v>
      </c>
      <c r="HS383" s="4">
        <v>0</v>
      </c>
      <c r="HT383" s="4">
        <v>0</v>
      </c>
      <c r="HU383" s="4"/>
      <c r="HV383" s="4">
        <f t="shared" si="337"/>
        <v>0.15277777777777779</v>
      </c>
      <c r="HW383" s="4"/>
      <c r="HX383" s="4">
        <v>2917</v>
      </c>
      <c r="HY383" s="4">
        <v>1689</v>
      </c>
      <c r="HZ383" s="4">
        <v>1842</v>
      </c>
      <c r="IA383" s="4">
        <v>3</v>
      </c>
      <c r="IB383" s="4">
        <v>2</v>
      </c>
      <c r="IC383" s="4">
        <v>4</v>
      </c>
      <c r="ID383" s="8">
        <v>0.9</v>
      </c>
      <c r="IE383" s="62">
        <f>PRODUCT(IA383:ID383)</f>
        <v>21.6</v>
      </c>
      <c r="IF383" s="4">
        <v>500</v>
      </c>
      <c r="IG383" s="4">
        <f t="shared" si="338"/>
        <v>0.38580246913580246</v>
      </c>
      <c r="IH383" s="4"/>
    </row>
    <row r="384" spans="1:246">
      <c r="A384">
        <v>367</v>
      </c>
      <c r="B384" t="s">
        <v>468</v>
      </c>
      <c r="C384" t="s">
        <v>1105</v>
      </c>
      <c r="D384" s="28" t="s">
        <v>889</v>
      </c>
      <c r="E384" s="27" t="s">
        <v>890</v>
      </c>
      <c r="F384" s="5" t="s">
        <v>2182</v>
      </c>
      <c r="G384" s="27" t="s">
        <v>122</v>
      </c>
      <c r="I384" s="27" t="s">
        <v>94</v>
      </c>
      <c r="J384" s="28">
        <v>21591</v>
      </c>
      <c r="K384" s="27" t="s">
        <v>97</v>
      </c>
      <c r="N384" s="28"/>
      <c r="O384" s="28"/>
      <c r="P384" s="28"/>
      <c r="Q384" s="28"/>
      <c r="R384" s="28"/>
      <c r="S384" s="27"/>
      <c r="T384" s="27"/>
      <c r="U384" s="27"/>
      <c r="W384"/>
      <c r="X384"/>
      <c r="Y384"/>
      <c r="Z384"/>
      <c r="AA384" s="56" t="s">
        <v>1106</v>
      </c>
      <c r="AB384" s="340">
        <v>136.84</v>
      </c>
      <c r="AC384">
        <v>20</v>
      </c>
      <c r="AD384" t="s">
        <v>1100</v>
      </c>
      <c r="AE384" s="7">
        <f t="shared" si="315"/>
        <v>33.87632</v>
      </c>
      <c r="AF384" s="7"/>
      <c r="AG384" s="7">
        <f t="shared" si="347"/>
        <v>7.6754385964912277</v>
      </c>
      <c r="AH384" s="7">
        <f t="shared" si="317"/>
        <v>0</v>
      </c>
      <c r="AI384" s="7">
        <f t="shared" si="318"/>
        <v>0</v>
      </c>
      <c r="AJ384" s="7">
        <f t="shared" si="319"/>
        <v>0.15350877192982457</v>
      </c>
      <c r="AK384" s="7">
        <f t="shared" si="320"/>
        <v>0.5193969824561403</v>
      </c>
      <c r="AL384" s="7">
        <f t="shared" si="321"/>
        <v>4.5706934456140349</v>
      </c>
      <c r="AM384" s="7">
        <f t="shared" si="322"/>
        <v>0.15277777777777779</v>
      </c>
      <c r="AN384" s="7">
        <f t="shared" si="323"/>
        <v>0.38580246913580246</v>
      </c>
      <c r="AO384" s="4">
        <f t="shared" si="324"/>
        <v>0</v>
      </c>
      <c r="AP384" s="4"/>
      <c r="AQ384" s="42">
        <f t="shared" si="325"/>
        <v>47.333938043404807</v>
      </c>
      <c r="AT384" s="6">
        <v>0</v>
      </c>
      <c r="AV384" s="7">
        <f t="shared" si="326"/>
        <v>47.333938043404807</v>
      </c>
      <c r="AW384" s="24">
        <v>0.248</v>
      </c>
      <c r="AX384" s="2">
        <v>0.245</v>
      </c>
      <c r="AY384" s="8">
        <v>1</v>
      </c>
      <c r="AZ384" s="14">
        <f t="shared" si="327"/>
        <v>3.0000000000000027E-3</v>
      </c>
      <c r="BA384" s="4">
        <f t="shared" si="328"/>
        <v>33.87632</v>
      </c>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E384">
        <v>0</v>
      </c>
      <c r="CF384">
        <v>0</v>
      </c>
      <c r="CG384" s="4">
        <v>0</v>
      </c>
      <c r="CH384">
        <v>0</v>
      </c>
      <c r="CK384" s="66"/>
      <c r="DM384">
        <v>0</v>
      </c>
      <c r="DN384" s="9">
        <v>0</v>
      </c>
      <c r="DO384" s="4">
        <v>0</v>
      </c>
      <c r="DP384">
        <v>0</v>
      </c>
      <c r="EF384">
        <v>350</v>
      </c>
      <c r="EG384" s="4">
        <v>3500</v>
      </c>
      <c r="EH384" s="4">
        <v>8</v>
      </c>
      <c r="EI384" s="8">
        <v>0.95</v>
      </c>
      <c r="EJ384" s="4">
        <v>1</v>
      </c>
      <c r="EK384" s="4">
        <v>60</v>
      </c>
      <c r="EL384" s="10">
        <f t="shared" si="349"/>
        <v>456</v>
      </c>
      <c r="EU384" s="4">
        <f t="shared" si="339"/>
        <v>7.6754385964912277</v>
      </c>
      <c r="GR384" s="8">
        <v>0.11</v>
      </c>
      <c r="GS384" s="4">
        <f t="shared" si="330"/>
        <v>4.5706934456140349</v>
      </c>
      <c r="GT384" s="9">
        <v>1.2500000000000001E-2</v>
      </c>
      <c r="GU384" s="4">
        <f t="shared" si="345"/>
        <v>0.5193969824561403</v>
      </c>
      <c r="GV384" s="8">
        <v>0.02</v>
      </c>
      <c r="GW384" s="4">
        <f t="shared" si="340"/>
        <v>0.15350877192982457</v>
      </c>
      <c r="GX384" s="4">
        <f t="shared" si="331"/>
        <v>5.2435991999999993</v>
      </c>
      <c r="HA384" s="4">
        <v>810</v>
      </c>
      <c r="HB384" s="4">
        <v>568</v>
      </c>
      <c r="HC384">
        <v>425</v>
      </c>
      <c r="HD384">
        <v>60</v>
      </c>
      <c r="HE384">
        <v>300</v>
      </c>
      <c r="HF384" s="4">
        <f t="shared" si="332"/>
        <v>5</v>
      </c>
      <c r="HG384">
        <v>5</v>
      </c>
      <c r="HH384" s="4">
        <v>25</v>
      </c>
      <c r="HI384">
        <v>1100</v>
      </c>
      <c r="HJ384" s="4">
        <f t="shared" si="334"/>
        <v>27500</v>
      </c>
      <c r="HM384" s="4">
        <v>2</v>
      </c>
      <c r="HN384" s="10">
        <f t="shared" si="335"/>
        <v>180000</v>
      </c>
      <c r="HO384" s="4">
        <f t="shared" si="336"/>
        <v>0.15277777777777779</v>
      </c>
      <c r="HP384" s="4">
        <v>160</v>
      </c>
      <c r="HQ384">
        <v>0</v>
      </c>
      <c r="HR384" s="4">
        <v>0</v>
      </c>
      <c r="HS384" s="4">
        <v>0</v>
      </c>
      <c r="HT384" s="4">
        <v>0</v>
      </c>
      <c r="HU384" s="4"/>
      <c r="HV384" s="4">
        <f t="shared" si="337"/>
        <v>0.15277777777777779</v>
      </c>
      <c r="HW384" s="4"/>
      <c r="HX384" s="4">
        <v>2917</v>
      </c>
      <c r="HY384" s="4">
        <v>1689</v>
      </c>
      <c r="HZ384" s="4">
        <v>1842</v>
      </c>
      <c r="IA384" s="4">
        <v>3</v>
      </c>
      <c r="IB384" s="4">
        <v>2</v>
      </c>
      <c r="IC384" s="4">
        <v>4</v>
      </c>
      <c r="ID384" s="8">
        <v>0.9</v>
      </c>
      <c r="IE384" s="62">
        <f>PRODUCT(IA384:ID384)</f>
        <v>21.6</v>
      </c>
      <c r="IF384" s="4">
        <v>500</v>
      </c>
      <c r="IG384" s="4">
        <f t="shared" si="338"/>
        <v>0.38580246913580246</v>
      </c>
      <c r="IH384" s="4"/>
    </row>
    <row r="385" spans="1:302" ht="39">
      <c r="A385">
        <v>107</v>
      </c>
      <c r="B385" t="s">
        <v>468</v>
      </c>
      <c r="C385" t="s">
        <v>1868</v>
      </c>
      <c r="D385" s="28" t="s">
        <v>320</v>
      </c>
      <c r="E385" s="27" t="s">
        <v>321</v>
      </c>
      <c r="F385" s="27"/>
      <c r="G385" s="27" t="s">
        <v>90</v>
      </c>
      <c r="H385" s="27"/>
      <c r="I385" s="27" t="s">
        <v>121</v>
      </c>
      <c r="J385" s="28">
        <v>21205</v>
      </c>
      <c r="K385" s="27" t="s">
        <v>395</v>
      </c>
      <c r="L385" s="28"/>
      <c r="M385" s="28"/>
      <c r="N385" s="28" t="s">
        <v>1767</v>
      </c>
      <c r="O385" s="28" t="s">
        <v>1034</v>
      </c>
      <c r="P385" s="331">
        <v>44947</v>
      </c>
      <c r="Q385" s="28" t="s">
        <v>1858</v>
      </c>
      <c r="R385" s="28" t="s">
        <v>1193</v>
      </c>
      <c r="S385" s="27"/>
      <c r="T385" s="27"/>
      <c r="U385" s="27"/>
      <c r="V385" s="29" t="s">
        <v>79</v>
      </c>
      <c r="W385" s="384" t="s">
        <v>467</v>
      </c>
      <c r="X385" s="52"/>
      <c r="Y385" s="52"/>
      <c r="Z385" s="52"/>
      <c r="AA385" s="21"/>
    </row>
    <row r="386" spans="1:302" ht="39">
      <c r="A386">
        <v>108</v>
      </c>
      <c r="B386" t="s">
        <v>468</v>
      </c>
      <c r="C386" t="s">
        <v>1868</v>
      </c>
      <c r="D386" s="28" t="s">
        <v>320</v>
      </c>
      <c r="E386" s="27" t="s">
        <v>321</v>
      </c>
      <c r="F386" s="27"/>
      <c r="G386" s="27" t="s">
        <v>90</v>
      </c>
      <c r="H386" s="27"/>
      <c r="I386" s="27" t="s">
        <v>226</v>
      </c>
      <c r="J386" s="28">
        <v>21557</v>
      </c>
      <c r="K386" s="27" t="s">
        <v>396</v>
      </c>
      <c r="L386" s="28"/>
      <c r="M386" s="28"/>
      <c r="N386" s="28" t="s">
        <v>1767</v>
      </c>
      <c r="O386" s="28" t="s">
        <v>1038</v>
      </c>
      <c r="P386" s="331">
        <v>43671</v>
      </c>
      <c r="Q386" s="28" t="s">
        <v>1858</v>
      </c>
      <c r="R386" s="28" t="s">
        <v>1193</v>
      </c>
      <c r="S386" s="27"/>
      <c r="T386" s="27"/>
      <c r="U386" s="27"/>
      <c r="V386" s="29" t="s">
        <v>79</v>
      </c>
      <c r="W386" s="384" t="s">
        <v>467</v>
      </c>
      <c r="X386" s="52"/>
      <c r="Y386" s="52"/>
      <c r="Z386" s="52"/>
      <c r="AA386" s="21"/>
    </row>
    <row r="387" spans="1:302">
      <c r="A387">
        <v>205</v>
      </c>
      <c r="B387" t="s">
        <v>468</v>
      </c>
      <c r="C387" s="27" t="s">
        <v>892</v>
      </c>
      <c r="D387" s="28" t="s">
        <v>626</v>
      </c>
      <c r="E387" s="27" t="s">
        <v>142</v>
      </c>
      <c r="F387" s="5" t="s">
        <v>2182</v>
      </c>
      <c r="G387" s="27" t="s">
        <v>90</v>
      </c>
      <c r="I387" s="27" t="s">
        <v>94</v>
      </c>
      <c r="J387" s="28">
        <v>21591</v>
      </c>
      <c r="K387" s="27" t="s">
        <v>97</v>
      </c>
      <c r="N387" s="28"/>
      <c r="O387" s="28"/>
      <c r="P387" s="28"/>
      <c r="Q387" s="28" t="s">
        <v>1036</v>
      </c>
      <c r="R387" s="28" t="s">
        <v>1831</v>
      </c>
      <c r="S387" s="27"/>
      <c r="T387" s="27"/>
      <c r="U387" s="27"/>
      <c r="W387" s="372"/>
      <c r="X387" s="27"/>
      <c r="Y387" s="27"/>
      <c r="Z387" s="27"/>
      <c r="AA387" s="157" t="s">
        <v>891</v>
      </c>
      <c r="AB387" s="66">
        <v>127.69</v>
      </c>
      <c r="AC387" s="4">
        <f>AB387-5</f>
        <v>122.69</v>
      </c>
      <c r="AD387" s="4" t="s">
        <v>24</v>
      </c>
      <c r="AE387" s="7">
        <f t="shared" ref="AE387:AE402" si="352">BA387</f>
        <v>8.8624170000000007</v>
      </c>
      <c r="AF387" s="7"/>
      <c r="AG387" s="7">
        <f t="shared" ref="AG387:AG402" si="353">EU387</f>
        <v>1.8092105263157896</v>
      </c>
      <c r="AH387" s="7">
        <f t="shared" ref="AH387:AH402" si="354">DM387</f>
        <v>0</v>
      </c>
      <c r="AI387" s="7">
        <f t="shared" ref="AI387:AI402" si="355">DO387</f>
        <v>0</v>
      </c>
      <c r="AJ387" s="7">
        <f t="shared" ref="AJ387:AJ402" si="356">GW387</f>
        <v>3.6184210526315791E-2</v>
      </c>
      <c r="AK387" s="7">
        <f t="shared" ref="AK387:AK402" si="357">GU387</f>
        <v>0.13339534407894738</v>
      </c>
      <c r="AL387" s="7">
        <f t="shared" ref="AL387:AL402" si="358">GS387</f>
        <v>1.1738790278947369</v>
      </c>
      <c r="AM387" s="7">
        <f t="shared" ref="AM387:AM402" si="359">HV387</f>
        <v>6.3461538461538458E-2</v>
      </c>
      <c r="AN387" s="7">
        <f t="shared" ref="AN387:AN402" si="360">IG387</f>
        <v>0.11574074074074074</v>
      </c>
      <c r="AO387" s="7">
        <v>0</v>
      </c>
      <c r="AP387" s="7"/>
      <c r="AQ387" s="7">
        <f t="shared" ref="AQ387:AQ402" si="361">SUM(AE387:AO387)</f>
        <v>12.194288388018068</v>
      </c>
      <c r="AR387" s="7">
        <f t="shared" ref="AR387:AR402" si="362">IJ387</f>
        <v>0</v>
      </c>
      <c r="AS387" s="7">
        <f t="shared" ref="AS387:AS402" si="363">EO387</f>
        <v>0</v>
      </c>
      <c r="AT387" s="7">
        <v>0</v>
      </c>
      <c r="AU387" s="7">
        <v>0</v>
      </c>
      <c r="AV387" s="42">
        <f t="shared" ref="AV387:AV402" si="364">AQ387+AT387+AU387+AR387+AS387</f>
        <v>12.194288388018068</v>
      </c>
      <c r="AW387" s="158">
        <v>7.2000000000000008E-2</v>
      </c>
      <c r="AX387" s="158">
        <v>6.9000000000000006E-2</v>
      </c>
      <c r="AY387" s="61">
        <v>0.9</v>
      </c>
      <c r="AZ387" s="62">
        <f t="shared" ref="AZ387:AZ402" si="365">(AW387-AX387)*AY387</f>
        <v>2.7000000000000023E-3</v>
      </c>
      <c r="BA387" s="62">
        <f t="shared" ref="BA387:BA402" si="366">AW387*AB387-AZ387*AC387</f>
        <v>8.8624170000000007</v>
      </c>
      <c r="BB387" s="62"/>
      <c r="BC387" s="62"/>
      <c r="BD387" s="62"/>
      <c r="BE387" s="62"/>
      <c r="BF387" s="62"/>
      <c r="BG387" s="62"/>
      <c r="BH387" s="62"/>
      <c r="BI387" s="62"/>
      <c r="BJ387" s="62"/>
      <c r="BK387" s="62"/>
      <c r="BL387" s="62"/>
      <c r="BM387" s="62"/>
      <c r="BN387" s="62"/>
      <c r="BO387" s="62"/>
      <c r="BP387" s="62"/>
      <c r="BQ387" s="62"/>
      <c r="BR387" s="62"/>
      <c r="BS387" s="62"/>
      <c r="BT387" s="62"/>
      <c r="BU387" s="62"/>
      <c r="BV387" s="62"/>
      <c r="BW387" s="62"/>
      <c r="BX387" s="62"/>
      <c r="BY387" s="62"/>
      <c r="BZ387" s="62"/>
      <c r="CA387" s="62"/>
      <c r="CB387" s="62"/>
      <c r="CC387" s="62"/>
      <c r="CD387" s="59"/>
      <c r="CE387" s="62">
        <v>0</v>
      </c>
      <c r="CF387" s="62">
        <v>0</v>
      </c>
      <c r="CG387" s="62">
        <v>0</v>
      </c>
      <c r="CH387" s="59">
        <f t="shared" ref="CH387:CH402" si="367">CF387*CG387</f>
        <v>0</v>
      </c>
      <c r="CI387" s="80"/>
      <c r="CJ387" s="59"/>
      <c r="CK387" s="59">
        <v>0</v>
      </c>
      <c r="CL387" s="59">
        <v>0</v>
      </c>
      <c r="CM387" s="59">
        <f>CK387*CL387</f>
        <v>0</v>
      </c>
      <c r="CN387" s="80"/>
      <c r="CO387" s="59"/>
      <c r="CP387" s="59">
        <v>0</v>
      </c>
      <c r="CQ387" s="59">
        <v>0</v>
      </c>
      <c r="CR387" s="59">
        <f>CP387*CQ387</f>
        <v>0</v>
      </c>
      <c r="CS387" s="59"/>
      <c r="CT387" s="59"/>
      <c r="CU387" s="59">
        <v>0</v>
      </c>
      <c r="CV387" s="59">
        <v>0</v>
      </c>
      <c r="CW387" s="59">
        <f>CU387*CV387</f>
        <v>0</v>
      </c>
      <c r="CX387" s="59"/>
      <c r="CY387" s="59"/>
      <c r="CZ387" s="59"/>
      <c r="DA387" s="59"/>
      <c r="DB387" s="59"/>
      <c r="DC387" s="59"/>
      <c r="DD387" s="59"/>
      <c r="DE387" s="59"/>
      <c r="DF387" s="59"/>
      <c r="DG387" s="59"/>
      <c r="DH387" s="59"/>
      <c r="DI387" s="59"/>
      <c r="DJ387" s="59"/>
      <c r="DK387" s="59"/>
      <c r="DL387" s="59"/>
      <c r="DM387" s="62">
        <f t="shared" ref="DM387:DM402" si="368">CH387+CM387+CR387+CW387+DB387+DG387+DL387</f>
        <v>0</v>
      </c>
      <c r="DN387" s="64">
        <v>1.2500000000000001E-2</v>
      </c>
      <c r="DO387" s="62">
        <f t="shared" ref="DO387:DO402" si="369">DM387*DN387</f>
        <v>0</v>
      </c>
      <c r="DP387" s="62">
        <f t="shared" ref="DP387:DP402" si="370">DM387+DO387</f>
        <v>0</v>
      </c>
      <c r="DQ387" s="62"/>
      <c r="DR387" s="62"/>
      <c r="DS387" s="62"/>
      <c r="DT387" s="62"/>
      <c r="DU387" s="62"/>
      <c r="DV387" s="62"/>
      <c r="DW387" s="62"/>
      <c r="DX387" s="62"/>
      <c r="DY387" s="62"/>
      <c r="DZ387" s="62"/>
      <c r="EA387" s="62"/>
      <c r="EB387" s="62"/>
      <c r="EC387" s="62"/>
      <c r="ED387" s="62"/>
      <c r="EE387" s="62"/>
      <c r="EF387" s="59">
        <v>180</v>
      </c>
      <c r="EG387" s="59">
        <v>1800</v>
      </c>
      <c r="EH387" s="59">
        <v>8</v>
      </c>
      <c r="EI387" s="61">
        <v>0.95</v>
      </c>
      <c r="EJ387" s="59">
        <v>2</v>
      </c>
      <c r="EK387" s="59">
        <v>55</v>
      </c>
      <c r="EL387" s="65">
        <f t="shared" ref="EL387:EL402" si="371">3600/EK387*EH387*EJ387*EI387</f>
        <v>994.90909090909088</v>
      </c>
      <c r="EM387" s="59"/>
      <c r="EN387" s="59"/>
      <c r="EO387" s="59"/>
      <c r="EP387" s="59"/>
      <c r="EQ387" s="59"/>
      <c r="ER387" s="59"/>
      <c r="ES387" s="59"/>
      <c r="ET387" s="59"/>
      <c r="EU387" s="62">
        <f t="shared" ref="EU387:EU402" si="372">EG387/EL387+EM387+EX387+EP387+EQ387+ER387</f>
        <v>1.8092105263157896</v>
      </c>
      <c r="EV387" s="62"/>
      <c r="EW387" s="62"/>
      <c r="EX387" s="59"/>
      <c r="EY387" s="59"/>
      <c r="EZ387" s="59"/>
      <c r="FA387" s="59"/>
      <c r="FB387" s="59"/>
      <c r="FC387" s="59"/>
      <c r="FD387" s="59"/>
      <c r="FE387" s="59"/>
      <c r="FF387" s="59"/>
      <c r="FG387" s="59"/>
      <c r="FH387" s="59"/>
      <c r="FI387" s="59"/>
      <c r="FJ387" s="59"/>
      <c r="FK387" s="59"/>
      <c r="FL387" s="59"/>
      <c r="FM387" s="59"/>
      <c r="FN387" s="59"/>
      <c r="FO387" s="59"/>
      <c r="FP387" s="59"/>
      <c r="FQ387" s="59"/>
      <c r="FR387" s="59"/>
      <c r="FS387" s="59"/>
      <c r="FT387" s="59"/>
      <c r="FU387" s="59"/>
      <c r="FV387" s="59"/>
      <c r="FW387" s="59"/>
      <c r="FX387" s="59"/>
      <c r="FY387" s="59"/>
      <c r="FZ387" s="59"/>
      <c r="GA387" s="59"/>
      <c r="GB387" s="59"/>
      <c r="GC387" s="59"/>
      <c r="GD387" s="59"/>
      <c r="GE387" s="59"/>
      <c r="GF387" s="59"/>
      <c r="GG387" s="59"/>
      <c r="GH387" s="59"/>
      <c r="GI387" s="59"/>
      <c r="GJ387" s="59"/>
      <c r="GK387" s="59"/>
      <c r="GL387" s="59"/>
      <c r="GM387" s="59"/>
      <c r="GN387" s="59"/>
      <c r="GO387" s="59"/>
      <c r="GP387" s="59"/>
      <c r="GQ387" s="59"/>
      <c r="GR387" s="61">
        <v>0.11</v>
      </c>
      <c r="GS387" s="62">
        <f t="shared" ref="GS387:GS402" si="373">GR387*(BA387+EU387)</f>
        <v>1.1738790278947369</v>
      </c>
      <c r="GT387" s="64">
        <v>1.2500000000000001E-2</v>
      </c>
      <c r="GU387" s="62">
        <f t="shared" ref="GU387:GU402" si="374">GT387*(EU387+BA387)</f>
        <v>0.13339534407894738</v>
      </c>
      <c r="GV387" s="61">
        <v>0.02</v>
      </c>
      <c r="GW387" s="62">
        <f t="shared" ref="GW387:GW402" si="375">GV387*(EU387-EP387-EQ387)</f>
        <v>3.6184210526315791E-2</v>
      </c>
      <c r="GX387" s="62">
        <f t="shared" ref="GX387:GX402" si="376">GS387+GU387+GW387</f>
        <v>1.3434585825000001</v>
      </c>
      <c r="GY387" s="59" t="s">
        <v>43</v>
      </c>
      <c r="GZ387" s="59" t="s">
        <v>87</v>
      </c>
      <c r="HA387" s="62">
        <v>650</v>
      </c>
      <c r="HB387" s="62">
        <v>450</v>
      </c>
      <c r="HC387" s="59">
        <v>320</v>
      </c>
      <c r="HD387" s="59">
        <v>80</v>
      </c>
      <c r="HE387" s="59">
        <v>650</v>
      </c>
      <c r="HF387" s="62">
        <f t="shared" ref="HF387:HF402" si="377">ROUNDUP(HE387/HD387,0)</f>
        <v>9</v>
      </c>
      <c r="HG387" s="59">
        <v>5</v>
      </c>
      <c r="HH387" s="62">
        <f t="shared" ref="HH387:HH402" si="378">HF387*HG387</f>
        <v>45</v>
      </c>
      <c r="HI387" s="59">
        <v>550</v>
      </c>
      <c r="HJ387" s="62">
        <f t="shared" ref="HJ387:HJ402" si="379">HH387*HI387</f>
        <v>24750</v>
      </c>
      <c r="HK387" s="59"/>
      <c r="HL387" s="59"/>
      <c r="HM387" s="62">
        <v>2</v>
      </c>
      <c r="HN387" s="65">
        <f t="shared" ref="HN387:HN402" si="380">HM387*12*25*HE387</f>
        <v>390000</v>
      </c>
      <c r="HO387" s="62">
        <f t="shared" ref="HO387:HO402" si="381">IF(GY387="carton box",HI387/HD387,HJ387/HN387)</f>
        <v>6.3461538461538458E-2</v>
      </c>
      <c r="HP387" s="62">
        <v>160</v>
      </c>
      <c r="HQ387" s="59">
        <v>0</v>
      </c>
      <c r="HR387" s="62">
        <f>HP387*HQ387</f>
        <v>0</v>
      </c>
      <c r="HS387" s="62">
        <v>0</v>
      </c>
      <c r="HT387" s="62">
        <f t="shared" ref="HT387:HT402" si="382">IF(ISERROR(HR387/HS387),0,HR387/HS387)</f>
        <v>0</v>
      </c>
      <c r="HU387" s="62"/>
      <c r="HV387" s="62">
        <f t="shared" ref="HV387:HV402" si="383">HO387+HT387</f>
        <v>6.3461538461538458E-2</v>
      </c>
      <c r="HW387" s="62"/>
      <c r="HX387" s="62">
        <v>2917</v>
      </c>
      <c r="HY387" s="62">
        <v>1689</v>
      </c>
      <c r="HZ387" s="62">
        <v>1842</v>
      </c>
      <c r="IA387" s="62">
        <f t="shared" ref="IA387:IA402" si="384">ROUNDDOWN(HX387/HA387,0)</f>
        <v>4</v>
      </c>
      <c r="IB387" s="62">
        <f t="shared" ref="IB387:IB402" si="385">ROUNDDOWN(HY387/HB387,0)</f>
        <v>3</v>
      </c>
      <c r="IC387" s="62">
        <f t="shared" ref="IC387:IC402" si="386">ROUNDDOWN(HZ387/HC387,0)</f>
        <v>5</v>
      </c>
      <c r="ID387" s="61">
        <v>0.9</v>
      </c>
      <c r="IE387" s="62">
        <f>PRODUCT(IA387:ID387)</f>
        <v>54</v>
      </c>
      <c r="IF387" s="62">
        <v>500</v>
      </c>
      <c r="IG387" s="62">
        <f>IF387/(IE387*HD387)</f>
        <v>0.11574074074074074</v>
      </c>
      <c r="IH387" s="62"/>
    </row>
    <row r="388" spans="1:302">
      <c r="A388">
        <v>206</v>
      </c>
      <c r="B388" t="s">
        <v>468</v>
      </c>
      <c r="C388" s="27" t="s">
        <v>895</v>
      </c>
      <c r="D388" s="28" t="s">
        <v>627</v>
      </c>
      <c r="E388" s="27" t="s">
        <v>628</v>
      </c>
      <c r="F388" s="5" t="s">
        <v>2182</v>
      </c>
      <c r="G388" s="27" t="s">
        <v>90</v>
      </c>
      <c r="I388" s="27" t="s">
        <v>94</v>
      </c>
      <c r="J388" s="28">
        <v>21591</v>
      </c>
      <c r="K388" s="27" t="s">
        <v>97</v>
      </c>
      <c r="N388" s="28"/>
      <c r="O388" s="28"/>
      <c r="P388" s="28"/>
      <c r="Q388" s="28" t="s">
        <v>1036</v>
      </c>
      <c r="R388" s="28" t="s">
        <v>1831</v>
      </c>
      <c r="S388" s="27"/>
      <c r="T388" s="27"/>
      <c r="U388" s="27"/>
      <c r="W388" s="372" t="s">
        <v>893</v>
      </c>
      <c r="X388" s="27"/>
      <c r="Y388" s="27"/>
      <c r="Z388" s="27"/>
      <c r="AA388" s="157" t="s">
        <v>894</v>
      </c>
      <c r="AB388" s="57">
        <v>200</v>
      </c>
      <c r="AC388" s="4">
        <v>0</v>
      </c>
      <c r="AD388" s="4" t="s">
        <v>24</v>
      </c>
      <c r="AE388" s="7">
        <f t="shared" si="352"/>
        <v>8.2000000000000011</v>
      </c>
      <c r="AF388" s="7"/>
      <c r="AG388" s="7">
        <f t="shared" si="353"/>
        <v>1.5076754385964912</v>
      </c>
      <c r="AH388" s="7">
        <f t="shared" si="354"/>
        <v>0</v>
      </c>
      <c r="AI388" s="7">
        <f t="shared" si="355"/>
        <v>0</v>
      </c>
      <c r="AJ388" s="7">
        <f t="shared" si="356"/>
        <v>3.0153508771929825E-2</v>
      </c>
      <c r="AK388" s="7">
        <f t="shared" si="357"/>
        <v>0.12134594298245616</v>
      </c>
      <c r="AL388" s="7">
        <f t="shared" si="358"/>
        <v>1.0678442982456142</v>
      </c>
      <c r="AM388" s="7">
        <f t="shared" si="359"/>
        <v>2.1153846153846155E-2</v>
      </c>
      <c r="AN388" s="7">
        <f t="shared" si="360"/>
        <v>3.0864197530864196E-2</v>
      </c>
      <c r="AO388" s="7">
        <v>0</v>
      </c>
      <c r="AP388" s="7"/>
      <c r="AQ388" s="7">
        <f t="shared" si="361"/>
        <v>10.979037232281202</v>
      </c>
      <c r="AR388" s="7">
        <f t="shared" si="362"/>
        <v>0</v>
      </c>
      <c r="AS388" s="7">
        <f t="shared" si="363"/>
        <v>0</v>
      </c>
      <c r="AT388" s="7">
        <v>0</v>
      </c>
      <c r="AU388" s="7">
        <v>0</v>
      </c>
      <c r="AV388" s="42">
        <f t="shared" si="364"/>
        <v>10.979037232281202</v>
      </c>
      <c r="AW388">
        <v>4.1000000000000002E-2</v>
      </c>
      <c r="AX388" s="14">
        <v>0.04</v>
      </c>
      <c r="AY388" s="8">
        <v>0</v>
      </c>
      <c r="AZ388" s="4">
        <f t="shared" si="365"/>
        <v>0</v>
      </c>
      <c r="BA388" s="4">
        <f t="shared" si="366"/>
        <v>8.2000000000000011</v>
      </c>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E388" s="4">
        <v>0</v>
      </c>
      <c r="CF388" s="4">
        <v>0</v>
      </c>
      <c r="CG388" s="4">
        <v>0</v>
      </c>
      <c r="CH388">
        <f t="shared" si="367"/>
        <v>0</v>
      </c>
      <c r="CI388" s="13"/>
      <c r="CK388">
        <v>0</v>
      </c>
      <c r="CL388">
        <v>0</v>
      </c>
      <c r="CM388">
        <f>CK388*CL388</f>
        <v>0</v>
      </c>
      <c r="CN388" s="13"/>
      <c r="CP388">
        <v>0</v>
      </c>
      <c r="CQ388">
        <v>0</v>
      </c>
      <c r="CR388">
        <f>CP388*CQ388</f>
        <v>0</v>
      </c>
      <c r="CU388">
        <v>0</v>
      </c>
      <c r="CV388">
        <v>0</v>
      </c>
      <c r="CW388">
        <f>CU388*CV388</f>
        <v>0</v>
      </c>
      <c r="DM388" s="4">
        <f t="shared" si="368"/>
        <v>0</v>
      </c>
      <c r="DN388" s="9">
        <v>1.2500000000000001E-2</v>
      </c>
      <c r="DO388" s="4">
        <f t="shared" si="369"/>
        <v>0</v>
      </c>
      <c r="DP388" s="4">
        <f t="shared" si="370"/>
        <v>0</v>
      </c>
      <c r="DQ388" s="4"/>
      <c r="DR388" s="4"/>
      <c r="DS388" s="4"/>
      <c r="DT388" s="4"/>
      <c r="DU388" s="4"/>
      <c r="DV388" s="4"/>
      <c r="DW388" s="4"/>
      <c r="DX388" s="4"/>
      <c r="DY388" s="4"/>
      <c r="DZ388" s="4"/>
      <c r="EA388" s="4"/>
      <c r="EB388" s="4"/>
      <c r="EC388" s="4"/>
      <c r="ED388" s="4"/>
      <c r="EE388" s="4"/>
      <c r="EF388">
        <v>150</v>
      </c>
      <c r="EG388">
        <v>1500</v>
      </c>
      <c r="EH388">
        <v>8</v>
      </c>
      <c r="EI388" s="8">
        <v>0.95</v>
      </c>
      <c r="EJ388">
        <v>2</v>
      </c>
      <c r="EK388">
        <v>55</v>
      </c>
      <c r="EL388" s="65">
        <f t="shared" si="371"/>
        <v>994.90909090909088</v>
      </c>
      <c r="EU388" s="62">
        <f t="shared" si="372"/>
        <v>1.5076754385964912</v>
      </c>
      <c r="EV388" s="62"/>
      <c r="EW388" s="62"/>
      <c r="GR388" s="8">
        <v>0.11</v>
      </c>
      <c r="GS388" s="4">
        <f t="shared" si="373"/>
        <v>1.0678442982456142</v>
      </c>
      <c r="GT388" s="9">
        <v>1.2500000000000001E-2</v>
      </c>
      <c r="GU388" s="4">
        <f t="shared" si="374"/>
        <v>0.12134594298245616</v>
      </c>
      <c r="GV388" s="8">
        <v>0.02</v>
      </c>
      <c r="GW388" s="4">
        <f t="shared" si="375"/>
        <v>3.0153508771929825E-2</v>
      </c>
      <c r="GX388" s="4">
        <f t="shared" si="376"/>
        <v>1.2193437500000002</v>
      </c>
      <c r="GY388" t="s">
        <v>43</v>
      </c>
      <c r="GZ388" t="s">
        <v>87</v>
      </c>
      <c r="HA388" s="4">
        <v>650</v>
      </c>
      <c r="HB388" s="4">
        <v>450</v>
      </c>
      <c r="HC388">
        <v>320</v>
      </c>
      <c r="HD388">
        <v>300</v>
      </c>
      <c r="HE388">
        <v>650</v>
      </c>
      <c r="HF388" s="4">
        <f t="shared" si="377"/>
        <v>3</v>
      </c>
      <c r="HG388">
        <v>5</v>
      </c>
      <c r="HH388" s="4">
        <f t="shared" si="378"/>
        <v>15</v>
      </c>
      <c r="HI388">
        <v>550</v>
      </c>
      <c r="HJ388" s="4">
        <f t="shared" si="379"/>
        <v>8250</v>
      </c>
      <c r="HM388" s="4">
        <v>2</v>
      </c>
      <c r="HN388" s="10">
        <f t="shared" si="380"/>
        <v>390000</v>
      </c>
      <c r="HO388" s="4">
        <f t="shared" si="381"/>
        <v>2.1153846153846155E-2</v>
      </c>
      <c r="HP388" s="4">
        <v>160</v>
      </c>
      <c r="HQ388">
        <v>0</v>
      </c>
      <c r="HR388" s="4">
        <f>HP388*HQ388</f>
        <v>0</v>
      </c>
      <c r="HS388" s="4">
        <v>0</v>
      </c>
      <c r="HT388" s="4">
        <f t="shared" si="382"/>
        <v>0</v>
      </c>
      <c r="HU388" s="4"/>
      <c r="HV388" s="4">
        <f t="shared" si="383"/>
        <v>2.1153846153846155E-2</v>
      </c>
      <c r="HW388" s="4"/>
      <c r="HX388" s="4">
        <v>2917</v>
      </c>
      <c r="HY388" s="4">
        <v>1689</v>
      </c>
      <c r="HZ388" s="4">
        <v>1842</v>
      </c>
      <c r="IA388" s="4">
        <f t="shared" si="384"/>
        <v>4</v>
      </c>
      <c r="IB388" s="4">
        <f t="shared" si="385"/>
        <v>3</v>
      </c>
      <c r="IC388" s="4">
        <f t="shared" si="386"/>
        <v>5</v>
      </c>
      <c r="ID388" s="8">
        <v>0.9</v>
      </c>
      <c r="IE388" s="4">
        <f>PRODUCT(IA388:ID388)</f>
        <v>54</v>
      </c>
      <c r="IF388" s="4">
        <v>500</v>
      </c>
      <c r="IG388" s="62">
        <f>IF388/(IE388*HD388)</f>
        <v>3.0864197530864196E-2</v>
      </c>
      <c r="IH388" s="62"/>
    </row>
    <row r="389" spans="1:302">
      <c r="A389">
        <v>207</v>
      </c>
      <c r="B389" t="s">
        <v>468</v>
      </c>
      <c r="C389" s="27" t="s">
        <v>897</v>
      </c>
      <c r="D389" s="28" t="s">
        <v>629</v>
      </c>
      <c r="E389" s="27" t="s">
        <v>630</v>
      </c>
      <c r="F389" s="5" t="s">
        <v>2182</v>
      </c>
      <c r="G389" s="27" t="s">
        <v>90</v>
      </c>
      <c r="I389" s="27" t="s">
        <v>94</v>
      </c>
      <c r="J389" s="28">
        <v>21591</v>
      </c>
      <c r="K389" s="27" t="s">
        <v>97</v>
      </c>
      <c r="N389" s="28"/>
      <c r="O389" s="28"/>
      <c r="P389" s="28"/>
      <c r="Q389" s="28" t="s">
        <v>1036</v>
      </c>
      <c r="R389" s="28" t="s">
        <v>1831</v>
      </c>
      <c r="S389" s="27"/>
      <c r="T389" s="27"/>
      <c r="U389" s="27"/>
      <c r="W389" s="372"/>
      <c r="X389" s="27"/>
      <c r="Y389" s="27"/>
      <c r="Z389" s="27"/>
      <c r="AA389" s="157" t="s">
        <v>896</v>
      </c>
      <c r="AB389" s="57">
        <v>116.34</v>
      </c>
      <c r="AC389" s="4">
        <f>AB389-5</f>
        <v>111.34</v>
      </c>
      <c r="AD389" s="4" t="s">
        <v>24</v>
      </c>
      <c r="AE389" s="7">
        <f t="shared" si="352"/>
        <v>25.827480000000001</v>
      </c>
      <c r="AF389" s="7"/>
      <c r="AG389" s="7">
        <f t="shared" si="353"/>
        <v>5.1169590643274852</v>
      </c>
      <c r="AH389" s="7">
        <f t="shared" si="354"/>
        <v>11.200000000000001</v>
      </c>
      <c r="AI389" s="7">
        <f t="shared" si="355"/>
        <v>0.14000000000000001</v>
      </c>
      <c r="AJ389" s="7">
        <f t="shared" si="356"/>
        <v>0.1023391812865497</v>
      </c>
      <c r="AK389" s="7">
        <f t="shared" si="357"/>
        <v>0.38680548830409361</v>
      </c>
      <c r="AL389" s="7">
        <f t="shared" si="358"/>
        <v>3.4038882970760236</v>
      </c>
      <c r="AM389" s="7">
        <f t="shared" si="359"/>
        <v>0.27500000000000002</v>
      </c>
      <c r="AN389" s="7">
        <f t="shared" si="360"/>
        <v>0.77160493827160492</v>
      </c>
      <c r="AO389" s="7">
        <f t="shared" ref="AO389:AO402" si="387">EY389</f>
        <v>0</v>
      </c>
      <c r="AP389" s="7"/>
      <c r="AQ389" s="7">
        <f t="shared" si="361"/>
        <v>47.224076969265759</v>
      </c>
      <c r="AR389" s="7">
        <f t="shared" si="362"/>
        <v>0</v>
      </c>
      <c r="AS389" s="7">
        <f t="shared" si="363"/>
        <v>0</v>
      </c>
      <c r="AT389" s="7">
        <v>0</v>
      </c>
      <c r="AU389" s="7">
        <v>0</v>
      </c>
      <c r="AV389" s="42">
        <f t="shared" si="364"/>
        <v>47.224076969265759</v>
      </c>
      <c r="AW389" s="14">
        <v>0.222</v>
      </c>
      <c r="AX389" s="14">
        <v>0.222</v>
      </c>
      <c r="AY389" s="8">
        <v>0.9</v>
      </c>
      <c r="AZ389" s="4">
        <f t="shared" si="365"/>
        <v>0</v>
      </c>
      <c r="BA389" s="4">
        <f t="shared" si="366"/>
        <v>25.827480000000001</v>
      </c>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E389" s="4">
        <v>0</v>
      </c>
      <c r="CF389" s="4">
        <v>7</v>
      </c>
      <c r="CG389" s="4">
        <v>1.6</v>
      </c>
      <c r="CH389">
        <f t="shared" si="367"/>
        <v>11.200000000000001</v>
      </c>
      <c r="CI389" s="13"/>
      <c r="CN389" s="13"/>
      <c r="DM389" s="4">
        <f t="shared" si="368"/>
        <v>11.200000000000001</v>
      </c>
      <c r="DN389" s="9">
        <v>1.2500000000000001E-2</v>
      </c>
      <c r="DO389" s="4">
        <f t="shared" si="369"/>
        <v>0.14000000000000001</v>
      </c>
      <c r="DP389" s="4">
        <f t="shared" si="370"/>
        <v>11.340000000000002</v>
      </c>
      <c r="DQ389" s="4"/>
      <c r="DR389" s="4"/>
      <c r="DS389" s="4"/>
      <c r="DT389" s="4"/>
      <c r="DU389" s="4"/>
      <c r="DV389" s="4"/>
      <c r="DW389" s="4"/>
      <c r="DX389" s="4"/>
      <c r="DY389" s="4"/>
      <c r="DZ389" s="4"/>
      <c r="EA389" s="4"/>
      <c r="EB389" s="4"/>
      <c r="EC389" s="4"/>
      <c r="ED389" s="4"/>
      <c r="EE389" s="4"/>
      <c r="EF389">
        <v>350</v>
      </c>
      <c r="EG389">
        <v>3500</v>
      </c>
      <c r="EH389">
        <v>8</v>
      </c>
      <c r="EI389" s="8">
        <v>0.95</v>
      </c>
      <c r="EJ389">
        <v>2</v>
      </c>
      <c r="EK389">
        <v>80</v>
      </c>
      <c r="EL389" s="65">
        <f t="shared" si="371"/>
        <v>684</v>
      </c>
      <c r="EU389" s="62">
        <f t="shared" si="372"/>
        <v>5.1169590643274852</v>
      </c>
      <c r="EV389" s="62"/>
      <c r="EW389" s="62"/>
      <c r="GR389" s="8">
        <v>0.11</v>
      </c>
      <c r="GS389" s="4">
        <f t="shared" si="373"/>
        <v>3.4038882970760236</v>
      </c>
      <c r="GT389" s="9">
        <v>1.2500000000000001E-2</v>
      </c>
      <c r="GU389" s="4">
        <f t="shared" si="374"/>
        <v>0.38680548830409361</v>
      </c>
      <c r="GV389" s="8">
        <v>0.02</v>
      </c>
      <c r="GW389" s="4">
        <f t="shared" si="375"/>
        <v>0.1023391812865497</v>
      </c>
      <c r="GX389" s="4">
        <f t="shared" si="376"/>
        <v>3.8930329666666665</v>
      </c>
      <c r="GY389" t="s">
        <v>43</v>
      </c>
      <c r="GZ389" t="s">
        <v>87</v>
      </c>
      <c r="HA389" s="4">
        <v>650</v>
      </c>
      <c r="HB389" s="4">
        <v>450</v>
      </c>
      <c r="HC389">
        <v>480</v>
      </c>
      <c r="HD389">
        <v>20</v>
      </c>
      <c r="HE389">
        <v>650</v>
      </c>
      <c r="HF389" s="4">
        <f t="shared" si="377"/>
        <v>33</v>
      </c>
      <c r="HG389">
        <v>5</v>
      </c>
      <c r="HH389" s="4">
        <f t="shared" si="378"/>
        <v>165</v>
      </c>
      <c r="HI389">
        <v>650</v>
      </c>
      <c r="HJ389" s="4">
        <f t="shared" si="379"/>
        <v>107250</v>
      </c>
      <c r="HM389" s="4">
        <v>2</v>
      </c>
      <c r="HN389" s="10">
        <f t="shared" si="380"/>
        <v>390000</v>
      </c>
      <c r="HO389" s="4">
        <f t="shared" si="381"/>
        <v>0.27500000000000002</v>
      </c>
      <c r="HP389" s="4">
        <v>160</v>
      </c>
      <c r="HQ389">
        <v>0</v>
      </c>
      <c r="HR389" s="4">
        <f>HP389*HQ389</f>
        <v>0</v>
      </c>
      <c r="HS389" s="4">
        <v>0</v>
      </c>
      <c r="HT389" s="4">
        <f t="shared" si="382"/>
        <v>0</v>
      </c>
      <c r="HU389" s="4"/>
      <c r="HV389" s="4">
        <f t="shared" si="383"/>
        <v>0.27500000000000002</v>
      </c>
      <c r="HW389" s="4"/>
      <c r="HX389" s="4">
        <v>2917</v>
      </c>
      <c r="HY389" s="4">
        <v>1689</v>
      </c>
      <c r="HZ389" s="4">
        <v>1842</v>
      </c>
      <c r="IA389" s="4">
        <f t="shared" si="384"/>
        <v>4</v>
      </c>
      <c r="IB389" s="4">
        <f t="shared" si="385"/>
        <v>3</v>
      </c>
      <c r="IC389" s="4">
        <f t="shared" si="386"/>
        <v>3</v>
      </c>
      <c r="ID389" s="8">
        <v>0.9</v>
      </c>
      <c r="IE389" s="45">
        <f>PRODUCT(IA389:ID389)</f>
        <v>32.4</v>
      </c>
      <c r="IF389" s="4">
        <v>500</v>
      </c>
      <c r="IG389" s="62">
        <f>IF389/(IE389*HD389)</f>
        <v>0.77160493827160492</v>
      </c>
      <c r="IH389" s="62"/>
      <c r="II389" s="9"/>
      <c r="IJ389" s="4"/>
      <c r="IK389" s="4"/>
    </row>
    <row r="390" spans="1:302">
      <c r="A390">
        <v>208</v>
      </c>
      <c r="B390" t="s">
        <v>468</v>
      </c>
      <c r="C390" s="27" t="s">
        <v>898</v>
      </c>
      <c r="D390" s="28" t="s">
        <v>631</v>
      </c>
      <c r="E390" s="27" t="s">
        <v>632</v>
      </c>
      <c r="F390" s="5" t="s">
        <v>2182</v>
      </c>
      <c r="G390" s="27" t="s">
        <v>90</v>
      </c>
      <c r="I390" s="27" t="s">
        <v>94</v>
      </c>
      <c r="J390" s="28">
        <v>21591</v>
      </c>
      <c r="K390" s="27" t="s">
        <v>97</v>
      </c>
      <c r="N390" s="28"/>
      <c r="O390" s="28"/>
      <c r="P390" s="28"/>
      <c r="Q390" s="28" t="s">
        <v>1033</v>
      </c>
      <c r="R390" s="28" t="s">
        <v>1194</v>
      </c>
      <c r="S390" s="27"/>
      <c r="T390" s="27"/>
      <c r="U390" s="27"/>
      <c r="W390" s="372"/>
      <c r="X390" s="27"/>
      <c r="Y390" s="27"/>
      <c r="Z390" s="27"/>
      <c r="AA390" s="157" t="s">
        <v>500</v>
      </c>
      <c r="AB390" s="57">
        <v>132.65</v>
      </c>
      <c r="AC390" s="4">
        <f>AB390-5</f>
        <v>127.65</v>
      </c>
      <c r="AD390" s="4"/>
      <c r="AE390" s="7">
        <f t="shared" si="352"/>
        <v>3.0609500000000001</v>
      </c>
      <c r="AF390" s="7"/>
      <c r="AG390" s="7">
        <f t="shared" si="353"/>
        <v>1.3706140350877194</v>
      </c>
      <c r="AH390" s="7">
        <f t="shared" si="354"/>
        <v>0</v>
      </c>
      <c r="AI390" s="7">
        <f t="shared" si="355"/>
        <v>0</v>
      </c>
      <c r="AJ390" s="7">
        <f t="shared" si="356"/>
        <v>2.7412280701754388E-2</v>
      </c>
      <c r="AK390" s="7">
        <f t="shared" si="357"/>
        <v>5.5394550438596493E-2</v>
      </c>
      <c r="AL390" s="7">
        <f t="shared" si="358"/>
        <v>0.46</v>
      </c>
      <c r="AM390" s="7">
        <f t="shared" si="359"/>
        <v>4.583333333333333E-2</v>
      </c>
      <c r="AN390" s="7">
        <f t="shared" si="360"/>
        <v>6.9444444444444448E-2</v>
      </c>
      <c r="AO390" s="7">
        <f t="shared" si="387"/>
        <v>0</v>
      </c>
      <c r="AP390" s="7"/>
      <c r="AQ390" s="7">
        <f t="shared" si="361"/>
        <v>5.0896486440058482</v>
      </c>
      <c r="AR390" s="7">
        <f t="shared" si="362"/>
        <v>0</v>
      </c>
      <c r="AS390" s="7">
        <f t="shared" si="363"/>
        <v>0</v>
      </c>
      <c r="AT390" s="7">
        <v>0</v>
      </c>
      <c r="AU390" s="7">
        <v>0</v>
      </c>
      <c r="AV390" s="42">
        <f t="shared" si="364"/>
        <v>5.0896486440058482</v>
      </c>
      <c r="AW390" s="69">
        <v>2.5000000000000001E-2</v>
      </c>
      <c r="AX390" s="69">
        <v>2.3E-2</v>
      </c>
      <c r="AY390" s="61">
        <v>1</v>
      </c>
      <c r="AZ390" s="62">
        <f t="shared" si="365"/>
        <v>2.0000000000000018E-3</v>
      </c>
      <c r="BA390" s="62">
        <f t="shared" si="366"/>
        <v>3.0609500000000001</v>
      </c>
      <c r="BB390" s="62"/>
      <c r="BC390" s="62"/>
      <c r="BD390" s="62"/>
      <c r="BE390" s="62"/>
      <c r="BF390" s="62"/>
      <c r="BG390" s="62"/>
      <c r="BH390" s="62"/>
      <c r="BI390" s="62"/>
      <c r="BJ390" s="62"/>
      <c r="BK390" s="62"/>
      <c r="BL390" s="62"/>
      <c r="BM390" s="62"/>
      <c r="BN390" s="62"/>
      <c r="BO390" s="62"/>
      <c r="BP390" s="62"/>
      <c r="BQ390" s="62"/>
      <c r="BR390" s="62"/>
      <c r="BS390" s="62"/>
      <c r="BT390" s="62"/>
      <c r="BU390" s="62"/>
      <c r="BV390" s="62"/>
      <c r="BW390" s="62"/>
      <c r="BX390" s="62"/>
      <c r="BY390" s="62"/>
      <c r="BZ390" s="62"/>
      <c r="CA390" s="62"/>
      <c r="CB390" s="62"/>
      <c r="CC390" s="62"/>
      <c r="CD390" s="59"/>
      <c r="CE390" s="62">
        <v>0</v>
      </c>
      <c r="CF390" s="62">
        <v>0</v>
      </c>
      <c r="CG390" s="62">
        <v>0</v>
      </c>
      <c r="CH390" s="59">
        <f t="shared" si="367"/>
        <v>0</v>
      </c>
      <c r="CI390" s="80"/>
      <c r="CJ390" s="59"/>
      <c r="CK390" s="59">
        <v>0</v>
      </c>
      <c r="CL390" s="59">
        <v>0</v>
      </c>
      <c r="CM390" s="59">
        <f t="shared" ref="CM390:CM400" si="388">CK390*CL390</f>
        <v>0</v>
      </c>
      <c r="CN390" s="80"/>
      <c r="CO390" s="59"/>
      <c r="CP390" s="59">
        <v>0</v>
      </c>
      <c r="CQ390" s="59">
        <v>0</v>
      </c>
      <c r="CR390" s="59">
        <f t="shared" ref="CR390:CR400" si="389">CP390*CQ390</f>
        <v>0</v>
      </c>
      <c r="CS390" s="59"/>
      <c r="CT390" s="59"/>
      <c r="CU390" s="59">
        <v>0</v>
      </c>
      <c r="CV390" s="59">
        <v>0</v>
      </c>
      <c r="CW390" s="59">
        <f t="shared" ref="CW390:CW400" si="390">CU390*CV390</f>
        <v>0</v>
      </c>
      <c r="CX390" s="59"/>
      <c r="CY390" s="59"/>
      <c r="CZ390" s="59"/>
      <c r="DA390" s="59"/>
      <c r="DB390" s="59"/>
      <c r="DC390" s="59"/>
      <c r="DD390" s="59"/>
      <c r="DE390" s="59"/>
      <c r="DF390" s="59"/>
      <c r="DG390" s="59"/>
      <c r="DH390" s="59"/>
      <c r="DI390" s="59"/>
      <c r="DJ390" s="59"/>
      <c r="DK390" s="59"/>
      <c r="DL390" s="59"/>
      <c r="DM390" s="62">
        <f t="shared" si="368"/>
        <v>0</v>
      </c>
      <c r="DN390" s="64">
        <v>1.2500000000000001E-2</v>
      </c>
      <c r="DO390" s="62">
        <f t="shared" si="369"/>
        <v>0</v>
      </c>
      <c r="DP390" s="62">
        <f t="shared" si="370"/>
        <v>0</v>
      </c>
      <c r="DQ390" s="62"/>
      <c r="DR390" s="62"/>
      <c r="DS390" s="62"/>
      <c r="DT390" s="62"/>
      <c r="DU390" s="62"/>
      <c r="DV390" s="62"/>
      <c r="DW390" s="62"/>
      <c r="DX390" s="62"/>
      <c r="DY390" s="62"/>
      <c r="DZ390" s="62"/>
      <c r="EA390" s="62"/>
      <c r="EB390" s="62"/>
      <c r="EC390" s="62"/>
      <c r="ED390" s="62"/>
      <c r="EE390" s="62"/>
      <c r="EF390" s="59">
        <v>150</v>
      </c>
      <c r="EG390" s="59">
        <v>1500</v>
      </c>
      <c r="EH390" s="59">
        <v>8</v>
      </c>
      <c r="EI390" s="61">
        <v>0.95</v>
      </c>
      <c r="EJ390" s="59">
        <v>2</v>
      </c>
      <c r="EK390" s="59">
        <v>50</v>
      </c>
      <c r="EL390" s="65">
        <f t="shared" si="371"/>
        <v>1094.3999999999999</v>
      </c>
      <c r="EM390" s="59"/>
      <c r="EN390" s="59"/>
      <c r="EO390" s="59"/>
      <c r="EP390" s="59"/>
      <c r="EQ390" s="59"/>
      <c r="ER390" s="59"/>
      <c r="ES390" s="59"/>
      <c r="ET390" s="59"/>
      <c r="EU390" s="62">
        <f t="shared" si="372"/>
        <v>1.3706140350877194</v>
      </c>
      <c r="EV390" s="62"/>
      <c r="EW390" s="62"/>
      <c r="EX390" s="59"/>
      <c r="EY390" s="59"/>
      <c r="EZ390" s="59"/>
      <c r="FA390" s="59"/>
      <c r="FB390" s="59"/>
      <c r="FC390" s="59"/>
      <c r="FD390" s="59"/>
      <c r="FE390" s="59"/>
      <c r="FF390" s="59"/>
      <c r="FG390" s="59"/>
      <c r="FH390" s="59"/>
      <c r="FI390" s="59"/>
      <c r="FJ390" s="59"/>
      <c r="FK390" s="59"/>
      <c r="FL390" s="59"/>
      <c r="FM390" s="59"/>
      <c r="FN390" s="59"/>
      <c r="FO390" s="59"/>
      <c r="FP390" s="59"/>
      <c r="FQ390" s="59"/>
      <c r="FR390" s="59"/>
      <c r="FS390" s="59"/>
      <c r="FT390" s="59"/>
      <c r="FU390" s="59"/>
      <c r="FV390" s="59"/>
      <c r="FW390" s="59"/>
      <c r="FX390" s="59"/>
      <c r="FY390" s="59"/>
      <c r="FZ390" s="59"/>
      <c r="GA390" s="59"/>
      <c r="GB390" s="59"/>
      <c r="GC390" s="59"/>
      <c r="GD390" s="59"/>
      <c r="GE390" s="59"/>
      <c r="GF390" s="59"/>
      <c r="GG390" s="59"/>
      <c r="GH390" s="59"/>
      <c r="GI390" s="59"/>
      <c r="GJ390" s="59"/>
      <c r="GK390" s="59"/>
      <c r="GL390" s="59"/>
      <c r="GM390" s="59"/>
      <c r="GN390" s="59"/>
      <c r="GO390" s="59"/>
      <c r="GP390" s="59"/>
      <c r="GQ390" s="59"/>
      <c r="GR390" s="61">
        <f>0.46/(EU390+BA390)</f>
        <v>0.10380082434956729</v>
      </c>
      <c r="GS390" s="62">
        <f t="shared" si="373"/>
        <v>0.46</v>
      </c>
      <c r="GT390" s="64">
        <v>1.2500000000000001E-2</v>
      </c>
      <c r="GU390" s="62">
        <f t="shared" si="374"/>
        <v>5.5394550438596493E-2</v>
      </c>
      <c r="GV390" s="61">
        <v>0.02</v>
      </c>
      <c r="GW390" s="62">
        <f t="shared" si="375"/>
        <v>2.7412280701754388E-2</v>
      </c>
      <c r="GX390" s="62">
        <f t="shared" si="376"/>
        <v>0.54280683114035089</v>
      </c>
      <c r="GY390" s="59" t="s">
        <v>43</v>
      </c>
      <c r="GZ390" s="59" t="s">
        <v>87</v>
      </c>
      <c r="HA390" s="62">
        <v>650</v>
      </c>
      <c r="HB390" s="62">
        <v>450</v>
      </c>
      <c r="HC390" s="59">
        <v>480</v>
      </c>
      <c r="HD390" s="59">
        <v>120</v>
      </c>
      <c r="HE390" s="59">
        <v>400</v>
      </c>
      <c r="HF390" s="62">
        <f t="shared" si="377"/>
        <v>4</v>
      </c>
      <c r="HG390" s="59">
        <v>5</v>
      </c>
      <c r="HH390" s="62">
        <f t="shared" si="378"/>
        <v>20</v>
      </c>
      <c r="HI390" s="59">
        <v>550</v>
      </c>
      <c r="HJ390" s="62">
        <f t="shared" si="379"/>
        <v>11000</v>
      </c>
      <c r="HK390" s="59"/>
      <c r="HL390" s="59"/>
      <c r="HM390" s="62">
        <v>2</v>
      </c>
      <c r="HN390" s="65">
        <f t="shared" si="380"/>
        <v>240000</v>
      </c>
      <c r="HO390" s="62">
        <f t="shared" si="381"/>
        <v>4.583333333333333E-2</v>
      </c>
      <c r="HP390" s="62">
        <v>160</v>
      </c>
      <c r="HQ390" s="59">
        <v>0</v>
      </c>
      <c r="HR390" s="62">
        <f>HP390*HQ390</f>
        <v>0</v>
      </c>
      <c r="HS390" s="62">
        <v>0</v>
      </c>
      <c r="HT390" s="62">
        <f t="shared" si="382"/>
        <v>0</v>
      </c>
      <c r="HU390" s="62"/>
      <c r="HV390" s="62">
        <f t="shared" si="383"/>
        <v>4.583333333333333E-2</v>
      </c>
      <c r="HW390" s="62"/>
      <c r="HX390" s="62">
        <v>2917</v>
      </c>
      <c r="HY390" s="62">
        <v>1689</v>
      </c>
      <c r="HZ390" s="62">
        <v>1842</v>
      </c>
      <c r="IA390" s="62">
        <f t="shared" si="384"/>
        <v>4</v>
      </c>
      <c r="IB390" s="62">
        <f t="shared" si="385"/>
        <v>3</v>
      </c>
      <c r="IC390" s="62">
        <f t="shared" si="386"/>
        <v>3</v>
      </c>
      <c r="ID390" s="61">
        <v>1</v>
      </c>
      <c r="IE390" s="62">
        <f>PRODUCT(IA390:ID390)+24</f>
        <v>60</v>
      </c>
      <c r="IF390" s="62">
        <v>500</v>
      </c>
      <c r="IG390" s="62">
        <f>IF390/(IE390*HD390)</f>
        <v>6.9444444444444448E-2</v>
      </c>
      <c r="IH390" s="62"/>
    </row>
    <row r="391" spans="1:302">
      <c r="A391">
        <v>209</v>
      </c>
      <c r="B391" t="s">
        <v>468</v>
      </c>
      <c r="C391" s="27" t="s">
        <v>900</v>
      </c>
      <c r="D391" s="28" t="s">
        <v>633</v>
      </c>
      <c r="E391" s="27" t="s">
        <v>118</v>
      </c>
      <c r="F391" s="5" t="s">
        <v>2182</v>
      </c>
      <c r="G391" s="27" t="s">
        <v>90</v>
      </c>
      <c r="I391" s="27" t="s">
        <v>94</v>
      </c>
      <c r="J391" s="28">
        <v>21591</v>
      </c>
      <c r="K391" s="27" t="s">
        <v>97</v>
      </c>
      <c r="N391" s="28"/>
      <c r="O391" s="28"/>
      <c r="P391" s="28"/>
      <c r="Q391" s="28" t="s">
        <v>1036</v>
      </c>
      <c r="R391" s="28" t="s">
        <v>1831</v>
      </c>
      <c r="S391" s="27"/>
      <c r="T391" s="27"/>
      <c r="U391" s="27"/>
      <c r="W391" s="372"/>
      <c r="X391" s="27"/>
      <c r="Y391" s="27"/>
      <c r="Z391" s="27"/>
      <c r="AA391" s="157" t="s">
        <v>899</v>
      </c>
      <c r="AB391" s="57">
        <v>108.48</v>
      </c>
      <c r="AC391" s="4">
        <f>AB391-5</f>
        <v>103.48</v>
      </c>
      <c r="AD391" s="4" t="s">
        <v>24</v>
      </c>
      <c r="AE391" s="7">
        <f t="shared" si="352"/>
        <v>0.46461600000000003</v>
      </c>
      <c r="AF391" s="7"/>
      <c r="AG391" s="7">
        <f t="shared" si="353"/>
        <v>0.41118421052631576</v>
      </c>
      <c r="AH391" s="7">
        <f t="shared" si="354"/>
        <v>0</v>
      </c>
      <c r="AI391" s="7">
        <f t="shared" si="355"/>
        <v>0</v>
      </c>
      <c r="AJ391" s="7">
        <f t="shared" si="356"/>
        <v>8.2236842105263153E-3</v>
      </c>
      <c r="AK391" s="7">
        <f t="shared" si="357"/>
        <v>1.0947502631578948E-2</v>
      </c>
      <c r="AL391" s="7">
        <f t="shared" si="358"/>
        <v>9.6338023157894748E-2</v>
      </c>
      <c r="AM391" s="7">
        <f t="shared" si="359"/>
        <v>1.4102564102564103E-2</v>
      </c>
      <c r="AN391" s="7">
        <f t="shared" si="360"/>
        <v>1.8518518518518517E-2</v>
      </c>
      <c r="AO391" s="7">
        <f t="shared" si="387"/>
        <v>0</v>
      </c>
      <c r="AP391" s="7"/>
      <c r="AQ391" s="7">
        <f t="shared" si="361"/>
        <v>1.0239305031473986</v>
      </c>
      <c r="AR391" s="7">
        <f t="shared" si="362"/>
        <v>0</v>
      </c>
      <c r="AS391" s="7">
        <f t="shared" si="363"/>
        <v>0</v>
      </c>
      <c r="AT391" s="7">
        <v>0</v>
      </c>
      <c r="AU391" s="7">
        <v>0</v>
      </c>
      <c r="AV391" s="42">
        <f t="shared" si="364"/>
        <v>1.0239305031473986</v>
      </c>
      <c r="AW391" s="69">
        <v>6.0000000000000001E-3</v>
      </c>
      <c r="AX391" s="69">
        <v>4.0000000000000001E-3</v>
      </c>
      <c r="AY391" s="61">
        <v>0.9</v>
      </c>
      <c r="AZ391" s="62">
        <f t="shared" si="365"/>
        <v>1.8000000000000002E-3</v>
      </c>
      <c r="BA391" s="62">
        <f t="shared" si="366"/>
        <v>0.46461600000000003</v>
      </c>
      <c r="BB391" s="62"/>
      <c r="BC391" s="62"/>
      <c r="BD391" s="62"/>
      <c r="BE391" s="62"/>
      <c r="BF391" s="62"/>
      <c r="BG391" s="62"/>
      <c r="BH391" s="62"/>
      <c r="BI391" s="62"/>
      <c r="BJ391" s="62"/>
      <c r="BK391" s="62"/>
      <c r="BL391" s="62"/>
      <c r="BM391" s="62"/>
      <c r="BN391" s="62"/>
      <c r="BO391" s="62"/>
      <c r="BP391" s="62"/>
      <c r="BQ391" s="62"/>
      <c r="BR391" s="62"/>
      <c r="BS391" s="62"/>
      <c r="BT391" s="62"/>
      <c r="BU391" s="62"/>
      <c r="BV391" s="62"/>
      <c r="BW391" s="62"/>
      <c r="BX391" s="62"/>
      <c r="BY391" s="62"/>
      <c r="BZ391" s="62"/>
      <c r="CA391" s="62"/>
      <c r="CB391" s="62"/>
      <c r="CC391" s="62"/>
      <c r="CD391" s="59"/>
      <c r="CE391" s="62">
        <v>0</v>
      </c>
      <c r="CF391" s="62">
        <v>0</v>
      </c>
      <c r="CG391" s="62">
        <v>0</v>
      </c>
      <c r="CH391" s="59">
        <f t="shared" si="367"/>
        <v>0</v>
      </c>
      <c r="CI391" s="80"/>
      <c r="CJ391" s="59"/>
      <c r="CK391" s="59">
        <v>0</v>
      </c>
      <c r="CL391" s="59">
        <v>0</v>
      </c>
      <c r="CM391" s="59">
        <f t="shared" si="388"/>
        <v>0</v>
      </c>
      <c r="CN391" s="80"/>
      <c r="CO391" s="59"/>
      <c r="CP391" s="59">
        <v>0</v>
      </c>
      <c r="CQ391" s="59">
        <v>0</v>
      </c>
      <c r="CR391" s="59">
        <f t="shared" si="389"/>
        <v>0</v>
      </c>
      <c r="CS391" s="59"/>
      <c r="CT391" s="59"/>
      <c r="CU391" s="59">
        <v>0</v>
      </c>
      <c r="CV391" s="59">
        <v>0</v>
      </c>
      <c r="CW391" s="59">
        <f t="shared" si="390"/>
        <v>0</v>
      </c>
      <c r="CX391" s="59"/>
      <c r="CY391" s="59"/>
      <c r="CZ391" s="59"/>
      <c r="DA391" s="59"/>
      <c r="DB391" s="59"/>
      <c r="DC391" s="59"/>
      <c r="DD391" s="59"/>
      <c r="DE391" s="59"/>
      <c r="DF391" s="59"/>
      <c r="DG391" s="59"/>
      <c r="DH391" s="59"/>
      <c r="DI391" s="59"/>
      <c r="DJ391" s="59"/>
      <c r="DK391" s="59"/>
      <c r="DL391" s="59"/>
      <c r="DM391" s="62">
        <f t="shared" si="368"/>
        <v>0</v>
      </c>
      <c r="DN391" s="64">
        <v>1.2500000000000001E-2</v>
      </c>
      <c r="DO391" s="62">
        <f t="shared" si="369"/>
        <v>0</v>
      </c>
      <c r="DP391" s="62">
        <f t="shared" si="370"/>
        <v>0</v>
      </c>
      <c r="DQ391" s="62"/>
      <c r="DR391" s="62"/>
      <c r="DS391" s="62"/>
      <c r="DT391" s="62"/>
      <c r="DU391" s="62"/>
      <c r="DV391" s="62"/>
      <c r="DW391" s="62"/>
      <c r="DX391" s="62"/>
      <c r="DY391" s="62"/>
      <c r="DZ391" s="62"/>
      <c r="EA391" s="62"/>
      <c r="EB391" s="62"/>
      <c r="EC391" s="62"/>
      <c r="ED391" s="62"/>
      <c r="EE391" s="62"/>
      <c r="EF391" s="59">
        <v>100</v>
      </c>
      <c r="EG391" s="59">
        <v>1000</v>
      </c>
      <c r="EH391" s="59">
        <v>8</v>
      </c>
      <c r="EI391" s="61">
        <v>0.95</v>
      </c>
      <c r="EJ391" s="59">
        <v>4</v>
      </c>
      <c r="EK391" s="59">
        <v>45</v>
      </c>
      <c r="EL391" s="65">
        <f t="shared" si="371"/>
        <v>2432</v>
      </c>
      <c r="EM391" s="59"/>
      <c r="EN391" s="59"/>
      <c r="EO391" s="59"/>
      <c r="EP391" s="59"/>
      <c r="EQ391" s="59"/>
      <c r="ER391" s="59"/>
      <c r="ES391" s="59"/>
      <c r="ET391" s="59"/>
      <c r="EU391" s="62">
        <f t="shared" si="372"/>
        <v>0.41118421052631576</v>
      </c>
      <c r="EV391" s="62"/>
      <c r="EW391" s="62"/>
      <c r="EX391" s="59"/>
      <c r="EY391" s="59"/>
      <c r="EZ391" s="59"/>
      <c r="FA391" s="59"/>
      <c r="FB391" s="59"/>
      <c r="FC391" s="59"/>
      <c r="FD391" s="59"/>
      <c r="FE391" s="59"/>
      <c r="FF391" s="59"/>
      <c r="FG391" s="59"/>
      <c r="FH391" s="59"/>
      <c r="FI391" s="59"/>
      <c r="FJ391" s="59"/>
      <c r="FK391" s="59"/>
      <c r="FL391" s="59"/>
      <c r="FM391" s="59"/>
      <c r="FN391" s="59"/>
      <c r="FO391" s="59"/>
      <c r="FP391" s="59"/>
      <c r="FQ391" s="59"/>
      <c r="FR391" s="59"/>
      <c r="FS391" s="59"/>
      <c r="FT391" s="59"/>
      <c r="FU391" s="59"/>
      <c r="FV391" s="59"/>
      <c r="FW391" s="59"/>
      <c r="FX391" s="59"/>
      <c r="FY391" s="59"/>
      <c r="FZ391" s="59"/>
      <c r="GA391" s="59"/>
      <c r="GB391" s="59"/>
      <c r="GC391" s="59"/>
      <c r="GD391" s="59"/>
      <c r="GE391" s="59"/>
      <c r="GF391" s="59"/>
      <c r="GG391" s="59"/>
      <c r="GH391" s="59"/>
      <c r="GI391" s="59"/>
      <c r="GJ391" s="59"/>
      <c r="GK391" s="59"/>
      <c r="GL391" s="59"/>
      <c r="GM391" s="59"/>
      <c r="GN391" s="59"/>
      <c r="GO391" s="59"/>
      <c r="GP391" s="59"/>
      <c r="GQ391" s="59"/>
      <c r="GR391" s="61">
        <v>0.11</v>
      </c>
      <c r="GS391" s="62">
        <f t="shared" si="373"/>
        <v>9.6338023157894748E-2</v>
      </c>
      <c r="GT391" s="64">
        <v>1.2500000000000001E-2</v>
      </c>
      <c r="GU391" s="62">
        <f t="shared" si="374"/>
        <v>1.0947502631578948E-2</v>
      </c>
      <c r="GV391" s="61">
        <v>0.02</v>
      </c>
      <c r="GW391" s="62">
        <f t="shared" si="375"/>
        <v>8.2236842105263153E-3</v>
      </c>
      <c r="GX391" s="62">
        <f t="shared" si="376"/>
        <v>0.11550921000000001</v>
      </c>
      <c r="GY391" s="59" t="s">
        <v>43</v>
      </c>
      <c r="GZ391" s="59" t="s">
        <v>87</v>
      </c>
      <c r="HA391" s="62">
        <v>650</v>
      </c>
      <c r="HB391" s="62">
        <v>450</v>
      </c>
      <c r="HC391" s="59">
        <v>320</v>
      </c>
      <c r="HD391" s="59">
        <v>500</v>
      </c>
      <c r="HE391" s="59">
        <v>650</v>
      </c>
      <c r="HF391" s="62">
        <f t="shared" si="377"/>
        <v>2</v>
      </c>
      <c r="HG391" s="59">
        <v>5</v>
      </c>
      <c r="HH391" s="62">
        <f t="shared" si="378"/>
        <v>10</v>
      </c>
      <c r="HI391" s="59">
        <v>550</v>
      </c>
      <c r="HJ391" s="62">
        <f t="shared" si="379"/>
        <v>5500</v>
      </c>
      <c r="HK391" s="59"/>
      <c r="HL391" s="59"/>
      <c r="HM391" s="62">
        <v>2</v>
      </c>
      <c r="HN391" s="65">
        <f t="shared" si="380"/>
        <v>390000</v>
      </c>
      <c r="HO391" s="62">
        <f t="shared" si="381"/>
        <v>1.4102564102564103E-2</v>
      </c>
      <c r="HP391" s="62">
        <v>160</v>
      </c>
      <c r="HQ391" s="59">
        <v>0</v>
      </c>
      <c r="HR391" s="62">
        <f>HP391*HQ391</f>
        <v>0</v>
      </c>
      <c r="HS391" s="62">
        <v>0</v>
      </c>
      <c r="HT391" s="62">
        <f t="shared" si="382"/>
        <v>0</v>
      </c>
      <c r="HU391" s="62"/>
      <c r="HV391" s="62">
        <f t="shared" si="383"/>
        <v>1.4102564102564103E-2</v>
      </c>
      <c r="HW391" s="62"/>
      <c r="HX391" s="62">
        <v>2917</v>
      </c>
      <c r="HY391" s="62">
        <v>1689</v>
      </c>
      <c r="HZ391" s="62">
        <v>1842</v>
      </c>
      <c r="IA391" s="62">
        <f t="shared" si="384"/>
        <v>4</v>
      </c>
      <c r="IB391" s="62">
        <f t="shared" si="385"/>
        <v>3</v>
      </c>
      <c r="IC391" s="62">
        <f t="shared" si="386"/>
        <v>5</v>
      </c>
      <c r="ID391" s="61">
        <v>0.9</v>
      </c>
      <c r="IE391" s="62">
        <f>PRODUCT(IA391:ID391)</f>
        <v>54</v>
      </c>
      <c r="IF391" s="62">
        <v>500</v>
      </c>
      <c r="IG391" s="62">
        <f>IF391/(IE391*HD391)</f>
        <v>1.8518518518518517E-2</v>
      </c>
      <c r="IH391" s="62"/>
      <c r="II391" s="64"/>
      <c r="IJ391" s="62"/>
      <c r="IK391" s="62"/>
    </row>
    <row r="392" spans="1:302" ht="38.25">
      <c r="A392">
        <v>210</v>
      </c>
      <c r="B392" t="s">
        <v>468</v>
      </c>
      <c r="C392" s="164" t="s">
        <v>901</v>
      </c>
      <c r="D392" s="28" t="s">
        <v>634</v>
      </c>
      <c r="E392" s="27" t="s">
        <v>635</v>
      </c>
      <c r="F392" s="5" t="s">
        <v>2182</v>
      </c>
      <c r="G392" s="27" t="s">
        <v>90</v>
      </c>
      <c r="I392" s="27" t="s">
        <v>226</v>
      </c>
      <c r="J392" s="28">
        <v>21480</v>
      </c>
      <c r="K392" s="27" t="s">
        <v>97</v>
      </c>
      <c r="N392" s="28"/>
      <c r="O392" s="28"/>
      <c r="P392" s="28"/>
      <c r="Q392" s="28" t="s">
        <v>1036</v>
      </c>
      <c r="R392" s="28" t="s">
        <v>1037</v>
      </c>
      <c r="S392" s="27"/>
      <c r="T392" s="27"/>
      <c r="U392" s="27"/>
      <c r="W392" s="385" t="s">
        <v>949</v>
      </c>
      <c r="X392" s="160"/>
      <c r="Y392" s="160"/>
      <c r="Z392" s="160"/>
      <c r="AA392" s="159" t="s">
        <v>902</v>
      </c>
      <c r="AB392" s="348">
        <v>75.88</v>
      </c>
      <c r="AC392" s="62">
        <v>20</v>
      </c>
      <c r="AD392" s="62"/>
      <c r="AE392" s="42">
        <f t="shared" si="352"/>
        <v>0.43527999999999994</v>
      </c>
      <c r="AF392" s="42"/>
      <c r="AG392" s="42">
        <f t="shared" si="353"/>
        <v>0.37828947368421056</v>
      </c>
      <c r="AH392" s="42">
        <f t="shared" si="354"/>
        <v>0</v>
      </c>
      <c r="AI392" s="42">
        <f t="shared" si="355"/>
        <v>0</v>
      </c>
      <c r="AJ392" s="42">
        <f t="shared" si="356"/>
        <v>7.5657894736842115E-3</v>
      </c>
      <c r="AK392" s="42">
        <f t="shared" si="357"/>
        <v>1.0169618421052632E-2</v>
      </c>
      <c r="AL392" s="42">
        <f t="shared" si="358"/>
        <v>8.9492642105263157E-2</v>
      </c>
      <c r="AM392" s="42">
        <f t="shared" si="359"/>
        <v>4.5178571428571429E-2</v>
      </c>
      <c r="AN392" s="42">
        <f t="shared" si="360"/>
        <v>0.01</v>
      </c>
      <c r="AO392" s="7">
        <f t="shared" si="387"/>
        <v>0</v>
      </c>
      <c r="AP392" s="7"/>
      <c r="AQ392" s="42">
        <f t="shared" si="361"/>
        <v>0.97597609511278205</v>
      </c>
      <c r="AR392" s="42">
        <f t="shared" si="362"/>
        <v>0</v>
      </c>
      <c r="AS392" s="42">
        <f t="shared" si="363"/>
        <v>0.15</v>
      </c>
      <c r="AT392" s="42">
        <v>0</v>
      </c>
      <c r="AU392" s="42">
        <f>1.15-1.13</f>
        <v>2.0000000000000018E-2</v>
      </c>
      <c r="AV392" s="42">
        <f t="shared" si="364"/>
        <v>1.145976095112782</v>
      </c>
      <c r="AW392" s="69">
        <v>6.0000000000000001E-3</v>
      </c>
      <c r="AX392" s="69">
        <v>5.0000000000000001E-3</v>
      </c>
      <c r="AY392" s="61">
        <v>1</v>
      </c>
      <c r="AZ392" s="62">
        <f t="shared" si="365"/>
        <v>1E-3</v>
      </c>
      <c r="BA392" s="62">
        <f t="shared" si="366"/>
        <v>0.43527999999999994</v>
      </c>
      <c r="BB392" s="62"/>
      <c r="BC392" s="62"/>
      <c r="BD392" s="62"/>
      <c r="BE392" s="62"/>
      <c r="BF392" s="62"/>
      <c r="BG392" s="62"/>
      <c r="BH392" s="62"/>
      <c r="BI392" s="62"/>
      <c r="BJ392" s="62"/>
      <c r="BK392" s="62"/>
      <c r="BL392" s="62"/>
      <c r="BM392" s="62"/>
      <c r="BN392" s="62"/>
      <c r="BO392" s="62"/>
      <c r="BP392" s="62"/>
      <c r="BQ392" s="62"/>
      <c r="BR392" s="62"/>
      <c r="BS392" s="62"/>
      <c r="BT392" s="62"/>
      <c r="BU392" s="62"/>
      <c r="BV392" s="62"/>
      <c r="BW392" s="62"/>
      <c r="BX392" s="62"/>
      <c r="BY392" s="62"/>
      <c r="BZ392" s="62"/>
      <c r="CA392" s="62"/>
      <c r="CB392" s="62"/>
      <c r="CC392" s="62"/>
      <c r="CD392" s="158"/>
      <c r="CE392" s="62">
        <v>0</v>
      </c>
      <c r="CF392" s="62">
        <v>0</v>
      </c>
      <c r="CG392" s="62">
        <v>0</v>
      </c>
      <c r="CH392" s="59">
        <f t="shared" si="367"/>
        <v>0</v>
      </c>
      <c r="CI392" s="80"/>
      <c r="CJ392" s="59"/>
      <c r="CK392" s="59">
        <v>0</v>
      </c>
      <c r="CL392" s="59">
        <v>0</v>
      </c>
      <c r="CM392" s="59">
        <f t="shared" si="388"/>
        <v>0</v>
      </c>
      <c r="CN392" s="80"/>
      <c r="CO392" s="59"/>
      <c r="CP392" s="59">
        <v>0</v>
      </c>
      <c r="CQ392" s="59">
        <v>0</v>
      </c>
      <c r="CR392" s="59">
        <f t="shared" si="389"/>
        <v>0</v>
      </c>
      <c r="CS392" s="59"/>
      <c r="CT392" s="59"/>
      <c r="CU392" s="59">
        <v>0</v>
      </c>
      <c r="CV392" s="59">
        <v>0</v>
      </c>
      <c r="CW392" s="59">
        <f t="shared" si="390"/>
        <v>0</v>
      </c>
      <c r="CX392" s="59"/>
      <c r="CY392" s="59"/>
      <c r="CZ392" s="59"/>
      <c r="DA392" s="59"/>
      <c r="DB392" s="59"/>
      <c r="DC392" s="59"/>
      <c r="DD392" s="59"/>
      <c r="DE392" s="59"/>
      <c r="DF392" s="59"/>
      <c r="DG392" s="59"/>
      <c r="DH392" s="59"/>
      <c r="DI392" s="59"/>
      <c r="DJ392" s="59"/>
      <c r="DK392" s="59"/>
      <c r="DL392" s="59"/>
      <c r="DM392" s="62">
        <f t="shared" si="368"/>
        <v>0</v>
      </c>
      <c r="DN392" s="64">
        <v>0.03</v>
      </c>
      <c r="DO392" s="62">
        <f t="shared" si="369"/>
        <v>0</v>
      </c>
      <c r="DP392" s="62">
        <f t="shared" si="370"/>
        <v>0</v>
      </c>
      <c r="DQ392" s="62"/>
      <c r="DR392" s="62"/>
      <c r="DS392" s="62"/>
      <c r="DT392" s="62"/>
      <c r="DU392" s="62"/>
      <c r="DV392" s="62"/>
      <c r="DW392" s="62"/>
      <c r="DX392" s="62"/>
      <c r="DY392" s="62"/>
      <c r="DZ392" s="62"/>
      <c r="EA392" s="62"/>
      <c r="EB392" s="62"/>
      <c r="EC392" s="62"/>
      <c r="ED392" s="62"/>
      <c r="EE392" s="62"/>
      <c r="EF392" s="59">
        <v>90</v>
      </c>
      <c r="EG392" s="59">
        <v>900</v>
      </c>
      <c r="EH392" s="59">
        <v>8</v>
      </c>
      <c r="EI392" s="61">
        <v>0.95</v>
      </c>
      <c r="EJ392" s="59">
        <v>4</v>
      </c>
      <c r="EK392" s="59">
        <v>46</v>
      </c>
      <c r="EL392" s="65">
        <f t="shared" si="371"/>
        <v>2379.1304347826085</v>
      </c>
      <c r="EM392" s="59"/>
      <c r="EN392" s="59"/>
      <c r="EO392" s="59">
        <v>0.15</v>
      </c>
      <c r="EP392" s="59"/>
      <c r="EQ392" s="59"/>
      <c r="ER392" s="59"/>
      <c r="ES392" s="59"/>
      <c r="ET392" s="59"/>
      <c r="EU392" s="62">
        <f t="shared" si="372"/>
        <v>0.37828947368421056</v>
      </c>
      <c r="EV392" s="62"/>
      <c r="EW392" s="62"/>
      <c r="EX392" s="59"/>
      <c r="EY392" s="59"/>
      <c r="EZ392" s="59"/>
      <c r="FA392" s="59"/>
      <c r="FB392" s="59"/>
      <c r="FC392" s="59"/>
      <c r="FD392" s="59"/>
      <c r="FE392" s="59"/>
      <c r="FF392" s="59"/>
      <c r="FG392" s="59"/>
      <c r="FH392" s="59"/>
      <c r="FI392" s="59"/>
      <c r="FJ392" s="59"/>
      <c r="FK392" s="59"/>
      <c r="FL392" s="59"/>
      <c r="FM392" s="59"/>
      <c r="FN392" s="59"/>
      <c r="FO392" s="59"/>
      <c r="FP392" s="59"/>
      <c r="FQ392" s="59"/>
      <c r="FR392" s="59"/>
      <c r="FS392" s="59"/>
      <c r="FT392" s="59"/>
      <c r="FU392" s="59"/>
      <c r="FV392" s="59"/>
      <c r="FW392" s="59"/>
      <c r="FX392" s="59"/>
      <c r="FY392" s="59"/>
      <c r="FZ392" s="59"/>
      <c r="GA392" s="59"/>
      <c r="GB392" s="59"/>
      <c r="GC392" s="59"/>
      <c r="GD392" s="59"/>
      <c r="GE392" s="59"/>
      <c r="GF392" s="59"/>
      <c r="GG392" s="59"/>
      <c r="GH392" s="59"/>
      <c r="GI392" s="59"/>
      <c r="GJ392" s="59"/>
      <c r="GK392" s="59"/>
      <c r="GL392" s="59"/>
      <c r="GM392" s="59"/>
      <c r="GN392" s="59"/>
      <c r="GO392" s="59"/>
      <c r="GP392" s="59"/>
      <c r="GQ392" s="59"/>
      <c r="GR392" s="61">
        <v>0.11</v>
      </c>
      <c r="GS392" s="62">
        <f t="shared" si="373"/>
        <v>8.9492642105263157E-2</v>
      </c>
      <c r="GT392" s="64">
        <v>1.2500000000000001E-2</v>
      </c>
      <c r="GU392" s="62">
        <f t="shared" si="374"/>
        <v>1.0169618421052632E-2</v>
      </c>
      <c r="GV392" s="61">
        <v>0.02</v>
      </c>
      <c r="GW392" s="62">
        <f t="shared" si="375"/>
        <v>7.5657894736842115E-3</v>
      </c>
      <c r="GX392" s="62">
        <f t="shared" si="376"/>
        <v>0.10722804999999999</v>
      </c>
      <c r="GY392" s="59" t="s">
        <v>43</v>
      </c>
      <c r="GZ392" s="59" t="s">
        <v>87</v>
      </c>
      <c r="HA392" s="62">
        <v>450</v>
      </c>
      <c r="HB392" s="62">
        <v>320</v>
      </c>
      <c r="HC392" s="59">
        <v>220</v>
      </c>
      <c r="HD392" s="59">
        <v>500</v>
      </c>
      <c r="HE392" s="59">
        <v>5600</v>
      </c>
      <c r="HF392" s="62">
        <f t="shared" si="377"/>
        <v>12</v>
      </c>
      <c r="HG392" s="59">
        <v>5</v>
      </c>
      <c r="HH392" s="62">
        <f t="shared" si="378"/>
        <v>60</v>
      </c>
      <c r="HI392" s="59">
        <v>850</v>
      </c>
      <c r="HJ392" s="62">
        <f t="shared" si="379"/>
        <v>51000</v>
      </c>
      <c r="HK392" s="59"/>
      <c r="HL392" s="59"/>
      <c r="HM392" s="62">
        <v>2</v>
      </c>
      <c r="HN392" s="65">
        <f t="shared" si="380"/>
        <v>3360000</v>
      </c>
      <c r="HO392" s="62">
        <f t="shared" si="381"/>
        <v>1.5178571428571428E-2</v>
      </c>
      <c r="HP392" s="62">
        <v>160</v>
      </c>
      <c r="HQ392" s="59">
        <v>0</v>
      </c>
      <c r="HR392" s="62">
        <v>0.03</v>
      </c>
      <c r="HS392" s="62">
        <v>1</v>
      </c>
      <c r="HT392" s="62">
        <f t="shared" si="382"/>
        <v>0.03</v>
      </c>
      <c r="HU392" s="62"/>
      <c r="HV392" s="62">
        <f t="shared" si="383"/>
        <v>4.5178571428571429E-2</v>
      </c>
      <c r="HW392" s="62"/>
      <c r="HX392" s="62">
        <v>4200</v>
      </c>
      <c r="HY392" s="62">
        <v>1900</v>
      </c>
      <c r="HZ392" s="62">
        <v>1975</v>
      </c>
      <c r="IA392" s="62">
        <f t="shared" si="384"/>
        <v>9</v>
      </c>
      <c r="IB392" s="62">
        <f t="shared" si="385"/>
        <v>5</v>
      </c>
      <c r="IC392" s="62">
        <f t="shared" si="386"/>
        <v>8</v>
      </c>
      <c r="ID392" s="61">
        <v>0.9</v>
      </c>
      <c r="IE392" s="62">
        <f>ROUND(PRODUCT(IA392:ID392),0)</f>
        <v>324</v>
      </c>
      <c r="IF392" s="62">
        <v>500</v>
      </c>
      <c r="IG392" s="62">
        <f>ROUNDUP(IF392/(IE392*HD392),2)</f>
        <v>0.01</v>
      </c>
      <c r="IH392" s="62"/>
      <c r="II392" s="64"/>
      <c r="IJ392" s="62"/>
      <c r="IK392" s="62"/>
    </row>
    <row r="393" spans="1:302">
      <c r="A393">
        <v>211</v>
      </c>
      <c r="B393" t="s">
        <v>468</v>
      </c>
      <c r="C393" s="164" t="s">
        <v>904</v>
      </c>
      <c r="D393" s="28" t="s">
        <v>636</v>
      </c>
      <c r="E393" s="27" t="s">
        <v>637</v>
      </c>
      <c r="F393" s="5" t="s">
        <v>2182</v>
      </c>
      <c r="G393" s="27" t="s">
        <v>90</v>
      </c>
      <c r="I393" s="27" t="s">
        <v>94</v>
      </c>
      <c r="J393" s="28">
        <v>21591</v>
      </c>
      <c r="K393" s="27" t="s">
        <v>97</v>
      </c>
      <c r="N393" s="28"/>
      <c r="O393" s="28"/>
      <c r="P393" s="28"/>
      <c r="Q393" s="28" t="s">
        <v>1033</v>
      </c>
      <c r="R393" s="28" t="s">
        <v>1038</v>
      </c>
      <c r="S393" s="27"/>
      <c r="T393" s="27"/>
      <c r="U393" s="27"/>
      <c r="W393" s="372" t="s">
        <v>960</v>
      </c>
      <c r="X393" s="27"/>
      <c r="Y393" s="27"/>
      <c r="Z393" s="27"/>
      <c r="AA393" s="157" t="s">
        <v>903</v>
      </c>
      <c r="AB393" s="57">
        <v>145.47999999999999</v>
      </c>
      <c r="AC393" s="4">
        <v>20</v>
      </c>
      <c r="AD393" s="4" t="s">
        <v>554</v>
      </c>
      <c r="AE393" s="7">
        <f t="shared" si="352"/>
        <v>3.2760400000000001</v>
      </c>
      <c r="AF393" s="7"/>
      <c r="AG393" s="7">
        <f t="shared" si="353"/>
        <v>1.069078947368421</v>
      </c>
      <c r="AH393" s="7">
        <f t="shared" si="354"/>
        <v>0</v>
      </c>
      <c r="AI393" s="7">
        <f t="shared" si="355"/>
        <v>0</v>
      </c>
      <c r="AJ393" s="7">
        <f t="shared" si="356"/>
        <v>2.1381578947368422E-2</v>
      </c>
      <c r="AK393" s="7">
        <f t="shared" si="357"/>
        <v>5.4313986842105269E-2</v>
      </c>
      <c r="AL393" s="7">
        <f t="shared" si="358"/>
        <v>0.47796308421052636</v>
      </c>
      <c r="AM393" s="7">
        <f t="shared" si="359"/>
        <v>5.1666666666666666E-2</v>
      </c>
      <c r="AN393" s="7">
        <f t="shared" si="360"/>
        <v>1.7241379310344827E-2</v>
      </c>
      <c r="AO393" s="7">
        <f t="shared" si="387"/>
        <v>0</v>
      </c>
      <c r="AP393" s="7"/>
      <c r="AQ393" s="7">
        <f t="shared" si="361"/>
        <v>4.9676856433454333</v>
      </c>
      <c r="AR393" s="7">
        <f t="shared" si="362"/>
        <v>0</v>
      </c>
      <c r="AS393" s="7">
        <f t="shared" si="363"/>
        <v>0</v>
      </c>
      <c r="AT393" s="7">
        <v>0</v>
      </c>
      <c r="AU393" s="7">
        <f>5.12-4.97</f>
        <v>0.15000000000000036</v>
      </c>
      <c r="AV393" s="42">
        <f t="shared" si="364"/>
        <v>5.1176856433454336</v>
      </c>
      <c r="AW393" s="69">
        <v>2.3E-2</v>
      </c>
      <c r="AX393" s="69">
        <v>1.95E-2</v>
      </c>
      <c r="AY393" s="61">
        <v>1</v>
      </c>
      <c r="AZ393" s="62">
        <f t="shared" si="365"/>
        <v>3.4999999999999996E-3</v>
      </c>
      <c r="BA393" s="62">
        <f t="shared" si="366"/>
        <v>3.2760400000000001</v>
      </c>
      <c r="BB393" s="62"/>
      <c r="BC393" s="62"/>
      <c r="BD393" s="62"/>
      <c r="BE393" s="62"/>
      <c r="BF393" s="62"/>
      <c r="BG393" s="62"/>
      <c r="BH393" s="62"/>
      <c r="BI393" s="62"/>
      <c r="BJ393" s="62"/>
      <c r="BK393" s="62"/>
      <c r="BL393" s="62"/>
      <c r="BM393" s="62"/>
      <c r="BN393" s="62"/>
      <c r="BO393" s="62"/>
      <c r="BP393" s="62"/>
      <c r="BQ393" s="62"/>
      <c r="BR393" s="62"/>
      <c r="BS393" s="62"/>
      <c r="BT393" s="62"/>
      <c r="BU393" s="62"/>
      <c r="BV393" s="62"/>
      <c r="BW393" s="62"/>
      <c r="BX393" s="62"/>
      <c r="BY393" s="62"/>
      <c r="BZ393" s="62"/>
      <c r="CA393" s="62"/>
      <c r="CB393" s="62"/>
      <c r="CC393" s="62"/>
      <c r="CD393" s="62"/>
      <c r="CE393" s="62">
        <v>0</v>
      </c>
      <c r="CF393" s="62">
        <v>0</v>
      </c>
      <c r="CG393" s="62">
        <v>0</v>
      </c>
      <c r="CH393" s="59">
        <f t="shared" si="367"/>
        <v>0</v>
      </c>
      <c r="CI393" s="80"/>
      <c r="CJ393" s="59"/>
      <c r="CK393" s="59">
        <v>0</v>
      </c>
      <c r="CL393" s="59">
        <v>0</v>
      </c>
      <c r="CM393" s="59">
        <f t="shared" si="388"/>
        <v>0</v>
      </c>
      <c r="CN393" s="80"/>
      <c r="CO393" s="59"/>
      <c r="CP393" s="59">
        <v>0</v>
      </c>
      <c r="CQ393" s="59">
        <v>0</v>
      </c>
      <c r="CR393" s="59">
        <f t="shared" si="389"/>
        <v>0</v>
      </c>
      <c r="CS393" s="59"/>
      <c r="CT393" s="59"/>
      <c r="CU393" s="59">
        <v>0</v>
      </c>
      <c r="CV393" s="59">
        <v>0</v>
      </c>
      <c r="CW393" s="59">
        <f t="shared" si="390"/>
        <v>0</v>
      </c>
      <c r="CX393" s="59"/>
      <c r="CY393" s="59"/>
      <c r="CZ393" s="59"/>
      <c r="DA393" s="59"/>
      <c r="DB393" s="59"/>
      <c r="DC393" s="59"/>
      <c r="DD393" s="59"/>
      <c r="DE393" s="59"/>
      <c r="DF393" s="59"/>
      <c r="DG393" s="59"/>
      <c r="DH393" s="59"/>
      <c r="DI393" s="59"/>
      <c r="DJ393" s="59"/>
      <c r="DK393" s="59"/>
      <c r="DL393" s="59"/>
      <c r="DM393" s="62">
        <f t="shared" si="368"/>
        <v>0</v>
      </c>
      <c r="DN393" s="64">
        <v>1.2500000000000001E-2</v>
      </c>
      <c r="DO393" s="62">
        <f t="shared" si="369"/>
        <v>0</v>
      </c>
      <c r="DP393" s="62">
        <f t="shared" si="370"/>
        <v>0</v>
      </c>
      <c r="DQ393" s="62"/>
      <c r="DR393" s="62"/>
      <c r="DS393" s="62"/>
      <c r="DT393" s="62"/>
      <c r="DU393" s="62"/>
      <c r="DV393" s="62"/>
      <c r="DW393" s="62"/>
      <c r="DX393" s="62"/>
      <c r="DY393" s="62"/>
      <c r="DZ393" s="62"/>
      <c r="EA393" s="62"/>
      <c r="EB393" s="62"/>
      <c r="EC393" s="62"/>
      <c r="ED393" s="62"/>
      <c r="EE393" s="62"/>
      <c r="EF393" s="59">
        <v>180</v>
      </c>
      <c r="EG393" s="59">
        <v>1800</v>
      </c>
      <c r="EH393" s="59">
        <v>8</v>
      </c>
      <c r="EI393" s="61">
        <v>0.95</v>
      </c>
      <c r="EJ393" s="59">
        <v>4</v>
      </c>
      <c r="EK393" s="59">
        <v>65</v>
      </c>
      <c r="EL393" s="65">
        <f t="shared" si="371"/>
        <v>1683.6923076923076</v>
      </c>
      <c r="EM393" s="59"/>
      <c r="EN393" s="59"/>
      <c r="EO393" s="59"/>
      <c r="EP393" s="59"/>
      <c r="EQ393" s="59"/>
      <c r="ER393" s="59"/>
      <c r="ES393" s="59"/>
      <c r="ET393" s="59"/>
      <c r="EU393" s="62">
        <f t="shared" si="372"/>
        <v>1.069078947368421</v>
      </c>
      <c r="EV393" s="62"/>
      <c r="EW393" s="62"/>
      <c r="EX393" s="59"/>
      <c r="EY393" s="59"/>
      <c r="EZ393" s="59"/>
      <c r="FA393" s="59"/>
      <c r="FB393" s="59"/>
      <c r="FC393" s="59"/>
      <c r="FD393" s="59"/>
      <c r="FE393" s="59"/>
      <c r="FF393" s="59"/>
      <c r="FG393" s="59"/>
      <c r="FH393" s="59"/>
      <c r="FI393" s="59"/>
      <c r="FJ393" s="59"/>
      <c r="FK393" s="59"/>
      <c r="FL393" s="59"/>
      <c r="FM393" s="59"/>
      <c r="FN393" s="59"/>
      <c r="FO393" s="59"/>
      <c r="FP393" s="59"/>
      <c r="FQ393" s="59"/>
      <c r="FR393" s="59"/>
      <c r="FS393" s="59"/>
      <c r="FT393" s="59"/>
      <c r="FU393" s="59"/>
      <c r="FV393" s="59"/>
      <c r="FW393" s="59"/>
      <c r="FX393" s="59"/>
      <c r="FY393" s="59"/>
      <c r="FZ393" s="59"/>
      <c r="GA393" s="59"/>
      <c r="GB393" s="59"/>
      <c r="GC393" s="59"/>
      <c r="GD393" s="59"/>
      <c r="GE393" s="59"/>
      <c r="GF393" s="59"/>
      <c r="GG393" s="59"/>
      <c r="GH393" s="59"/>
      <c r="GI393" s="59"/>
      <c r="GJ393" s="59"/>
      <c r="GK393" s="59"/>
      <c r="GL393" s="59"/>
      <c r="GM393" s="59"/>
      <c r="GN393" s="59"/>
      <c r="GO393" s="59"/>
      <c r="GP393" s="59"/>
      <c r="GQ393" s="59"/>
      <c r="GR393" s="61">
        <v>0.11</v>
      </c>
      <c r="GS393" s="62">
        <f t="shared" si="373"/>
        <v>0.47796308421052636</v>
      </c>
      <c r="GT393" s="64">
        <v>1.2500000000000001E-2</v>
      </c>
      <c r="GU393" s="62">
        <f t="shared" si="374"/>
        <v>5.4313986842105269E-2</v>
      </c>
      <c r="GV393" s="61">
        <v>0.02</v>
      </c>
      <c r="GW393" s="62">
        <f t="shared" si="375"/>
        <v>2.1381578947368422E-2</v>
      </c>
      <c r="GX393" s="62">
        <f t="shared" si="376"/>
        <v>0.55365865000000014</v>
      </c>
      <c r="GY393" s="59" t="s">
        <v>43</v>
      </c>
      <c r="GZ393" s="59" t="s">
        <v>87</v>
      </c>
      <c r="HA393" s="62">
        <v>650</v>
      </c>
      <c r="HB393" s="62">
        <v>450</v>
      </c>
      <c r="HC393" s="59">
        <v>480</v>
      </c>
      <c r="HD393" s="59">
        <v>1000</v>
      </c>
      <c r="HE393" s="59">
        <v>250</v>
      </c>
      <c r="HF393" s="62">
        <f t="shared" si="377"/>
        <v>1</v>
      </c>
      <c r="HG393" s="59">
        <v>5</v>
      </c>
      <c r="HH393" s="62">
        <f t="shared" si="378"/>
        <v>5</v>
      </c>
      <c r="HI393" s="59">
        <v>650</v>
      </c>
      <c r="HJ393" s="62">
        <f t="shared" si="379"/>
        <v>3250</v>
      </c>
      <c r="HK393" s="59"/>
      <c r="HL393" s="59"/>
      <c r="HM393" s="62">
        <v>2</v>
      </c>
      <c r="HN393" s="65">
        <f t="shared" si="380"/>
        <v>150000</v>
      </c>
      <c r="HO393" s="62">
        <f t="shared" si="381"/>
        <v>2.1666666666666667E-2</v>
      </c>
      <c r="HP393" s="62">
        <v>160</v>
      </c>
      <c r="HQ393" s="59">
        <v>0</v>
      </c>
      <c r="HR393" s="62">
        <v>0.03</v>
      </c>
      <c r="HS393" s="62">
        <v>1</v>
      </c>
      <c r="HT393" s="62">
        <f t="shared" si="382"/>
        <v>0.03</v>
      </c>
      <c r="HU393" s="62"/>
      <c r="HV393" s="62">
        <f t="shared" si="383"/>
        <v>5.1666666666666666E-2</v>
      </c>
      <c r="HW393" s="62"/>
      <c r="HX393" s="62">
        <v>2917</v>
      </c>
      <c r="HY393" s="62">
        <v>1689</v>
      </c>
      <c r="HZ393" s="62">
        <v>1842</v>
      </c>
      <c r="IA393" s="62">
        <f t="shared" si="384"/>
        <v>4</v>
      </c>
      <c r="IB393" s="62">
        <f t="shared" si="385"/>
        <v>3</v>
      </c>
      <c r="IC393" s="62">
        <f t="shared" si="386"/>
        <v>3</v>
      </c>
      <c r="ID393" s="61">
        <v>0.8</v>
      </c>
      <c r="IE393" s="62">
        <f>ROUND(PRODUCT(IA393:ID393),0)</f>
        <v>29</v>
      </c>
      <c r="IF393" s="62">
        <v>500</v>
      </c>
      <c r="IG393" s="62">
        <f t="shared" ref="IG393:IG402" si="391">IF393/(IE393*HD393)</f>
        <v>1.7241379310344827E-2</v>
      </c>
      <c r="IH393" s="62"/>
      <c r="II393" s="64"/>
      <c r="IJ393" s="62"/>
      <c r="IK393" s="62"/>
    </row>
    <row r="394" spans="1:302">
      <c r="A394">
        <v>212</v>
      </c>
      <c r="B394" t="s">
        <v>468</v>
      </c>
      <c r="C394" s="27" t="s">
        <v>905</v>
      </c>
      <c r="D394" s="28" t="s">
        <v>638</v>
      </c>
      <c r="E394" s="27" t="s">
        <v>639</v>
      </c>
      <c r="F394" s="5" t="s">
        <v>2182</v>
      </c>
      <c r="G394" s="27" t="s">
        <v>90</v>
      </c>
      <c r="I394" s="27" t="s">
        <v>94</v>
      </c>
      <c r="J394" s="28">
        <v>21591</v>
      </c>
      <c r="K394" s="27" t="s">
        <v>97</v>
      </c>
      <c r="N394" s="28"/>
      <c r="O394" s="28"/>
      <c r="P394" s="28"/>
      <c r="Q394" s="28" t="s">
        <v>1036</v>
      </c>
      <c r="R394" s="28" t="s">
        <v>1831</v>
      </c>
      <c r="S394" s="27"/>
      <c r="T394" s="27"/>
      <c r="U394" s="27"/>
      <c r="W394" s="372" t="s">
        <v>906</v>
      </c>
      <c r="X394" s="27"/>
      <c r="Y394" s="27"/>
      <c r="Z394" s="27"/>
      <c r="AA394" s="157" t="s">
        <v>907</v>
      </c>
      <c r="AB394" s="57">
        <v>127</v>
      </c>
      <c r="AC394" s="4">
        <f>AB394-5</f>
        <v>122</v>
      </c>
      <c r="AD394" s="4" t="s">
        <v>24</v>
      </c>
      <c r="AE394" s="7">
        <f t="shared" si="352"/>
        <v>24.018000000000001</v>
      </c>
      <c r="AF394" s="7"/>
      <c r="AG394" s="7">
        <f t="shared" si="353"/>
        <v>4.3859649122807021</v>
      </c>
      <c r="AH394" s="7">
        <f t="shared" si="354"/>
        <v>0</v>
      </c>
      <c r="AI394" s="7">
        <f t="shared" si="355"/>
        <v>0</v>
      </c>
      <c r="AJ394" s="7">
        <f t="shared" si="356"/>
        <v>8.7719298245614044E-2</v>
      </c>
      <c r="AK394" s="7">
        <f t="shared" si="357"/>
        <v>0.3550495614035088</v>
      </c>
      <c r="AL394" s="7">
        <f t="shared" si="358"/>
        <v>3.1244361403508774</v>
      </c>
      <c r="AM394" s="7">
        <f t="shared" si="359"/>
        <v>6.3461538461538458E-2</v>
      </c>
      <c r="AN394" s="7">
        <f t="shared" si="360"/>
        <v>0.11574074074074074</v>
      </c>
      <c r="AO394" s="7">
        <f t="shared" si="387"/>
        <v>0</v>
      </c>
      <c r="AP394" s="7"/>
      <c r="AQ394" s="7">
        <f t="shared" si="361"/>
        <v>32.15037219148298</v>
      </c>
      <c r="AR394" s="7">
        <f t="shared" si="362"/>
        <v>0</v>
      </c>
      <c r="AS394" s="7">
        <f t="shared" si="363"/>
        <v>0</v>
      </c>
      <c r="AT394" s="7">
        <v>0</v>
      </c>
      <c r="AU394" s="7">
        <v>0</v>
      </c>
      <c r="AV394" s="42">
        <f t="shared" si="364"/>
        <v>32.15037219148298</v>
      </c>
      <c r="AW394" s="14">
        <v>0.192</v>
      </c>
      <c r="AX394" s="14">
        <v>0.189</v>
      </c>
      <c r="AY394" s="8">
        <v>1</v>
      </c>
      <c r="AZ394" s="4">
        <f t="shared" si="365"/>
        <v>3.0000000000000027E-3</v>
      </c>
      <c r="BA394" s="4">
        <f t="shared" si="366"/>
        <v>24.018000000000001</v>
      </c>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E394" s="4">
        <v>0</v>
      </c>
      <c r="CF394" s="4">
        <v>0</v>
      </c>
      <c r="CG394" s="4">
        <v>0</v>
      </c>
      <c r="CH394">
        <f t="shared" si="367"/>
        <v>0</v>
      </c>
      <c r="CI394" s="13"/>
      <c r="CK394">
        <v>0</v>
      </c>
      <c r="CL394">
        <v>0</v>
      </c>
      <c r="CM394">
        <f t="shared" si="388"/>
        <v>0</v>
      </c>
      <c r="CN394" s="13"/>
      <c r="CP394">
        <v>0</v>
      </c>
      <c r="CQ394">
        <v>0</v>
      </c>
      <c r="CR394">
        <f t="shared" si="389"/>
        <v>0</v>
      </c>
      <c r="CU394">
        <v>0</v>
      </c>
      <c r="CV394">
        <v>0</v>
      </c>
      <c r="CW394">
        <f t="shared" si="390"/>
        <v>0</v>
      </c>
      <c r="DM394" s="4">
        <f t="shared" si="368"/>
        <v>0</v>
      </c>
      <c r="DN394" s="9">
        <v>1.2500000000000001E-2</v>
      </c>
      <c r="DO394" s="4">
        <f t="shared" si="369"/>
        <v>0</v>
      </c>
      <c r="DP394" s="4">
        <f t="shared" si="370"/>
        <v>0</v>
      </c>
      <c r="DQ394" s="4"/>
      <c r="DR394" s="4"/>
      <c r="DS394" s="4"/>
      <c r="DT394" s="4"/>
      <c r="DU394" s="4"/>
      <c r="DV394" s="4"/>
      <c r="DW394" s="4"/>
      <c r="DX394" s="4"/>
      <c r="DY394" s="4"/>
      <c r="DZ394" s="4"/>
      <c r="EA394" s="4"/>
      <c r="EB394" s="4"/>
      <c r="EC394" s="4"/>
      <c r="ED394" s="4"/>
      <c r="EE394" s="4"/>
      <c r="EF394">
        <v>200</v>
      </c>
      <c r="EG394">
        <v>2000</v>
      </c>
      <c r="EH394">
        <v>8</v>
      </c>
      <c r="EI394" s="8">
        <v>0.95</v>
      </c>
      <c r="EJ394">
        <v>1</v>
      </c>
      <c r="EK394">
        <v>60</v>
      </c>
      <c r="EL394" s="65">
        <f t="shared" si="371"/>
        <v>456</v>
      </c>
      <c r="EU394" s="62">
        <f t="shared" si="372"/>
        <v>4.3859649122807021</v>
      </c>
      <c r="EV394" s="62"/>
      <c r="EW394" s="62"/>
      <c r="GR394" s="8">
        <v>0.11</v>
      </c>
      <c r="GS394" s="4">
        <f t="shared" si="373"/>
        <v>3.1244361403508774</v>
      </c>
      <c r="GT394" s="9">
        <v>1.2500000000000001E-2</v>
      </c>
      <c r="GU394" s="4">
        <f t="shared" si="374"/>
        <v>0.3550495614035088</v>
      </c>
      <c r="GV394" s="8">
        <v>0.02</v>
      </c>
      <c r="GW394" s="4">
        <f t="shared" si="375"/>
        <v>8.7719298245614044E-2</v>
      </c>
      <c r="GX394" s="4">
        <f t="shared" si="376"/>
        <v>3.567205</v>
      </c>
      <c r="GY394" t="s">
        <v>43</v>
      </c>
      <c r="GZ394" t="s">
        <v>87</v>
      </c>
      <c r="HA394" s="4">
        <v>650</v>
      </c>
      <c r="HB394" s="4">
        <v>450</v>
      </c>
      <c r="HC394">
        <v>320</v>
      </c>
      <c r="HD394">
        <v>80</v>
      </c>
      <c r="HE394">
        <v>650</v>
      </c>
      <c r="HF394" s="4">
        <f t="shared" si="377"/>
        <v>9</v>
      </c>
      <c r="HG394">
        <v>5</v>
      </c>
      <c r="HH394" s="4">
        <f t="shared" si="378"/>
        <v>45</v>
      </c>
      <c r="HI394">
        <v>550</v>
      </c>
      <c r="HJ394" s="4">
        <f t="shared" si="379"/>
        <v>24750</v>
      </c>
      <c r="HM394" s="4">
        <v>2</v>
      </c>
      <c r="HN394" s="10">
        <f t="shared" si="380"/>
        <v>390000</v>
      </c>
      <c r="HO394" s="4">
        <f t="shared" si="381"/>
        <v>6.3461538461538458E-2</v>
      </c>
      <c r="HP394" s="4">
        <v>160</v>
      </c>
      <c r="HQ394">
        <v>0</v>
      </c>
      <c r="HR394" s="4">
        <f>HP394*HQ394</f>
        <v>0</v>
      </c>
      <c r="HS394" s="4">
        <v>0</v>
      </c>
      <c r="HT394" s="4">
        <f t="shared" si="382"/>
        <v>0</v>
      </c>
      <c r="HU394" s="4"/>
      <c r="HV394" s="4">
        <f t="shared" si="383"/>
        <v>6.3461538461538458E-2</v>
      </c>
      <c r="HW394" s="4"/>
      <c r="HX394" s="4">
        <v>2917</v>
      </c>
      <c r="HY394" s="4">
        <v>1689</v>
      </c>
      <c r="HZ394" s="4">
        <v>1842</v>
      </c>
      <c r="IA394" s="4">
        <f t="shared" si="384"/>
        <v>4</v>
      </c>
      <c r="IB394" s="4">
        <f t="shared" si="385"/>
        <v>3</v>
      </c>
      <c r="IC394" s="4">
        <f t="shared" si="386"/>
        <v>5</v>
      </c>
      <c r="ID394" s="8">
        <v>0.9</v>
      </c>
      <c r="IE394" s="4">
        <f>PRODUCT(IA394:ID394)</f>
        <v>54</v>
      </c>
      <c r="IF394" s="4">
        <v>500</v>
      </c>
      <c r="IG394" s="62">
        <f t="shared" si="391"/>
        <v>0.11574074074074074</v>
      </c>
      <c r="IH394" s="62"/>
      <c r="II394" s="9"/>
      <c r="IJ394" s="4"/>
      <c r="IK394" s="4"/>
    </row>
    <row r="395" spans="1:302">
      <c r="A395">
        <v>213</v>
      </c>
      <c r="B395" t="s">
        <v>468</v>
      </c>
      <c r="C395" s="27" t="s">
        <v>908</v>
      </c>
      <c r="D395" s="28" t="s">
        <v>640</v>
      </c>
      <c r="E395" s="27" t="s">
        <v>641</v>
      </c>
      <c r="F395" s="5" t="s">
        <v>2182</v>
      </c>
      <c r="G395" s="27" t="s">
        <v>90</v>
      </c>
      <c r="I395" s="27" t="s">
        <v>94</v>
      </c>
      <c r="J395" s="28">
        <v>21591</v>
      </c>
      <c r="K395" s="27" t="s">
        <v>97</v>
      </c>
      <c r="N395" s="28"/>
      <c r="O395" s="28"/>
      <c r="P395" s="28"/>
      <c r="Q395" s="28" t="s">
        <v>1036</v>
      </c>
      <c r="R395" s="28" t="s">
        <v>1831</v>
      </c>
      <c r="S395" s="27"/>
      <c r="T395" s="27"/>
      <c r="U395" s="27"/>
      <c r="W395" s="372"/>
      <c r="X395" s="27"/>
      <c r="Y395" s="27"/>
      <c r="Z395" s="27"/>
      <c r="AA395" s="157" t="s">
        <v>440</v>
      </c>
      <c r="AB395" s="57">
        <v>117.66</v>
      </c>
      <c r="AC395" s="4">
        <f>AB395-5</f>
        <v>112.66</v>
      </c>
      <c r="AD395" s="4" t="s">
        <v>24</v>
      </c>
      <c r="AE395" s="7">
        <f t="shared" si="352"/>
        <v>27.463578000000002</v>
      </c>
      <c r="AF395" s="7"/>
      <c r="AG395" s="7">
        <f t="shared" si="353"/>
        <v>8.3223684210526319</v>
      </c>
      <c r="AH395" s="7">
        <f t="shared" si="354"/>
        <v>0</v>
      </c>
      <c r="AI395" s="7">
        <f t="shared" si="355"/>
        <v>0</v>
      </c>
      <c r="AJ395" s="7">
        <f t="shared" si="356"/>
        <v>0.16644736842105265</v>
      </c>
      <c r="AK395" s="7">
        <f t="shared" si="357"/>
        <v>0.44732433026315799</v>
      </c>
      <c r="AL395" s="7">
        <f t="shared" si="358"/>
        <v>3.9364541063157898</v>
      </c>
      <c r="AM395" s="7">
        <f t="shared" si="359"/>
        <v>0.14166666666666666</v>
      </c>
      <c r="AN395" s="7">
        <f t="shared" si="360"/>
        <v>0.86805555555555558</v>
      </c>
      <c r="AO395" s="7">
        <f t="shared" si="387"/>
        <v>0</v>
      </c>
      <c r="AP395" s="7"/>
      <c r="AQ395" s="7">
        <f t="shared" si="361"/>
        <v>41.345894448274862</v>
      </c>
      <c r="AR395" s="7">
        <f t="shared" si="362"/>
        <v>0</v>
      </c>
      <c r="AS395" s="7">
        <f t="shared" si="363"/>
        <v>0</v>
      </c>
      <c r="AT395" s="7">
        <v>0</v>
      </c>
      <c r="AU395" s="7">
        <v>0</v>
      </c>
      <c r="AV395" s="42">
        <f t="shared" si="364"/>
        <v>41.345894448274862</v>
      </c>
      <c r="AW395" s="14">
        <v>0.23600000000000002</v>
      </c>
      <c r="AX395" s="14">
        <v>0.23300000000000001</v>
      </c>
      <c r="AY395" s="8">
        <v>0.9</v>
      </c>
      <c r="AZ395" s="4">
        <f t="shared" si="365"/>
        <v>2.7000000000000023E-3</v>
      </c>
      <c r="BA395" s="4">
        <f t="shared" si="366"/>
        <v>27.463578000000002</v>
      </c>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E395" s="4">
        <v>0</v>
      </c>
      <c r="CF395" s="4">
        <v>0</v>
      </c>
      <c r="CG395" s="4">
        <v>0</v>
      </c>
      <c r="CH395">
        <f t="shared" si="367"/>
        <v>0</v>
      </c>
      <c r="CI395" s="13"/>
      <c r="CK395">
        <v>0</v>
      </c>
      <c r="CL395">
        <v>0</v>
      </c>
      <c r="CM395">
        <f t="shared" si="388"/>
        <v>0</v>
      </c>
      <c r="CN395" s="13"/>
      <c r="CP395">
        <v>0</v>
      </c>
      <c r="CQ395">
        <v>0</v>
      </c>
      <c r="CR395">
        <f t="shared" si="389"/>
        <v>0</v>
      </c>
      <c r="CU395">
        <v>0</v>
      </c>
      <c r="CV395">
        <v>0</v>
      </c>
      <c r="CW395">
        <f t="shared" si="390"/>
        <v>0</v>
      </c>
      <c r="DM395" s="4">
        <f t="shared" si="368"/>
        <v>0</v>
      </c>
      <c r="DN395" s="9">
        <v>1.2500000000000001E-2</v>
      </c>
      <c r="DO395" s="4">
        <f t="shared" si="369"/>
        <v>0</v>
      </c>
      <c r="DP395" s="4">
        <f t="shared" si="370"/>
        <v>0</v>
      </c>
      <c r="DQ395" s="4"/>
      <c r="DR395" s="4"/>
      <c r="DS395" s="4"/>
      <c r="DT395" s="4"/>
      <c r="DU395" s="4"/>
      <c r="DV395" s="4"/>
      <c r="DW395" s="4"/>
      <c r="DX395" s="4"/>
      <c r="DY395" s="4"/>
      <c r="DZ395" s="4"/>
      <c r="EA395" s="4"/>
      <c r="EB395" s="4"/>
      <c r="EC395" s="4"/>
      <c r="ED395" s="4"/>
      <c r="EE395" s="4"/>
      <c r="EF395">
        <v>450</v>
      </c>
      <c r="EG395">
        <v>4140</v>
      </c>
      <c r="EH395">
        <v>8</v>
      </c>
      <c r="EI395" s="8">
        <v>0.95</v>
      </c>
      <c r="EJ395">
        <v>1</v>
      </c>
      <c r="EK395">
        <v>55</v>
      </c>
      <c r="EL395" s="65">
        <f t="shared" si="371"/>
        <v>497.45454545454544</v>
      </c>
      <c r="EU395" s="62">
        <f t="shared" si="372"/>
        <v>8.3223684210526319</v>
      </c>
      <c r="EV395" s="62"/>
      <c r="EW395" s="62"/>
      <c r="GR395" s="8">
        <v>0.11</v>
      </c>
      <c r="GS395" s="4">
        <f t="shared" si="373"/>
        <v>3.9364541063157898</v>
      </c>
      <c r="GT395" s="9">
        <v>1.2500000000000001E-2</v>
      </c>
      <c r="GU395" s="4">
        <f t="shared" si="374"/>
        <v>0.44732433026315799</v>
      </c>
      <c r="GV395" s="8">
        <v>0.02</v>
      </c>
      <c r="GW395" s="4">
        <f t="shared" si="375"/>
        <v>0.16644736842105265</v>
      </c>
      <c r="GX395" s="4">
        <f t="shared" si="376"/>
        <v>4.5502258050000002</v>
      </c>
      <c r="GY395" t="s">
        <v>43</v>
      </c>
      <c r="GZ395" t="s">
        <v>87</v>
      </c>
      <c r="HA395" s="4">
        <v>980</v>
      </c>
      <c r="HB395" s="4">
        <v>700</v>
      </c>
      <c r="HC395">
        <v>450</v>
      </c>
      <c r="HD395">
        <v>40</v>
      </c>
      <c r="HE395">
        <v>650</v>
      </c>
      <c r="HF395" s="4">
        <f t="shared" si="377"/>
        <v>17</v>
      </c>
      <c r="HG395">
        <v>5</v>
      </c>
      <c r="HH395" s="4">
        <f t="shared" si="378"/>
        <v>85</v>
      </c>
      <c r="HI395">
        <v>650</v>
      </c>
      <c r="HJ395" s="4">
        <f t="shared" si="379"/>
        <v>55250</v>
      </c>
      <c r="HM395" s="4">
        <v>2</v>
      </c>
      <c r="HN395" s="10">
        <f t="shared" si="380"/>
        <v>390000</v>
      </c>
      <c r="HO395" s="4">
        <f t="shared" si="381"/>
        <v>0.14166666666666666</v>
      </c>
      <c r="HP395" s="4">
        <v>160</v>
      </c>
      <c r="HQ395">
        <v>0</v>
      </c>
      <c r="HR395" s="4">
        <f>HP395*HQ395</f>
        <v>0</v>
      </c>
      <c r="HS395" s="4">
        <v>0</v>
      </c>
      <c r="HT395" s="4">
        <f t="shared" si="382"/>
        <v>0</v>
      </c>
      <c r="HU395" s="4"/>
      <c r="HV395" s="4">
        <f t="shared" si="383"/>
        <v>0.14166666666666666</v>
      </c>
      <c r="HW395" s="4"/>
      <c r="HX395" s="4">
        <v>2917</v>
      </c>
      <c r="HY395" s="4">
        <v>1689</v>
      </c>
      <c r="HZ395" s="4">
        <v>1842</v>
      </c>
      <c r="IA395" s="4">
        <f t="shared" si="384"/>
        <v>2</v>
      </c>
      <c r="IB395" s="4">
        <f t="shared" si="385"/>
        <v>2</v>
      </c>
      <c r="IC395" s="4">
        <f t="shared" si="386"/>
        <v>4</v>
      </c>
      <c r="ID395" s="8">
        <v>0.9</v>
      </c>
      <c r="IE395" s="4">
        <f>PRODUCT(IA395:ID395)</f>
        <v>14.4</v>
      </c>
      <c r="IF395" s="4">
        <v>500</v>
      </c>
      <c r="IG395" s="62">
        <f t="shared" si="391"/>
        <v>0.86805555555555558</v>
      </c>
      <c r="IH395" s="62"/>
      <c r="II395" s="9"/>
      <c r="IJ395" s="4"/>
      <c r="IK395" s="4"/>
    </row>
    <row r="396" spans="1:302">
      <c r="A396">
        <v>214</v>
      </c>
      <c r="B396" t="s">
        <v>468</v>
      </c>
      <c r="C396" s="27" t="s">
        <v>911</v>
      </c>
      <c r="D396" s="28" t="s">
        <v>642</v>
      </c>
      <c r="E396" s="27" t="s">
        <v>643</v>
      </c>
      <c r="F396" s="5" t="s">
        <v>2182</v>
      </c>
      <c r="G396" s="27" t="s">
        <v>90</v>
      </c>
      <c r="I396" s="27" t="s">
        <v>94</v>
      </c>
      <c r="J396" s="28">
        <v>21591</v>
      </c>
      <c r="K396" s="27" t="s">
        <v>97</v>
      </c>
      <c r="N396" s="28"/>
      <c r="O396" s="28"/>
      <c r="P396" s="28"/>
      <c r="Q396" s="28" t="s">
        <v>1036</v>
      </c>
      <c r="R396" s="28" t="s">
        <v>1831</v>
      </c>
      <c r="S396" s="27"/>
      <c r="T396" s="27"/>
      <c r="U396" s="27"/>
      <c r="W396" s="372" t="s">
        <v>909</v>
      </c>
      <c r="X396" s="27"/>
      <c r="Y396" s="27"/>
      <c r="Z396" s="27"/>
      <c r="AA396" s="157" t="s">
        <v>910</v>
      </c>
      <c r="AB396" s="57">
        <v>95.3</v>
      </c>
      <c r="AC396" s="4">
        <v>20</v>
      </c>
      <c r="AD396" s="4"/>
      <c r="AE396" s="7">
        <f t="shared" si="352"/>
        <v>6.3851000000000004</v>
      </c>
      <c r="AF396" s="7"/>
      <c r="AG396" s="7">
        <f t="shared" si="353"/>
        <v>2.7412280701754388</v>
      </c>
      <c r="AH396" s="7">
        <f t="shared" si="354"/>
        <v>0</v>
      </c>
      <c r="AI396" s="7">
        <f t="shared" si="355"/>
        <v>0</v>
      </c>
      <c r="AJ396" s="7">
        <f t="shared" si="356"/>
        <v>5.4824561403508776E-2</v>
      </c>
      <c r="AK396" s="7">
        <f t="shared" si="357"/>
        <v>0.114079100877193</v>
      </c>
      <c r="AL396" s="7">
        <f t="shared" si="358"/>
        <v>1.0038960877192984</v>
      </c>
      <c r="AM396" s="7">
        <f t="shared" si="359"/>
        <v>0.14807692307692308</v>
      </c>
      <c r="AN396" s="7">
        <f t="shared" si="360"/>
        <v>0.28935185185185186</v>
      </c>
      <c r="AO396" s="7">
        <f t="shared" si="387"/>
        <v>0</v>
      </c>
      <c r="AP396" s="7"/>
      <c r="AQ396" s="7">
        <f t="shared" si="361"/>
        <v>10.736556595104213</v>
      </c>
      <c r="AR396" s="7">
        <f t="shared" si="362"/>
        <v>0</v>
      </c>
      <c r="AS396" s="7">
        <f t="shared" si="363"/>
        <v>0</v>
      </c>
      <c r="AT396" s="7">
        <v>0</v>
      </c>
      <c r="AU396" s="7">
        <v>0</v>
      </c>
      <c r="AV396" s="42">
        <f t="shared" si="364"/>
        <v>10.736556595104213</v>
      </c>
      <c r="AW396" s="14">
        <v>6.7000000000000004E-2</v>
      </c>
      <c r="AX396" s="14">
        <v>6.7000000000000004E-2</v>
      </c>
      <c r="AY396" s="8">
        <v>1</v>
      </c>
      <c r="AZ396" s="4">
        <f t="shared" si="365"/>
        <v>0</v>
      </c>
      <c r="BA396" s="4">
        <f t="shared" si="366"/>
        <v>6.3851000000000004</v>
      </c>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E396" s="4">
        <v>0</v>
      </c>
      <c r="CF396" s="4">
        <v>0</v>
      </c>
      <c r="CG396" s="4">
        <v>0</v>
      </c>
      <c r="CH396">
        <f t="shared" si="367"/>
        <v>0</v>
      </c>
      <c r="CI396" s="13"/>
      <c r="CK396">
        <v>0</v>
      </c>
      <c r="CL396">
        <v>0</v>
      </c>
      <c r="CM396">
        <f t="shared" si="388"/>
        <v>0</v>
      </c>
      <c r="CN396" s="13"/>
      <c r="CP396">
        <v>0</v>
      </c>
      <c r="CQ396">
        <v>0</v>
      </c>
      <c r="CR396">
        <f t="shared" si="389"/>
        <v>0</v>
      </c>
      <c r="CU396">
        <v>0</v>
      </c>
      <c r="CV396">
        <v>0</v>
      </c>
      <c r="CW396">
        <f t="shared" si="390"/>
        <v>0</v>
      </c>
      <c r="DM396" s="4">
        <f t="shared" si="368"/>
        <v>0</v>
      </c>
      <c r="DN396" s="9">
        <v>1.2500000000000001E-2</v>
      </c>
      <c r="DO396" s="4">
        <f t="shared" si="369"/>
        <v>0</v>
      </c>
      <c r="DP396" s="4">
        <f t="shared" si="370"/>
        <v>0</v>
      </c>
      <c r="DQ396" s="4"/>
      <c r="DR396" s="4"/>
      <c r="DS396" s="4"/>
      <c r="DT396" s="4"/>
      <c r="DU396" s="4"/>
      <c r="DV396" s="4"/>
      <c r="DW396" s="4"/>
      <c r="DX396" s="4"/>
      <c r="DY396" s="4"/>
      <c r="DZ396" s="4"/>
      <c r="EA396" s="4"/>
      <c r="EB396" s="4"/>
      <c r="EC396" s="4"/>
      <c r="ED396" s="4"/>
      <c r="EE396" s="4"/>
      <c r="EF396">
        <v>150</v>
      </c>
      <c r="EG396">
        <v>1500</v>
      </c>
      <c r="EH396">
        <v>8</v>
      </c>
      <c r="EI396" s="8">
        <v>0.95</v>
      </c>
      <c r="EJ396">
        <v>1</v>
      </c>
      <c r="EK396">
        <v>50</v>
      </c>
      <c r="EL396" s="65">
        <f t="shared" si="371"/>
        <v>547.19999999999993</v>
      </c>
      <c r="EU396" s="62">
        <f t="shared" si="372"/>
        <v>2.7412280701754388</v>
      </c>
      <c r="EV396" s="62"/>
      <c r="EW396" s="62"/>
      <c r="GR396" s="8">
        <v>0.11</v>
      </c>
      <c r="GS396" s="4">
        <f t="shared" si="373"/>
        <v>1.0038960877192984</v>
      </c>
      <c r="GT396" s="9">
        <v>1.2500000000000001E-2</v>
      </c>
      <c r="GU396" s="4">
        <f t="shared" si="374"/>
        <v>0.114079100877193</v>
      </c>
      <c r="GV396" s="8">
        <v>0.02</v>
      </c>
      <c r="GW396" s="4">
        <f t="shared" si="375"/>
        <v>5.4824561403508776E-2</v>
      </c>
      <c r="GX396" s="4">
        <f t="shared" si="376"/>
        <v>1.1727997500000003</v>
      </c>
      <c r="GY396" t="s">
        <v>43</v>
      </c>
      <c r="GZ396" t="s">
        <v>87</v>
      </c>
      <c r="HA396" s="4">
        <v>650</v>
      </c>
      <c r="HB396" s="4">
        <v>450</v>
      </c>
      <c r="HC396">
        <v>320</v>
      </c>
      <c r="HD396">
        <v>32</v>
      </c>
      <c r="HE396">
        <v>650</v>
      </c>
      <c r="HF396" s="4">
        <f t="shared" si="377"/>
        <v>21</v>
      </c>
      <c r="HG396">
        <v>5</v>
      </c>
      <c r="HH396" s="4">
        <f t="shared" si="378"/>
        <v>105</v>
      </c>
      <c r="HI396">
        <v>550</v>
      </c>
      <c r="HJ396" s="4">
        <f t="shared" si="379"/>
        <v>57750</v>
      </c>
      <c r="HM396" s="4">
        <v>2</v>
      </c>
      <c r="HN396" s="10">
        <f t="shared" si="380"/>
        <v>390000</v>
      </c>
      <c r="HO396" s="4">
        <f t="shared" si="381"/>
        <v>0.14807692307692308</v>
      </c>
      <c r="HP396" s="4">
        <v>160</v>
      </c>
      <c r="HQ396">
        <v>0</v>
      </c>
      <c r="HR396" s="4">
        <f>HP396*HQ396</f>
        <v>0</v>
      </c>
      <c r="HS396" s="4">
        <v>0</v>
      </c>
      <c r="HT396" s="4">
        <f t="shared" si="382"/>
        <v>0</v>
      </c>
      <c r="HU396" s="4"/>
      <c r="HV396" s="4">
        <f t="shared" si="383"/>
        <v>0.14807692307692308</v>
      </c>
      <c r="HW396" s="4"/>
      <c r="HX396" s="4">
        <v>2917</v>
      </c>
      <c r="HY396" s="4">
        <v>1689</v>
      </c>
      <c r="HZ396" s="4">
        <v>1842</v>
      </c>
      <c r="IA396" s="4">
        <f t="shared" si="384"/>
        <v>4</v>
      </c>
      <c r="IB396" s="4">
        <f t="shared" si="385"/>
        <v>3</v>
      </c>
      <c r="IC396" s="4">
        <f t="shared" si="386"/>
        <v>5</v>
      </c>
      <c r="ID396" s="8">
        <v>0.9</v>
      </c>
      <c r="IE396" s="4">
        <f>PRODUCT(IA396:ID396)</f>
        <v>54</v>
      </c>
      <c r="IF396" s="4">
        <v>500</v>
      </c>
      <c r="IG396" s="62">
        <f t="shared" si="391"/>
        <v>0.28935185185185186</v>
      </c>
      <c r="IH396" s="62"/>
      <c r="II396" s="9"/>
    </row>
    <row r="397" spans="1:302">
      <c r="A397">
        <v>215</v>
      </c>
      <c r="B397" t="s">
        <v>468</v>
      </c>
      <c r="C397" s="27" t="s">
        <v>913</v>
      </c>
      <c r="D397" s="28" t="s">
        <v>644</v>
      </c>
      <c r="E397" s="27" t="s">
        <v>645</v>
      </c>
      <c r="F397" s="5" t="s">
        <v>2182</v>
      </c>
      <c r="G397" s="27" t="s">
        <v>90</v>
      </c>
      <c r="I397" s="27" t="s">
        <v>94</v>
      </c>
      <c r="J397" s="28">
        <v>21591</v>
      </c>
      <c r="K397" s="27" t="s">
        <v>97</v>
      </c>
      <c r="N397" s="28"/>
      <c r="O397" s="28"/>
      <c r="P397" s="28"/>
      <c r="Q397" s="28" t="s">
        <v>1036</v>
      </c>
      <c r="R397" s="28" t="s">
        <v>1831</v>
      </c>
      <c r="S397" s="27"/>
      <c r="T397" s="27"/>
      <c r="U397" s="27"/>
      <c r="W397" s="372"/>
      <c r="X397" s="27"/>
      <c r="Y397" s="27"/>
      <c r="Z397" s="27"/>
      <c r="AA397" s="157" t="s">
        <v>912</v>
      </c>
      <c r="AB397" s="57">
        <v>108.48</v>
      </c>
      <c r="AC397" s="4">
        <f>AB397-5</f>
        <v>103.48</v>
      </c>
      <c r="AD397" s="4" t="s">
        <v>24</v>
      </c>
      <c r="AE397" s="7">
        <f t="shared" si="352"/>
        <v>0.13917599999999999</v>
      </c>
      <c r="AF397" s="7"/>
      <c r="AG397" s="7">
        <f t="shared" si="353"/>
        <v>0.18503289473684212</v>
      </c>
      <c r="AH397" s="7">
        <f t="shared" si="354"/>
        <v>0</v>
      </c>
      <c r="AI397" s="7">
        <f t="shared" si="355"/>
        <v>0</v>
      </c>
      <c r="AJ397" s="7">
        <f t="shared" si="356"/>
        <v>3.7006578947368423E-3</v>
      </c>
      <c r="AK397" s="7">
        <f t="shared" si="357"/>
        <v>4.0526111842105264E-3</v>
      </c>
      <c r="AL397" s="7">
        <f t="shared" si="358"/>
        <v>3.5662978421052635E-2</v>
      </c>
      <c r="AM397" s="7">
        <f t="shared" si="359"/>
        <v>7.0512820512820514E-3</v>
      </c>
      <c r="AN397" s="7">
        <f t="shared" si="360"/>
        <v>6.1728395061728392E-3</v>
      </c>
      <c r="AO397" s="7">
        <f t="shared" si="387"/>
        <v>0</v>
      </c>
      <c r="AP397" s="7"/>
      <c r="AQ397" s="7">
        <f t="shared" si="361"/>
        <v>0.38084926379429695</v>
      </c>
      <c r="AR397" s="7">
        <f t="shared" si="362"/>
        <v>0</v>
      </c>
      <c r="AS397" s="7">
        <f t="shared" si="363"/>
        <v>0</v>
      </c>
      <c r="AT397" s="7">
        <v>0</v>
      </c>
      <c r="AU397" s="7">
        <v>0</v>
      </c>
      <c r="AV397" s="42">
        <f t="shared" si="364"/>
        <v>0.38084926379429695</v>
      </c>
      <c r="AW397" s="69">
        <v>3.0000000000000001E-3</v>
      </c>
      <c r="AX397" s="69">
        <v>1E-3</v>
      </c>
      <c r="AY397" s="61">
        <v>0.9</v>
      </c>
      <c r="AZ397" s="62">
        <f t="shared" si="365"/>
        <v>1.8000000000000002E-3</v>
      </c>
      <c r="BA397" s="62">
        <f t="shared" si="366"/>
        <v>0.13917599999999999</v>
      </c>
      <c r="BB397" s="62"/>
      <c r="BC397" s="62"/>
      <c r="BD397" s="62"/>
      <c r="BE397" s="62"/>
      <c r="BF397" s="62"/>
      <c r="BG397" s="62"/>
      <c r="BH397" s="62"/>
      <c r="BI397" s="62"/>
      <c r="BJ397" s="62"/>
      <c r="BK397" s="62"/>
      <c r="BL397" s="62"/>
      <c r="BM397" s="62"/>
      <c r="BN397" s="62"/>
      <c r="BO397" s="62"/>
      <c r="BP397" s="62"/>
      <c r="BQ397" s="62"/>
      <c r="BR397" s="62"/>
      <c r="BS397" s="62"/>
      <c r="BT397" s="62"/>
      <c r="BU397" s="62"/>
      <c r="BV397" s="62"/>
      <c r="BW397" s="62"/>
      <c r="BX397" s="62"/>
      <c r="BY397" s="62"/>
      <c r="BZ397" s="62"/>
      <c r="CA397" s="62"/>
      <c r="CB397" s="62"/>
      <c r="CC397" s="62"/>
      <c r="CD397" s="59"/>
      <c r="CE397" s="62">
        <v>0</v>
      </c>
      <c r="CF397" s="62">
        <v>0</v>
      </c>
      <c r="CG397" s="62">
        <v>0</v>
      </c>
      <c r="CH397" s="59">
        <f t="shared" si="367"/>
        <v>0</v>
      </c>
      <c r="CI397" s="80"/>
      <c r="CJ397" s="59"/>
      <c r="CK397" s="59">
        <v>0</v>
      </c>
      <c r="CL397" s="59">
        <v>0</v>
      </c>
      <c r="CM397" s="59">
        <f t="shared" si="388"/>
        <v>0</v>
      </c>
      <c r="CN397" s="80"/>
      <c r="CO397" s="59"/>
      <c r="CP397" s="59">
        <v>0</v>
      </c>
      <c r="CQ397" s="59">
        <v>0</v>
      </c>
      <c r="CR397" s="59">
        <f t="shared" si="389"/>
        <v>0</v>
      </c>
      <c r="CS397" s="59"/>
      <c r="CT397" s="59"/>
      <c r="CU397" s="59">
        <v>0</v>
      </c>
      <c r="CV397" s="59">
        <v>0</v>
      </c>
      <c r="CW397" s="59">
        <f t="shared" si="390"/>
        <v>0</v>
      </c>
      <c r="CX397" s="59"/>
      <c r="CY397" s="59"/>
      <c r="CZ397" s="59"/>
      <c r="DA397" s="59"/>
      <c r="DB397" s="59"/>
      <c r="DC397" s="59"/>
      <c r="DD397" s="59"/>
      <c r="DE397" s="59"/>
      <c r="DF397" s="59"/>
      <c r="DG397" s="59"/>
      <c r="DH397" s="59"/>
      <c r="DI397" s="59"/>
      <c r="DJ397" s="59"/>
      <c r="DK397" s="59"/>
      <c r="DL397" s="59"/>
      <c r="DM397" s="62">
        <f t="shared" si="368"/>
        <v>0</v>
      </c>
      <c r="DN397" s="64">
        <v>1.2500000000000001E-2</v>
      </c>
      <c r="DO397" s="62">
        <f t="shared" si="369"/>
        <v>0</v>
      </c>
      <c r="DP397" s="62">
        <f t="shared" si="370"/>
        <v>0</v>
      </c>
      <c r="DQ397" s="62"/>
      <c r="DR397" s="62"/>
      <c r="DS397" s="62"/>
      <c r="DT397" s="62"/>
      <c r="DU397" s="62"/>
      <c r="DV397" s="62"/>
      <c r="DW397" s="62"/>
      <c r="DX397" s="62"/>
      <c r="DY397" s="62"/>
      <c r="DZ397" s="62"/>
      <c r="EA397" s="62"/>
      <c r="EB397" s="62"/>
      <c r="EC397" s="62"/>
      <c r="ED397" s="62"/>
      <c r="EE397" s="62"/>
      <c r="EF397" s="59">
        <v>90</v>
      </c>
      <c r="EG397" s="59">
        <v>900</v>
      </c>
      <c r="EH397" s="59">
        <v>8</v>
      </c>
      <c r="EI397" s="61">
        <v>0.95</v>
      </c>
      <c r="EJ397" s="59">
        <v>8</v>
      </c>
      <c r="EK397" s="59">
        <v>45</v>
      </c>
      <c r="EL397" s="65">
        <f t="shared" si="371"/>
        <v>4864</v>
      </c>
      <c r="EM397" s="59"/>
      <c r="EN397" s="59"/>
      <c r="EO397" s="59"/>
      <c r="EP397" s="59"/>
      <c r="EQ397" s="59"/>
      <c r="ER397" s="59"/>
      <c r="ES397" s="59"/>
      <c r="ET397" s="59"/>
      <c r="EU397" s="62">
        <f t="shared" si="372"/>
        <v>0.18503289473684212</v>
      </c>
      <c r="EV397" s="62"/>
      <c r="EW397" s="62"/>
      <c r="EX397" s="59"/>
      <c r="EY397" s="59"/>
      <c r="EZ397" s="59"/>
      <c r="FA397" s="59"/>
      <c r="FB397" s="59"/>
      <c r="FC397" s="59"/>
      <c r="FD397" s="59"/>
      <c r="FE397" s="59"/>
      <c r="FF397" s="59"/>
      <c r="FG397" s="59"/>
      <c r="FH397" s="59"/>
      <c r="FI397" s="59"/>
      <c r="FJ397" s="59"/>
      <c r="FK397" s="59"/>
      <c r="FL397" s="59"/>
      <c r="FM397" s="59"/>
      <c r="FN397" s="59"/>
      <c r="FO397" s="59"/>
      <c r="FP397" s="59"/>
      <c r="FQ397" s="59"/>
      <c r="FR397" s="59"/>
      <c r="FS397" s="59"/>
      <c r="FT397" s="59"/>
      <c r="FU397" s="59"/>
      <c r="FV397" s="59"/>
      <c r="FW397" s="59"/>
      <c r="FX397" s="59"/>
      <c r="FY397" s="59"/>
      <c r="FZ397" s="59"/>
      <c r="GA397" s="59"/>
      <c r="GB397" s="59"/>
      <c r="GC397" s="59"/>
      <c r="GD397" s="59"/>
      <c r="GE397" s="59"/>
      <c r="GF397" s="59"/>
      <c r="GG397" s="59"/>
      <c r="GH397" s="59"/>
      <c r="GI397" s="59"/>
      <c r="GJ397" s="59"/>
      <c r="GK397" s="59"/>
      <c r="GL397" s="59"/>
      <c r="GM397" s="59"/>
      <c r="GN397" s="59"/>
      <c r="GO397" s="59"/>
      <c r="GP397" s="59"/>
      <c r="GQ397" s="59"/>
      <c r="GR397" s="61">
        <v>0.11</v>
      </c>
      <c r="GS397" s="62">
        <f t="shared" si="373"/>
        <v>3.5662978421052635E-2</v>
      </c>
      <c r="GT397" s="64">
        <v>1.2500000000000001E-2</v>
      </c>
      <c r="GU397" s="62">
        <f t="shared" si="374"/>
        <v>4.0526111842105264E-3</v>
      </c>
      <c r="GV397" s="61">
        <v>0.02</v>
      </c>
      <c r="GW397" s="62">
        <f t="shared" si="375"/>
        <v>3.7006578947368423E-3</v>
      </c>
      <c r="GX397" s="62">
        <f t="shared" si="376"/>
        <v>4.3416247500000005E-2</v>
      </c>
      <c r="GY397" s="59" t="s">
        <v>43</v>
      </c>
      <c r="GZ397" s="59" t="s">
        <v>87</v>
      </c>
      <c r="HA397" s="62">
        <v>650</v>
      </c>
      <c r="HB397" s="62">
        <v>450</v>
      </c>
      <c r="HC397" s="59">
        <v>320</v>
      </c>
      <c r="HD397" s="59">
        <v>1500</v>
      </c>
      <c r="HE397" s="59">
        <v>650</v>
      </c>
      <c r="HF397" s="62">
        <f t="shared" si="377"/>
        <v>1</v>
      </c>
      <c r="HG397" s="59">
        <v>5</v>
      </c>
      <c r="HH397" s="62">
        <f t="shared" si="378"/>
        <v>5</v>
      </c>
      <c r="HI397" s="59">
        <v>550</v>
      </c>
      <c r="HJ397" s="62">
        <f t="shared" si="379"/>
        <v>2750</v>
      </c>
      <c r="HK397" s="59"/>
      <c r="HL397" s="59"/>
      <c r="HM397" s="62">
        <v>2</v>
      </c>
      <c r="HN397" s="65">
        <f t="shared" si="380"/>
        <v>390000</v>
      </c>
      <c r="HO397" s="62">
        <f t="shared" si="381"/>
        <v>7.0512820512820514E-3</v>
      </c>
      <c r="HP397" s="62">
        <v>160</v>
      </c>
      <c r="HQ397" s="59">
        <v>0</v>
      </c>
      <c r="HR397" s="62">
        <f>HP397*HQ397</f>
        <v>0</v>
      </c>
      <c r="HS397" s="62">
        <v>0</v>
      </c>
      <c r="HT397" s="62">
        <f t="shared" si="382"/>
        <v>0</v>
      </c>
      <c r="HU397" s="62"/>
      <c r="HV397" s="62">
        <f t="shared" si="383"/>
        <v>7.0512820512820514E-3</v>
      </c>
      <c r="HW397" s="62"/>
      <c r="HX397" s="62">
        <v>2917</v>
      </c>
      <c r="HY397" s="62">
        <v>1689</v>
      </c>
      <c r="HZ397" s="62">
        <v>1842</v>
      </c>
      <c r="IA397" s="62">
        <f t="shared" si="384"/>
        <v>4</v>
      </c>
      <c r="IB397" s="62">
        <f t="shared" si="385"/>
        <v>3</v>
      </c>
      <c r="IC397" s="62">
        <f t="shared" si="386"/>
        <v>5</v>
      </c>
      <c r="ID397" s="61">
        <v>0.9</v>
      </c>
      <c r="IE397" s="4">
        <f>PRODUCT(IA397:ID397)</f>
        <v>54</v>
      </c>
      <c r="IF397" s="62">
        <v>500</v>
      </c>
      <c r="IG397" s="62">
        <f t="shared" si="391"/>
        <v>6.1728395061728392E-3</v>
      </c>
      <c r="IH397" s="62"/>
      <c r="II397" s="64"/>
      <c r="IJ397" s="62"/>
      <c r="IK397" s="62"/>
    </row>
    <row r="398" spans="1:302">
      <c r="A398">
        <v>216</v>
      </c>
      <c r="B398" t="s">
        <v>468</v>
      </c>
      <c r="C398" s="372" t="s">
        <v>914</v>
      </c>
      <c r="D398" s="28" t="s">
        <v>646</v>
      </c>
      <c r="E398" s="27" t="s">
        <v>647</v>
      </c>
      <c r="F398" s="5" t="s">
        <v>2182</v>
      </c>
      <c r="G398" s="27" t="s">
        <v>90</v>
      </c>
      <c r="I398" s="27" t="s">
        <v>94</v>
      </c>
      <c r="J398" s="28">
        <v>21591</v>
      </c>
      <c r="K398" s="27" t="s">
        <v>97</v>
      </c>
      <c r="L398" s="114"/>
      <c r="M398" s="114"/>
      <c r="N398" s="28"/>
      <c r="O398" s="28"/>
      <c r="P398" s="28"/>
      <c r="Q398" s="380" t="s">
        <v>1036</v>
      </c>
      <c r="R398" s="380" t="s">
        <v>1831</v>
      </c>
      <c r="S398" s="27"/>
      <c r="T398" s="27"/>
      <c r="U398" s="27"/>
      <c r="W398" s="372"/>
      <c r="X398" s="372"/>
      <c r="Y398" s="372"/>
      <c r="Z398" s="372"/>
      <c r="AA398" s="244" t="s">
        <v>912</v>
      </c>
      <c r="AB398" s="201">
        <v>108.48</v>
      </c>
      <c r="AC398" s="118">
        <f>AB398-5</f>
        <v>103.48</v>
      </c>
      <c r="AD398" s="118" t="s">
        <v>24</v>
      </c>
      <c r="AE398" s="119">
        <f t="shared" si="352"/>
        <v>0.13917599999999999</v>
      </c>
      <c r="AF398" s="119"/>
      <c r="AG398" s="119">
        <f t="shared" si="353"/>
        <v>0.18503289473684212</v>
      </c>
      <c r="AH398" s="119">
        <f t="shared" si="354"/>
        <v>0</v>
      </c>
      <c r="AI398" s="119">
        <f t="shared" si="355"/>
        <v>0</v>
      </c>
      <c r="AJ398" s="119">
        <f t="shared" si="356"/>
        <v>3.7006578947368423E-3</v>
      </c>
      <c r="AK398" s="119">
        <f t="shared" si="357"/>
        <v>4.0526111842105264E-3</v>
      </c>
      <c r="AL398" s="119">
        <f t="shared" si="358"/>
        <v>3.5662978421052635E-2</v>
      </c>
      <c r="AM398" s="119">
        <f t="shared" si="359"/>
        <v>7.0512820512820514E-3</v>
      </c>
      <c r="AN398" s="119">
        <f t="shared" si="360"/>
        <v>6.1728395061728392E-3</v>
      </c>
      <c r="AO398" s="119">
        <f t="shared" si="387"/>
        <v>0</v>
      </c>
      <c r="AP398" s="119"/>
      <c r="AQ398" s="119">
        <f t="shared" si="361"/>
        <v>0.38084926379429695</v>
      </c>
      <c r="AR398" s="119">
        <f t="shared" si="362"/>
        <v>0</v>
      </c>
      <c r="AS398" s="119">
        <f t="shared" si="363"/>
        <v>0</v>
      </c>
      <c r="AT398" s="119">
        <v>0</v>
      </c>
      <c r="AU398" s="119">
        <v>0</v>
      </c>
      <c r="AV398" s="106">
        <f t="shared" si="364"/>
        <v>0.38084926379429695</v>
      </c>
      <c r="AW398" s="124">
        <v>3.0000000000000001E-3</v>
      </c>
      <c r="AX398" s="124">
        <v>1E-3</v>
      </c>
      <c r="AY398" s="120">
        <v>0.9</v>
      </c>
      <c r="AZ398" s="118">
        <f t="shared" si="365"/>
        <v>1.8000000000000002E-3</v>
      </c>
      <c r="BA398" s="118">
        <f t="shared" si="366"/>
        <v>0.13917599999999999</v>
      </c>
      <c r="BB398" s="118"/>
      <c r="BC398" s="118"/>
      <c r="BD398" s="118"/>
      <c r="BE398" s="118"/>
      <c r="BF398" s="118"/>
      <c r="BG398" s="118"/>
      <c r="BH398" s="118"/>
      <c r="BI398" s="118"/>
      <c r="BJ398" s="118"/>
      <c r="BK398" s="118"/>
      <c r="BL398" s="118"/>
      <c r="BM398" s="118"/>
      <c r="BN398" s="118"/>
      <c r="BO398" s="118"/>
      <c r="BP398" s="118"/>
      <c r="BQ398" s="118"/>
      <c r="BR398" s="118"/>
      <c r="BS398" s="118"/>
      <c r="BT398" s="118"/>
      <c r="BU398" s="118"/>
      <c r="BV398" s="118"/>
      <c r="BW398" s="118"/>
      <c r="BX398" s="118"/>
      <c r="BY398" s="118"/>
      <c r="BZ398" s="118"/>
      <c r="CA398" s="118"/>
      <c r="CB398" s="118"/>
      <c r="CC398" s="118"/>
      <c r="CD398" s="114"/>
      <c r="CE398" s="118">
        <v>0</v>
      </c>
      <c r="CF398" s="118">
        <v>0</v>
      </c>
      <c r="CG398" s="118">
        <v>0</v>
      </c>
      <c r="CH398" s="114">
        <f t="shared" si="367"/>
        <v>0</v>
      </c>
      <c r="CI398" s="115"/>
      <c r="CJ398" s="114"/>
      <c r="CK398" s="114">
        <v>0</v>
      </c>
      <c r="CL398" s="114">
        <v>0</v>
      </c>
      <c r="CM398" s="114">
        <f t="shared" si="388"/>
        <v>0</v>
      </c>
      <c r="CN398" s="115"/>
      <c r="CO398" s="114"/>
      <c r="CP398" s="114">
        <v>0</v>
      </c>
      <c r="CQ398" s="114">
        <v>0</v>
      </c>
      <c r="CR398" s="114">
        <f t="shared" si="389"/>
        <v>0</v>
      </c>
      <c r="CS398" s="114"/>
      <c r="CT398" s="114"/>
      <c r="CU398" s="114">
        <v>0</v>
      </c>
      <c r="CV398" s="114">
        <v>0</v>
      </c>
      <c r="CW398" s="114">
        <f t="shared" si="390"/>
        <v>0</v>
      </c>
      <c r="CX398" s="114"/>
      <c r="CY398" s="114"/>
      <c r="CZ398" s="114"/>
      <c r="DA398" s="114"/>
      <c r="DB398" s="114"/>
      <c r="DC398" s="114"/>
      <c r="DD398" s="114"/>
      <c r="DE398" s="114"/>
      <c r="DF398" s="114"/>
      <c r="DG398" s="114"/>
      <c r="DH398" s="114"/>
      <c r="DI398" s="114"/>
      <c r="DJ398" s="114"/>
      <c r="DK398" s="114"/>
      <c r="DL398" s="114"/>
      <c r="DM398" s="118">
        <f t="shared" si="368"/>
        <v>0</v>
      </c>
      <c r="DN398" s="125">
        <v>1.2500000000000001E-2</v>
      </c>
      <c r="DO398" s="118">
        <f t="shared" si="369"/>
        <v>0</v>
      </c>
      <c r="DP398" s="118">
        <f t="shared" si="370"/>
        <v>0</v>
      </c>
      <c r="DQ398" s="118"/>
      <c r="DR398" s="118"/>
      <c r="DS398" s="118"/>
      <c r="DT398" s="118"/>
      <c r="DU398" s="118"/>
      <c r="DV398" s="118"/>
      <c r="DW398" s="118"/>
      <c r="DX398" s="118"/>
      <c r="DY398" s="118"/>
      <c r="DZ398" s="118"/>
      <c r="EA398" s="118"/>
      <c r="EB398" s="118"/>
      <c r="EC398" s="118"/>
      <c r="ED398" s="118"/>
      <c r="EE398" s="118"/>
      <c r="EF398" s="114">
        <v>90</v>
      </c>
      <c r="EG398" s="114">
        <v>900</v>
      </c>
      <c r="EH398" s="114">
        <v>8</v>
      </c>
      <c r="EI398" s="120">
        <v>0.95</v>
      </c>
      <c r="EJ398" s="114">
        <v>8</v>
      </c>
      <c r="EK398" s="114">
        <v>45</v>
      </c>
      <c r="EL398" s="111">
        <f t="shared" si="371"/>
        <v>4864</v>
      </c>
      <c r="EM398" s="114"/>
      <c r="EN398" s="114"/>
      <c r="EO398" s="114"/>
      <c r="EP398" s="114"/>
      <c r="EQ398" s="114"/>
      <c r="ER398" s="114"/>
      <c r="ES398" s="114"/>
      <c r="ET398" s="114"/>
      <c r="EU398" s="109">
        <f t="shared" si="372"/>
        <v>0.18503289473684212</v>
      </c>
      <c r="EV398" s="109"/>
      <c r="EW398" s="109"/>
      <c r="EX398" s="114"/>
      <c r="EY398" s="114"/>
      <c r="EZ398" s="114"/>
      <c r="FA398" s="114"/>
      <c r="FB398" s="114"/>
      <c r="FC398" s="114"/>
      <c r="FD398" s="114"/>
      <c r="FE398" s="114"/>
      <c r="FF398" s="114"/>
      <c r="FG398" s="114"/>
      <c r="FH398" s="114"/>
      <c r="FI398" s="114"/>
      <c r="FJ398" s="114"/>
      <c r="FK398" s="114"/>
      <c r="FL398" s="114"/>
      <c r="FM398" s="114"/>
      <c r="FN398" s="114"/>
      <c r="FO398" s="114"/>
      <c r="FP398" s="114"/>
      <c r="FQ398" s="114"/>
      <c r="FR398" s="114"/>
      <c r="FS398" s="114"/>
      <c r="FT398" s="114"/>
      <c r="FU398" s="114"/>
      <c r="FV398" s="114"/>
      <c r="FW398" s="114"/>
      <c r="FX398" s="114"/>
      <c r="FY398" s="114"/>
      <c r="FZ398" s="114"/>
      <c r="GA398" s="114"/>
      <c r="GB398" s="114"/>
      <c r="GC398" s="114"/>
      <c r="GD398" s="114"/>
      <c r="GE398" s="114"/>
      <c r="GF398" s="114"/>
      <c r="GG398" s="114"/>
      <c r="GH398" s="114"/>
      <c r="GI398" s="114"/>
      <c r="GJ398" s="114"/>
      <c r="GK398" s="114"/>
      <c r="GL398" s="114"/>
      <c r="GM398" s="114"/>
      <c r="GN398" s="114"/>
      <c r="GO398" s="114"/>
      <c r="GP398" s="114"/>
      <c r="GQ398" s="114"/>
      <c r="GR398" s="120">
        <v>0.11</v>
      </c>
      <c r="GS398" s="118">
        <f t="shared" si="373"/>
        <v>3.5662978421052635E-2</v>
      </c>
      <c r="GT398" s="125">
        <v>1.2500000000000001E-2</v>
      </c>
      <c r="GU398" s="118">
        <f t="shared" si="374"/>
        <v>4.0526111842105264E-3</v>
      </c>
      <c r="GV398" s="120">
        <v>0.02</v>
      </c>
      <c r="GW398" s="118">
        <f t="shared" si="375"/>
        <v>3.7006578947368423E-3</v>
      </c>
      <c r="GX398" s="118">
        <f t="shared" si="376"/>
        <v>4.3416247500000005E-2</v>
      </c>
      <c r="GY398" s="114" t="s">
        <v>43</v>
      </c>
      <c r="GZ398" s="114" t="s">
        <v>87</v>
      </c>
      <c r="HA398" s="118">
        <v>650</v>
      </c>
      <c r="HB398" s="118">
        <v>450</v>
      </c>
      <c r="HC398" s="114">
        <v>320</v>
      </c>
      <c r="HD398" s="114">
        <v>1500</v>
      </c>
      <c r="HE398" s="114">
        <v>650</v>
      </c>
      <c r="HF398" s="118">
        <f t="shared" si="377"/>
        <v>1</v>
      </c>
      <c r="HG398" s="114">
        <v>5</v>
      </c>
      <c r="HH398" s="118">
        <f t="shared" si="378"/>
        <v>5</v>
      </c>
      <c r="HI398" s="114">
        <v>550</v>
      </c>
      <c r="HJ398" s="118">
        <f t="shared" si="379"/>
        <v>2750</v>
      </c>
      <c r="HK398" s="114"/>
      <c r="HL398" s="114"/>
      <c r="HM398" s="118">
        <v>2</v>
      </c>
      <c r="HN398" s="126">
        <f t="shared" si="380"/>
        <v>390000</v>
      </c>
      <c r="HO398" s="118">
        <f t="shared" si="381"/>
        <v>7.0512820512820514E-3</v>
      </c>
      <c r="HP398" s="118">
        <v>160</v>
      </c>
      <c r="HQ398" s="114">
        <v>0</v>
      </c>
      <c r="HR398" s="118">
        <f>HP398*HQ398</f>
        <v>0</v>
      </c>
      <c r="HS398" s="118">
        <v>0</v>
      </c>
      <c r="HT398" s="118">
        <f t="shared" si="382"/>
        <v>0</v>
      </c>
      <c r="HU398" s="118"/>
      <c r="HV398" s="118">
        <f t="shared" si="383"/>
        <v>7.0512820512820514E-3</v>
      </c>
      <c r="HW398" s="118"/>
      <c r="HX398" s="118">
        <v>2917</v>
      </c>
      <c r="HY398" s="118">
        <v>1689</v>
      </c>
      <c r="HZ398" s="118">
        <v>1842</v>
      </c>
      <c r="IA398" s="118">
        <f t="shared" si="384"/>
        <v>4</v>
      </c>
      <c r="IB398" s="118">
        <f t="shared" si="385"/>
        <v>3</v>
      </c>
      <c r="IC398" s="118">
        <f t="shared" si="386"/>
        <v>5</v>
      </c>
      <c r="ID398" s="120">
        <v>0.9</v>
      </c>
      <c r="IE398" s="118">
        <f>PRODUCT(IA398:ID398)</f>
        <v>54</v>
      </c>
      <c r="IF398" s="118">
        <v>500</v>
      </c>
      <c r="IG398" s="109">
        <f t="shared" si="391"/>
        <v>6.1728395061728392E-3</v>
      </c>
      <c r="IH398" s="109"/>
      <c r="II398" s="114"/>
      <c r="IJ398" s="114"/>
      <c r="IK398" s="114"/>
      <c r="IL398" s="114"/>
      <c r="IM398" s="114"/>
      <c r="IN398" s="114"/>
      <c r="IO398" s="114"/>
      <c r="IP398" s="114"/>
      <c r="IQ398" s="114"/>
      <c r="IR398" s="114"/>
      <c r="IS398" s="114"/>
      <c r="IT398" s="114"/>
      <c r="IU398" s="114"/>
      <c r="IV398" s="114"/>
      <c r="IW398" s="114"/>
      <c r="IX398" s="114"/>
      <c r="IY398" s="114"/>
      <c r="IZ398" s="114"/>
      <c r="JA398" s="114"/>
      <c r="JB398" s="114"/>
      <c r="JC398" s="114"/>
      <c r="JD398" s="114"/>
      <c r="JE398" s="114"/>
      <c r="JF398" s="114"/>
      <c r="JG398" s="114"/>
      <c r="JH398" s="114"/>
      <c r="JI398" s="114"/>
      <c r="JJ398" s="114"/>
      <c r="JK398" s="114"/>
      <c r="JL398" s="114"/>
      <c r="JM398" s="114"/>
      <c r="JN398" s="114"/>
      <c r="JO398" s="114"/>
      <c r="JP398" s="114"/>
      <c r="JQ398" s="114"/>
      <c r="JR398" s="114"/>
      <c r="JS398" s="114"/>
      <c r="JT398" s="114"/>
      <c r="JU398" s="114"/>
      <c r="JV398" s="114"/>
      <c r="JW398" s="114"/>
      <c r="JX398" s="114"/>
      <c r="JY398" s="114"/>
      <c r="JZ398" s="114"/>
      <c r="KA398" s="114"/>
      <c r="KB398" s="114"/>
      <c r="KC398" s="319"/>
      <c r="KD398" s="319"/>
      <c r="KE398" s="319"/>
      <c r="KF398" s="114"/>
      <c r="KG398" s="114"/>
      <c r="KH398" s="114"/>
      <c r="KI398" s="114"/>
      <c r="KJ398" s="114"/>
      <c r="KK398" s="114"/>
      <c r="KL398" s="114"/>
      <c r="KM398" s="114"/>
      <c r="KN398" s="114"/>
      <c r="KO398" s="114"/>
      <c r="KP398" s="114"/>
    </row>
    <row r="399" spans="1:302">
      <c r="A399">
        <v>217</v>
      </c>
      <c r="B399" t="s">
        <v>468</v>
      </c>
      <c r="C399" s="372" t="s">
        <v>915</v>
      </c>
      <c r="D399" s="28" t="s">
        <v>648</v>
      </c>
      <c r="E399" s="27" t="s">
        <v>649</v>
      </c>
      <c r="F399" s="5" t="s">
        <v>2182</v>
      </c>
      <c r="G399" s="27" t="s">
        <v>90</v>
      </c>
      <c r="I399" s="27" t="s">
        <v>94</v>
      </c>
      <c r="J399" s="28">
        <v>21591</v>
      </c>
      <c r="K399" s="27" t="s">
        <v>97</v>
      </c>
      <c r="L399" s="114"/>
      <c r="M399" s="114"/>
      <c r="N399" s="28"/>
      <c r="O399" s="28"/>
      <c r="P399" s="28"/>
      <c r="Q399" s="380" t="s">
        <v>1036</v>
      </c>
      <c r="R399" s="380" t="s">
        <v>1831</v>
      </c>
      <c r="S399" s="27"/>
      <c r="T399" s="27"/>
      <c r="U399" s="27"/>
      <c r="W399" s="372"/>
      <c r="X399" s="372"/>
      <c r="Y399" s="372"/>
      <c r="Z399" s="372"/>
      <c r="AA399" s="244" t="s">
        <v>440</v>
      </c>
      <c r="AB399" s="201">
        <v>117.66</v>
      </c>
      <c r="AC399" s="118">
        <f>AB399-5</f>
        <v>112.66</v>
      </c>
      <c r="AD399" s="118" t="s">
        <v>24</v>
      </c>
      <c r="AE399" s="119">
        <f t="shared" si="352"/>
        <v>24.822461999999998</v>
      </c>
      <c r="AF399" s="119"/>
      <c r="AG399" s="119">
        <f t="shared" si="353"/>
        <v>7.3172514619883042</v>
      </c>
      <c r="AH399" s="119">
        <f t="shared" si="354"/>
        <v>0</v>
      </c>
      <c r="AI399" s="119">
        <f t="shared" si="355"/>
        <v>0</v>
      </c>
      <c r="AJ399" s="119">
        <f t="shared" si="356"/>
        <v>0.14634502923976608</v>
      </c>
      <c r="AK399" s="119">
        <f t="shared" si="357"/>
        <v>0.4017464182748538</v>
      </c>
      <c r="AL399" s="119">
        <f t="shared" si="358"/>
        <v>3.5353684808187129</v>
      </c>
      <c r="AM399" s="119">
        <f t="shared" si="359"/>
        <v>1.4935897435897436</v>
      </c>
      <c r="AN399" s="119">
        <f t="shared" si="360"/>
        <v>0.83333333333333337</v>
      </c>
      <c r="AO399" s="119">
        <f t="shared" si="387"/>
        <v>0</v>
      </c>
      <c r="AP399" s="119"/>
      <c r="AQ399" s="119">
        <f t="shared" si="361"/>
        <v>38.550096467244714</v>
      </c>
      <c r="AR399" s="119">
        <f t="shared" si="362"/>
        <v>0</v>
      </c>
      <c r="AS399" s="119">
        <f t="shared" si="363"/>
        <v>0</v>
      </c>
      <c r="AT399" s="119">
        <v>0</v>
      </c>
      <c r="AU399" s="119">
        <v>0</v>
      </c>
      <c r="AV399" s="106">
        <f t="shared" si="364"/>
        <v>38.550096467244714</v>
      </c>
      <c r="AW399" s="124">
        <v>0.217</v>
      </c>
      <c r="AX399" s="124">
        <v>0.21</v>
      </c>
      <c r="AY399" s="120">
        <v>0.9</v>
      </c>
      <c r="AZ399" s="118">
        <f t="shared" si="365"/>
        <v>6.3000000000000061E-3</v>
      </c>
      <c r="BA399" s="118">
        <f t="shared" si="366"/>
        <v>24.822461999999998</v>
      </c>
      <c r="BB399" s="118"/>
      <c r="BC399" s="118"/>
      <c r="BD399" s="118"/>
      <c r="BE399" s="118"/>
      <c r="BF399" s="118"/>
      <c r="BG399" s="118"/>
      <c r="BH399" s="118"/>
      <c r="BI399" s="118"/>
      <c r="BJ399" s="118"/>
      <c r="BK399" s="118"/>
      <c r="BL399" s="118"/>
      <c r="BM399" s="118"/>
      <c r="BN399" s="118"/>
      <c r="BO399" s="118"/>
      <c r="BP399" s="118"/>
      <c r="BQ399" s="118"/>
      <c r="BR399" s="118"/>
      <c r="BS399" s="118"/>
      <c r="BT399" s="118"/>
      <c r="BU399" s="118"/>
      <c r="BV399" s="118"/>
      <c r="BW399" s="118"/>
      <c r="BX399" s="118"/>
      <c r="BY399" s="118"/>
      <c r="BZ399" s="118"/>
      <c r="CA399" s="118"/>
      <c r="CB399" s="118"/>
      <c r="CC399" s="118"/>
      <c r="CD399" s="114"/>
      <c r="CE399" s="118">
        <v>0</v>
      </c>
      <c r="CF399" s="118">
        <v>0</v>
      </c>
      <c r="CG399" s="118">
        <v>0</v>
      </c>
      <c r="CH399" s="114">
        <f t="shared" si="367"/>
        <v>0</v>
      </c>
      <c r="CI399" s="115"/>
      <c r="CJ399" s="114"/>
      <c r="CK399" s="114">
        <v>0</v>
      </c>
      <c r="CL399" s="114">
        <v>0</v>
      </c>
      <c r="CM399" s="114">
        <f t="shared" si="388"/>
        <v>0</v>
      </c>
      <c r="CN399" s="115"/>
      <c r="CO399" s="114"/>
      <c r="CP399" s="114">
        <v>0</v>
      </c>
      <c r="CQ399" s="114">
        <v>0</v>
      </c>
      <c r="CR399" s="114">
        <f t="shared" si="389"/>
        <v>0</v>
      </c>
      <c r="CS399" s="114"/>
      <c r="CT399" s="114"/>
      <c r="CU399" s="114">
        <v>0</v>
      </c>
      <c r="CV399" s="114">
        <v>0</v>
      </c>
      <c r="CW399" s="114">
        <f t="shared" si="390"/>
        <v>0</v>
      </c>
      <c r="CX399" s="114"/>
      <c r="CY399" s="114"/>
      <c r="CZ399" s="114"/>
      <c r="DA399" s="114"/>
      <c r="DB399" s="114"/>
      <c r="DC399" s="114"/>
      <c r="DD399" s="114"/>
      <c r="DE399" s="114"/>
      <c r="DF399" s="114"/>
      <c r="DG399" s="114"/>
      <c r="DH399" s="114"/>
      <c r="DI399" s="114"/>
      <c r="DJ399" s="114"/>
      <c r="DK399" s="114"/>
      <c r="DL399" s="114"/>
      <c r="DM399" s="118">
        <f t="shared" si="368"/>
        <v>0</v>
      </c>
      <c r="DN399" s="125">
        <v>1.2500000000000001E-2</v>
      </c>
      <c r="DO399" s="118">
        <f t="shared" si="369"/>
        <v>0</v>
      </c>
      <c r="DP399" s="118">
        <f t="shared" si="370"/>
        <v>0</v>
      </c>
      <c r="DQ399" s="118"/>
      <c r="DR399" s="118"/>
      <c r="DS399" s="118"/>
      <c r="DT399" s="118"/>
      <c r="DU399" s="118"/>
      <c r="DV399" s="118"/>
      <c r="DW399" s="118"/>
      <c r="DX399" s="118"/>
      <c r="DY399" s="118"/>
      <c r="DZ399" s="118"/>
      <c r="EA399" s="118"/>
      <c r="EB399" s="118"/>
      <c r="EC399" s="118"/>
      <c r="ED399" s="118"/>
      <c r="EE399" s="118"/>
      <c r="EF399" s="114">
        <v>650</v>
      </c>
      <c r="EG399" s="114">
        <v>5720</v>
      </c>
      <c r="EH399" s="114">
        <v>8</v>
      </c>
      <c r="EI399" s="120">
        <v>0.95</v>
      </c>
      <c r="EJ399" s="114">
        <v>2</v>
      </c>
      <c r="EK399" s="114">
        <v>70</v>
      </c>
      <c r="EL399" s="111">
        <f t="shared" si="371"/>
        <v>781.71428571428567</v>
      </c>
      <c r="EM399" s="114"/>
      <c r="EN399" s="114"/>
      <c r="EO399" s="114"/>
      <c r="EP399" s="114"/>
      <c r="EQ399" s="114"/>
      <c r="ER399" s="114"/>
      <c r="ES399" s="114"/>
      <c r="ET399" s="114"/>
      <c r="EU399" s="109">
        <f t="shared" si="372"/>
        <v>7.3172514619883042</v>
      </c>
      <c r="EV399" s="109"/>
      <c r="EW399" s="109"/>
      <c r="EX399" s="114"/>
      <c r="EY399" s="114"/>
      <c r="EZ399" s="114"/>
      <c r="FA399" s="114"/>
      <c r="FB399" s="114"/>
      <c r="FC399" s="114"/>
      <c r="FD399" s="114"/>
      <c r="FE399" s="114"/>
      <c r="FF399" s="114"/>
      <c r="FG399" s="114"/>
      <c r="FH399" s="114"/>
      <c r="FI399" s="114"/>
      <c r="FJ399" s="114"/>
      <c r="FK399" s="114"/>
      <c r="FL399" s="114"/>
      <c r="FM399" s="114"/>
      <c r="FN399" s="114"/>
      <c r="FO399" s="114"/>
      <c r="FP399" s="114"/>
      <c r="FQ399" s="114"/>
      <c r="FR399" s="114"/>
      <c r="FS399" s="114"/>
      <c r="FT399" s="114"/>
      <c r="FU399" s="114"/>
      <c r="FV399" s="114"/>
      <c r="FW399" s="114"/>
      <c r="FX399" s="114"/>
      <c r="FY399" s="114"/>
      <c r="FZ399" s="114"/>
      <c r="GA399" s="114"/>
      <c r="GB399" s="114"/>
      <c r="GC399" s="114"/>
      <c r="GD399" s="114"/>
      <c r="GE399" s="114"/>
      <c r="GF399" s="114"/>
      <c r="GG399" s="114"/>
      <c r="GH399" s="114"/>
      <c r="GI399" s="114"/>
      <c r="GJ399" s="114"/>
      <c r="GK399" s="114"/>
      <c r="GL399" s="114"/>
      <c r="GM399" s="114"/>
      <c r="GN399" s="114"/>
      <c r="GO399" s="114"/>
      <c r="GP399" s="114"/>
      <c r="GQ399" s="114"/>
      <c r="GR399" s="120">
        <v>0.11</v>
      </c>
      <c r="GS399" s="118">
        <f t="shared" si="373"/>
        <v>3.5353684808187129</v>
      </c>
      <c r="GT399" s="125">
        <v>1.2500000000000001E-2</v>
      </c>
      <c r="GU399" s="118">
        <f t="shared" si="374"/>
        <v>0.4017464182748538</v>
      </c>
      <c r="GV399" s="120">
        <v>0.02</v>
      </c>
      <c r="GW399" s="118">
        <f t="shared" si="375"/>
        <v>0.14634502923976608</v>
      </c>
      <c r="GX399" s="118">
        <f t="shared" si="376"/>
        <v>4.0834599283333333</v>
      </c>
      <c r="GY399" s="114" t="s">
        <v>43</v>
      </c>
      <c r="GZ399" s="114" t="s">
        <v>87</v>
      </c>
      <c r="HA399" s="118">
        <v>1600</v>
      </c>
      <c r="HB399" s="118">
        <v>950</v>
      </c>
      <c r="HC399" s="114">
        <v>1200</v>
      </c>
      <c r="HD399" s="114">
        <v>150</v>
      </c>
      <c r="HE399" s="114">
        <v>650</v>
      </c>
      <c r="HF399" s="118">
        <f t="shared" si="377"/>
        <v>5</v>
      </c>
      <c r="HG399" s="114">
        <v>5</v>
      </c>
      <c r="HH399" s="118">
        <f t="shared" si="378"/>
        <v>25</v>
      </c>
      <c r="HI399" s="114">
        <v>15500</v>
      </c>
      <c r="HJ399" s="118">
        <f t="shared" si="379"/>
        <v>387500</v>
      </c>
      <c r="HK399" s="114"/>
      <c r="HL399" s="114"/>
      <c r="HM399" s="118">
        <v>2</v>
      </c>
      <c r="HN399" s="126">
        <f t="shared" si="380"/>
        <v>390000</v>
      </c>
      <c r="HO399" s="118">
        <f t="shared" si="381"/>
        <v>0.99358974358974361</v>
      </c>
      <c r="HP399" s="118">
        <v>160</v>
      </c>
      <c r="HQ399" s="114">
        <v>0</v>
      </c>
      <c r="HR399" s="118">
        <v>0.5</v>
      </c>
      <c r="HS399" s="118">
        <v>1</v>
      </c>
      <c r="HT399" s="118">
        <f t="shared" si="382"/>
        <v>0.5</v>
      </c>
      <c r="HU399" s="118"/>
      <c r="HV399" s="118">
        <f t="shared" si="383"/>
        <v>1.4935897435897436</v>
      </c>
      <c r="HW399" s="118"/>
      <c r="HX399" s="118">
        <v>2917</v>
      </c>
      <c r="HY399" s="118">
        <v>1689</v>
      </c>
      <c r="HZ399" s="118">
        <v>1842</v>
      </c>
      <c r="IA399" s="118">
        <f t="shared" si="384"/>
        <v>1</v>
      </c>
      <c r="IB399" s="118">
        <f t="shared" si="385"/>
        <v>1</v>
      </c>
      <c r="IC399" s="118">
        <f t="shared" si="386"/>
        <v>1</v>
      </c>
      <c r="ID399" s="120">
        <v>1</v>
      </c>
      <c r="IE399" s="118">
        <f>PRODUCT(IA399:ID399)+3</f>
        <v>4</v>
      </c>
      <c r="IF399" s="118">
        <v>500</v>
      </c>
      <c r="IG399" s="109">
        <f t="shared" si="391"/>
        <v>0.83333333333333337</v>
      </c>
      <c r="IH399" s="109"/>
      <c r="II399" s="125"/>
      <c r="IJ399" s="118"/>
      <c r="IK399" s="118"/>
      <c r="IL399" s="114"/>
      <c r="IM399" s="114"/>
      <c r="IN399" s="114"/>
      <c r="IO399" s="114"/>
      <c r="IP399" s="114"/>
      <c r="IQ399" s="114"/>
      <c r="IR399" s="114"/>
      <c r="IS399" s="114"/>
      <c r="IT399" s="114"/>
      <c r="IU399" s="114"/>
      <c r="IV399" s="114"/>
      <c r="IW399" s="114"/>
      <c r="IX399" s="114"/>
      <c r="IY399" s="114"/>
      <c r="IZ399" s="114"/>
      <c r="JA399" s="114"/>
      <c r="JB399" s="114"/>
      <c r="JC399" s="114"/>
      <c r="JD399" s="114"/>
      <c r="JE399" s="114"/>
      <c r="JF399" s="114"/>
      <c r="JG399" s="114"/>
      <c r="JH399" s="114"/>
      <c r="JI399" s="114"/>
      <c r="JJ399" s="114"/>
      <c r="JK399" s="114"/>
      <c r="JL399" s="114"/>
      <c r="JM399" s="114"/>
      <c r="JN399" s="114"/>
      <c r="JO399" s="114"/>
      <c r="JP399" s="114"/>
      <c r="JQ399" s="114"/>
      <c r="JR399" s="114"/>
      <c r="JS399" s="114"/>
      <c r="JT399" s="114"/>
      <c r="JU399" s="114"/>
      <c r="JV399" s="114"/>
      <c r="JW399" s="114"/>
      <c r="JX399" s="114"/>
      <c r="JY399" s="114"/>
      <c r="JZ399" s="114"/>
      <c r="KA399" s="114"/>
      <c r="KB399" s="114"/>
      <c r="KC399" s="319"/>
      <c r="KD399" s="319"/>
      <c r="KE399" s="319"/>
      <c r="KF399" s="114"/>
      <c r="KG399" s="114"/>
      <c r="KH399" s="114"/>
      <c r="KI399" s="114"/>
      <c r="KJ399" s="114"/>
      <c r="KK399" s="114"/>
      <c r="KL399" s="114"/>
      <c r="KM399" s="114"/>
      <c r="KN399" s="114"/>
      <c r="KO399" s="114"/>
      <c r="KP399" s="114"/>
    </row>
    <row r="400" spans="1:302">
      <c r="A400">
        <v>218</v>
      </c>
      <c r="B400" t="s">
        <v>468</v>
      </c>
      <c r="C400" s="372" t="s">
        <v>916</v>
      </c>
      <c r="D400" s="28" t="s">
        <v>650</v>
      </c>
      <c r="E400" s="27" t="s">
        <v>651</v>
      </c>
      <c r="F400" s="5" t="s">
        <v>2182</v>
      </c>
      <c r="G400" s="27" t="s">
        <v>90</v>
      </c>
      <c r="I400" s="27" t="s">
        <v>94</v>
      </c>
      <c r="J400" s="28">
        <v>21591</v>
      </c>
      <c r="K400" s="27" t="s">
        <v>97</v>
      </c>
      <c r="L400" s="114"/>
      <c r="M400" s="114"/>
      <c r="N400" s="28"/>
      <c r="O400" s="28"/>
      <c r="P400" s="28"/>
      <c r="Q400" s="380" t="s">
        <v>1036</v>
      </c>
      <c r="R400" s="380" t="s">
        <v>1831</v>
      </c>
      <c r="S400" s="27"/>
      <c r="T400" s="27"/>
      <c r="U400" s="27"/>
      <c r="W400" s="372"/>
      <c r="X400" s="372"/>
      <c r="Y400" s="372"/>
      <c r="Z400" s="372"/>
      <c r="AA400" s="244" t="s">
        <v>440</v>
      </c>
      <c r="AB400" s="201">
        <v>117.66</v>
      </c>
      <c r="AC400" s="118">
        <f>AB400-5</f>
        <v>112.66</v>
      </c>
      <c r="AD400" s="118" t="s">
        <v>24</v>
      </c>
      <c r="AE400" s="119">
        <f t="shared" si="352"/>
        <v>26.587361999999999</v>
      </c>
      <c r="AF400" s="119"/>
      <c r="AG400" s="119">
        <f t="shared" si="353"/>
        <v>7.3172514619883042</v>
      </c>
      <c r="AH400" s="119">
        <f t="shared" si="354"/>
        <v>0</v>
      </c>
      <c r="AI400" s="119">
        <f t="shared" si="355"/>
        <v>0</v>
      </c>
      <c r="AJ400" s="119">
        <f t="shared" si="356"/>
        <v>0.14634502923976608</v>
      </c>
      <c r="AK400" s="119">
        <f t="shared" si="357"/>
        <v>0.42380766827485383</v>
      </c>
      <c r="AL400" s="119">
        <f t="shared" si="358"/>
        <v>3.7295074808187136</v>
      </c>
      <c r="AM400" s="119">
        <f t="shared" si="359"/>
        <v>1.4935897435897436</v>
      </c>
      <c r="AN400" s="119">
        <f t="shared" si="360"/>
        <v>0.83333333333333337</v>
      </c>
      <c r="AO400" s="119">
        <f t="shared" si="387"/>
        <v>0</v>
      </c>
      <c r="AP400" s="119"/>
      <c r="AQ400" s="119">
        <f t="shared" si="361"/>
        <v>40.531196717244718</v>
      </c>
      <c r="AR400" s="119">
        <f t="shared" si="362"/>
        <v>0</v>
      </c>
      <c r="AS400" s="119">
        <f t="shared" si="363"/>
        <v>0</v>
      </c>
      <c r="AT400" s="119">
        <v>0</v>
      </c>
      <c r="AU400" s="119">
        <v>0</v>
      </c>
      <c r="AV400" s="106">
        <f t="shared" si="364"/>
        <v>40.531196717244718</v>
      </c>
      <c r="AW400" s="138">
        <v>0.23200000000000001</v>
      </c>
      <c r="AX400" s="138">
        <v>0.22500000000000001</v>
      </c>
      <c r="AY400" s="108">
        <v>0.9</v>
      </c>
      <c r="AZ400" s="109">
        <f t="shared" si="365"/>
        <v>6.3000000000000061E-3</v>
      </c>
      <c r="BA400" s="109">
        <f t="shared" si="366"/>
        <v>26.587361999999999</v>
      </c>
      <c r="BB400" s="109"/>
      <c r="BC400" s="109"/>
      <c r="BD400" s="109"/>
      <c r="BE400" s="109"/>
      <c r="BF400" s="109"/>
      <c r="BG400" s="109"/>
      <c r="BH400" s="109"/>
      <c r="BI400" s="109"/>
      <c r="BJ400" s="109"/>
      <c r="BK400" s="109"/>
      <c r="BL400" s="109"/>
      <c r="BM400" s="109"/>
      <c r="BN400" s="109"/>
      <c r="BO400" s="109"/>
      <c r="BP400" s="109"/>
      <c r="BQ400" s="109"/>
      <c r="BR400" s="109"/>
      <c r="BS400" s="109"/>
      <c r="BT400" s="109"/>
      <c r="BU400" s="109"/>
      <c r="BV400" s="109"/>
      <c r="BW400" s="109"/>
      <c r="BX400" s="109"/>
      <c r="BY400" s="109"/>
      <c r="BZ400" s="109"/>
      <c r="CA400" s="109"/>
      <c r="CB400" s="109"/>
      <c r="CC400" s="109"/>
      <c r="CD400" s="105"/>
      <c r="CE400" s="109">
        <v>0</v>
      </c>
      <c r="CF400" s="109">
        <v>0</v>
      </c>
      <c r="CG400" s="109">
        <v>0</v>
      </c>
      <c r="CH400" s="105">
        <f t="shared" si="367"/>
        <v>0</v>
      </c>
      <c r="CI400" s="139"/>
      <c r="CJ400" s="105"/>
      <c r="CK400" s="105">
        <v>0</v>
      </c>
      <c r="CL400" s="105">
        <v>0</v>
      </c>
      <c r="CM400" s="105">
        <f t="shared" si="388"/>
        <v>0</v>
      </c>
      <c r="CN400" s="139"/>
      <c r="CO400" s="105"/>
      <c r="CP400" s="105">
        <v>0</v>
      </c>
      <c r="CQ400" s="105">
        <v>0</v>
      </c>
      <c r="CR400" s="105">
        <f t="shared" si="389"/>
        <v>0</v>
      </c>
      <c r="CS400" s="105"/>
      <c r="CT400" s="105"/>
      <c r="CU400" s="105">
        <v>0</v>
      </c>
      <c r="CV400" s="105">
        <v>0</v>
      </c>
      <c r="CW400" s="105">
        <f t="shared" si="390"/>
        <v>0</v>
      </c>
      <c r="CX400" s="105"/>
      <c r="CY400" s="105"/>
      <c r="CZ400" s="105"/>
      <c r="DA400" s="105"/>
      <c r="DB400" s="105"/>
      <c r="DC400" s="105"/>
      <c r="DD400" s="105"/>
      <c r="DE400" s="105"/>
      <c r="DF400" s="105"/>
      <c r="DG400" s="105"/>
      <c r="DH400" s="105"/>
      <c r="DI400" s="105"/>
      <c r="DJ400" s="105"/>
      <c r="DK400" s="105"/>
      <c r="DL400" s="105"/>
      <c r="DM400" s="109">
        <f t="shared" si="368"/>
        <v>0</v>
      </c>
      <c r="DN400" s="110">
        <v>1.2500000000000001E-2</v>
      </c>
      <c r="DO400" s="109">
        <f t="shared" si="369"/>
        <v>0</v>
      </c>
      <c r="DP400" s="109">
        <f t="shared" si="370"/>
        <v>0</v>
      </c>
      <c r="DQ400" s="109"/>
      <c r="DR400" s="109"/>
      <c r="DS400" s="109"/>
      <c r="DT400" s="109"/>
      <c r="DU400" s="109"/>
      <c r="DV400" s="109"/>
      <c r="DW400" s="109"/>
      <c r="DX400" s="109"/>
      <c r="DY400" s="109"/>
      <c r="DZ400" s="109"/>
      <c r="EA400" s="109"/>
      <c r="EB400" s="109"/>
      <c r="EC400" s="109"/>
      <c r="ED400" s="109"/>
      <c r="EE400" s="109"/>
      <c r="EF400" s="105">
        <v>650</v>
      </c>
      <c r="EG400" s="105">
        <v>5720</v>
      </c>
      <c r="EH400" s="105">
        <v>8</v>
      </c>
      <c r="EI400" s="108">
        <v>0.95</v>
      </c>
      <c r="EJ400" s="105">
        <v>2</v>
      </c>
      <c r="EK400" s="105">
        <v>70</v>
      </c>
      <c r="EL400" s="111">
        <f t="shared" si="371"/>
        <v>781.71428571428567</v>
      </c>
      <c r="EM400" s="105"/>
      <c r="EN400" s="105"/>
      <c r="EO400" s="105"/>
      <c r="EP400" s="105"/>
      <c r="EQ400" s="105"/>
      <c r="ER400" s="105"/>
      <c r="ES400" s="105"/>
      <c r="ET400" s="105"/>
      <c r="EU400" s="109">
        <f t="shared" si="372"/>
        <v>7.3172514619883042</v>
      </c>
      <c r="EV400" s="109"/>
      <c r="EW400" s="109"/>
      <c r="EX400" s="105"/>
      <c r="EY400" s="105"/>
      <c r="EZ400" s="105"/>
      <c r="FA400" s="105"/>
      <c r="FB400" s="105"/>
      <c r="FC400" s="105"/>
      <c r="FD400" s="105"/>
      <c r="FE400" s="105"/>
      <c r="FF400" s="105"/>
      <c r="FG400" s="105"/>
      <c r="FH400" s="105"/>
      <c r="FI400" s="105"/>
      <c r="FJ400" s="105"/>
      <c r="FK400" s="105"/>
      <c r="FL400" s="105"/>
      <c r="FM400" s="105"/>
      <c r="FN400" s="105"/>
      <c r="FO400" s="105"/>
      <c r="FP400" s="105"/>
      <c r="FQ400" s="105"/>
      <c r="FR400" s="105"/>
      <c r="FS400" s="105"/>
      <c r="FT400" s="105"/>
      <c r="FU400" s="105"/>
      <c r="FV400" s="105"/>
      <c r="FW400" s="105"/>
      <c r="FX400" s="105"/>
      <c r="FY400" s="105"/>
      <c r="FZ400" s="105"/>
      <c r="GA400" s="105"/>
      <c r="GB400" s="105"/>
      <c r="GC400" s="105"/>
      <c r="GD400" s="105"/>
      <c r="GE400" s="105"/>
      <c r="GF400" s="105"/>
      <c r="GG400" s="105"/>
      <c r="GH400" s="105"/>
      <c r="GI400" s="105"/>
      <c r="GJ400" s="105"/>
      <c r="GK400" s="105"/>
      <c r="GL400" s="105"/>
      <c r="GM400" s="105"/>
      <c r="GN400" s="105"/>
      <c r="GO400" s="105"/>
      <c r="GP400" s="105"/>
      <c r="GQ400" s="105"/>
      <c r="GR400" s="108">
        <v>0.11</v>
      </c>
      <c r="GS400" s="109">
        <f t="shared" si="373"/>
        <v>3.7295074808187136</v>
      </c>
      <c r="GT400" s="110">
        <v>1.2500000000000001E-2</v>
      </c>
      <c r="GU400" s="109">
        <f t="shared" si="374"/>
        <v>0.42380766827485383</v>
      </c>
      <c r="GV400" s="108">
        <v>0.02</v>
      </c>
      <c r="GW400" s="109">
        <f t="shared" si="375"/>
        <v>0.14634502923976608</v>
      </c>
      <c r="GX400" s="109">
        <f t="shared" si="376"/>
        <v>4.2996601783333341</v>
      </c>
      <c r="GY400" s="105" t="s">
        <v>43</v>
      </c>
      <c r="GZ400" s="105" t="s">
        <v>87</v>
      </c>
      <c r="HA400" s="109">
        <v>1600</v>
      </c>
      <c r="HB400" s="109">
        <v>950</v>
      </c>
      <c r="HC400" s="105">
        <v>1200</v>
      </c>
      <c r="HD400" s="105">
        <v>150</v>
      </c>
      <c r="HE400" s="105">
        <v>650</v>
      </c>
      <c r="HF400" s="109">
        <f t="shared" si="377"/>
        <v>5</v>
      </c>
      <c r="HG400" s="105">
        <v>5</v>
      </c>
      <c r="HH400" s="109">
        <f t="shared" si="378"/>
        <v>25</v>
      </c>
      <c r="HI400" s="105">
        <v>15500</v>
      </c>
      <c r="HJ400" s="109">
        <f t="shared" si="379"/>
        <v>387500</v>
      </c>
      <c r="HK400" s="105"/>
      <c r="HL400" s="105"/>
      <c r="HM400" s="109">
        <v>2</v>
      </c>
      <c r="HN400" s="111">
        <f t="shared" si="380"/>
        <v>390000</v>
      </c>
      <c r="HO400" s="109">
        <f t="shared" si="381"/>
        <v>0.99358974358974361</v>
      </c>
      <c r="HP400" s="109">
        <v>160</v>
      </c>
      <c r="HQ400" s="105">
        <v>0</v>
      </c>
      <c r="HR400" s="109">
        <v>0.5</v>
      </c>
      <c r="HS400" s="109">
        <v>1</v>
      </c>
      <c r="HT400" s="109">
        <f t="shared" si="382"/>
        <v>0.5</v>
      </c>
      <c r="HU400" s="109"/>
      <c r="HV400" s="109">
        <f t="shared" si="383"/>
        <v>1.4935897435897436</v>
      </c>
      <c r="HW400" s="109"/>
      <c r="HX400" s="109">
        <v>2917</v>
      </c>
      <c r="HY400" s="109">
        <v>1689</v>
      </c>
      <c r="HZ400" s="109">
        <v>1842</v>
      </c>
      <c r="IA400" s="109">
        <f t="shared" si="384"/>
        <v>1</v>
      </c>
      <c r="IB400" s="109">
        <f t="shared" si="385"/>
        <v>1</v>
      </c>
      <c r="IC400" s="109">
        <f t="shared" si="386"/>
        <v>1</v>
      </c>
      <c r="ID400" s="108">
        <v>1</v>
      </c>
      <c r="IE400" s="109">
        <f>PRODUCT(IA400:ID400)+3</f>
        <v>4</v>
      </c>
      <c r="IF400" s="109">
        <v>500</v>
      </c>
      <c r="IG400" s="109">
        <f t="shared" si="391"/>
        <v>0.83333333333333337</v>
      </c>
      <c r="IH400" s="109"/>
      <c r="II400" s="110"/>
      <c r="IJ400" s="109"/>
      <c r="IK400" s="109"/>
      <c r="IL400" s="114"/>
      <c r="IM400" s="114"/>
      <c r="IN400" s="114"/>
      <c r="IO400" s="114"/>
      <c r="IP400" s="114"/>
      <c r="IQ400" s="114"/>
      <c r="IR400" s="114"/>
      <c r="IS400" s="114"/>
      <c r="IT400" s="114"/>
      <c r="IU400" s="114"/>
      <c r="IV400" s="114"/>
      <c r="IW400" s="114"/>
      <c r="IX400" s="114"/>
      <c r="IY400" s="114"/>
      <c r="IZ400" s="114"/>
      <c r="JA400" s="114"/>
      <c r="JB400" s="114"/>
      <c r="JC400" s="114"/>
      <c r="JD400" s="114"/>
      <c r="JE400" s="114"/>
      <c r="JF400" s="114"/>
      <c r="JG400" s="114"/>
      <c r="JH400" s="114"/>
      <c r="JI400" s="114"/>
      <c r="JJ400" s="114"/>
      <c r="JK400" s="114"/>
      <c r="JL400" s="114"/>
      <c r="JM400" s="114"/>
      <c r="JN400" s="114"/>
      <c r="JO400" s="114"/>
      <c r="JP400" s="114"/>
      <c r="JQ400" s="114"/>
      <c r="JR400" s="114"/>
      <c r="JS400" s="114"/>
      <c r="JT400" s="114"/>
      <c r="JU400" s="114"/>
      <c r="JV400" s="114"/>
      <c r="JW400" s="114"/>
      <c r="JX400" s="114"/>
      <c r="JY400" s="114"/>
      <c r="JZ400" s="114"/>
      <c r="KA400" s="114"/>
      <c r="KB400" s="114"/>
      <c r="KC400" s="319"/>
      <c r="KD400" s="319"/>
      <c r="KE400" s="319"/>
      <c r="KF400" s="114"/>
      <c r="KG400" s="114"/>
      <c r="KH400" s="114"/>
      <c r="KI400" s="114"/>
      <c r="KJ400" s="114"/>
      <c r="KK400" s="114"/>
      <c r="KL400" s="114"/>
      <c r="KM400" s="114"/>
      <c r="KN400" s="114"/>
      <c r="KO400" s="114"/>
      <c r="KP400" s="114"/>
    </row>
    <row r="401" spans="1:302">
      <c r="A401">
        <v>219</v>
      </c>
      <c r="B401" t="s">
        <v>468</v>
      </c>
      <c r="C401" s="372" t="s">
        <v>917</v>
      </c>
      <c r="D401" s="28" t="s">
        <v>652</v>
      </c>
      <c r="E401" s="27" t="s">
        <v>653</v>
      </c>
      <c r="F401" s="5" t="s">
        <v>2182</v>
      </c>
      <c r="G401" s="27" t="s">
        <v>90</v>
      </c>
      <c r="I401" s="27" t="s">
        <v>94</v>
      </c>
      <c r="J401" s="28">
        <v>21591</v>
      </c>
      <c r="K401" s="27" t="s">
        <v>97</v>
      </c>
      <c r="N401" s="28"/>
      <c r="O401" s="28"/>
      <c r="P401" s="28"/>
      <c r="Q401" s="380" t="s">
        <v>1036</v>
      </c>
      <c r="R401" s="380" t="s">
        <v>1831</v>
      </c>
      <c r="S401" s="27"/>
      <c r="T401" s="27"/>
      <c r="U401" s="27"/>
      <c r="W401" s="27"/>
      <c r="X401" s="27"/>
      <c r="Y401" s="27"/>
      <c r="Z401" s="27"/>
      <c r="AA401" s="244" t="s">
        <v>440</v>
      </c>
      <c r="AB401" s="201">
        <v>117.66</v>
      </c>
      <c r="AC401" s="118">
        <f>AB401-5</f>
        <v>112.66</v>
      </c>
      <c r="AD401" s="118" t="s">
        <v>24</v>
      </c>
      <c r="AE401" s="119">
        <f t="shared" si="352"/>
        <v>48.910229999999991</v>
      </c>
      <c r="AF401" s="119"/>
      <c r="AG401" s="119">
        <f t="shared" si="353"/>
        <v>9.0789473684210531</v>
      </c>
      <c r="AH401" s="119">
        <f t="shared" si="354"/>
        <v>21.5</v>
      </c>
      <c r="AI401" s="119">
        <f t="shared" si="355"/>
        <v>0.26874999999999999</v>
      </c>
      <c r="AJ401" s="119">
        <f t="shared" si="356"/>
        <v>0.18157894736842106</v>
      </c>
      <c r="AK401" s="119">
        <f t="shared" si="357"/>
        <v>0.72486471710526312</v>
      </c>
      <c r="AL401" s="119">
        <f t="shared" si="358"/>
        <v>6.378809510526315</v>
      </c>
      <c r="AM401" s="119">
        <f t="shared" si="359"/>
        <v>1.9583333333333333</v>
      </c>
      <c r="AN401" s="119">
        <f t="shared" si="360"/>
        <v>2.8935185185185182</v>
      </c>
      <c r="AO401" s="119">
        <f t="shared" si="387"/>
        <v>0</v>
      </c>
      <c r="AP401" s="119"/>
      <c r="AQ401" s="119">
        <f t="shared" si="361"/>
        <v>91.895032395272892</v>
      </c>
      <c r="AR401" s="119">
        <f t="shared" si="362"/>
        <v>0</v>
      </c>
      <c r="AS401" s="119">
        <f t="shared" si="363"/>
        <v>0</v>
      </c>
      <c r="AT401" s="119">
        <v>0</v>
      </c>
      <c r="AU401" s="119">
        <v>0</v>
      </c>
      <c r="AV401" s="106">
        <f t="shared" si="364"/>
        <v>91.895032395272892</v>
      </c>
      <c r="AW401" s="138">
        <v>0.42</v>
      </c>
      <c r="AX401" s="138">
        <v>0.41499999999999998</v>
      </c>
      <c r="AY401" s="108">
        <v>0.9</v>
      </c>
      <c r="AZ401" s="109">
        <f t="shared" si="365"/>
        <v>4.500000000000004E-3</v>
      </c>
      <c r="BA401" s="109">
        <f t="shared" si="366"/>
        <v>48.910229999999991</v>
      </c>
      <c r="BB401" s="109"/>
      <c r="BC401" s="109"/>
      <c r="BD401" s="109"/>
      <c r="BE401" s="109"/>
      <c r="BF401" s="109"/>
      <c r="BG401" s="109"/>
      <c r="BH401" s="109"/>
      <c r="BI401" s="109"/>
      <c r="BJ401" s="109"/>
      <c r="BK401" s="109"/>
      <c r="BL401" s="109"/>
      <c r="BM401" s="109"/>
      <c r="BN401" s="109"/>
      <c r="BO401" s="109"/>
      <c r="BP401" s="109"/>
      <c r="BQ401" s="109"/>
      <c r="BR401" s="109"/>
      <c r="BS401" s="109"/>
      <c r="BT401" s="109"/>
      <c r="BU401" s="109"/>
      <c r="BV401" s="109"/>
      <c r="BW401" s="109"/>
      <c r="BX401" s="109"/>
      <c r="BY401" s="109"/>
      <c r="BZ401" s="109"/>
      <c r="CA401" s="109"/>
      <c r="CB401" s="109"/>
      <c r="CC401" s="109"/>
      <c r="CD401" s="105"/>
      <c r="CE401" s="109">
        <v>0</v>
      </c>
      <c r="CF401" s="109">
        <v>1</v>
      </c>
      <c r="CG401" s="109">
        <v>21.5</v>
      </c>
      <c r="CH401" s="109">
        <f t="shared" si="367"/>
        <v>21.5</v>
      </c>
      <c r="CI401" s="139"/>
      <c r="CJ401" s="105"/>
      <c r="CK401" s="105"/>
      <c r="CL401" s="105"/>
      <c r="CM401" s="105"/>
      <c r="CN401" s="139"/>
      <c r="CO401" s="105"/>
      <c r="CP401" s="105"/>
      <c r="CQ401" s="105"/>
      <c r="CR401" s="105"/>
      <c r="CS401" s="105"/>
      <c r="CT401" s="105"/>
      <c r="CU401" s="105"/>
      <c r="CV401" s="105"/>
      <c r="CW401" s="105"/>
      <c r="CX401" s="105"/>
      <c r="CY401" s="105"/>
      <c r="CZ401" s="105"/>
      <c r="DA401" s="105"/>
      <c r="DB401" s="105"/>
      <c r="DC401" s="105"/>
      <c r="DD401" s="105"/>
      <c r="DE401" s="105"/>
      <c r="DF401" s="105"/>
      <c r="DG401" s="105"/>
      <c r="DH401" s="105"/>
      <c r="DI401" s="105"/>
      <c r="DJ401" s="105"/>
      <c r="DK401" s="105"/>
      <c r="DL401" s="105"/>
      <c r="DM401" s="109">
        <f t="shared" si="368"/>
        <v>21.5</v>
      </c>
      <c r="DN401" s="110">
        <v>1.2500000000000001E-2</v>
      </c>
      <c r="DO401" s="109">
        <f t="shared" si="369"/>
        <v>0.26874999999999999</v>
      </c>
      <c r="DP401" s="109">
        <f t="shared" si="370"/>
        <v>21.768750000000001</v>
      </c>
      <c r="DQ401" s="109"/>
      <c r="DR401" s="109"/>
      <c r="DS401" s="109"/>
      <c r="DT401" s="109"/>
      <c r="DU401" s="109"/>
      <c r="DV401" s="109"/>
      <c r="DW401" s="109"/>
      <c r="DX401" s="109"/>
      <c r="DY401" s="109"/>
      <c r="DZ401" s="109"/>
      <c r="EA401" s="109"/>
      <c r="EB401" s="109"/>
      <c r="EC401" s="109"/>
      <c r="ED401" s="109"/>
      <c r="EE401" s="109"/>
      <c r="EF401" s="105">
        <v>450</v>
      </c>
      <c r="EG401" s="105">
        <v>4140</v>
      </c>
      <c r="EH401" s="105">
        <v>8</v>
      </c>
      <c r="EI401" s="108">
        <v>0.95</v>
      </c>
      <c r="EJ401" s="105">
        <v>1</v>
      </c>
      <c r="EK401" s="105">
        <v>60</v>
      </c>
      <c r="EL401" s="111">
        <f t="shared" si="371"/>
        <v>456</v>
      </c>
      <c r="EM401" s="105"/>
      <c r="EN401" s="105"/>
      <c r="EO401" s="105"/>
      <c r="EP401" s="105"/>
      <c r="EQ401" s="105"/>
      <c r="ER401" s="105"/>
      <c r="ES401" s="105"/>
      <c r="ET401" s="105"/>
      <c r="EU401" s="109">
        <f t="shared" si="372"/>
        <v>9.0789473684210531</v>
      </c>
      <c r="EV401" s="109"/>
      <c r="EW401" s="109"/>
      <c r="EX401" s="105"/>
      <c r="EY401" s="105"/>
      <c r="EZ401" s="105"/>
      <c r="FA401" s="105"/>
      <c r="FB401" s="105"/>
      <c r="FC401" s="105"/>
      <c r="FD401" s="105"/>
      <c r="FE401" s="105"/>
      <c r="FF401" s="105"/>
      <c r="FG401" s="105"/>
      <c r="FH401" s="105"/>
      <c r="FI401" s="105"/>
      <c r="FJ401" s="105"/>
      <c r="FK401" s="105"/>
      <c r="FL401" s="105"/>
      <c r="FM401" s="105"/>
      <c r="FN401" s="105"/>
      <c r="FO401" s="105"/>
      <c r="FP401" s="105"/>
      <c r="FQ401" s="105"/>
      <c r="FR401" s="105"/>
      <c r="FS401" s="105"/>
      <c r="FT401" s="105"/>
      <c r="FU401" s="105"/>
      <c r="FV401" s="105"/>
      <c r="FW401" s="105"/>
      <c r="FX401" s="105"/>
      <c r="FY401" s="105"/>
      <c r="FZ401" s="105"/>
      <c r="GA401" s="105"/>
      <c r="GB401" s="105"/>
      <c r="GC401" s="105"/>
      <c r="GD401" s="105"/>
      <c r="GE401" s="105"/>
      <c r="GF401" s="105"/>
      <c r="GG401" s="105"/>
      <c r="GH401" s="105"/>
      <c r="GI401" s="105"/>
      <c r="GJ401" s="105"/>
      <c r="GK401" s="105"/>
      <c r="GL401" s="105"/>
      <c r="GM401" s="105"/>
      <c r="GN401" s="105"/>
      <c r="GO401" s="105"/>
      <c r="GP401" s="105"/>
      <c r="GQ401" s="105"/>
      <c r="GR401" s="108">
        <v>0.11</v>
      </c>
      <c r="GS401" s="109">
        <f t="shared" si="373"/>
        <v>6.378809510526315</v>
      </c>
      <c r="GT401" s="110">
        <v>1.2500000000000001E-2</v>
      </c>
      <c r="GU401" s="109">
        <f t="shared" si="374"/>
        <v>0.72486471710526312</v>
      </c>
      <c r="GV401" s="108">
        <v>0.02</v>
      </c>
      <c r="GW401" s="109">
        <f t="shared" si="375"/>
        <v>0.18157894736842106</v>
      </c>
      <c r="GX401" s="109">
        <f t="shared" si="376"/>
        <v>7.2852531749999994</v>
      </c>
      <c r="GY401" s="105" t="s">
        <v>43</v>
      </c>
      <c r="GZ401" s="105" t="s">
        <v>87</v>
      </c>
      <c r="HA401" s="109">
        <v>980</v>
      </c>
      <c r="HB401" s="109">
        <v>700</v>
      </c>
      <c r="HC401" s="105">
        <v>450</v>
      </c>
      <c r="HD401" s="105">
        <v>12</v>
      </c>
      <c r="HE401" s="105">
        <v>650</v>
      </c>
      <c r="HF401" s="109">
        <f t="shared" si="377"/>
        <v>55</v>
      </c>
      <c r="HG401" s="105">
        <v>5</v>
      </c>
      <c r="HH401" s="109">
        <f t="shared" si="378"/>
        <v>275</v>
      </c>
      <c r="HI401" s="105">
        <v>650</v>
      </c>
      <c r="HJ401" s="109">
        <f t="shared" si="379"/>
        <v>178750</v>
      </c>
      <c r="HK401" s="105"/>
      <c r="HL401" s="105"/>
      <c r="HM401" s="109">
        <v>2</v>
      </c>
      <c r="HN401" s="111">
        <f t="shared" si="380"/>
        <v>390000</v>
      </c>
      <c r="HO401" s="109">
        <f t="shared" si="381"/>
        <v>0.45833333333333331</v>
      </c>
      <c r="HP401" s="109">
        <v>160</v>
      </c>
      <c r="HQ401" s="105">
        <v>0</v>
      </c>
      <c r="HR401" s="109">
        <v>1.5</v>
      </c>
      <c r="HS401" s="109">
        <v>1</v>
      </c>
      <c r="HT401" s="109">
        <f t="shared" si="382"/>
        <v>1.5</v>
      </c>
      <c r="HU401" s="109"/>
      <c r="HV401" s="109">
        <f t="shared" si="383"/>
        <v>1.9583333333333333</v>
      </c>
      <c r="HW401" s="109"/>
      <c r="HX401" s="109">
        <v>2917</v>
      </c>
      <c r="HY401" s="109">
        <v>1689</v>
      </c>
      <c r="HZ401" s="109">
        <v>1842</v>
      </c>
      <c r="IA401" s="109">
        <f t="shared" si="384"/>
        <v>2</v>
      </c>
      <c r="IB401" s="109">
        <f t="shared" si="385"/>
        <v>2</v>
      </c>
      <c r="IC401" s="109">
        <f t="shared" si="386"/>
        <v>4</v>
      </c>
      <c r="ID401" s="108">
        <v>0.9</v>
      </c>
      <c r="IE401" s="279">
        <f>PRODUCT(IA401:ID401)</f>
        <v>14.4</v>
      </c>
      <c r="IF401" s="109">
        <v>500</v>
      </c>
      <c r="IG401" s="109">
        <f t="shared" si="391"/>
        <v>2.8935185185185182</v>
      </c>
      <c r="IH401" s="62"/>
      <c r="II401" s="64"/>
      <c r="IJ401" s="62"/>
      <c r="IK401" s="62"/>
    </row>
    <row r="402" spans="1:302" ht="25.5">
      <c r="A402">
        <v>220</v>
      </c>
      <c r="B402" t="s">
        <v>468</v>
      </c>
      <c r="C402" s="372" t="s">
        <v>918</v>
      </c>
      <c r="D402" s="28" t="s">
        <v>654</v>
      </c>
      <c r="E402" s="27" t="s">
        <v>655</v>
      </c>
      <c r="F402" s="5" t="s">
        <v>2182</v>
      </c>
      <c r="G402" s="27" t="s">
        <v>90</v>
      </c>
      <c r="I402" s="27" t="s">
        <v>121</v>
      </c>
      <c r="J402" s="28">
        <v>21480</v>
      </c>
      <c r="K402" s="27" t="s">
        <v>97</v>
      </c>
      <c r="L402" s="114"/>
      <c r="M402" s="114"/>
      <c r="N402" s="28"/>
      <c r="O402" s="28"/>
      <c r="P402" s="28"/>
      <c r="Q402" s="380" t="s">
        <v>1036</v>
      </c>
      <c r="R402" s="380" t="s">
        <v>1831</v>
      </c>
      <c r="S402" s="27"/>
      <c r="T402" s="27"/>
      <c r="U402" s="27"/>
      <c r="W402" s="387" t="s">
        <v>919</v>
      </c>
      <c r="X402" s="387"/>
      <c r="Y402" s="387"/>
      <c r="Z402" s="387"/>
      <c r="AA402" s="244" t="s">
        <v>902</v>
      </c>
      <c r="AB402" s="201">
        <v>75.88</v>
      </c>
      <c r="AC402" s="118">
        <v>1</v>
      </c>
      <c r="AD402" s="118"/>
      <c r="AE402" s="119">
        <f t="shared" si="352"/>
        <v>0.30352000000000001</v>
      </c>
      <c r="AF402" s="119"/>
      <c r="AG402" s="119">
        <f t="shared" si="353"/>
        <v>0.32894736842105265</v>
      </c>
      <c r="AH402" s="119">
        <f t="shared" si="354"/>
        <v>0</v>
      </c>
      <c r="AI402" s="119">
        <f t="shared" si="355"/>
        <v>0</v>
      </c>
      <c r="AJ402" s="119">
        <f t="shared" si="356"/>
        <v>6.5789473684210531E-3</v>
      </c>
      <c r="AK402" s="119">
        <f t="shared" si="357"/>
        <v>7.905842105263159E-3</v>
      </c>
      <c r="AL402" s="119">
        <f t="shared" si="358"/>
        <v>6.9571410526315797E-2</v>
      </c>
      <c r="AM402" s="119">
        <f t="shared" si="359"/>
        <v>1.2500000000000001E-2</v>
      </c>
      <c r="AN402" s="119">
        <f t="shared" si="360"/>
        <v>1.8518518518518517E-2</v>
      </c>
      <c r="AO402" s="119">
        <f t="shared" si="387"/>
        <v>0</v>
      </c>
      <c r="AP402" s="119"/>
      <c r="AQ402" s="119">
        <f t="shared" si="361"/>
        <v>0.74754208693957103</v>
      </c>
      <c r="AR402" s="119">
        <f t="shared" si="362"/>
        <v>0</v>
      </c>
      <c r="AS402" s="119">
        <f t="shared" si="363"/>
        <v>0</v>
      </c>
      <c r="AT402" s="119">
        <v>0</v>
      </c>
      <c r="AU402" s="119">
        <v>0</v>
      </c>
      <c r="AV402" s="106">
        <f t="shared" si="364"/>
        <v>0.74754208693957103</v>
      </c>
      <c r="AW402" s="124">
        <v>4.0000000000000001E-3</v>
      </c>
      <c r="AX402" s="124">
        <v>3.0000000000000001E-3</v>
      </c>
      <c r="AY402" s="120">
        <v>0</v>
      </c>
      <c r="AZ402" s="118">
        <f t="shared" si="365"/>
        <v>0</v>
      </c>
      <c r="BA402" s="118">
        <f t="shared" si="366"/>
        <v>0.30352000000000001</v>
      </c>
      <c r="BB402" s="118"/>
      <c r="BC402" s="118"/>
      <c r="BD402" s="118"/>
      <c r="BE402" s="118"/>
      <c r="BF402" s="118"/>
      <c r="BG402" s="118"/>
      <c r="BH402" s="118"/>
      <c r="BI402" s="118"/>
      <c r="BJ402" s="118"/>
      <c r="BK402" s="118"/>
      <c r="BL402" s="118"/>
      <c r="BM402" s="118"/>
      <c r="BN402" s="118"/>
      <c r="BO402" s="118"/>
      <c r="BP402" s="118"/>
      <c r="BQ402" s="118"/>
      <c r="BR402" s="118"/>
      <c r="BS402" s="118"/>
      <c r="BT402" s="118"/>
      <c r="BU402" s="118"/>
      <c r="BV402" s="118"/>
      <c r="BW402" s="118"/>
      <c r="BX402" s="118"/>
      <c r="BY402" s="118"/>
      <c r="BZ402" s="118"/>
      <c r="CA402" s="118"/>
      <c r="CB402" s="118"/>
      <c r="CC402" s="118"/>
      <c r="CD402" s="114"/>
      <c r="CE402" s="109">
        <v>0</v>
      </c>
      <c r="CF402" s="109">
        <v>0</v>
      </c>
      <c r="CG402" s="109">
        <v>0</v>
      </c>
      <c r="CH402" s="105">
        <f t="shared" si="367"/>
        <v>0</v>
      </c>
      <c r="CI402" s="139"/>
      <c r="CJ402" s="105"/>
      <c r="CK402" s="105">
        <v>0</v>
      </c>
      <c r="CL402" s="105">
        <v>0</v>
      </c>
      <c r="CM402" s="105">
        <f>CK402*CL402</f>
        <v>0</v>
      </c>
      <c r="CN402" s="139"/>
      <c r="CO402" s="105"/>
      <c r="CP402" s="105">
        <v>0</v>
      </c>
      <c r="CQ402" s="105">
        <v>0</v>
      </c>
      <c r="CR402" s="105">
        <f>CP402*CQ402</f>
        <v>0</v>
      </c>
      <c r="CS402" s="105"/>
      <c r="CT402" s="105"/>
      <c r="CU402" s="105">
        <v>0</v>
      </c>
      <c r="CV402" s="105">
        <v>0</v>
      </c>
      <c r="CW402" s="105">
        <f>CU402*CV402</f>
        <v>0</v>
      </c>
      <c r="CX402" s="105"/>
      <c r="CY402" s="105"/>
      <c r="CZ402" s="105"/>
      <c r="DA402" s="105"/>
      <c r="DB402" s="105"/>
      <c r="DC402" s="105"/>
      <c r="DD402" s="105"/>
      <c r="DE402" s="105"/>
      <c r="DF402" s="105"/>
      <c r="DG402" s="105"/>
      <c r="DH402" s="105"/>
      <c r="DI402" s="105"/>
      <c r="DJ402" s="105"/>
      <c r="DK402" s="105"/>
      <c r="DL402" s="105"/>
      <c r="DM402" s="109">
        <f t="shared" si="368"/>
        <v>0</v>
      </c>
      <c r="DN402" s="110">
        <v>1.2500000000000001E-2</v>
      </c>
      <c r="DO402" s="109">
        <f t="shared" si="369"/>
        <v>0</v>
      </c>
      <c r="DP402" s="109">
        <f t="shared" si="370"/>
        <v>0</v>
      </c>
      <c r="DQ402" s="109"/>
      <c r="DR402" s="109"/>
      <c r="DS402" s="109"/>
      <c r="DT402" s="109"/>
      <c r="DU402" s="109"/>
      <c r="DV402" s="109"/>
      <c r="DW402" s="109"/>
      <c r="DX402" s="109"/>
      <c r="DY402" s="109"/>
      <c r="DZ402" s="109"/>
      <c r="EA402" s="109"/>
      <c r="EB402" s="109"/>
      <c r="EC402" s="109"/>
      <c r="ED402" s="109"/>
      <c r="EE402" s="109"/>
      <c r="EF402" s="105">
        <v>80</v>
      </c>
      <c r="EG402" s="105">
        <v>800</v>
      </c>
      <c r="EH402" s="105">
        <v>8</v>
      </c>
      <c r="EI402" s="120">
        <v>0.95</v>
      </c>
      <c r="EJ402" s="105">
        <v>4</v>
      </c>
      <c r="EK402" s="105">
        <v>45</v>
      </c>
      <c r="EL402" s="111">
        <f t="shared" si="371"/>
        <v>2432</v>
      </c>
      <c r="EM402" s="114"/>
      <c r="EN402" s="114"/>
      <c r="EO402" s="114"/>
      <c r="EP402" s="114"/>
      <c r="EQ402" s="114"/>
      <c r="ER402" s="114"/>
      <c r="ES402" s="114"/>
      <c r="ET402" s="114"/>
      <c r="EU402" s="109">
        <f t="shared" si="372"/>
        <v>0.32894736842105265</v>
      </c>
      <c r="EV402" s="109"/>
      <c r="EW402" s="109"/>
      <c r="EX402" s="114"/>
      <c r="EY402" s="114"/>
      <c r="EZ402" s="114"/>
      <c r="FA402" s="114"/>
      <c r="FB402" s="114"/>
      <c r="FC402" s="114"/>
      <c r="FD402" s="114"/>
      <c r="FE402" s="114"/>
      <c r="FF402" s="114"/>
      <c r="FG402" s="114"/>
      <c r="FH402" s="114"/>
      <c r="FI402" s="114"/>
      <c r="FJ402" s="114"/>
      <c r="FK402" s="114"/>
      <c r="FL402" s="114"/>
      <c r="FM402" s="114"/>
      <c r="FN402" s="114"/>
      <c r="FO402" s="114"/>
      <c r="FP402" s="114"/>
      <c r="FQ402" s="114"/>
      <c r="FR402" s="114"/>
      <c r="FS402" s="114"/>
      <c r="FT402" s="114"/>
      <c r="FU402" s="114"/>
      <c r="FV402" s="114"/>
      <c r="FW402" s="114"/>
      <c r="FX402" s="114"/>
      <c r="FY402" s="114"/>
      <c r="FZ402" s="114"/>
      <c r="GA402" s="114"/>
      <c r="GB402" s="114"/>
      <c r="GC402" s="114"/>
      <c r="GD402" s="114"/>
      <c r="GE402" s="114"/>
      <c r="GF402" s="114"/>
      <c r="GG402" s="114"/>
      <c r="GH402" s="114"/>
      <c r="GI402" s="114"/>
      <c r="GJ402" s="114"/>
      <c r="GK402" s="114"/>
      <c r="GL402" s="114"/>
      <c r="GM402" s="114"/>
      <c r="GN402" s="114"/>
      <c r="GO402" s="114"/>
      <c r="GP402" s="114"/>
      <c r="GQ402" s="114"/>
      <c r="GR402" s="120">
        <v>0.11</v>
      </c>
      <c r="GS402" s="118">
        <f t="shared" si="373"/>
        <v>6.9571410526315797E-2</v>
      </c>
      <c r="GT402" s="125">
        <v>1.2500000000000001E-2</v>
      </c>
      <c r="GU402" s="118">
        <f t="shared" si="374"/>
        <v>7.905842105263159E-3</v>
      </c>
      <c r="GV402" s="120">
        <v>0.02</v>
      </c>
      <c r="GW402" s="118">
        <f t="shared" si="375"/>
        <v>6.5789473684210531E-3</v>
      </c>
      <c r="GX402" s="118">
        <f t="shared" si="376"/>
        <v>8.4056200000000011E-2</v>
      </c>
      <c r="GY402" s="105" t="s">
        <v>43</v>
      </c>
      <c r="GZ402" s="105" t="s">
        <v>87</v>
      </c>
      <c r="HA402" s="118">
        <v>450</v>
      </c>
      <c r="HB402" s="118">
        <v>320</v>
      </c>
      <c r="HC402" s="105">
        <v>220</v>
      </c>
      <c r="HD402" s="105">
        <v>500</v>
      </c>
      <c r="HE402" s="105">
        <v>400</v>
      </c>
      <c r="HF402" s="118">
        <f t="shared" si="377"/>
        <v>1</v>
      </c>
      <c r="HG402" s="105">
        <v>5</v>
      </c>
      <c r="HH402" s="118">
        <f t="shared" si="378"/>
        <v>5</v>
      </c>
      <c r="HI402" s="105">
        <v>600</v>
      </c>
      <c r="HJ402" s="118">
        <f t="shared" si="379"/>
        <v>3000</v>
      </c>
      <c r="HK402" s="114"/>
      <c r="HL402" s="114"/>
      <c r="HM402" s="118">
        <v>2</v>
      </c>
      <c r="HN402" s="126">
        <f t="shared" si="380"/>
        <v>240000</v>
      </c>
      <c r="HO402" s="118">
        <f t="shared" si="381"/>
        <v>1.2500000000000001E-2</v>
      </c>
      <c r="HP402" s="118">
        <v>160</v>
      </c>
      <c r="HQ402" s="114">
        <v>0</v>
      </c>
      <c r="HR402" s="118">
        <v>0</v>
      </c>
      <c r="HS402" s="118">
        <v>0</v>
      </c>
      <c r="HT402" s="118">
        <f t="shared" si="382"/>
        <v>0</v>
      </c>
      <c r="HU402" s="118"/>
      <c r="HV402" s="118">
        <f t="shared" si="383"/>
        <v>1.2500000000000001E-2</v>
      </c>
      <c r="HW402" s="118"/>
      <c r="HX402" s="118">
        <v>4200</v>
      </c>
      <c r="HY402" s="118">
        <v>1900</v>
      </c>
      <c r="HZ402" s="118">
        <v>1975</v>
      </c>
      <c r="IA402" s="118">
        <f t="shared" si="384"/>
        <v>9</v>
      </c>
      <c r="IB402" s="118">
        <f t="shared" si="385"/>
        <v>5</v>
      </c>
      <c r="IC402" s="118">
        <f t="shared" si="386"/>
        <v>8</v>
      </c>
      <c r="ID402" s="108">
        <v>0.15</v>
      </c>
      <c r="IE402" s="279">
        <f>PRODUCT(IA402:ID402)</f>
        <v>54</v>
      </c>
      <c r="IF402" s="118">
        <v>500</v>
      </c>
      <c r="IG402" s="109">
        <f t="shared" si="391"/>
        <v>1.8518518518518517E-2</v>
      </c>
      <c r="IH402" s="109"/>
      <c r="II402" s="125"/>
      <c r="IJ402" s="118"/>
      <c r="IK402" s="118"/>
      <c r="IL402" s="114"/>
      <c r="IM402" s="114"/>
      <c r="IN402" s="114"/>
      <c r="IO402" s="114"/>
      <c r="IP402" s="114"/>
      <c r="IQ402" s="114"/>
      <c r="IR402" s="114"/>
      <c r="IS402" s="114"/>
      <c r="IT402" s="114"/>
      <c r="IU402" s="114"/>
      <c r="IV402" s="114"/>
      <c r="IW402" s="114"/>
      <c r="IX402" s="114"/>
      <c r="IY402" s="114"/>
      <c r="IZ402" s="114"/>
      <c r="JA402" s="114"/>
      <c r="JB402" s="114"/>
      <c r="JC402" s="114"/>
      <c r="JD402" s="114"/>
      <c r="JE402" s="114"/>
      <c r="JF402" s="114"/>
      <c r="JG402" s="114"/>
      <c r="JH402" s="114"/>
      <c r="JI402" s="114"/>
      <c r="JJ402" s="114"/>
      <c r="JK402" s="114"/>
      <c r="JL402" s="114"/>
      <c r="JM402" s="114"/>
      <c r="JN402" s="114"/>
      <c r="JO402" s="114"/>
      <c r="JP402" s="114"/>
      <c r="JQ402" s="114"/>
      <c r="JR402" s="114"/>
      <c r="JS402" s="114"/>
      <c r="JT402" s="114"/>
      <c r="JU402" s="114"/>
      <c r="JV402" s="114"/>
      <c r="JW402" s="114"/>
      <c r="JX402" s="114"/>
      <c r="JY402" s="114"/>
      <c r="JZ402" s="114"/>
      <c r="KA402" s="114"/>
      <c r="KB402" s="114"/>
      <c r="KC402" s="319"/>
      <c r="KD402" s="319"/>
      <c r="KE402" s="319"/>
      <c r="KF402" s="114"/>
      <c r="KG402" s="114"/>
      <c r="KH402" s="114"/>
      <c r="KI402" s="114"/>
      <c r="KJ402" s="114"/>
      <c r="KK402" s="114"/>
      <c r="KL402" s="114"/>
      <c r="KM402" s="114"/>
      <c r="KN402" s="114"/>
      <c r="KO402" s="114"/>
      <c r="KP402" s="114"/>
    </row>
    <row r="403" spans="1:302">
      <c r="A403">
        <v>221</v>
      </c>
      <c r="B403" t="s">
        <v>468</v>
      </c>
      <c r="C403" s="372" t="s">
        <v>567</v>
      </c>
      <c r="D403" s="28" t="s">
        <v>654</v>
      </c>
      <c r="E403" s="27" t="s">
        <v>655</v>
      </c>
      <c r="F403" s="27"/>
      <c r="G403" s="27" t="s">
        <v>90</v>
      </c>
      <c r="I403" s="27" t="s">
        <v>94</v>
      </c>
      <c r="J403" s="28">
        <v>21591</v>
      </c>
      <c r="K403" s="27" t="s">
        <v>97</v>
      </c>
      <c r="N403" s="28" t="s">
        <v>1892</v>
      </c>
      <c r="O403" s="28" t="s">
        <v>1038</v>
      </c>
      <c r="P403" s="331">
        <v>44093</v>
      </c>
      <c r="Q403" s="380"/>
      <c r="R403" s="380"/>
      <c r="S403" s="27"/>
      <c r="T403" s="27"/>
      <c r="U403" s="27"/>
      <c r="W403" s="115" t="s">
        <v>439</v>
      </c>
      <c r="X403" s="115"/>
      <c r="Y403" s="115"/>
      <c r="Z403" s="115"/>
      <c r="AA403" s="115"/>
      <c r="AB403" s="121"/>
      <c r="AC403" s="114"/>
      <c r="AD403" s="115"/>
      <c r="AE403" s="114"/>
      <c r="AF403" s="114"/>
      <c r="AG403" s="114"/>
      <c r="AH403" s="114"/>
      <c r="AI403" s="114"/>
      <c r="AJ403" s="114"/>
      <c r="AK403" s="114"/>
      <c r="AL403" s="114"/>
      <c r="AM403" s="114"/>
      <c r="AN403" s="114"/>
      <c r="AO403" s="114"/>
      <c r="AP403" s="114"/>
      <c r="AQ403" s="114"/>
      <c r="AR403" s="114"/>
      <c r="AS403" s="114"/>
      <c r="AT403" s="114"/>
      <c r="AU403" s="114"/>
      <c r="AV403" s="114"/>
      <c r="AW403" s="114"/>
      <c r="AX403" s="114"/>
      <c r="AY403" s="114"/>
      <c r="AZ403" s="114"/>
      <c r="BA403" s="114"/>
      <c r="BB403" s="114"/>
      <c r="BC403" s="114"/>
      <c r="BD403" s="114"/>
      <c r="BE403" s="114"/>
      <c r="BF403" s="114"/>
      <c r="BG403" s="114"/>
      <c r="BH403" s="114"/>
      <c r="BI403" s="114"/>
      <c r="BJ403" s="114"/>
      <c r="BK403" s="114"/>
      <c r="BL403" s="114"/>
      <c r="BM403" s="114"/>
      <c r="BN403" s="114"/>
      <c r="BO403" s="114"/>
      <c r="BP403" s="114"/>
      <c r="BQ403" s="114"/>
      <c r="BR403" s="114"/>
      <c r="BS403" s="114"/>
      <c r="BT403" s="114"/>
      <c r="BU403" s="114"/>
      <c r="BV403" s="114"/>
      <c r="BW403" s="114"/>
      <c r="BX403" s="114"/>
      <c r="BY403" s="114"/>
      <c r="BZ403" s="114"/>
      <c r="CA403" s="114"/>
      <c r="CB403" s="114"/>
      <c r="CC403" s="114"/>
      <c r="CD403" s="114"/>
      <c r="CE403" s="114"/>
      <c r="CF403" s="114"/>
      <c r="CG403" s="114"/>
      <c r="CH403" s="114"/>
      <c r="CI403" s="114"/>
      <c r="CJ403" s="114"/>
      <c r="CK403" s="114"/>
      <c r="CL403" s="114"/>
      <c r="CM403" s="114"/>
      <c r="CN403" s="114"/>
      <c r="CO403" s="114"/>
      <c r="CP403" s="114"/>
      <c r="CQ403" s="114"/>
      <c r="CR403" s="114"/>
      <c r="CS403" s="114"/>
      <c r="CT403" s="114"/>
      <c r="CU403" s="114"/>
      <c r="CV403" s="114"/>
      <c r="CW403" s="114"/>
      <c r="CX403" s="114"/>
      <c r="CY403" s="114"/>
      <c r="CZ403" s="114"/>
      <c r="DA403" s="114"/>
      <c r="DB403" s="114"/>
      <c r="DC403" s="114"/>
      <c r="DD403" s="114"/>
      <c r="DE403" s="114"/>
      <c r="DF403" s="114"/>
      <c r="DG403" s="114"/>
      <c r="DH403" s="114"/>
      <c r="DI403" s="114"/>
      <c r="DJ403" s="114"/>
      <c r="DK403" s="114"/>
      <c r="DL403" s="114"/>
      <c r="DM403" s="114"/>
      <c r="DN403" s="114"/>
      <c r="DO403" s="114"/>
      <c r="DP403" s="114"/>
      <c r="DQ403" s="114"/>
      <c r="DR403" s="114"/>
      <c r="DS403" s="114"/>
      <c r="DT403" s="114"/>
      <c r="DU403" s="114"/>
      <c r="DV403" s="114"/>
      <c r="DW403" s="114"/>
      <c r="DX403" s="114"/>
      <c r="DY403" s="114"/>
      <c r="DZ403" s="114"/>
      <c r="EA403" s="114"/>
      <c r="EB403" s="114"/>
      <c r="EC403" s="114"/>
      <c r="ED403" s="114"/>
      <c r="EE403" s="114"/>
      <c r="EF403" s="114"/>
      <c r="EG403" s="114"/>
      <c r="EH403" s="114"/>
      <c r="EI403" s="114"/>
      <c r="EJ403" s="114"/>
      <c r="EK403" s="114"/>
      <c r="EL403" s="114"/>
      <c r="EM403" s="114"/>
      <c r="EN403" s="114"/>
      <c r="EO403" s="114"/>
      <c r="EP403" s="114"/>
      <c r="EQ403" s="114"/>
      <c r="ER403" s="114"/>
      <c r="ES403" s="114"/>
      <c r="ET403" s="114"/>
      <c r="EU403" s="114"/>
      <c r="EV403" s="114"/>
      <c r="EW403" s="114"/>
      <c r="EX403" s="114"/>
      <c r="EY403" s="114"/>
      <c r="EZ403" s="114"/>
      <c r="FA403" s="114"/>
      <c r="FB403" s="114"/>
      <c r="FC403" s="114"/>
      <c r="FD403" s="114"/>
      <c r="FE403" s="114"/>
      <c r="FF403" s="114"/>
      <c r="FG403" s="114"/>
      <c r="FH403" s="114"/>
      <c r="FI403" s="114"/>
      <c r="FJ403" s="114"/>
      <c r="FK403" s="114"/>
      <c r="FL403" s="114"/>
      <c r="FM403" s="114"/>
      <c r="FN403" s="114"/>
      <c r="FO403" s="114"/>
      <c r="FP403" s="114"/>
      <c r="FQ403" s="114"/>
      <c r="FR403" s="114"/>
      <c r="FS403" s="114"/>
      <c r="FT403" s="114"/>
      <c r="FU403" s="114"/>
      <c r="FV403" s="114"/>
      <c r="FW403" s="114"/>
      <c r="FX403" s="114"/>
      <c r="FY403" s="114"/>
      <c r="FZ403" s="114"/>
      <c r="GA403" s="114"/>
      <c r="GB403" s="114"/>
      <c r="GC403" s="114"/>
      <c r="GD403" s="114"/>
      <c r="GE403" s="114"/>
      <c r="GF403" s="114"/>
      <c r="GG403" s="114"/>
      <c r="GH403" s="114"/>
      <c r="GI403" s="114"/>
      <c r="GJ403" s="114"/>
      <c r="GK403" s="114"/>
      <c r="GL403" s="114"/>
      <c r="GM403" s="114"/>
      <c r="GN403" s="114"/>
      <c r="GO403" s="114"/>
      <c r="GP403" s="114"/>
      <c r="GQ403" s="114"/>
      <c r="GR403" s="114"/>
      <c r="GS403" s="114"/>
      <c r="GT403" s="114"/>
      <c r="GU403" s="114"/>
      <c r="GV403" s="114"/>
      <c r="GW403" s="114"/>
      <c r="GX403" s="114"/>
      <c r="GY403" s="114"/>
      <c r="GZ403" s="114"/>
      <c r="HA403" s="114"/>
      <c r="HB403" s="114"/>
      <c r="HC403" s="114"/>
      <c r="HD403" s="114"/>
      <c r="HE403" s="114"/>
      <c r="HF403" s="114"/>
      <c r="HG403" s="114"/>
      <c r="HH403" s="114"/>
      <c r="HI403" s="114"/>
      <c r="HJ403" s="114"/>
      <c r="HK403" s="114"/>
      <c r="HL403" s="114"/>
      <c r="HM403" s="114"/>
      <c r="HN403" s="114"/>
      <c r="HO403" s="114"/>
      <c r="HP403" s="114"/>
      <c r="HQ403" s="114"/>
      <c r="HR403" s="114"/>
      <c r="HS403" s="114"/>
      <c r="HT403" s="114"/>
      <c r="HU403" s="114"/>
      <c r="HV403" s="114"/>
      <c r="HW403" s="114"/>
      <c r="HX403" s="114"/>
      <c r="HY403" s="114"/>
      <c r="HZ403" s="114"/>
      <c r="IA403" s="114"/>
      <c r="IB403" s="114"/>
      <c r="IC403" s="114"/>
      <c r="ID403" s="114"/>
      <c r="IE403" s="114"/>
      <c r="IF403" s="114"/>
      <c r="IG403" s="114"/>
      <c r="IH403" s="114"/>
      <c r="II403" s="114"/>
      <c r="IJ403" s="114"/>
      <c r="IK403" s="114"/>
      <c r="IL403" s="114"/>
      <c r="IM403" s="114"/>
      <c r="IN403" s="114"/>
      <c r="IO403" s="114"/>
      <c r="IP403" s="114"/>
      <c r="IQ403" s="114"/>
      <c r="IR403" s="114"/>
      <c r="IS403" s="114"/>
      <c r="IT403" s="114"/>
      <c r="IU403" s="114"/>
      <c r="IV403" s="114"/>
      <c r="IW403" s="114"/>
      <c r="IX403" s="114"/>
      <c r="IY403" s="114"/>
      <c r="IZ403" s="114"/>
      <c r="JA403" s="114"/>
      <c r="JB403" s="114"/>
      <c r="JC403" s="114"/>
      <c r="JD403" s="114"/>
      <c r="JE403" s="114"/>
      <c r="JF403" s="114"/>
      <c r="JG403" s="114"/>
      <c r="JH403" s="114"/>
      <c r="JI403" s="114"/>
      <c r="JJ403" s="114"/>
      <c r="JK403" s="114"/>
      <c r="JL403" s="114"/>
      <c r="JM403" s="114"/>
      <c r="JN403" s="114"/>
      <c r="JO403" s="114"/>
      <c r="JP403" s="114"/>
      <c r="JQ403" s="114"/>
      <c r="JR403" s="114"/>
      <c r="JS403" s="114"/>
      <c r="JT403" s="114"/>
      <c r="JU403" s="114"/>
      <c r="JV403" s="114"/>
      <c r="JW403" s="114"/>
      <c r="JX403" s="114"/>
      <c r="JY403" s="114"/>
      <c r="JZ403" s="114"/>
      <c r="KA403" s="114"/>
      <c r="KB403" s="114"/>
      <c r="KC403" s="319"/>
      <c r="KD403" s="319"/>
      <c r="KE403" s="319"/>
      <c r="KF403" s="114"/>
      <c r="KG403" s="114"/>
      <c r="KH403" s="114"/>
      <c r="KI403" s="114"/>
      <c r="KJ403" s="114"/>
      <c r="KK403" s="114"/>
      <c r="KL403" s="114"/>
      <c r="KM403" s="114"/>
      <c r="KN403" s="114"/>
      <c r="KO403" s="114"/>
      <c r="KP403" s="114"/>
    </row>
    <row r="404" spans="1:302">
      <c r="A404">
        <v>222</v>
      </c>
      <c r="B404" t="s">
        <v>468</v>
      </c>
      <c r="C404" s="372" t="s">
        <v>945</v>
      </c>
      <c r="D404" s="28" t="s">
        <v>656</v>
      </c>
      <c r="E404" s="27" t="s">
        <v>657</v>
      </c>
      <c r="F404" s="5" t="s">
        <v>2182</v>
      </c>
      <c r="G404" s="27" t="s">
        <v>90</v>
      </c>
      <c r="I404" s="27" t="s">
        <v>94</v>
      </c>
      <c r="J404" s="28">
        <v>21591</v>
      </c>
      <c r="K404" s="27" t="s">
        <v>97</v>
      </c>
      <c r="L404" s="114"/>
      <c r="M404" s="114"/>
      <c r="N404" s="28"/>
      <c r="O404" s="28"/>
      <c r="P404" s="28"/>
      <c r="Q404" s="380" t="s">
        <v>1036</v>
      </c>
      <c r="R404" s="380" t="s">
        <v>1831</v>
      </c>
      <c r="S404" s="27"/>
      <c r="T404" s="27"/>
      <c r="U404" s="27"/>
      <c r="W404" s="372"/>
      <c r="X404" s="372"/>
      <c r="Y404" s="372"/>
      <c r="Z404" s="372"/>
      <c r="AA404" s="244" t="s">
        <v>944</v>
      </c>
      <c r="AB404" s="201">
        <v>191.3</v>
      </c>
      <c r="AC404" s="118">
        <v>20</v>
      </c>
      <c r="AD404" s="118" t="s">
        <v>24</v>
      </c>
      <c r="AE404" s="119">
        <f t="shared" ref="AE404:AE418" si="392">BA404</f>
        <v>4.1285999999999996</v>
      </c>
      <c r="AF404" s="119"/>
      <c r="AG404" s="119">
        <f t="shared" ref="AG404:AG418" si="393">EU404</f>
        <v>1.1056286549707603</v>
      </c>
      <c r="AH404" s="119">
        <f t="shared" ref="AH404:AH418" si="394">DM404</f>
        <v>0</v>
      </c>
      <c r="AI404" s="119">
        <f t="shared" ref="AI404:AI418" si="395">DO404</f>
        <v>0</v>
      </c>
      <c r="AJ404" s="119">
        <f t="shared" ref="AJ404:AJ418" si="396">GW404</f>
        <v>2.2112573099415209E-2</v>
      </c>
      <c r="AK404" s="119">
        <f t="shared" ref="AK404:AK418" si="397">GU404</f>
        <v>6.5427858187134508E-2</v>
      </c>
      <c r="AL404" s="119">
        <f t="shared" ref="AL404:AL418" si="398">GS404</f>
        <v>0.57576515204678358</v>
      </c>
      <c r="AM404" s="119">
        <f t="shared" ref="AM404:AM418" si="399">HV404</f>
        <v>2.8205128205128206E-2</v>
      </c>
      <c r="AN404" s="119">
        <f t="shared" ref="AN404:AN418" si="400">IG404</f>
        <v>4.6296296296296294E-2</v>
      </c>
      <c r="AO404" s="119">
        <f t="shared" ref="AO404:AO418" si="401">EY404</f>
        <v>0</v>
      </c>
      <c r="AP404" s="119"/>
      <c r="AQ404" s="119">
        <f t="shared" ref="AQ404:AQ418" si="402">SUM(AE404:AO404)</f>
        <v>5.972035662805518</v>
      </c>
      <c r="AR404" s="119">
        <f t="shared" ref="AR404:AR418" si="403">IJ404</f>
        <v>0</v>
      </c>
      <c r="AS404" s="119">
        <f t="shared" ref="AS404:AS418" si="404">EO404</f>
        <v>0</v>
      </c>
      <c r="AT404" s="119">
        <v>0</v>
      </c>
      <c r="AU404" s="119">
        <v>0</v>
      </c>
      <c r="AV404" s="106">
        <f t="shared" ref="AV404:AV418" si="405">AQ404+AT404+AU404+AR404+AS404</f>
        <v>5.972035662805518</v>
      </c>
      <c r="AW404" s="124">
        <v>2.1999999999999999E-2</v>
      </c>
      <c r="AX404" s="124">
        <v>1.7999999999999999E-2</v>
      </c>
      <c r="AY404" s="120">
        <v>1</v>
      </c>
      <c r="AZ404" s="118">
        <f t="shared" ref="AZ404:AZ418" si="406">(AW404-AX404)*AY404</f>
        <v>4.0000000000000001E-3</v>
      </c>
      <c r="BA404" s="118">
        <f t="shared" ref="BA404:BA418" si="407">AW404*AB404-AZ404*AC404</f>
        <v>4.1285999999999996</v>
      </c>
      <c r="BB404" s="118"/>
      <c r="BC404" s="118"/>
      <c r="BD404" s="118"/>
      <c r="BE404" s="118"/>
      <c r="BF404" s="118"/>
      <c r="BG404" s="118"/>
      <c r="BH404" s="118"/>
      <c r="BI404" s="118"/>
      <c r="BJ404" s="118"/>
      <c r="BK404" s="118"/>
      <c r="BL404" s="118"/>
      <c r="BM404" s="118"/>
      <c r="BN404" s="118"/>
      <c r="BO404" s="118"/>
      <c r="BP404" s="118"/>
      <c r="BQ404" s="118"/>
      <c r="BR404" s="118"/>
      <c r="BS404" s="118"/>
      <c r="BT404" s="118"/>
      <c r="BU404" s="118"/>
      <c r="BV404" s="118"/>
      <c r="BW404" s="118"/>
      <c r="BX404" s="118"/>
      <c r="BY404" s="118"/>
      <c r="BZ404" s="118"/>
      <c r="CA404" s="118"/>
      <c r="CB404" s="118"/>
      <c r="CC404" s="118"/>
      <c r="CD404" s="114"/>
      <c r="CE404" s="109">
        <v>0</v>
      </c>
      <c r="CF404" s="109">
        <v>0</v>
      </c>
      <c r="CG404" s="109">
        <v>0</v>
      </c>
      <c r="CH404" s="105">
        <f t="shared" ref="CH404:CH418" si="408">CF404*CG404</f>
        <v>0</v>
      </c>
      <c r="CI404" s="139"/>
      <c r="CJ404" s="105"/>
      <c r="CK404" s="105">
        <v>0</v>
      </c>
      <c r="CL404" s="105">
        <v>0</v>
      </c>
      <c r="CM404" s="105">
        <f>CK404*CL404</f>
        <v>0</v>
      </c>
      <c r="CN404" s="139"/>
      <c r="CO404" s="105"/>
      <c r="CP404" s="105">
        <v>0</v>
      </c>
      <c r="CQ404" s="105">
        <v>0</v>
      </c>
      <c r="CR404" s="105">
        <f>CP404*CQ404</f>
        <v>0</v>
      </c>
      <c r="CS404" s="105"/>
      <c r="CT404" s="105"/>
      <c r="CU404" s="105">
        <v>0</v>
      </c>
      <c r="CV404" s="105">
        <v>0</v>
      </c>
      <c r="CW404" s="105">
        <f>CU404*CV404</f>
        <v>0</v>
      </c>
      <c r="CX404" s="105"/>
      <c r="CY404" s="105"/>
      <c r="CZ404" s="105"/>
      <c r="DA404" s="105"/>
      <c r="DB404" s="105"/>
      <c r="DC404" s="105"/>
      <c r="DD404" s="105"/>
      <c r="DE404" s="105"/>
      <c r="DF404" s="105"/>
      <c r="DG404" s="105"/>
      <c r="DH404" s="105"/>
      <c r="DI404" s="105"/>
      <c r="DJ404" s="105"/>
      <c r="DK404" s="105"/>
      <c r="DL404" s="105"/>
      <c r="DM404" s="109">
        <f t="shared" ref="DM404:DM418" si="409">CH404+CM404+CR404+CW404+DB404+DG404+DL404</f>
        <v>0</v>
      </c>
      <c r="DN404" s="110">
        <v>1.2500000000000001E-2</v>
      </c>
      <c r="DO404" s="109">
        <f t="shared" ref="DO404:DO418" si="410">DM404*DN404</f>
        <v>0</v>
      </c>
      <c r="DP404" s="109">
        <f t="shared" ref="DP404:DP418" si="411">DM404+DO404</f>
        <v>0</v>
      </c>
      <c r="DQ404" s="109"/>
      <c r="DR404" s="109"/>
      <c r="DS404" s="109"/>
      <c r="DT404" s="109"/>
      <c r="DU404" s="109"/>
      <c r="DV404" s="109"/>
      <c r="DW404" s="109"/>
      <c r="DX404" s="109"/>
      <c r="DY404" s="109"/>
      <c r="DZ404" s="109"/>
      <c r="EA404" s="109"/>
      <c r="EB404" s="109"/>
      <c r="EC404" s="109"/>
      <c r="ED404" s="109"/>
      <c r="EE404" s="109"/>
      <c r="EF404" s="105">
        <v>110</v>
      </c>
      <c r="EG404" s="105">
        <v>1100</v>
      </c>
      <c r="EH404" s="105">
        <v>8</v>
      </c>
      <c r="EI404" s="120">
        <v>0.95</v>
      </c>
      <c r="EJ404" s="105">
        <v>2</v>
      </c>
      <c r="EK404" s="105">
        <v>55</v>
      </c>
      <c r="EL404" s="111">
        <f t="shared" ref="EL404:EL418" si="412">3600/EK404*EH404*EJ404*EI404</f>
        <v>994.90909090909088</v>
      </c>
      <c r="EM404" s="114"/>
      <c r="EN404" s="114"/>
      <c r="EO404" s="114"/>
      <c r="EP404" s="114"/>
      <c r="EQ404" s="114"/>
      <c r="ER404" s="114"/>
      <c r="ES404" s="114"/>
      <c r="ET404" s="114"/>
      <c r="EU404" s="109">
        <f t="shared" ref="EU404:EU418" si="413">EG404/EL404+EM404+EX404+EP404+EQ404+ER404</f>
        <v>1.1056286549707603</v>
      </c>
      <c r="EV404" s="109"/>
      <c r="EW404" s="109"/>
      <c r="EX404" s="114"/>
      <c r="EY404" s="114"/>
      <c r="EZ404" s="114"/>
      <c r="FA404" s="114"/>
      <c r="FB404" s="114"/>
      <c r="FC404" s="114"/>
      <c r="FD404" s="114"/>
      <c r="FE404" s="114"/>
      <c r="FF404" s="114"/>
      <c r="FG404" s="114"/>
      <c r="FH404" s="114"/>
      <c r="FI404" s="114"/>
      <c r="FJ404" s="114"/>
      <c r="FK404" s="114"/>
      <c r="FL404" s="114"/>
      <c r="FM404" s="114"/>
      <c r="FN404" s="114"/>
      <c r="FO404" s="114"/>
      <c r="FP404" s="114"/>
      <c r="FQ404" s="114"/>
      <c r="FR404" s="114"/>
      <c r="FS404" s="114"/>
      <c r="FT404" s="114"/>
      <c r="FU404" s="114"/>
      <c r="FV404" s="114"/>
      <c r="FW404" s="114"/>
      <c r="FX404" s="114"/>
      <c r="FY404" s="114"/>
      <c r="FZ404" s="114"/>
      <c r="GA404" s="114"/>
      <c r="GB404" s="114"/>
      <c r="GC404" s="114"/>
      <c r="GD404" s="114"/>
      <c r="GE404" s="114"/>
      <c r="GF404" s="114"/>
      <c r="GG404" s="114"/>
      <c r="GH404" s="114"/>
      <c r="GI404" s="114"/>
      <c r="GJ404" s="114"/>
      <c r="GK404" s="114"/>
      <c r="GL404" s="114"/>
      <c r="GM404" s="114"/>
      <c r="GN404" s="114"/>
      <c r="GO404" s="114"/>
      <c r="GP404" s="114"/>
      <c r="GQ404" s="114"/>
      <c r="GR404" s="120">
        <v>0.11</v>
      </c>
      <c r="GS404" s="118">
        <f t="shared" ref="GS404:GS418" si="414">GR404*(BA404+EU404)</f>
        <v>0.57576515204678358</v>
      </c>
      <c r="GT404" s="125">
        <v>1.2500000000000001E-2</v>
      </c>
      <c r="GU404" s="118">
        <f t="shared" ref="GU404:GU418" si="415">GT404*(EU404+BA404)</f>
        <v>6.5427858187134508E-2</v>
      </c>
      <c r="GV404" s="120">
        <v>0.02</v>
      </c>
      <c r="GW404" s="118">
        <f t="shared" ref="GW404:GW418" si="416">GV404*(EU404-EP404-EQ404)</f>
        <v>2.2112573099415209E-2</v>
      </c>
      <c r="GX404" s="118">
        <f t="shared" ref="GX404:GX418" si="417">GS404+GU404+GW404</f>
        <v>0.66330558333333323</v>
      </c>
      <c r="GY404" s="105" t="s">
        <v>43</v>
      </c>
      <c r="GZ404" s="105" t="s">
        <v>87</v>
      </c>
      <c r="HA404" s="118">
        <v>650</v>
      </c>
      <c r="HB404" s="118">
        <v>450</v>
      </c>
      <c r="HC404" s="105">
        <v>320</v>
      </c>
      <c r="HD404" s="105">
        <v>200</v>
      </c>
      <c r="HE404" s="105">
        <v>650</v>
      </c>
      <c r="HF404" s="118">
        <f t="shared" ref="HF404:HF418" si="418">ROUNDUP(HE404/HD404,0)</f>
        <v>4</v>
      </c>
      <c r="HG404" s="105">
        <v>5</v>
      </c>
      <c r="HH404" s="118">
        <f t="shared" ref="HH404:HH418" si="419">HF404*HG404</f>
        <v>20</v>
      </c>
      <c r="HI404" s="105">
        <v>550</v>
      </c>
      <c r="HJ404" s="118">
        <f t="shared" ref="HJ404:HJ418" si="420">HH404*HI404</f>
        <v>11000</v>
      </c>
      <c r="HK404" s="114"/>
      <c r="HL404" s="114"/>
      <c r="HM404" s="118">
        <v>2</v>
      </c>
      <c r="HN404" s="126">
        <f t="shared" ref="HN404:HN418" si="421">HM404*12*25*HE404</f>
        <v>390000</v>
      </c>
      <c r="HO404" s="118">
        <f t="shared" ref="HO404:HO418" si="422">IF(GY404="carton box",HI404/HD404,HJ404/HN404)</f>
        <v>2.8205128205128206E-2</v>
      </c>
      <c r="HP404" s="118">
        <v>160</v>
      </c>
      <c r="HQ404" s="114">
        <v>0</v>
      </c>
      <c r="HR404" s="118">
        <v>0</v>
      </c>
      <c r="HS404" s="118">
        <v>0</v>
      </c>
      <c r="HT404" s="118">
        <f t="shared" ref="HT404:HT418" si="423">IF(ISERROR(HR404/HS404),0,HR404/HS404)</f>
        <v>0</v>
      </c>
      <c r="HU404" s="118"/>
      <c r="HV404" s="118">
        <f t="shared" ref="HV404:HV418" si="424">HO404+HT404</f>
        <v>2.8205128205128206E-2</v>
      </c>
      <c r="HW404" s="118"/>
      <c r="HX404" s="118">
        <v>2917</v>
      </c>
      <c r="HY404" s="118">
        <v>1689</v>
      </c>
      <c r="HZ404" s="118">
        <v>1842</v>
      </c>
      <c r="IA404" s="118">
        <f t="shared" ref="IA404:IA418" si="425">ROUNDDOWN(HX404/HA404,0)</f>
        <v>4</v>
      </c>
      <c r="IB404" s="118">
        <f t="shared" ref="IB404:IB418" si="426">ROUNDDOWN(HY404/HB404,0)</f>
        <v>3</v>
      </c>
      <c r="IC404" s="118">
        <f t="shared" ref="IC404:IC418" si="427">ROUNDDOWN(HZ404/HC404,0)</f>
        <v>5</v>
      </c>
      <c r="ID404" s="108">
        <v>0.9</v>
      </c>
      <c r="IE404" s="279">
        <f>PRODUCT(IA404:ID404)</f>
        <v>54</v>
      </c>
      <c r="IF404" s="118">
        <v>500</v>
      </c>
      <c r="IG404" s="109">
        <f t="shared" ref="IG404:IG418" si="428">IF404/(IE404*HD404)</f>
        <v>4.6296296296296294E-2</v>
      </c>
      <c r="IH404" s="109"/>
      <c r="II404" s="114"/>
      <c r="IJ404" s="114"/>
      <c r="IK404" s="114"/>
      <c r="IL404" s="114"/>
      <c r="IM404" s="114"/>
      <c r="IN404" s="114"/>
      <c r="IO404" s="114"/>
      <c r="IP404" s="114"/>
      <c r="IQ404" s="114"/>
      <c r="IR404" s="114"/>
      <c r="IS404" s="114"/>
      <c r="IT404" s="114"/>
      <c r="IU404" s="114"/>
      <c r="IV404" s="114"/>
      <c r="IW404" s="114"/>
      <c r="IX404" s="114"/>
      <c r="IY404" s="114"/>
      <c r="IZ404" s="114"/>
      <c r="JA404" s="114"/>
      <c r="JB404" s="114"/>
      <c r="JC404" s="114"/>
      <c r="JD404" s="114"/>
      <c r="JE404" s="114"/>
      <c r="JF404" s="114"/>
      <c r="JG404" s="114"/>
      <c r="JH404" s="114"/>
      <c r="JI404" s="114"/>
      <c r="JJ404" s="114"/>
      <c r="JK404" s="114"/>
      <c r="JL404" s="114"/>
      <c r="JM404" s="114"/>
      <c r="JN404" s="114"/>
      <c r="JO404" s="114"/>
      <c r="JP404" s="114"/>
      <c r="JQ404" s="114"/>
      <c r="JR404" s="114"/>
      <c r="JS404" s="114"/>
      <c r="JT404" s="114"/>
      <c r="JU404" s="114"/>
      <c r="JV404" s="114"/>
      <c r="JW404" s="114"/>
      <c r="JX404" s="114"/>
      <c r="JY404" s="114"/>
      <c r="JZ404" s="114"/>
      <c r="KA404" s="114"/>
      <c r="KB404" s="114"/>
      <c r="KC404" s="319"/>
      <c r="KD404" s="319"/>
      <c r="KE404" s="319"/>
      <c r="KF404" s="114"/>
      <c r="KG404" s="114"/>
      <c r="KH404" s="114"/>
      <c r="KI404" s="114"/>
      <c r="KJ404" s="114"/>
      <c r="KK404" s="114"/>
      <c r="KL404" s="114"/>
      <c r="KM404" s="114"/>
      <c r="KN404" s="114"/>
      <c r="KO404" s="114"/>
      <c r="KP404" s="114"/>
    </row>
    <row r="405" spans="1:302">
      <c r="A405">
        <v>223</v>
      </c>
      <c r="B405" t="s">
        <v>468</v>
      </c>
      <c r="C405" s="372" t="s">
        <v>921</v>
      </c>
      <c r="D405" s="28" t="s">
        <v>658</v>
      </c>
      <c r="E405" s="27" t="s">
        <v>659</v>
      </c>
      <c r="F405" s="5" t="s">
        <v>2182</v>
      </c>
      <c r="G405" s="27" t="s">
        <v>90</v>
      </c>
      <c r="I405" s="27" t="s">
        <v>121</v>
      </c>
      <c r="J405" s="28">
        <v>21480</v>
      </c>
      <c r="K405" s="27" t="s">
        <v>97</v>
      </c>
      <c r="N405" s="28"/>
      <c r="O405" s="28"/>
      <c r="P405" s="28"/>
      <c r="Q405" s="380" t="s">
        <v>1036</v>
      </c>
      <c r="R405" s="380" t="s">
        <v>1831</v>
      </c>
      <c r="S405" s="27"/>
      <c r="T405" s="27"/>
      <c r="U405" s="27"/>
      <c r="W405" s="372"/>
      <c r="X405" s="372"/>
      <c r="Y405" s="372"/>
      <c r="Z405" s="372"/>
      <c r="AA405" s="244" t="s">
        <v>920</v>
      </c>
      <c r="AB405" s="201">
        <v>120.85</v>
      </c>
      <c r="AC405" s="118">
        <f>AB405-5</f>
        <v>115.85</v>
      </c>
      <c r="AD405" s="118"/>
      <c r="AE405" s="119">
        <f t="shared" si="392"/>
        <v>5.8158000000000003</v>
      </c>
      <c r="AF405" s="119"/>
      <c r="AG405" s="119">
        <f t="shared" si="393"/>
        <v>3.5179093567251463</v>
      </c>
      <c r="AH405" s="119">
        <f t="shared" si="394"/>
        <v>0</v>
      </c>
      <c r="AI405" s="119">
        <f t="shared" si="395"/>
        <v>0</v>
      </c>
      <c r="AJ405" s="119">
        <f t="shared" si="396"/>
        <v>7.0358187134502925E-2</v>
      </c>
      <c r="AK405" s="119">
        <f t="shared" si="397"/>
        <v>0.11667136695906433</v>
      </c>
      <c r="AL405" s="119">
        <f t="shared" si="398"/>
        <v>1.0267080292397661</v>
      </c>
      <c r="AM405" s="119">
        <f t="shared" si="399"/>
        <v>9.166666666666666E-2</v>
      </c>
      <c r="AN405" s="119">
        <f t="shared" si="400"/>
        <v>7.3099415204678359E-2</v>
      </c>
      <c r="AO405" s="119">
        <f t="shared" si="401"/>
        <v>0</v>
      </c>
      <c r="AP405" s="119"/>
      <c r="AQ405" s="119">
        <f t="shared" si="402"/>
        <v>10.712213021929823</v>
      </c>
      <c r="AR405" s="119">
        <f t="shared" si="403"/>
        <v>0</v>
      </c>
      <c r="AS405" s="119">
        <f t="shared" si="404"/>
        <v>0</v>
      </c>
      <c r="AT405" s="119">
        <v>0</v>
      </c>
      <c r="AU405" s="119">
        <v>0</v>
      </c>
      <c r="AV405" s="106">
        <f t="shared" si="405"/>
        <v>10.712213021929823</v>
      </c>
      <c r="AW405" s="124">
        <v>5.0999999999999997E-2</v>
      </c>
      <c r="AX405" s="124">
        <v>4.8000000000000001E-2</v>
      </c>
      <c r="AY405" s="120">
        <v>1</v>
      </c>
      <c r="AZ405" s="118">
        <f t="shared" si="406"/>
        <v>2.9999999999999957E-3</v>
      </c>
      <c r="BA405" s="118">
        <f t="shared" si="407"/>
        <v>5.8158000000000003</v>
      </c>
      <c r="BB405" s="118"/>
      <c r="BC405" s="118"/>
      <c r="BD405" s="118"/>
      <c r="BE405" s="118"/>
      <c r="BF405" s="118"/>
      <c r="BG405" s="118"/>
      <c r="BH405" s="118"/>
      <c r="BI405" s="118"/>
      <c r="BJ405" s="118"/>
      <c r="BK405" s="118"/>
      <c r="BL405" s="118"/>
      <c r="BM405" s="118"/>
      <c r="BN405" s="118"/>
      <c r="BO405" s="118"/>
      <c r="BP405" s="118"/>
      <c r="BQ405" s="118"/>
      <c r="BR405" s="118"/>
      <c r="BS405" s="118"/>
      <c r="BT405" s="118"/>
      <c r="BU405" s="118"/>
      <c r="BV405" s="118"/>
      <c r="BW405" s="118"/>
      <c r="BX405" s="118"/>
      <c r="BY405" s="118"/>
      <c r="BZ405" s="118"/>
      <c r="CA405" s="118"/>
      <c r="CB405" s="118"/>
      <c r="CC405" s="118"/>
      <c r="CD405" s="114"/>
      <c r="CE405" s="109">
        <v>0</v>
      </c>
      <c r="CF405" s="109">
        <v>0</v>
      </c>
      <c r="CG405" s="109">
        <v>0</v>
      </c>
      <c r="CH405" s="105">
        <f t="shared" si="408"/>
        <v>0</v>
      </c>
      <c r="CI405" s="139"/>
      <c r="CJ405" s="105"/>
      <c r="CK405" s="105">
        <v>0</v>
      </c>
      <c r="CL405" s="105">
        <v>0</v>
      </c>
      <c r="CM405" s="105">
        <f>CK405*CL405</f>
        <v>0</v>
      </c>
      <c r="CN405" s="139"/>
      <c r="CO405" s="105"/>
      <c r="CP405" s="105">
        <v>0</v>
      </c>
      <c r="CQ405" s="105">
        <v>0</v>
      </c>
      <c r="CR405" s="105">
        <f>CP405*CQ405</f>
        <v>0</v>
      </c>
      <c r="CS405" s="105"/>
      <c r="CT405" s="105"/>
      <c r="CU405" s="105">
        <v>0</v>
      </c>
      <c r="CV405" s="105">
        <v>0</v>
      </c>
      <c r="CW405" s="105">
        <f>CU405*CV405</f>
        <v>0</v>
      </c>
      <c r="CX405" s="105"/>
      <c r="CY405" s="105"/>
      <c r="CZ405" s="105"/>
      <c r="DA405" s="105"/>
      <c r="DB405" s="105"/>
      <c r="DC405" s="105"/>
      <c r="DD405" s="105"/>
      <c r="DE405" s="105"/>
      <c r="DF405" s="105"/>
      <c r="DG405" s="105"/>
      <c r="DH405" s="105"/>
      <c r="DI405" s="105"/>
      <c r="DJ405" s="105"/>
      <c r="DK405" s="105"/>
      <c r="DL405" s="105"/>
      <c r="DM405" s="109">
        <f t="shared" si="409"/>
        <v>0</v>
      </c>
      <c r="DN405" s="110">
        <v>1.2500000000000001E-2</v>
      </c>
      <c r="DO405" s="109">
        <f t="shared" si="410"/>
        <v>0</v>
      </c>
      <c r="DP405" s="109">
        <f t="shared" si="411"/>
        <v>0</v>
      </c>
      <c r="DQ405" s="109"/>
      <c r="DR405" s="109"/>
      <c r="DS405" s="109"/>
      <c r="DT405" s="109"/>
      <c r="DU405" s="109"/>
      <c r="DV405" s="109"/>
      <c r="DW405" s="109"/>
      <c r="DX405" s="109"/>
      <c r="DY405" s="109"/>
      <c r="DZ405" s="109"/>
      <c r="EA405" s="109"/>
      <c r="EB405" s="109"/>
      <c r="EC405" s="109"/>
      <c r="ED405" s="109"/>
      <c r="EE405" s="109"/>
      <c r="EF405" s="105">
        <v>350</v>
      </c>
      <c r="EG405" s="105">
        <v>3500</v>
      </c>
      <c r="EH405" s="105">
        <v>8</v>
      </c>
      <c r="EI405" s="120">
        <v>0.95</v>
      </c>
      <c r="EJ405" s="105">
        <v>2</v>
      </c>
      <c r="EK405" s="105">
        <v>55</v>
      </c>
      <c r="EL405" s="111">
        <f t="shared" si="412"/>
        <v>994.90909090909088</v>
      </c>
      <c r="EM405" s="114"/>
      <c r="EN405" s="114"/>
      <c r="EO405" s="114"/>
      <c r="EP405" s="114"/>
      <c r="EQ405" s="114"/>
      <c r="ER405" s="114"/>
      <c r="ES405" s="114"/>
      <c r="ET405" s="114"/>
      <c r="EU405" s="109">
        <f t="shared" si="413"/>
        <v>3.5179093567251463</v>
      </c>
      <c r="EV405" s="109"/>
      <c r="EW405" s="109"/>
      <c r="EX405" s="114"/>
      <c r="EY405" s="114"/>
      <c r="EZ405" s="114"/>
      <c r="FA405" s="114"/>
      <c r="FB405" s="114"/>
      <c r="FC405" s="114"/>
      <c r="FD405" s="114"/>
      <c r="FE405" s="114"/>
      <c r="FF405" s="114"/>
      <c r="FG405" s="114"/>
      <c r="FH405" s="114"/>
      <c r="FI405" s="114"/>
      <c r="FJ405" s="114"/>
      <c r="FK405" s="114"/>
      <c r="FL405" s="114"/>
      <c r="FM405" s="114"/>
      <c r="FN405" s="114"/>
      <c r="FO405" s="114"/>
      <c r="FP405" s="114"/>
      <c r="FQ405" s="114"/>
      <c r="FR405" s="114"/>
      <c r="FS405" s="114"/>
      <c r="FT405" s="114"/>
      <c r="FU405" s="114"/>
      <c r="FV405" s="114"/>
      <c r="FW405" s="114"/>
      <c r="FX405" s="114"/>
      <c r="FY405" s="114"/>
      <c r="FZ405" s="114"/>
      <c r="GA405" s="114"/>
      <c r="GB405" s="114"/>
      <c r="GC405" s="114"/>
      <c r="GD405" s="114"/>
      <c r="GE405" s="114"/>
      <c r="GF405" s="114"/>
      <c r="GG405" s="114"/>
      <c r="GH405" s="114"/>
      <c r="GI405" s="114"/>
      <c r="GJ405" s="114"/>
      <c r="GK405" s="114"/>
      <c r="GL405" s="114"/>
      <c r="GM405" s="114"/>
      <c r="GN405" s="114"/>
      <c r="GO405" s="114"/>
      <c r="GP405" s="114"/>
      <c r="GQ405" s="114"/>
      <c r="GR405" s="120">
        <v>0.11</v>
      </c>
      <c r="GS405" s="118">
        <f t="shared" si="414"/>
        <v>1.0267080292397661</v>
      </c>
      <c r="GT405" s="125">
        <v>1.2500000000000001E-2</v>
      </c>
      <c r="GU405" s="118">
        <f t="shared" si="415"/>
        <v>0.11667136695906433</v>
      </c>
      <c r="GV405" s="120">
        <v>0.02</v>
      </c>
      <c r="GW405" s="118">
        <f t="shared" si="416"/>
        <v>7.0358187134502925E-2</v>
      </c>
      <c r="GX405" s="118">
        <f t="shared" si="417"/>
        <v>1.2137375833333335</v>
      </c>
      <c r="GY405" s="105" t="s">
        <v>43</v>
      </c>
      <c r="GZ405" s="105" t="s">
        <v>87</v>
      </c>
      <c r="HA405" s="118">
        <v>810</v>
      </c>
      <c r="HB405" s="118">
        <v>570</v>
      </c>
      <c r="HC405" s="105">
        <v>425</v>
      </c>
      <c r="HD405" s="105">
        <v>120</v>
      </c>
      <c r="HE405" s="105">
        <v>400</v>
      </c>
      <c r="HF405" s="118">
        <f t="shared" si="418"/>
        <v>4</v>
      </c>
      <c r="HG405" s="105">
        <v>5</v>
      </c>
      <c r="HH405" s="118">
        <f t="shared" si="419"/>
        <v>20</v>
      </c>
      <c r="HI405" s="105">
        <v>1100</v>
      </c>
      <c r="HJ405" s="118">
        <f t="shared" si="420"/>
        <v>22000</v>
      </c>
      <c r="HK405" s="114"/>
      <c r="HL405" s="114"/>
      <c r="HM405" s="118">
        <v>2</v>
      </c>
      <c r="HN405" s="126">
        <f t="shared" si="421"/>
        <v>240000</v>
      </c>
      <c r="HO405" s="118">
        <f t="shared" si="422"/>
        <v>9.166666666666666E-2</v>
      </c>
      <c r="HP405" s="118">
        <v>160</v>
      </c>
      <c r="HQ405" s="114">
        <v>0</v>
      </c>
      <c r="HR405" s="118">
        <v>0</v>
      </c>
      <c r="HS405" s="118">
        <v>0</v>
      </c>
      <c r="HT405" s="118">
        <f t="shared" si="423"/>
        <v>0</v>
      </c>
      <c r="HU405" s="118"/>
      <c r="HV405" s="118">
        <f t="shared" si="424"/>
        <v>9.166666666666666E-2</v>
      </c>
      <c r="HW405" s="118"/>
      <c r="HX405" s="118">
        <v>4200</v>
      </c>
      <c r="HY405" s="118">
        <v>1900</v>
      </c>
      <c r="HZ405" s="118">
        <v>1975</v>
      </c>
      <c r="IA405" s="118">
        <f t="shared" si="425"/>
        <v>5</v>
      </c>
      <c r="IB405" s="118">
        <f t="shared" si="426"/>
        <v>3</v>
      </c>
      <c r="IC405" s="118">
        <f t="shared" si="427"/>
        <v>4</v>
      </c>
      <c r="ID405" s="108">
        <v>0.95</v>
      </c>
      <c r="IE405" s="279">
        <f>PRODUCT(IA405:ID405)</f>
        <v>57</v>
      </c>
      <c r="IF405" s="118">
        <v>500</v>
      </c>
      <c r="IG405" s="109">
        <f t="shared" si="428"/>
        <v>7.3099415204678359E-2</v>
      </c>
      <c r="IH405" s="109"/>
      <c r="II405" s="125"/>
      <c r="IJ405" s="118"/>
      <c r="IK405" s="118"/>
      <c r="IL405" s="114"/>
      <c r="IM405" s="114"/>
      <c r="IN405" s="114"/>
      <c r="IO405" s="114"/>
      <c r="IP405" s="114"/>
      <c r="IQ405" s="114"/>
      <c r="IR405" s="114"/>
      <c r="IS405" s="114"/>
      <c r="IT405" s="114"/>
      <c r="IU405" s="114"/>
      <c r="IV405" s="114"/>
      <c r="IW405" s="114"/>
      <c r="IX405" s="114"/>
      <c r="IY405" s="114"/>
      <c r="IZ405" s="114"/>
      <c r="JA405" s="114"/>
      <c r="JB405" s="114"/>
      <c r="JC405" s="114"/>
      <c r="JD405" s="114"/>
      <c r="JE405" s="114"/>
      <c r="JF405" s="114"/>
      <c r="JG405" s="114"/>
      <c r="JH405" s="114"/>
      <c r="JI405" s="114"/>
      <c r="JJ405" s="114"/>
      <c r="JK405" s="114"/>
      <c r="JL405" s="114"/>
      <c r="JM405" s="114"/>
      <c r="JN405" s="114"/>
      <c r="JO405" s="114"/>
      <c r="JP405" s="114"/>
      <c r="JQ405" s="114"/>
      <c r="JR405" s="114"/>
      <c r="JS405" s="114"/>
      <c r="JT405" s="114"/>
      <c r="JU405" s="114"/>
      <c r="JV405" s="114"/>
      <c r="JW405" s="114"/>
      <c r="JX405" s="114"/>
      <c r="JY405" s="114"/>
      <c r="JZ405" s="114"/>
      <c r="KA405" s="114"/>
      <c r="KB405" s="114"/>
      <c r="KC405" s="319"/>
      <c r="KD405" s="319"/>
      <c r="KE405" s="319"/>
      <c r="KF405" s="114"/>
      <c r="KG405" s="114"/>
      <c r="KH405" s="114"/>
      <c r="KI405" s="114"/>
      <c r="KJ405" s="114"/>
      <c r="KK405" s="114"/>
      <c r="KL405" s="114"/>
      <c r="KM405" s="114"/>
      <c r="KN405" s="114"/>
      <c r="KO405" s="114"/>
      <c r="KP405" s="114"/>
    </row>
    <row r="406" spans="1:302">
      <c r="A406">
        <v>224</v>
      </c>
      <c r="B406" t="s">
        <v>468</v>
      </c>
      <c r="C406" s="375" t="s">
        <v>923</v>
      </c>
      <c r="D406" s="28" t="s">
        <v>660</v>
      </c>
      <c r="E406" s="27" t="s">
        <v>156</v>
      </c>
      <c r="F406" s="5" t="s">
        <v>2182</v>
      </c>
      <c r="G406" s="27" t="s">
        <v>90</v>
      </c>
      <c r="I406" s="27" t="s">
        <v>94</v>
      </c>
      <c r="J406" s="28">
        <v>21591</v>
      </c>
      <c r="K406" s="27" t="s">
        <v>97</v>
      </c>
      <c r="N406" s="28"/>
      <c r="O406" s="28"/>
      <c r="P406" s="28"/>
      <c r="Q406" s="28" t="s">
        <v>1843</v>
      </c>
      <c r="R406" s="28" t="s">
        <v>1769</v>
      </c>
      <c r="S406" s="27"/>
      <c r="T406" s="27"/>
      <c r="U406" s="27"/>
      <c r="W406" s="27"/>
      <c r="X406" s="27"/>
      <c r="Y406" s="27"/>
      <c r="Z406" s="27"/>
      <c r="AA406" s="157" t="s">
        <v>922</v>
      </c>
      <c r="AB406" s="57">
        <v>116.34</v>
      </c>
      <c r="AC406" s="4">
        <v>20</v>
      </c>
      <c r="AD406" s="4" t="s">
        <v>285</v>
      </c>
      <c r="AE406" s="7">
        <f t="shared" si="392"/>
        <v>25.571891500000003</v>
      </c>
      <c r="AF406" s="7"/>
      <c r="AG406" s="7">
        <f t="shared" si="393"/>
        <v>7.6754385964912277</v>
      </c>
      <c r="AH406" s="7">
        <f t="shared" si="394"/>
        <v>9</v>
      </c>
      <c r="AI406" s="7">
        <f t="shared" si="395"/>
        <v>0.27</v>
      </c>
      <c r="AJ406" s="7">
        <f t="shared" si="396"/>
        <v>0.15350877192982457</v>
      </c>
      <c r="AK406" s="7">
        <f t="shared" si="397"/>
        <v>0.41559162620614043</v>
      </c>
      <c r="AL406" s="7">
        <f t="shared" si="398"/>
        <v>3.6572063106140358</v>
      </c>
      <c r="AM406" s="7">
        <f t="shared" si="399"/>
        <v>0.11458333333333333</v>
      </c>
      <c r="AN406" s="7">
        <f t="shared" si="400"/>
        <v>0.10416666666666667</v>
      </c>
      <c r="AO406" s="7">
        <f t="shared" si="401"/>
        <v>0</v>
      </c>
      <c r="AP406" s="7"/>
      <c r="AQ406" s="7">
        <f t="shared" si="402"/>
        <v>46.962386805241238</v>
      </c>
      <c r="AR406" s="7">
        <f t="shared" si="403"/>
        <v>0</v>
      </c>
      <c r="AS406" s="7">
        <f t="shared" si="404"/>
        <v>0</v>
      </c>
      <c r="AT406" s="7">
        <v>0</v>
      </c>
      <c r="AU406" s="7">
        <v>0</v>
      </c>
      <c r="AV406" s="42">
        <f t="shared" si="405"/>
        <v>46.962386805241238</v>
      </c>
      <c r="AW406" s="14">
        <v>0.21997500000000003</v>
      </c>
      <c r="AX406" s="14">
        <v>0.21897500000000003</v>
      </c>
      <c r="AY406" s="8">
        <v>1</v>
      </c>
      <c r="AZ406" s="4">
        <f t="shared" si="406"/>
        <v>1.0000000000000009E-3</v>
      </c>
      <c r="BA406" s="4">
        <f t="shared" si="407"/>
        <v>25.571891500000003</v>
      </c>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E406" s="62">
        <v>0</v>
      </c>
      <c r="CF406" s="62">
        <v>5</v>
      </c>
      <c r="CG406" s="62">
        <v>1.8</v>
      </c>
      <c r="CH406" s="59">
        <f t="shared" si="408"/>
        <v>9</v>
      </c>
      <c r="CI406" s="80"/>
      <c r="CJ406" s="59"/>
      <c r="CK406" s="59"/>
      <c r="CL406" s="59"/>
      <c r="CM406" s="59"/>
      <c r="CN406" s="80"/>
      <c r="CO406" s="59"/>
      <c r="CP406" s="59"/>
      <c r="CQ406" s="59"/>
      <c r="CR406" s="59"/>
      <c r="CS406" s="59"/>
      <c r="CT406" s="59"/>
      <c r="CU406" s="59"/>
      <c r="CV406" s="59"/>
      <c r="CW406" s="59"/>
      <c r="CX406" s="59"/>
      <c r="CY406" s="59"/>
      <c r="CZ406" s="59"/>
      <c r="DA406" s="59"/>
      <c r="DB406" s="59"/>
      <c r="DC406" s="59"/>
      <c r="DD406" s="59"/>
      <c r="DE406" s="59"/>
      <c r="DF406" s="59"/>
      <c r="DG406" s="59"/>
      <c r="DH406" s="59"/>
      <c r="DI406" s="59"/>
      <c r="DJ406" s="59"/>
      <c r="DK406" s="59"/>
      <c r="DL406" s="59"/>
      <c r="DM406" s="62">
        <f t="shared" si="409"/>
        <v>9</v>
      </c>
      <c r="DN406" s="64">
        <v>0.03</v>
      </c>
      <c r="DO406" s="62">
        <f t="shared" si="410"/>
        <v>0.27</v>
      </c>
      <c r="DP406" s="62">
        <f t="shared" si="411"/>
        <v>9.27</v>
      </c>
      <c r="DQ406" s="62"/>
      <c r="DR406" s="62"/>
      <c r="DS406" s="62"/>
      <c r="DT406" s="62"/>
      <c r="DU406" s="62"/>
      <c r="DV406" s="62"/>
      <c r="DW406" s="62"/>
      <c r="DX406" s="62"/>
      <c r="DY406" s="62"/>
      <c r="DZ406" s="62"/>
      <c r="EA406" s="62"/>
      <c r="EB406" s="62"/>
      <c r="EC406" s="62"/>
      <c r="ED406" s="62"/>
      <c r="EE406" s="62"/>
      <c r="EF406" s="59">
        <v>350</v>
      </c>
      <c r="EG406" s="59">
        <v>3500</v>
      </c>
      <c r="EH406" s="59">
        <v>8</v>
      </c>
      <c r="EI406" s="8">
        <v>0.95</v>
      </c>
      <c r="EJ406" s="59">
        <v>2</v>
      </c>
      <c r="EK406" s="59">
        <v>120</v>
      </c>
      <c r="EL406" s="65">
        <f t="shared" si="412"/>
        <v>456</v>
      </c>
      <c r="EU406" s="62">
        <f t="shared" si="413"/>
        <v>7.6754385964912277</v>
      </c>
      <c r="EV406" s="62"/>
      <c r="EW406" s="62"/>
      <c r="GR406" s="8">
        <v>0.11</v>
      </c>
      <c r="GS406" s="4">
        <f t="shared" si="414"/>
        <v>3.6572063106140358</v>
      </c>
      <c r="GT406" s="9">
        <v>1.2500000000000001E-2</v>
      </c>
      <c r="GU406" s="4">
        <f t="shared" si="415"/>
        <v>0.41559162620614043</v>
      </c>
      <c r="GV406" s="8">
        <v>0.02</v>
      </c>
      <c r="GW406" s="4">
        <f t="shared" si="416"/>
        <v>0.15350877192982457</v>
      </c>
      <c r="GX406" s="4">
        <f t="shared" si="417"/>
        <v>4.226306708750001</v>
      </c>
      <c r="GY406" s="59" t="s">
        <v>43</v>
      </c>
      <c r="GZ406" s="59" t="s">
        <v>87</v>
      </c>
      <c r="HA406" s="4">
        <v>650</v>
      </c>
      <c r="HB406" s="4">
        <v>450</v>
      </c>
      <c r="HC406" s="59">
        <v>330</v>
      </c>
      <c r="HD406" s="59">
        <v>40</v>
      </c>
      <c r="HE406" s="59">
        <v>400</v>
      </c>
      <c r="HF406" s="4">
        <f t="shared" si="418"/>
        <v>10</v>
      </c>
      <c r="HG406" s="59">
        <v>5</v>
      </c>
      <c r="HH406" s="4">
        <f t="shared" si="419"/>
        <v>50</v>
      </c>
      <c r="HI406" s="59">
        <v>550</v>
      </c>
      <c r="HJ406" s="4">
        <f t="shared" si="420"/>
        <v>27500</v>
      </c>
      <c r="HM406" s="4">
        <v>2</v>
      </c>
      <c r="HN406" s="10">
        <f t="shared" si="421"/>
        <v>240000</v>
      </c>
      <c r="HO406" s="4">
        <f t="shared" si="422"/>
        <v>0.11458333333333333</v>
      </c>
      <c r="HP406" s="4">
        <v>160</v>
      </c>
      <c r="HQ406">
        <v>0</v>
      </c>
      <c r="HR406" s="4">
        <v>0</v>
      </c>
      <c r="HS406" s="4">
        <v>0</v>
      </c>
      <c r="HT406" s="4">
        <f t="shared" si="423"/>
        <v>0</v>
      </c>
      <c r="HU406" s="4"/>
      <c r="HV406" s="4">
        <f t="shared" si="424"/>
        <v>0.11458333333333333</v>
      </c>
      <c r="HW406" s="4"/>
      <c r="HX406" s="4">
        <v>4200</v>
      </c>
      <c r="HY406" s="4">
        <v>1900</v>
      </c>
      <c r="HZ406" s="4">
        <v>1975</v>
      </c>
      <c r="IA406" s="4">
        <f t="shared" si="425"/>
        <v>6</v>
      </c>
      <c r="IB406" s="4">
        <f t="shared" si="426"/>
        <v>4</v>
      </c>
      <c r="IC406" s="4">
        <f t="shared" si="427"/>
        <v>5</v>
      </c>
      <c r="ID406" s="61">
        <v>1</v>
      </c>
      <c r="IE406" s="161">
        <f>PRODUCT(IA406:ID406)</f>
        <v>120</v>
      </c>
      <c r="IF406" s="4">
        <v>500</v>
      </c>
      <c r="IG406" s="62">
        <f t="shared" si="428"/>
        <v>0.10416666666666667</v>
      </c>
      <c r="IH406" s="62"/>
      <c r="II406" s="9"/>
    </row>
    <row r="407" spans="1:302">
      <c r="A407">
        <v>225</v>
      </c>
      <c r="B407" t="s">
        <v>468</v>
      </c>
      <c r="C407" s="372" t="s">
        <v>924</v>
      </c>
      <c r="D407" s="28" t="s">
        <v>661</v>
      </c>
      <c r="E407" s="27" t="s">
        <v>158</v>
      </c>
      <c r="F407" s="5" t="s">
        <v>2182</v>
      </c>
      <c r="G407" s="27" t="s">
        <v>90</v>
      </c>
      <c r="I407" s="27" t="s">
        <v>94</v>
      </c>
      <c r="J407" s="28">
        <v>21591</v>
      </c>
      <c r="K407" s="27" t="s">
        <v>97</v>
      </c>
      <c r="N407" s="28"/>
      <c r="O407" s="28"/>
      <c r="P407" s="28"/>
      <c r="Q407" s="380" t="s">
        <v>1843</v>
      </c>
      <c r="R407" s="380" t="s">
        <v>1769</v>
      </c>
      <c r="S407" s="27"/>
      <c r="T407" s="27"/>
      <c r="U407" s="27"/>
      <c r="W407" s="27"/>
      <c r="X407" s="27"/>
      <c r="Y407" s="27"/>
      <c r="Z407" s="27"/>
      <c r="AA407" s="244" t="s">
        <v>925</v>
      </c>
      <c r="AB407" s="201">
        <v>116.34</v>
      </c>
      <c r="AC407" s="118">
        <v>20</v>
      </c>
      <c r="AD407" s="118" t="s">
        <v>285</v>
      </c>
      <c r="AE407" s="119">
        <f t="shared" si="392"/>
        <v>4.7499400000000005</v>
      </c>
      <c r="AF407" s="119"/>
      <c r="AG407" s="119">
        <f t="shared" si="393"/>
        <v>1.2335526315789473</v>
      </c>
      <c r="AH407" s="119">
        <f t="shared" si="394"/>
        <v>0</v>
      </c>
      <c r="AI407" s="119">
        <f t="shared" si="395"/>
        <v>0</v>
      </c>
      <c r="AJ407" s="119">
        <f t="shared" si="396"/>
        <v>2.4671052631578948E-2</v>
      </c>
      <c r="AK407" s="119">
        <f t="shared" si="397"/>
        <v>7.479365789473684E-2</v>
      </c>
      <c r="AL407" s="119">
        <f t="shared" si="398"/>
        <v>0.65818418947368418</v>
      </c>
      <c r="AM407" s="119">
        <f t="shared" si="399"/>
        <v>2.2916666666666665E-2</v>
      </c>
      <c r="AN407" s="119">
        <f t="shared" si="400"/>
        <v>1.3888888888888888E-2</v>
      </c>
      <c r="AO407" s="119">
        <f t="shared" si="401"/>
        <v>0</v>
      </c>
      <c r="AP407" s="119"/>
      <c r="AQ407" s="119">
        <f t="shared" si="402"/>
        <v>6.7779470871345024</v>
      </c>
      <c r="AR407" s="119">
        <f t="shared" si="403"/>
        <v>0</v>
      </c>
      <c r="AS407" s="119">
        <f t="shared" si="404"/>
        <v>0</v>
      </c>
      <c r="AT407" s="119">
        <v>0</v>
      </c>
      <c r="AU407" s="119">
        <v>0</v>
      </c>
      <c r="AV407" s="106">
        <f t="shared" si="405"/>
        <v>6.7779470871345024</v>
      </c>
      <c r="AW407" s="124">
        <v>4.1000000000000002E-2</v>
      </c>
      <c r="AX407" s="124">
        <v>0.04</v>
      </c>
      <c r="AY407" s="120">
        <v>1</v>
      </c>
      <c r="AZ407" s="118">
        <f t="shared" si="406"/>
        <v>1.0000000000000009E-3</v>
      </c>
      <c r="BA407" s="118">
        <f t="shared" si="407"/>
        <v>4.7499400000000005</v>
      </c>
      <c r="BB407" s="118"/>
      <c r="BC407" s="118"/>
      <c r="BD407" s="118"/>
      <c r="BE407" s="118"/>
      <c r="BF407" s="118"/>
      <c r="BG407" s="118"/>
      <c r="BH407" s="118"/>
      <c r="BI407" s="118"/>
      <c r="BJ407" s="118"/>
      <c r="BK407" s="118"/>
      <c r="BL407" s="118"/>
      <c r="BM407" s="118"/>
      <c r="BN407" s="118"/>
      <c r="BO407" s="118"/>
      <c r="BP407" s="118"/>
      <c r="BQ407" s="118"/>
      <c r="BR407" s="118"/>
      <c r="BS407" s="118"/>
      <c r="BT407" s="118"/>
      <c r="BU407" s="118"/>
      <c r="BV407" s="118"/>
      <c r="BW407" s="118"/>
      <c r="BX407" s="118"/>
      <c r="BY407" s="118"/>
      <c r="BZ407" s="118"/>
      <c r="CA407" s="118"/>
      <c r="CB407" s="118"/>
      <c r="CC407" s="118"/>
      <c r="CD407" s="114"/>
      <c r="CE407" s="109">
        <v>0</v>
      </c>
      <c r="CF407" s="109">
        <v>0</v>
      </c>
      <c r="CG407" s="109">
        <v>0</v>
      </c>
      <c r="CH407" s="105">
        <f t="shared" si="408"/>
        <v>0</v>
      </c>
      <c r="CI407" s="139"/>
      <c r="CJ407" s="105"/>
      <c r="CK407" s="105">
        <v>0</v>
      </c>
      <c r="CL407" s="105">
        <v>0</v>
      </c>
      <c r="CM407" s="105">
        <f t="shared" ref="CM407:CM413" si="429">CK407*CL407</f>
        <v>0</v>
      </c>
      <c r="CN407" s="139"/>
      <c r="CO407" s="105"/>
      <c r="CP407" s="105">
        <v>0</v>
      </c>
      <c r="CQ407" s="105">
        <v>0</v>
      </c>
      <c r="CR407" s="105">
        <f t="shared" ref="CR407:CR413" si="430">CP407*CQ407</f>
        <v>0</v>
      </c>
      <c r="CS407" s="105"/>
      <c r="CT407" s="105"/>
      <c r="CU407" s="105">
        <v>0</v>
      </c>
      <c r="CV407" s="105">
        <v>0</v>
      </c>
      <c r="CW407" s="105">
        <f t="shared" ref="CW407:CW413" si="431">CU407*CV407</f>
        <v>0</v>
      </c>
      <c r="CX407" s="105"/>
      <c r="CY407" s="105"/>
      <c r="CZ407" s="105"/>
      <c r="DA407" s="105"/>
      <c r="DB407" s="105"/>
      <c r="DC407" s="105"/>
      <c r="DD407" s="105"/>
      <c r="DE407" s="105"/>
      <c r="DF407" s="105"/>
      <c r="DG407" s="105"/>
      <c r="DH407" s="105"/>
      <c r="DI407" s="105"/>
      <c r="DJ407" s="105"/>
      <c r="DK407" s="105"/>
      <c r="DL407" s="105"/>
      <c r="DM407" s="109">
        <f t="shared" si="409"/>
        <v>0</v>
      </c>
      <c r="DN407" s="110">
        <v>1.2500000000000001E-2</v>
      </c>
      <c r="DO407" s="109">
        <f t="shared" si="410"/>
        <v>0</v>
      </c>
      <c r="DP407" s="109">
        <f t="shared" si="411"/>
        <v>0</v>
      </c>
      <c r="DQ407" s="109"/>
      <c r="DR407" s="109"/>
      <c r="DS407" s="109"/>
      <c r="DT407" s="109"/>
      <c r="DU407" s="109"/>
      <c r="DV407" s="109"/>
      <c r="DW407" s="109"/>
      <c r="DX407" s="109"/>
      <c r="DY407" s="109"/>
      <c r="DZ407" s="109"/>
      <c r="EA407" s="109"/>
      <c r="EB407" s="109"/>
      <c r="EC407" s="109"/>
      <c r="ED407" s="109"/>
      <c r="EE407" s="109"/>
      <c r="EF407" s="105">
        <v>150</v>
      </c>
      <c r="EG407" s="105">
        <v>1500</v>
      </c>
      <c r="EH407" s="105">
        <v>8</v>
      </c>
      <c r="EI407" s="120">
        <v>0.95</v>
      </c>
      <c r="EJ407" s="105">
        <v>2</v>
      </c>
      <c r="EK407" s="105">
        <v>45</v>
      </c>
      <c r="EL407" s="111">
        <f t="shared" si="412"/>
        <v>1216</v>
      </c>
      <c r="EM407" s="114"/>
      <c r="EN407" s="114"/>
      <c r="EO407" s="114"/>
      <c r="EP407" s="114"/>
      <c r="EQ407" s="114"/>
      <c r="ER407" s="114"/>
      <c r="ES407" s="114"/>
      <c r="ET407" s="114"/>
      <c r="EU407" s="109">
        <f t="shared" si="413"/>
        <v>1.2335526315789473</v>
      </c>
      <c r="EV407" s="109"/>
      <c r="EW407" s="109"/>
      <c r="EX407" s="114"/>
      <c r="EY407" s="114"/>
      <c r="EZ407" s="114"/>
      <c r="FA407" s="114"/>
      <c r="FB407" s="114"/>
      <c r="FC407" s="114"/>
      <c r="FD407" s="114"/>
      <c r="FE407" s="114"/>
      <c r="FF407" s="114"/>
      <c r="FG407" s="114"/>
      <c r="FH407" s="114"/>
      <c r="FI407" s="114"/>
      <c r="FJ407" s="114"/>
      <c r="FK407" s="114"/>
      <c r="FL407" s="114"/>
      <c r="FM407" s="114"/>
      <c r="FN407" s="114"/>
      <c r="FO407" s="114"/>
      <c r="FP407" s="114"/>
      <c r="FQ407" s="114"/>
      <c r="FR407" s="114"/>
      <c r="FS407" s="114"/>
      <c r="FT407" s="114"/>
      <c r="FU407" s="114"/>
      <c r="FV407" s="114"/>
      <c r="FW407" s="114"/>
      <c r="FX407" s="114"/>
      <c r="FY407" s="114"/>
      <c r="FZ407" s="114"/>
      <c r="GA407" s="114"/>
      <c r="GB407" s="114"/>
      <c r="GC407" s="114"/>
      <c r="GD407" s="114"/>
      <c r="GE407" s="114"/>
      <c r="GF407" s="114"/>
      <c r="GG407" s="114"/>
      <c r="GH407" s="114"/>
      <c r="GI407" s="114"/>
      <c r="GJ407" s="114"/>
      <c r="GK407" s="114"/>
      <c r="GL407" s="114"/>
      <c r="GM407" s="114"/>
      <c r="GN407" s="114"/>
      <c r="GO407" s="114"/>
      <c r="GP407" s="114"/>
      <c r="GQ407" s="114"/>
      <c r="GR407" s="120">
        <v>0.11</v>
      </c>
      <c r="GS407" s="118">
        <f t="shared" si="414"/>
        <v>0.65818418947368418</v>
      </c>
      <c r="GT407" s="125">
        <v>1.2500000000000001E-2</v>
      </c>
      <c r="GU407" s="118">
        <f t="shared" si="415"/>
        <v>7.479365789473684E-2</v>
      </c>
      <c r="GV407" s="120">
        <v>0.02</v>
      </c>
      <c r="GW407" s="118">
        <f t="shared" si="416"/>
        <v>2.4671052631578948E-2</v>
      </c>
      <c r="GX407" s="118">
        <f t="shared" si="417"/>
        <v>0.75764889999999996</v>
      </c>
      <c r="GY407" s="105" t="s">
        <v>43</v>
      </c>
      <c r="GZ407" s="105" t="s">
        <v>87</v>
      </c>
      <c r="HA407" s="118">
        <v>650</v>
      </c>
      <c r="HB407" s="118">
        <v>450</v>
      </c>
      <c r="HC407" s="105">
        <v>330</v>
      </c>
      <c r="HD407" s="105">
        <v>300</v>
      </c>
      <c r="HE407" s="105">
        <v>400</v>
      </c>
      <c r="HF407" s="118">
        <f t="shared" si="418"/>
        <v>2</v>
      </c>
      <c r="HG407" s="105">
        <v>5</v>
      </c>
      <c r="HH407" s="118">
        <f t="shared" si="419"/>
        <v>10</v>
      </c>
      <c r="HI407" s="105">
        <v>550</v>
      </c>
      <c r="HJ407" s="118">
        <f t="shared" si="420"/>
        <v>5500</v>
      </c>
      <c r="HK407" s="114"/>
      <c r="HL407" s="114"/>
      <c r="HM407" s="118">
        <v>2</v>
      </c>
      <c r="HN407" s="126">
        <f t="shared" si="421"/>
        <v>240000</v>
      </c>
      <c r="HO407" s="118">
        <f t="shared" si="422"/>
        <v>2.2916666666666665E-2</v>
      </c>
      <c r="HP407" s="118">
        <v>160</v>
      </c>
      <c r="HQ407" s="114">
        <v>0</v>
      </c>
      <c r="HR407" s="118">
        <v>0</v>
      </c>
      <c r="HS407" s="118">
        <v>0</v>
      </c>
      <c r="HT407" s="118">
        <f t="shared" si="423"/>
        <v>0</v>
      </c>
      <c r="HU407" s="118"/>
      <c r="HV407" s="118">
        <f t="shared" si="424"/>
        <v>2.2916666666666665E-2</v>
      </c>
      <c r="HW407" s="118"/>
      <c r="HX407" s="118">
        <v>4200</v>
      </c>
      <c r="HY407" s="118">
        <v>1900</v>
      </c>
      <c r="HZ407" s="118">
        <v>1975</v>
      </c>
      <c r="IA407" s="118">
        <f t="shared" si="425"/>
        <v>6</v>
      </c>
      <c r="IB407" s="118">
        <f t="shared" si="426"/>
        <v>4</v>
      </c>
      <c r="IC407" s="118">
        <f t="shared" si="427"/>
        <v>5</v>
      </c>
      <c r="ID407" s="108">
        <v>1</v>
      </c>
      <c r="IE407" s="279">
        <f>PRODUCT(IA407:ID407)</f>
        <v>120</v>
      </c>
      <c r="IF407" s="118">
        <v>500</v>
      </c>
      <c r="IG407" s="109">
        <f t="shared" si="428"/>
        <v>1.3888888888888888E-2</v>
      </c>
      <c r="IH407" s="62"/>
    </row>
    <row r="408" spans="1:302" ht="25.5">
      <c r="A408">
        <v>226</v>
      </c>
      <c r="B408" t="s">
        <v>468</v>
      </c>
      <c r="C408" s="378" t="s">
        <v>927</v>
      </c>
      <c r="D408" s="28" t="s">
        <v>662</v>
      </c>
      <c r="E408" s="27" t="s">
        <v>118</v>
      </c>
      <c r="F408" s="5" t="s">
        <v>2182</v>
      </c>
      <c r="G408" s="27" t="s">
        <v>90</v>
      </c>
      <c r="I408" s="27" t="s">
        <v>121</v>
      </c>
      <c r="J408" s="28">
        <v>21480</v>
      </c>
      <c r="K408" s="27" t="s">
        <v>97</v>
      </c>
      <c r="N408" s="28"/>
      <c r="O408" s="28"/>
      <c r="P408" s="28"/>
      <c r="Q408" s="28" t="s">
        <v>1039</v>
      </c>
      <c r="R408" s="28" t="s">
        <v>1037</v>
      </c>
      <c r="S408" s="27"/>
      <c r="T408" s="27"/>
      <c r="U408" s="27"/>
      <c r="W408" s="162" t="s">
        <v>948</v>
      </c>
      <c r="X408" s="162"/>
      <c r="Y408" s="162"/>
      <c r="Z408" s="162"/>
      <c r="AA408" s="157" t="s">
        <v>926</v>
      </c>
      <c r="AB408" s="57">
        <v>92.72</v>
      </c>
      <c r="AC408" s="4">
        <v>20</v>
      </c>
      <c r="AD408" s="4" t="s">
        <v>280</v>
      </c>
      <c r="AE408" s="7">
        <f t="shared" si="392"/>
        <v>0.46178000000000002</v>
      </c>
      <c r="AF408" s="7"/>
      <c r="AG408" s="7">
        <f t="shared" si="393"/>
        <v>0.37006578947368424</v>
      </c>
      <c r="AH408" s="7">
        <f t="shared" si="394"/>
        <v>0</v>
      </c>
      <c r="AI408" s="7">
        <f t="shared" si="395"/>
        <v>0</v>
      </c>
      <c r="AJ408" s="7">
        <f t="shared" si="396"/>
        <v>7.4013157894736847E-3</v>
      </c>
      <c r="AK408" s="7">
        <f t="shared" si="397"/>
        <v>1.0398072368421054E-2</v>
      </c>
      <c r="AL408" s="7">
        <f t="shared" si="398"/>
        <v>9.150303684210527E-2</v>
      </c>
      <c r="AM408" s="7">
        <f t="shared" si="399"/>
        <v>4.5178571428571429E-2</v>
      </c>
      <c r="AN408" s="7">
        <f t="shared" si="400"/>
        <v>6.1728395061728392E-3</v>
      </c>
      <c r="AO408" s="7">
        <f t="shared" si="401"/>
        <v>0</v>
      </c>
      <c r="AP408" s="7"/>
      <c r="AQ408" s="7">
        <f t="shared" si="402"/>
        <v>0.99249962540842851</v>
      </c>
      <c r="AR408" s="7">
        <f t="shared" si="403"/>
        <v>0</v>
      </c>
      <c r="AS408" s="7">
        <f t="shared" si="404"/>
        <v>0</v>
      </c>
      <c r="AT408" s="7">
        <v>0</v>
      </c>
      <c r="AU408" s="7">
        <f>1.02-0.99</f>
        <v>3.0000000000000027E-2</v>
      </c>
      <c r="AV408" s="42">
        <f t="shared" si="405"/>
        <v>1.0224996254084284</v>
      </c>
      <c r="AW408" s="14">
        <v>5.2500000000000003E-3</v>
      </c>
      <c r="AX408" s="14">
        <v>4.0000000000000001E-3</v>
      </c>
      <c r="AY408" s="8">
        <v>1</v>
      </c>
      <c r="AZ408" s="4">
        <f t="shared" si="406"/>
        <v>1.2500000000000002E-3</v>
      </c>
      <c r="BA408" s="4">
        <f t="shared" si="407"/>
        <v>0.46178000000000002</v>
      </c>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E408" s="62">
        <v>0</v>
      </c>
      <c r="CF408" s="62">
        <v>0</v>
      </c>
      <c r="CG408" s="62">
        <v>0</v>
      </c>
      <c r="CH408" s="59">
        <f t="shared" si="408"/>
        <v>0</v>
      </c>
      <c r="CI408" s="80"/>
      <c r="CJ408" s="59"/>
      <c r="CK408" s="59">
        <v>0</v>
      </c>
      <c r="CL408" s="59">
        <v>0</v>
      </c>
      <c r="CM408" s="59">
        <f t="shared" si="429"/>
        <v>0</v>
      </c>
      <c r="CN408" s="80"/>
      <c r="CO408" s="59"/>
      <c r="CP408" s="59">
        <v>0</v>
      </c>
      <c r="CQ408" s="59">
        <v>0</v>
      </c>
      <c r="CR408" s="59">
        <f t="shared" si="430"/>
        <v>0</v>
      </c>
      <c r="CS408" s="59"/>
      <c r="CT408" s="59"/>
      <c r="CU408" s="59">
        <v>0</v>
      </c>
      <c r="CV408" s="59">
        <v>0</v>
      </c>
      <c r="CW408" s="59">
        <f t="shared" si="431"/>
        <v>0</v>
      </c>
      <c r="CX408" s="59"/>
      <c r="CY408" s="59"/>
      <c r="CZ408" s="59"/>
      <c r="DA408" s="59"/>
      <c r="DB408" s="59"/>
      <c r="DC408" s="59"/>
      <c r="DD408" s="59"/>
      <c r="DE408" s="59"/>
      <c r="DF408" s="59"/>
      <c r="DG408" s="59"/>
      <c r="DH408" s="59"/>
      <c r="DI408" s="59"/>
      <c r="DJ408" s="59"/>
      <c r="DK408" s="59"/>
      <c r="DL408" s="59"/>
      <c r="DM408" s="62">
        <f t="shared" si="409"/>
        <v>0</v>
      </c>
      <c r="DN408" s="64">
        <v>1.2500000000000001E-2</v>
      </c>
      <c r="DO408" s="62">
        <f t="shared" si="410"/>
        <v>0</v>
      </c>
      <c r="DP408" s="62">
        <f t="shared" si="411"/>
        <v>0</v>
      </c>
      <c r="DQ408" s="62"/>
      <c r="DR408" s="62"/>
      <c r="DS408" s="62"/>
      <c r="DT408" s="62"/>
      <c r="DU408" s="62"/>
      <c r="DV408" s="62"/>
      <c r="DW408" s="62"/>
      <c r="DX408" s="62"/>
      <c r="DY408" s="62"/>
      <c r="DZ408" s="62"/>
      <c r="EA408" s="62"/>
      <c r="EB408" s="62"/>
      <c r="EC408" s="62"/>
      <c r="ED408" s="62"/>
      <c r="EE408" s="62"/>
      <c r="EF408" s="59">
        <v>90</v>
      </c>
      <c r="EG408" s="59">
        <v>900</v>
      </c>
      <c r="EH408" s="59">
        <v>8</v>
      </c>
      <c r="EI408" s="8">
        <v>0.95</v>
      </c>
      <c r="EJ408" s="59">
        <v>4</v>
      </c>
      <c r="EK408" s="59">
        <v>45</v>
      </c>
      <c r="EL408" s="65">
        <f t="shared" si="412"/>
        <v>2432</v>
      </c>
      <c r="EU408" s="62">
        <f t="shared" si="413"/>
        <v>0.37006578947368424</v>
      </c>
      <c r="EV408" s="62"/>
      <c r="EW408" s="62"/>
      <c r="GR408" s="8">
        <v>0.11</v>
      </c>
      <c r="GS408" s="4">
        <f t="shared" si="414"/>
        <v>9.150303684210527E-2</v>
      </c>
      <c r="GT408" s="9">
        <v>1.2500000000000001E-2</v>
      </c>
      <c r="GU408" s="4">
        <f t="shared" si="415"/>
        <v>1.0398072368421054E-2</v>
      </c>
      <c r="GV408" s="8">
        <v>0.02</v>
      </c>
      <c r="GW408" s="4">
        <f t="shared" si="416"/>
        <v>7.4013157894736847E-3</v>
      </c>
      <c r="GX408" s="4">
        <f t="shared" si="417"/>
        <v>0.10930242500000001</v>
      </c>
      <c r="GY408" s="59" t="s">
        <v>130</v>
      </c>
      <c r="GZ408" s="59" t="s">
        <v>130</v>
      </c>
      <c r="HA408" s="4">
        <v>450</v>
      </c>
      <c r="HB408" s="4">
        <v>320</v>
      </c>
      <c r="HC408" s="59">
        <v>220</v>
      </c>
      <c r="HD408" s="59">
        <v>500</v>
      </c>
      <c r="HE408" s="59">
        <v>5600</v>
      </c>
      <c r="HF408" s="4">
        <f t="shared" si="418"/>
        <v>12</v>
      </c>
      <c r="HG408" s="59">
        <v>5</v>
      </c>
      <c r="HH408" s="4">
        <f t="shared" si="419"/>
        <v>60</v>
      </c>
      <c r="HI408" s="59">
        <v>850</v>
      </c>
      <c r="HJ408" s="4">
        <f t="shared" si="420"/>
        <v>51000</v>
      </c>
      <c r="HM408" s="4">
        <v>2</v>
      </c>
      <c r="HN408" s="10">
        <f t="shared" si="421"/>
        <v>3360000</v>
      </c>
      <c r="HO408" s="4">
        <f t="shared" si="422"/>
        <v>1.5178571428571428E-2</v>
      </c>
      <c r="HP408" s="4">
        <v>160</v>
      </c>
      <c r="HQ408">
        <v>0</v>
      </c>
      <c r="HR408" s="4">
        <v>0.03</v>
      </c>
      <c r="HS408" s="4">
        <v>1</v>
      </c>
      <c r="HT408" s="4">
        <f t="shared" si="423"/>
        <v>0.03</v>
      </c>
      <c r="HU408" s="4"/>
      <c r="HV408" s="4">
        <f t="shared" si="424"/>
        <v>4.5178571428571429E-2</v>
      </c>
      <c r="HW408" s="4"/>
      <c r="HX408" s="4">
        <v>4200</v>
      </c>
      <c r="HY408" s="4">
        <v>1900</v>
      </c>
      <c r="HZ408" s="4">
        <v>1975</v>
      </c>
      <c r="IA408" s="4">
        <f t="shared" si="425"/>
        <v>9</v>
      </c>
      <c r="IB408" s="4">
        <f t="shared" si="426"/>
        <v>5</v>
      </c>
      <c r="IC408" s="4">
        <f t="shared" si="427"/>
        <v>8</v>
      </c>
      <c r="ID408" s="61">
        <v>0.9</v>
      </c>
      <c r="IE408" s="161">
        <f>PRODUCT(IA408:ID408)/2</f>
        <v>162</v>
      </c>
      <c r="IF408" s="4">
        <v>500</v>
      </c>
      <c r="IG408" s="62">
        <f t="shared" si="428"/>
        <v>6.1728395061728392E-3</v>
      </c>
      <c r="IH408" s="62"/>
      <c r="II408" s="9"/>
      <c r="IJ408" s="4"/>
      <c r="IK408" s="4"/>
    </row>
    <row r="409" spans="1:302">
      <c r="A409">
        <v>228</v>
      </c>
      <c r="B409" t="s">
        <v>468</v>
      </c>
      <c r="C409" s="372" t="s">
        <v>928</v>
      </c>
      <c r="D409" s="28" t="s">
        <v>663</v>
      </c>
      <c r="E409" s="27" t="s">
        <v>664</v>
      </c>
      <c r="F409" s="5" t="s">
        <v>2182</v>
      </c>
      <c r="G409" s="27" t="s">
        <v>90</v>
      </c>
      <c r="I409" s="27" t="s">
        <v>94</v>
      </c>
      <c r="J409" s="28">
        <v>21591</v>
      </c>
      <c r="K409" s="27" t="s">
        <v>97</v>
      </c>
      <c r="N409" s="28"/>
      <c r="O409" s="28"/>
      <c r="P409" s="28"/>
      <c r="Q409" s="380" t="s">
        <v>1036</v>
      </c>
      <c r="R409" s="380" t="s">
        <v>1769</v>
      </c>
      <c r="S409" s="372"/>
      <c r="T409" s="372"/>
      <c r="U409" s="372"/>
      <c r="V409" s="319"/>
      <c r="W409" s="372"/>
      <c r="X409" s="372"/>
      <c r="Y409" s="372"/>
      <c r="Z409" s="372"/>
      <c r="AA409" s="244" t="s">
        <v>929</v>
      </c>
      <c r="AB409" s="201">
        <v>87</v>
      </c>
      <c r="AC409" s="118">
        <f>AB409-5</f>
        <v>82</v>
      </c>
      <c r="AD409" s="118"/>
      <c r="AE409" s="119">
        <f t="shared" si="392"/>
        <v>22.192499999999999</v>
      </c>
      <c r="AF409" s="119"/>
      <c r="AG409" s="119">
        <f t="shared" si="393"/>
        <v>10.690789473684211</v>
      </c>
      <c r="AH409" s="119">
        <f t="shared" si="394"/>
        <v>2.65</v>
      </c>
      <c r="AI409" s="119">
        <f t="shared" si="395"/>
        <v>7.9500000000000001E-2</v>
      </c>
      <c r="AJ409" s="119">
        <f t="shared" si="396"/>
        <v>0.21381578947368421</v>
      </c>
      <c r="AK409" s="119">
        <f t="shared" si="397"/>
        <v>0.41104111842105262</v>
      </c>
      <c r="AL409" s="119">
        <f t="shared" si="398"/>
        <v>3.6171618421052627</v>
      </c>
      <c r="AM409" s="119">
        <f t="shared" si="399"/>
        <v>0.13177083333333334</v>
      </c>
      <c r="AN409" s="119">
        <f t="shared" si="400"/>
        <v>0.23148148148148148</v>
      </c>
      <c r="AO409" s="119">
        <f t="shared" si="401"/>
        <v>0</v>
      </c>
      <c r="AP409" s="119"/>
      <c r="AQ409" s="119">
        <f t="shared" si="402"/>
        <v>40.218060538499024</v>
      </c>
      <c r="AR409" s="119">
        <f t="shared" si="403"/>
        <v>0</v>
      </c>
      <c r="AS409" s="119">
        <f t="shared" si="404"/>
        <v>0</v>
      </c>
      <c r="AT409" s="119">
        <v>0</v>
      </c>
      <c r="AU409" s="119">
        <v>0</v>
      </c>
      <c r="AV409" s="106">
        <f t="shared" si="405"/>
        <v>40.218060538499024</v>
      </c>
      <c r="AW409" s="124">
        <v>0.25650000000000001</v>
      </c>
      <c r="AX409" s="124">
        <v>0.255</v>
      </c>
      <c r="AY409" s="120">
        <v>1</v>
      </c>
      <c r="AZ409" s="118">
        <f t="shared" si="406"/>
        <v>1.5000000000000013E-3</v>
      </c>
      <c r="BA409" s="118">
        <f t="shared" si="407"/>
        <v>22.192499999999999</v>
      </c>
      <c r="BB409" s="118"/>
      <c r="BC409" s="118"/>
      <c r="BD409" s="118"/>
      <c r="BE409" s="118"/>
      <c r="BF409" s="118"/>
      <c r="BG409" s="118"/>
      <c r="BH409" s="118"/>
      <c r="BI409" s="118"/>
      <c r="BJ409" s="118"/>
      <c r="BK409" s="118"/>
      <c r="BL409" s="118"/>
      <c r="BM409" s="118"/>
      <c r="BN409" s="118"/>
      <c r="BO409" s="118"/>
      <c r="BP409" s="118"/>
      <c r="BQ409" s="118"/>
      <c r="BR409" s="118"/>
      <c r="BS409" s="118"/>
      <c r="BT409" s="118"/>
      <c r="BU409" s="118"/>
      <c r="BV409" s="118"/>
      <c r="BW409" s="118"/>
      <c r="BX409" s="118"/>
      <c r="BY409" s="118"/>
      <c r="BZ409" s="118"/>
      <c r="CA409" s="118"/>
      <c r="CB409" s="118"/>
      <c r="CC409" s="118"/>
      <c r="CD409" s="114"/>
      <c r="CE409" s="109">
        <v>0</v>
      </c>
      <c r="CF409" s="109">
        <v>1</v>
      </c>
      <c r="CG409" s="109">
        <v>2.65</v>
      </c>
      <c r="CH409" s="105">
        <f t="shared" si="408"/>
        <v>2.65</v>
      </c>
      <c r="CI409" s="139"/>
      <c r="CJ409" s="105"/>
      <c r="CK409" s="105">
        <v>0</v>
      </c>
      <c r="CL409" s="105">
        <v>0</v>
      </c>
      <c r="CM409" s="105">
        <f t="shared" si="429"/>
        <v>0</v>
      </c>
      <c r="CN409" s="139"/>
      <c r="CO409" s="105"/>
      <c r="CP409" s="105">
        <v>0</v>
      </c>
      <c r="CQ409" s="105">
        <v>0</v>
      </c>
      <c r="CR409" s="105">
        <f t="shared" si="430"/>
        <v>0</v>
      </c>
      <c r="CS409" s="105"/>
      <c r="CT409" s="105"/>
      <c r="CU409" s="105">
        <v>0</v>
      </c>
      <c r="CV409" s="105">
        <v>0</v>
      </c>
      <c r="CW409" s="105">
        <f t="shared" si="431"/>
        <v>0</v>
      </c>
      <c r="CX409" s="105"/>
      <c r="CY409" s="105"/>
      <c r="CZ409" s="105"/>
      <c r="DA409" s="105"/>
      <c r="DB409" s="105"/>
      <c r="DC409" s="105"/>
      <c r="DD409" s="105"/>
      <c r="DE409" s="105"/>
      <c r="DF409" s="105"/>
      <c r="DG409" s="105"/>
      <c r="DH409" s="105"/>
      <c r="DI409" s="105"/>
      <c r="DJ409" s="105"/>
      <c r="DK409" s="105"/>
      <c r="DL409" s="105"/>
      <c r="DM409" s="109">
        <f t="shared" si="409"/>
        <v>2.65</v>
      </c>
      <c r="DN409" s="110">
        <v>0.03</v>
      </c>
      <c r="DO409" s="109">
        <f t="shared" si="410"/>
        <v>7.9500000000000001E-2</v>
      </c>
      <c r="DP409" s="109">
        <f t="shared" si="411"/>
        <v>2.7294999999999998</v>
      </c>
      <c r="DQ409" s="109"/>
      <c r="DR409" s="109"/>
      <c r="DS409" s="109"/>
      <c r="DT409" s="109"/>
      <c r="DU409" s="109"/>
      <c r="DV409" s="109"/>
      <c r="DW409" s="109"/>
      <c r="DX409" s="109"/>
      <c r="DY409" s="109"/>
      <c r="DZ409" s="109"/>
      <c r="EA409" s="109"/>
      <c r="EB409" s="109"/>
      <c r="EC409" s="109"/>
      <c r="ED409" s="109"/>
      <c r="EE409" s="109"/>
      <c r="EF409" s="105">
        <v>450</v>
      </c>
      <c r="EG409" s="105">
        <v>4500</v>
      </c>
      <c r="EH409" s="105">
        <v>8</v>
      </c>
      <c r="EI409" s="120">
        <v>0.95</v>
      </c>
      <c r="EJ409" s="105">
        <v>1</v>
      </c>
      <c r="EK409" s="105">
        <v>65</v>
      </c>
      <c r="EL409" s="111">
        <f t="shared" si="412"/>
        <v>420.92307692307691</v>
      </c>
      <c r="EM409" s="114"/>
      <c r="EN409" s="114"/>
      <c r="EO409" s="114"/>
      <c r="EP409" s="114"/>
      <c r="EQ409" s="114"/>
      <c r="ER409" s="114"/>
      <c r="ES409" s="114"/>
      <c r="ET409" s="114"/>
      <c r="EU409" s="109">
        <f t="shared" si="413"/>
        <v>10.690789473684211</v>
      </c>
      <c r="EV409" s="109"/>
      <c r="EW409" s="109"/>
      <c r="EX409" s="114"/>
      <c r="EY409" s="114"/>
      <c r="EZ409" s="114"/>
      <c r="FA409" s="114"/>
      <c r="FB409" s="114"/>
      <c r="FC409" s="114"/>
      <c r="FD409" s="114"/>
      <c r="FE409" s="114"/>
      <c r="FF409" s="114"/>
      <c r="FG409" s="114"/>
      <c r="FH409" s="114"/>
      <c r="FI409" s="114"/>
      <c r="FJ409" s="114"/>
      <c r="FK409" s="114"/>
      <c r="FL409" s="114"/>
      <c r="FM409" s="114"/>
      <c r="FN409" s="114"/>
      <c r="FO409" s="114"/>
      <c r="FP409" s="114"/>
      <c r="FQ409" s="114"/>
      <c r="FR409" s="114"/>
      <c r="FS409" s="114"/>
      <c r="FT409" s="114"/>
      <c r="FU409" s="114"/>
      <c r="FV409" s="114"/>
      <c r="FW409" s="114"/>
      <c r="FX409" s="114"/>
      <c r="FY409" s="114"/>
      <c r="FZ409" s="114"/>
      <c r="GA409" s="114"/>
      <c r="GB409" s="114"/>
      <c r="GC409" s="114"/>
      <c r="GD409" s="114"/>
      <c r="GE409" s="114"/>
      <c r="GF409" s="114"/>
      <c r="GG409" s="114"/>
      <c r="GH409" s="114"/>
      <c r="GI409" s="114"/>
      <c r="GJ409" s="114"/>
      <c r="GK409" s="114"/>
      <c r="GL409" s="114"/>
      <c r="GM409" s="114"/>
      <c r="GN409" s="114"/>
      <c r="GO409" s="114"/>
      <c r="GP409" s="114"/>
      <c r="GQ409" s="114"/>
      <c r="GR409" s="120">
        <v>0.11</v>
      </c>
      <c r="GS409" s="118">
        <f t="shared" si="414"/>
        <v>3.6171618421052627</v>
      </c>
      <c r="GT409" s="125">
        <v>1.2500000000000001E-2</v>
      </c>
      <c r="GU409" s="118">
        <f t="shared" si="415"/>
        <v>0.41104111842105262</v>
      </c>
      <c r="GV409" s="120">
        <v>0.02</v>
      </c>
      <c r="GW409" s="118">
        <f t="shared" si="416"/>
        <v>0.21381578947368421</v>
      </c>
      <c r="GX409" s="118">
        <f t="shared" si="417"/>
        <v>4.2420187499999997</v>
      </c>
      <c r="GY409" s="105" t="s">
        <v>130</v>
      </c>
      <c r="GZ409" s="105" t="s">
        <v>130</v>
      </c>
      <c r="HA409" s="118">
        <v>650</v>
      </c>
      <c r="HB409" s="118">
        <v>450</v>
      </c>
      <c r="HC409" s="105">
        <v>315</v>
      </c>
      <c r="HD409" s="105">
        <v>36</v>
      </c>
      <c r="HE409" s="105">
        <v>800</v>
      </c>
      <c r="HF409" s="118">
        <f t="shared" si="418"/>
        <v>23</v>
      </c>
      <c r="HG409" s="105">
        <v>5</v>
      </c>
      <c r="HH409" s="118">
        <f t="shared" si="419"/>
        <v>115</v>
      </c>
      <c r="HI409" s="105">
        <v>550</v>
      </c>
      <c r="HJ409" s="118">
        <f t="shared" si="420"/>
        <v>63250</v>
      </c>
      <c r="HK409" s="114"/>
      <c r="HL409" s="114"/>
      <c r="HM409" s="118">
        <v>2</v>
      </c>
      <c r="HN409" s="126">
        <f t="shared" si="421"/>
        <v>480000</v>
      </c>
      <c r="HO409" s="118">
        <f t="shared" si="422"/>
        <v>0.13177083333333334</v>
      </c>
      <c r="HP409" s="118">
        <v>160</v>
      </c>
      <c r="HQ409" s="114">
        <v>0</v>
      </c>
      <c r="HR409" s="118">
        <v>0</v>
      </c>
      <c r="HS409" s="118">
        <v>0</v>
      </c>
      <c r="HT409" s="118">
        <f t="shared" si="423"/>
        <v>0</v>
      </c>
      <c r="HU409" s="118"/>
      <c r="HV409" s="118">
        <f t="shared" si="424"/>
        <v>0.13177083333333334</v>
      </c>
      <c r="HW409" s="118"/>
      <c r="HX409" s="118">
        <v>2916</v>
      </c>
      <c r="HY409" s="118">
        <v>1688</v>
      </c>
      <c r="HZ409" s="118">
        <v>1842</v>
      </c>
      <c r="IA409" s="118">
        <f t="shared" si="425"/>
        <v>4</v>
      </c>
      <c r="IB409" s="118">
        <f t="shared" si="426"/>
        <v>3</v>
      </c>
      <c r="IC409" s="118">
        <f t="shared" si="427"/>
        <v>5</v>
      </c>
      <c r="ID409" s="108">
        <v>1</v>
      </c>
      <c r="IE409" s="279">
        <f>PRODUCT(IA409:ID409)</f>
        <v>60</v>
      </c>
      <c r="IF409" s="118">
        <v>500</v>
      </c>
      <c r="IG409" s="109">
        <f t="shared" si="428"/>
        <v>0.23148148148148148</v>
      </c>
      <c r="IH409" s="62"/>
      <c r="II409" s="9"/>
      <c r="IJ409" s="4"/>
      <c r="IK409" s="4"/>
    </row>
    <row r="410" spans="1:302">
      <c r="A410">
        <v>229</v>
      </c>
      <c r="B410" t="s">
        <v>468</v>
      </c>
      <c r="C410" s="27" t="s">
        <v>930</v>
      </c>
      <c r="D410" s="28" t="s">
        <v>665</v>
      </c>
      <c r="E410" s="27" t="s">
        <v>666</v>
      </c>
      <c r="F410" s="5" t="s">
        <v>2182</v>
      </c>
      <c r="G410" s="27" t="s">
        <v>90</v>
      </c>
      <c r="I410" s="27" t="s">
        <v>121</v>
      </c>
      <c r="J410" s="28">
        <v>21480</v>
      </c>
      <c r="K410" s="27" t="s">
        <v>97</v>
      </c>
      <c r="N410" s="28"/>
      <c r="O410" s="28"/>
      <c r="P410" s="28"/>
      <c r="Q410" s="28" t="s">
        <v>1033</v>
      </c>
      <c r="R410" s="28" t="s">
        <v>1831</v>
      </c>
      <c r="S410" s="27"/>
      <c r="T410" s="27"/>
      <c r="U410" s="27"/>
      <c r="W410" s="27"/>
      <c r="X410" s="27"/>
      <c r="Y410" s="27"/>
      <c r="Z410" s="27"/>
      <c r="AA410" s="157" t="s">
        <v>511</v>
      </c>
      <c r="AB410" s="57">
        <v>75.88</v>
      </c>
      <c r="AC410" s="4">
        <v>20</v>
      </c>
      <c r="AD410" s="4"/>
      <c r="AE410" s="7">
        <f t="shared" si="392"/>
        <v>0.77467999999999992</v>
      </c>
      <c r="AF410" s="7"/>
      <c r="AG410" s="7">
        <f t="shared" si="393"/>
        <v>0.74013157894736847</v>
      </c>
      <c r="AH410" s="7">
        <f t="shared" si="394"/>
        <v>0</v>
      </c>
      <c r="AI410" s="7">
        <f t="shared" si="395"/>
        <v>0</v>
      </c>
      <c r="AJ410" s="7">
        <f t="shared" si="396"/>
        <v>1.4802631578947369E-2</v>
      </c>
      <c r="AK410" s="7">
        <f t="shared" si="397"/>
        <v>1.8935144736842106E-2</v>
      </c>
      <c r="AL410" s="7">
        <f t="shared" si="398"/>
        <v>0.16662927368421052</v>
      </c>
      <c r="AM410" s="7">
        <f t="shared" si="399"/>
        <v>1.4166666666666666E-2</v>
      </c>
      <c r="AN410" s="7">
        <f t="shared" si="400"/>
        <v>9.765625E-3</v>
      </c>
      <c r="AO410" s="7">
        <f t="shared" si="401"/>
        <v>0</v>
      </c>
      <c r="AP410" s="7"/>
      <c r="AQ410" s="7">
        <f t="shared" si="402"/>
        <v>1.7391109206140352</v>
      </c>
      <c r="AR410" s="7">
        <f t="shared" si="403"/>
        <v>0</v>
      </c>
      <c r="AS410" s="7">
        <f t="shared" si="404"/>
        <v>0</v>
      </c>
      <c r="AT410" s="7">
        <v>0</v>
      </c>
      <c r="AU410" s="7">
        <v>0</v>
      </c>
      <c r="AV410" s="42">
        <f t="shared" si="405"/>
        <v>1.7391109206140352</v>
      </c>
      <c r="AW410" s="14">
        <v>1.0999999999999999E-2</v>
      </c>
      <c r="AX410" s="14">
        <v>8.0000000000000002E-3</v>
      </c>
      <c r="AY410" s="8">
        <v>1</v>
      </c>
      <c r="AZ410" s="4">
        <f t="shared" si="406"/>
        <v>2.9999999999999992E-3</v>
      </c>
      <c r="BA410" s="4">
        <f t="shared" si="407"/>
        <v>0.77467999999999992</v>
      </c>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E410" s="62">
        <v>0</v>
      </c>
      <c r="CF410" s="62">
        <v>0</v>
      </c>
      <c r="CG410" s="62">
        <v>0</v>
      </c>
      <c r="CH410" s="59">
        <f t="shared" si="408"/>
        <v>0</v>
      </c>
      <c r="CI410" s="80"/>
      <c r="CJ410" s="59"/>
      <c r="CK410" s="59">
        <v>0</v>
      </c>
      <c r="CL410" s="59">
        <v>0</v>
      </c>
      <c r="CM410" s="59">
        <f t="shared" si="429"/>
        <v>0</v>
      </c>
      <c r="CN410" s="80"/>
      <c r="CO410" s="59"/>
      <c r="CP410" s="59">
        <v>0</v>
      </c>
      <c r="CQ410" s="59">
        <v>0</v>
      </c>
      <c r="CR410" s="59">
        <f t="shared" si="430"/>
        <v>0</v>
      </c>
      <c r="CS410" s="59"/>
      <c r="CT410" s="59"/>
      <c r="CU410" s="59">
        <v>0</v>
      </c>
      <c r="CV410" s="59">
        <v>0</v>
      </c>
      <c r="CW410" s="59">
        <f t="shared" si="431"/>
        <v>0</v>
      </c>
      <c r="CX410" s="59"/>
      <c r="CY410" s="59"/>
      <c r="CZ410" s="59"/>
      <c r="DA410" s="59"/>
      <c r="DB410" s="59"/>
      <c r="DC410" s="59"/>
      <c r="DD410" s="59"/>
      <c r="DE410" s="59"/>
      <c r="DF410" s="59"/>
      <c r="DG410" s="59"/>
      <c r="DH410" s="59"/>
      <c r="DI410" s="59"/>
      <c r="DJ410" s="59"/>
      <c r="DK410" s="59"/>
      <c r="DL410" s="59"/>
      <c r="DM410" s="62">
        <f t="shared" si="409"/>
        <v>0</v>
      </c>
      <c r="DN410" s="64">
        <v>1.2500000000000001E-2</v>
      </c>
      <c r="DO410" s="62">
        <f t="shared" si="410"/>
        <v>0</v>
      </c>
      <c r="DP410" s="62">
        <f t="shared" si="411"/>
        <v>0</v>
      </c>
      <c r="DQ410" s="62"/>
      <c r="DR410" s="62"/>
      <c r="DS410" s="62"/>
      <c r="DT410" s="62"/>
      <c r="DU410" s="62"/>
      <c r="DV410" s="62"/>
      <c r="DW410" s="62"/>
      <c r="DX410" s="62"/>
      <c r="DY410" s="62"/>
      <c r="DZ410" s="62"/>
      <c r="EA410" s="62"/>
      <c r="EB410" s="62"/>
      <c r="EC410" s="62"/>
      <c r="ED410" s="62"/>
      <c r="EE410" s="62"/>
      <c r="EF410" s="59">
        <v>90</v>
      </c>
      <c r="EG410" s="59">
        <v>900</v>
      </c>
      <c r="EH410" s="59">
        <v>8</v>
      </c>
      <c r="EI410" s="8">
        <v>0.95</v>
      </c>
      <c r="EJ410" s="59">
        <v>2</v>
      </c>
      <c r="EK410" s="59">
        <v>45</v>
      </c>
      <c r="EL410" s="65">
        <f t="shared" si="412"/>
        <v>1216</v>
      </c>
      <c r="EU410" s="62">
        <f t="shared" si="413"/>
        <v>0.74013157894736847</v>
      </c>
      <c r="EV410" s="62"/>
      <c r="EW410" s="62"/>
      <c r="GR410" s="8">
        <v>0.11</v>
      </c>
      <c r="GS410" s="4">
        <f t="shared" si="414"/>
        <v>0.16662927368421052</v>
      </c>
      <c r="GT410" s="9">
        <v>1.2500000000000001E-2</v>
      </c>
      <c r="GU410" s="4">
        <f t="shared" si="415"/>
        <v>1.8935144736842106E-2</v>
      </c>
      <c r="GV410" s="8">
        <v>0.02</v>
      </c>
      <c r="GW410" s="4">
        <f t="shared" si="416"/>
        <v>1.4802631578947369E-2</v>
      </c>
      <c r="GX410" s="4">
        <f t="shared" si="417"/>
        <v>0.20036704999999999</v>
      </c>
      <c r="GY410" s="59" t="s">
        <v>130</v>
      </c>
      <c r="GZ410" s="59" t="s">
        <v>130</v>
      </c>
      <c r="HA410" s="4">
        <v>600</v>
      </c>
      <c r="HB410" s="4">
        <v>400</v>
      </c>
      <c r="HC410" s="59">
        <v>220</v>
      </c>
      <c r="HD410" s="59">
        <v>500</v>
      </c>
      <c r="HE410" s="59">
        <v>1000</v>
      </c>
      <c r="HF410" s="4">
        <f t="shared" si="418"/>
        <v>2</v>
      </c>
      <c r="HG410" s="59">
        <v>5</v>
      </c>
      <c r="HH410" s="4">
        <f t="shared" si="419"/>
        <v>10</v>
      </c>
      <c r="HI410" s="59">
        <v>850</v>
      </c>
      <c r="HJ410" s="4">
        <f t="shared" si="420"/>
        <v>8500</v>
      </c>
      <c r="HM410" s="4">
        <v>2</v>
      </c>
      <c r="HN410" s="10">
        <f t="shared" si="421"/>
        <v>600000</v>
      </c>
      <c r="HO410" s="4">
        <f t="shared" si="422"/>
        <v>1.4166666666666666E-2</v>
      </c>
      <c r="HP410" s="4">
        <v>160</v>
      </c>
      <c r="HQ410">
        <v>0</v>
      </c>
      <c r="HR410" s="4">
        <v>0</v>
      </c>
      <c r="HS410" s="4">
        <v>0</v>
      </c>
      <c r="HT410" s="4">
        <f t="shared" si="423"/>
        <v>0</v>
      </c>
      <c r="HU410" s="4"/>
      <c r="HV410" s="4">
        <f t="shared" si="424"/>
        <v>1.4166666666666666E-2</v>
      </c>
      <c r="HW410" s="4"/>
      <c r="HX410" s="4">
        <v>2917</v>
      </c>
      <c r="HY410" s="4">
        <v>1689</v>
      </c>
      <c r="HZ410" s="4">
        <v>1842</v>
      </c>
      <c r="IA410" s="4">
        <f t="shared" si="425"/>
        <v>4</v>
      </c>
      <c r="IB410" s="4">
        <f t="shared" si="426"/>
        <v>4</v>
      </c>
      <c r="IC410" s="4">
        <f t="shared" si="427"/>
        <v>8</v>
      </c>
      <c r="ID410" s="61">
        <v>0.8</v>
      </c>
      <c r="IE410" s="161">
        <f>PRODUCT(IA410:ID410)</f>
        <v>102.4</v>
      </c>
      <c r="IF410" s="4">
        <v>500</v>
      </c>
      <c r="IG410" s="62">
        <f t="shared" si="428"/>
        <v>9.765625E-3</v>
      </c>
      <c r="IH410" s="62"/>
      <c r="II410" s="9"/>
      <c r="IJ410" s="4"/>
      <c r="IK410" s="4"/>
    </row>
    <row r="411" spans="1:302" ht="30">
      <c r="A411">
        <v>230</v>
      </c>
      <c r="B411" t="s">
        <v>468</v>
      </c>
      <c r="C411" s="164" t="s">
        <v>931</v>
      </c>
      <c r="D411" s="28" t="s">
        <v>667</v>
      </c>
      <c r="E411" s="27" t="s">
        <v>668</v>
      </c>
      <c r="F411" s="5" t="s">
        <v>2182</v>
      </c>
      <c r="G411" s="27" t="s">
        <v>90</v>
      </c>
      <c r="I411" s="27" t="s">
        <v>94</v>
      </c>
      <c r="J411" s="28">
        <v>21591</v>
      </c>
      <c r="K411" s="27" t="s">
        <v>97</v>
      </c>
      <c r="N411" s="28"/>
      <c r="O411" s="28"/>
      <c r="P411" s="28"/>
      <c r="Q411" s="28" t="s">
        <v>1035</v>
      </c>
      <c r="R411" s="28" t="s">
        <v>1034</v>
      </c>
      <c r="S411" s="27"/>
      <c r="T411" s="27"/>
      <c r="U411" s="27"/>
      <c r="W411" s="27" t="s">
        <v>946</v>
      </c>
      <c r="X411" s="27"/>
      <c r="Y411" s="27"/>
      <c r="Z411" s="27"/>
      <c r="AA411" s="157" t="s">
        <v>932</v>
      </c>
      <c r="AB411" s="57">
        <v>118.8</v>
      </c>
      <c r="AC411" s="4">
        <v>20</v>
      </c>
      <c r="AD411" s="4" t="s">
        <v>297</v>
      </c>
      <c r="AE411" s="7">
        <f t="shared" si="392"/>
        <v>18.056399999999996</v>
      </c>
      <c r="AF411" s="7"/>
      <c r="AG411" s="7">
        <f t="shared" si="393"/>
        <v>3.3771929824561404</v>
      </c>
      <c r="AH411" s="7">
        <f t="shared" si="394"/>
        <v>0</v>
      </c>
      <c r="AI411" s="7">
        <f t="shared" si="395"/>
        <v>0</v>
      </c>
      <c r="AJ411" s="7">
        <f t="shared" si="396"/>
        <v>6.7543859649122809E-2</v>
      </c>
      <c r="AK411" s="7">
        <f t="shared" si="397"/>
        <v>0.26791991228070172</v>
      </c>
      <c r="AL411" s="7">
        <f t="shared" si="398"/>
        <v>2.3576952280701753</v>
      </c>
      <c r="AM411" s="7">
        <f t="shared" si="399"/>
        <v>0.52666666666666662</v>
      </c>
      <c r="AN411" s="7">
        <f t="shared" si="400"/>
        <v>0.29761904761904762</v>
      </c>
      <c r="AO411" s="7">
        <f t="shared" si="401"/>
        <v>0</v>
      </c>
      <c r="AP411" s="7"/>
      <c r="AQ411" s="7">
        <f t="shared" si="402"/>
        <v>24.951037696741853</v>
      </c>
      <c r="AR411" s="7">
        <f t="shared" si="403"/>
        <v>0</v>
      </c>
      <c r="AS411" s="7">
        <f t="shared" si="404"/>
        <v>0</v>
      </c>
      <c r="AT411" s="7">
        <v>0</v>
      </c>
      <c r="AU411" s="7">
        <f>25.22-24.95</f>
        <v>0.26999999999999957</v>
      </c>
      <c r="AV411" s="42">
        <f t="shared" si="405"/>
        <v>25.221037696741853</v>
      </c>
      <c r="AW411" s="14">
        <v>0.153</v>
      </c>
      <c r="AX411" s="14">
        <v>0.14699999999999999</v>
      </c>
      <c r="AY411" s="8">
        <v>1</v>
      </c>
      <c r="AZ411" s="4">
        <f t="shared" si="406"/>
        <v>6.0000000000000053E-3</v>
      </c>
      <c r="BA411" s="4">
        <f t="shared" si="407"/>
        <v>18.056399999999996</v>
      </c>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E411" s="62">
        <v>0</v>
      </c>
      <c r="CF411" s="62">
        <v>0</v>
      </c>
      <c r="CG411" s="62">
        <v>0</v>
      </c>
      <c r="CH411" s="59">
        <f t="shared" si="408"/>
        <v>0</v>
      </c>
      <c r="CI411" s="80"/>
      <c r="CJ411" s="59"/>
      <c r="CK411" s="59">
        <v>0</v>
      </c>
      <c r="CL411" s="59">
        <v>0</v>
      </c>
      <c r="CM411" s="59">
        <f t="shared" si="429"/>
        <v>0</v>
      </c>
      <c r="CN411" s="80"/>
      <c r="CO411" s="59"/>
      <c r="CP411" s="59">
        <v>0</v>
      </c>
      <c r="CQ411" s="59">
        <v>0</v>
      </c>
      <c r="CR411" s="59">
        <f t="shared" si="430"/>
        <v>0</v>
      </c>
      <c r="CS411" s="59"/>
      <c r="CT411" s="59"/>
      <c r="CU411" s="59">
        <v>0</v>
      </c>
      <c r="CV411" s="59">
        <v>0</v>
      </c>
      <c r="CW411" s="59">
        <f t="shared" si="431"/>
        <v>0</v>
      </c>
      <c r="CX411" s="59"/>
      <c r="CY411" s="59"/>
      <c r="CZ411" s="59"/>
      <c r="DA411" s="59"/>
      <c r="DB411" s="59"/>
      <c r="DC411" s="59"/>
      <c r="DD411" s="59"/>
      <c r="DE411" s="59"/>
      <c r="DF411" s="59"/>
      <c r="DG411" s="59"/>
      <c r="DH411" s="59"/>
      <c r="DI411" s="59"/>
      <c r="DJ411" s="59"/>
      <c r="DK411" s="59"/>
      <c r="DL411" s="59"/>
      <c r="DM411" s="62">
        <f t="shared" si="409"/>
        <v>0</v>
      </c>
      <c r="DN411" s="64">
        <v>1.2500000000000001E-2</v>
      </c>
      <c r="DO411" s="62">
        <f t="shared" si="410"/>
        <v>0</v>
      </c>
      <c r="DP411" s="62">
        <f t="shared" si="411"/>
        <v>0</v>
      </c>
      <c r="DQ411" s="62"/>
      <c r="DR411" s="62"/>
      <c r="DS411" s="62"/>
      <c r="DT411" s="62"/>
      <c r="DU411" s="62"/>
      <c r="DV411" s="62"/>
      <c r="DW411" s="62"/>
      <c r="DX411" s="62"/>
      <c r="DY411" s="62"/>
      <c r="DZ411" s="62"/>
      <c r="EA411" s="62"/>
      <c r="EB411" s="62"/>
      <c r="EC411" s="62"/>
      <c r="ED411" s="62"/>
      <c r="EE411" s="62"/>
      <c r="EF411" s="59">
        <v>280</v>
      </c>
      <c r="EG411" s="59">
        <v>2800</v>
      </c>
      <c r="EH411" s="59">
        <v>8</v>
      </c>
      <c r="EI411" s="8">
        <v>0.95</v>
      </c>
      <c r="EJ411" s="59">
        <v>2</v>
      </c>
      <c r="EK411" s="59">
        <v>66</v>
      </c>
      <c r="EL411" s="65">
        <f t="shared" si="412"/>
        <v>829.09090909090912</v>
      </c>
      <c r="EU411" s="62">
        <f t="shared" si="413"/>
        <v>3.3771929824561404</v>
      </c>
      <c r="EV411" s="62"/>
      <c r="EW411" s="62"/>
      <c r="GR411" s="8">
        <v>0.11</v>
      </c>
      <c r="GS411" s="4">
        <f t="shared" si="414"/>
        <v>2.3576952280701753</v>
      </c>
      <c r="GT411" s="9">
        <v>1.2500000000000001E-2</v>
      </c>
      <c r="GU411" s="4">
        <f t="shared" si="415"/>
        <v>0.26791991228070172</v>
      </c>
      <c r="GV411" s="8">
        <v>0.02</v>
      </c>
      <c r="GW411" s="4">
        <f t="shared" si="416"/>
        <v>6.7543859649122809E-2</v>
      </c>
      <c r="GX411" s="4">
        <f t="shared" si="417"/>
        <v>2.6931589999999996</v>
      </c>
      <c r="GY411" s="59" t="s">
        <v>130</v>
      </c>
      <c r="GZ411" s="59" t="s">
        <v>130</v>
      </c>
      <c r="HA411" s="4">
        <v>650</v>
      </c>
      <c r="HB411" s="4">
        <v>450</v>
      </c>
      <c r="HC411" s="59">
        <v>320</v>
      </c>
      <c r="HD411" s="59">
        <v>35</v>
      </c>
      <c r="HE411" s="59">
        <v>250</v>
      </c>
      <c r="HF411" s="4">
        <f t="shared" si="418"/>
        <v>8</v>
      </c>
      <c r="HG411" s="59">
        <v>5</v>
      </c>
      <c r="HH411" s="4">
        <f t="shared" si="419"/>
        <v>40</v>
      </c>
      <c r="HI411" s="59">
        <v>850</v>
      </c>
      <c r="HJ411" s="4">
        <f t="shared" si="420"/>
        <v>34000</v>
      </c>
      <c r="HM411" s="4">
        <v>2</v>
      </c>
      <c r="HN411" s="10">
        <f t="shared" si="421"/>
        <v>150000</v>
      </c>
      <c r="HO411" s="4">
        <f t="shared" si="422"/>
        <v>0.22666666666666666</v>
      </c>
      <c r="HP411" s="4">
        <v>160</v>
      </c>
      <c r="HQ411">
        <v>0</v>
      </c>
      <c r="HR411" s="4">
        <v>0.3</v>
      </c>
      <c r="HS411" s="4">
        <v>1</v>
      </c>
      <c r="HT411" s="4">
        <f t="shared" si="423"/>
        <v>0.3</v>
      </c>
      <c r="HU411" s="4"/>
      <c r="HV411" s="4">
        <f t="shared" si="424"/>
        <v>0.52666666666666662</v>
      </c>
      <c r="HW411" s="4"/>
      <c r="HX411" s="4">
        <v>2917</v>
      </c>
      <c r="HY411" s="4">
        <v>1689</v>
      </c>
      <c r="HZ411" s="4">
        <v>1689</v>
      </c>
      <c r="IA411" s="4">
        <f t="shared" si="425"/>
        <v>4</v>
      </c>
      <c r="IB411" s="4">
        <f t="shared" si="426"/>
        <v>3</v>
      </c>
      <c r="IC411" s="4">
        <f t="shared" si="427"/>
        <v>5</v>
      </c>
      <c r="ID411" s="61">
        <v>0.8</v>
      </c>
      <c r="IE411" s="161">
        <f>PRODUCT(IA411:ID411)</f>
        <v>48</v>
      </c>
      <c r="IF411" s="4">
        <v>500</v>
      </c>
      <c r="IG411" s="62">
        <f t="shared" si="428"/>
        <v>0.29761904761904762</v>
      </c>
      <c r="IH411" s="62"/>
      <c r="II411" s="9"/>
      <c r="IJ411" s="4"/>
      <c r="IK411" s="4"/>
    </row>
    <row r="412" spans="1:302" ht="30">
      <c r="A412">
        <v>231</v>
      </c>
      <c r="B412" t="s">
        <v>468</v>
      </c>
      <c r="C412" s="164" t="s">
        <v>933</v>
      </c>
      <c r="D412" s="28" t="s">
        <v>669</v>
      </c>
      <c r="E412" s="27" t="s">
        <v>670</v>
      </c>
      <c r="F412" s="5" t="s">
        <v>2182</v>
      </c>
      <c r="G412" s="27" t="s">
        <v>90</v>
      </c>
      <c r="I412" s="27" t="s">
        <v>94</v>
      </c>
      <c r="J412" s="28">
        <v>21591</v>
      </c>
      <c r="K412" s="27" t="s">
        <v>97</v>
      </c>
      <c r="N412" s="28"/>
      <c r="O412" s="28"/>
      <c r="P412" s="28"/>
      <c r="Q412" s="28" t="s">
        <v>1035</v>
      </c>
      <c r="R412" s="28" t="s">
        <v>1034</v>
      </c>
      <c r="S412" s="27"/>
      <c r="T412" s="27"/>
      <c r="U412" s="27"/>
      <c r="W412" s="27" t="s">
        <v>947</v>
      </c>
      <c r="X412" s="27"/>
      <c r="Y412" s="27"/>
      <c r="Z412" s="27"/>
      <c r="AA412" s="157" t="s">
        <v>932</v>
      </c>
      <c r="AB412" s="57">
        <v>118.8</v>
      </c>
      <c r="AC412" s="4">
        <v>20</v>
      </c>
      <c r="AD412" s="4" t="s">
        <v>297</v>
      </c>
      <c r="AE412" s="7">
        <f t="shared" si="392"/>
        <v>5.86</v>
      </c>
      <c r="AF412" s="7"/>
      <c r="AG412" s="7">
        <f t="shared" si="393"/>
        <v>1.4619883040935675</v>
      </c>
      <c r="AH412" s="7">
        <f t="shared" si="394"/>
        <v>0</v>
      </c>
      <c r="AI412" s="7">
        <f t="shared" si="395"/>
        <v>0</v>
      </c>
      <c r="AJ412" s="7">
        <f t="shared" si="396"/>
        <v>2.923976608187135E-2</v>
      </c>
      <c r="AK412" s="7">
        <f t="shared" si="397"/>
        <v>9.1524853801169592E-2</v>
      </c>
      <c r="AL412" s="7">
        <f t="shared" si="398"/>
        <v>0.80541871345029237</v>
      </c>
      <c r="AM412" s="7">
        <f t="shared" si="399"/>
        <v>0.38500000000000001</v>
      </c>
      <c r="AN412" s="7">
        <f t="shared" si="400"/>
        <v>0.10416666666666667</v>
      </c>
      <c r="AO412" s="7">
        <f t="shared" si="401"/>
        <v>0</v>
      </c>
      <c r="AP412" s="7"/>
      <c r="AQ412" s="7">
        <f t="shared" si="402"/>
        <v>8.7373383040935675</v>
      </c>
      <c r="AR412" s="7">
        <f t="shared" si="403"/>
        <v>0</v>
      </c>
      <c r="AS412" s="7">
        <f t="shared" si="404"/>
        <v>0</v>
      </c>
      <c r="AT412" s="7">
        <v>0</v>
      </c>
      <c r="AU412" s="7">
        <f>8.92-8.74</f>
        <v>0.17999999999999972</v>
      </c>
      <c r="AV412" s="42">
        <f t="shared" si="405"/>
        <v>8.9173383040935672</v>
      </c>
      <c r="AW412" s="14">
        <v>0.05</v>
      </c>
      <c r="AX412" s="14">
        <v>4.5999999999999999E-2</v>
      </c>
      <c r="AY412" s="8">
        <v>1</v>
      </c>
      <c r="AZ412" s="4">
        <f t="shared" si="406"/>
        <v>4.0000000000000036E-3</v>
      </c>
      <c r="BA412" s="4">
        <f t="shared" si="407"/>
        <v>5.86</v>
      </c>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E412" s="62">
        <v>0</v>
      </c>
      <c r="CF412" s="62">
        <v>0</v>
      </c>
      <c r="CG412" s="62">
        <v>0</v>
      </c>
      <c r="CH412" s="59">
        <f t="shared" si="408"/>
        <v>0</v>
      </c>
      <c r="CI412" s="80"/>
      <c r="CJ412" s="59"/>
      <c r="CK412" s="59">
        <v>0</v>
      </c>
      <c r="CL412" s="59">
        <v>0</v>
      </c>
      <c r="CM412" s="59">
        <f t="shared" si="429"/>
        <v>0</v>
      </c>
      <c r="CN412" s="80"/>
      <c r="CO412" s="59"/>
      <c r="CP412" s="59">
        <v>0</v>
      </c>
      <c r="CQ412" s="59">
        <v>0</v>
      </c>
      <c r="CR412" s="59">
        <f t="shared" si="430"/>
        <v>0</v>
      </c>
      <c r="CS412" s="59"/>
      <c r="CT412" s="59"/>
      <c r="CU412" s="59">
        <v>0</v>
      </c>
      <c r="CV412" s="59">
        <v>0</v>
      </c>
      <c r="CW412" s="59">
        <f t="shared" si="431"/>
        <v>0</v>
      </c>
      <c r="CX412" s="59"/>
      <c r="CY412" s="59"/>
      <c r="CZ412" s="59"/>
      <c r="DA412" s="59"/>
      <c r="DB412" s="59"/>
      <c r="DC412" s="59"/>
      <c r="DD412" s="59"/>
      <c r="DE412" s="59"/>
      <c r="DF412" s="59"/>
      <c r="DG412" s="59"/>
      <c r="DH412" s="59"/>
      <c r="DI412" s="59"/>
      <c r="DJ412" s="59"/>
      <c r="DK412" s="59"/>
      <c r="DL412" s="59"/>
      <c r="DM412" s="62">
        <f t="shared" si="409"/>
        <v>0</v>
      </c>
      <c r="DN412" s="64">
        <v>1.2500000000000001E-2</v>
      </c>
      <c r="DO412" s="62">
        <f t="shared" si="410"/>
        <v>0</v>
      </c>
      <c r="DP412" s="62">
        <f t="shared" si="411"/>
        <v>0</v>
      </c>
      <c r="DQ412" s="62"/>
      <c r="DR412" s="62"/>
      <c r="DS412" s="62"/>
      <c r="DT412" s="62"/>
      <c r="DU412" s="62"/>
      <c r="DV412" s="62"/>
      <c r="DW412" s="62"/>
      <c r="DX412" s="62"/>
      <c r="DY412" s="62"/>
      <c r="DZ412" s="62"/>
      <c r="EA412" s="62"/>
      <c r="EB412" s="62"/>
      <c r="EC412" s="62"/>
      <c r="ED412" s="62"/>
      <c r="EE412" s="62"/>
      <c r="EF412" s="59">
        <v>160</v>
      </c>
      <c r="EG412" s="59">
        <v>1600</v>
      </c>
      <c r="EH412" s="59">
        <v>8</v>
      </c>
      <c r="EI412" s="8">
        <v>0.95</v>
      </c>
      <c r="EJ412" s="59">
        <v>2</v>
      </c>
      <c r="EK412" s="59">
        <v>50</v>
      </c>
      <c r="EL412" s="65">
        <f t="shared" si="412"/>
        <v>1094.3999999999999</v>
      </c>
      <c r="EU412" s="62">
        <f t="shared" si="413"/>
        <v>1.4619883040935675</v>
      </c>
      <c r="EV412" s="62"/>
      <c r="EW412" s="62"/>
      <c r="GR412" s="8">
        <v>0.11</v>
      </c>
      <c r="GS412" s="4">
        <f t="shared" si="414"/>
        <v>0.80541871345029237</v>
      </c>
      <c r="GT412" s="9">
        <v>1.2500000000000001E-2</v>
      </c>
      <c r="GU412" s="4">
        <f t="shared" si="415"/>
        <v>9.1524853801169592E-2</v>
      </c>
      <c r="GV412" s="8">
        <v>0.02</v>
      </c>
      <c r="GW412" s="4">
        <f t="shared" si="416"/>
        <v>2.923976608187135E-2</v>
      </c>
      <c r="GX412" s="4">
        <f t="shared" si="417"/>
        <v>0.92618333333333336</v>
      </c>
      <c r="GY412" s="59" t="s">
        <v>130</v>
      </c>
      <c r="GZ412" s="59" t="s">
        <v>130</v>
      </c>
      <c r="HA412" s="4">
        <v>650</v>
      </c>
      <c r="HB412" s="4">
        <v>450</v>
      </c>
      <c r="HC412" s="59">
        <v>320</v>
      </c>
      <c r="HD412" s="59">
        <v>100</v>
      </c>
      <c r="HE412" s="59">
        <v>250</v>
      </c>
      <c r="HF412" s="4">
        <f t="shared" si="418"/>
        <v>3</v>
      </c>
      <c r="HG412" s="59">
        <v>5</v>
      </c>
      <c r="HH412" s="4">
        <f t="shared" si="419"/>
        <v>15</v>
      </c>
      <c r="HI412" s="59">
        <v>850</v>
      </c>
      <c r="HJ412" s="4">
        <f t="shared" si="420"/>
        <v>12750</v>
      </c>
      <c r="HM412" s="4">
        <v>2</v>
      </c>
      <c r="HN412" s="10">
        <f t="shared" si="421"/>
        <v>150000</v>
      </c>
      <c r="HO412" s="4">
        <f t="shared" si="422"/>
        <v>8.5000000000000006E-2</v>
      </c>
      <c r="HP412" s="4">
        <v>160</v>
      </c>
      <c r="HQ412">
        <v>0</v>
      </c>
      <c r="HR412" s="4">
        <v>0.3</v>
      </c>
      <c r="HS412" s="4">
        <v>1</v>
      </c>
      <c r="HT412" s="4">
        <f t="shared" si="423"/>
        <v>0.3</v>
      </c>
      <c r="HU412" s="4"/>
      <c r="HV412" s="4">
        <f t="shared" si="424"/>
        <v>0.38500000000000001</v>
      </c>
      <c r="HW412" s="4"/>
      <c r="HX412" s="4">
        <v>2917</v>
      </c>
      <c r="HY412" s="4">
        <v>1689</v>
      </c>
      <c r="HZ412" s="4">
        <v>1689</v>
      </c>
      <c r="IA412" s="4">
        <f t="shared" si="425"/>
        <v>4</v>
      </c>
      <c r="IB412" s="4">
        <f t="shared" si="426"/>
        <v>3</v>
      </c>
      <c r="IC412" s="4">
        <f t="shared" si="427"/>
        <v>5</v>
      </c>
      <c r="ID412" s="61">
        <v>0.8</v>
      </c>
      <c r="IE412" s="161">
        <f>PRODUCT(IA412:ID412)</f>
        <v>48</v>
      </c>
      <c r="IF412" s="4">
        <v>500</v>
      </c>
      <c r="IG412" s="62">
        <f t="shared" si="428"/>
        <v>0.10416666666666667</v>
      </c>
      <c r="IH412" s="62"/>
      <c r="II412" s="9"/>
      <c r="IJ412" s="4"/>
      <c r="IK412" s="4"/>
    </row>
    <row r="413" spans="1:302" ht="30">
      <c r="A413">
        <v>232</v>
      </c>
      <c r="B413" t="s">
        <v>468</v>
      </c>
      <c r="C413" s="164" t="s">
        <v>934</v>
      </c>
      <c r="D413" s="28" t="s">
        <v>671</v>
      </c>
      <c r="E413" s="27" t="s">
        <v>672</v>
      </c>
      <c r="F413" s="5" t="s">
        <v>2182</v>
      </c>
      <c r="G413" s="27" t="s">
        <v>90</v>
      </c>
      <c r="I413" s="27" t="s">
        <v>121</v>
      </c>
      <c r="J413" s="28">
        <v>21480</v>
      </c>
      <c r="K413" s="27" t="s">
        <v>97</v>
      </c>
      <c r="N413" s="28"/>
      <c r="O413" s="28"/>
      <c r="P413" s="28"/>
      <c r="Q413" s="28" t="s">
        <v>1040</v>
      </c>
      <c r="R413" s="28" t="s">
        <v>1034</v>
      </c>
      <c r="S413" s="27"/>
      <c r="T413" s="27"/>
      <c r="U413" s="27"/>
      <c r="W413" s="163" t="s">
        <v>954</v>
      </c>
      <c r="X413" s="163"/>
      <c r="Y413" s="163"/>
      <c r="Z413" s="163"/>
      <c r="AA413" s="157" t="s">
        <v>440</v>
      </c>
      <c r="AB413" s="57">
        <v>101.39</v>
      </c>
      <c r="AC413" s="4">
        <f>AB413-5</f>
        <v>96.39</v>
      </c>
      <c r="AD413" s="4" t="s">
        <v>935</v>
      </c>
      <c r="AE413" s="7">
        <f t="shared" si="392"/>
        <v>6.8431300000000004</v>
      </c>
      <c r="AF413" s="7"/>
      <c r="AG413" s="7">
        <f t="shared" si="393"/>
        <v>1.7543859649122806</v>
      </c>
      <c r="AH413" s="7">
        <f t="shared" si="394"/>
        <v>0.25</v>
      </c>
      <c r="AI413" s="7">
        <f t="shared" si="395"/>
        <v>3.1250000000000002E-3</v>
      </c>
      <c r="AJ413" s="7">
        <f t="shared" si="396"/>
        <v>3.5087719298245612E-2</v>
      </c>
      <c r="AK413" s="7">
        <f t="shared" si="397"/>
        <v>0.10746894956140352</v>
      </c>
      <c r="AL413" s="7">
        <f t="shared" si="398"/>
        <v>0.85975159649122812</v>
      </c>
      <c r="AM413" s="7">
        <f t="shared" si="399"/>
        <v>0.11458333333333333</v>
      </c>
      <c r="AN413" s="7">
        <f t="shared" si="400"/>
        <v>0.15432098765432098</v>
      </c>
      <c r="AO413" s="7">
        <f t="shared" si="401"/>
        <v>0</v>
      </c>
      <c r="AP413" s="7"/>
      <c r="AQ413" s="7">
        <f t="shared" si="402"/>
        <v>10.121853551250812</v>
      </c>
      <c r="AR413" s="7">
        <f t="shared" si="403"/>
        <v>0</v>
      </c>
      <c r="AS413" s="7">
        <f t="shared" si="404"/>
        <v>0</v>
      </c>
      <c r="AT413" s="7">
        <v>0</v>
      </c>
      <c r="AU413" s="7">
        <f>10.16-10.12</f>
        <v>4.0000000000000924E-2</v>
      </c>
      <c r="AV413" s="42">
        <f t="shared" si="405"/>
        <v>10.161853551250813</v>
      </c>
      <c r="AW413" s="14">
        <v>7.6999999999999999E-2</v>
      </c>
      <c r="AX413" s="14">
        <v>6.7000000000000004E-2</v>
      </c>
      <c r="AY413" s="8">
        <v>1</v>
      </c>
      <c r="AZ413" s="4">
        <f t="shared" si="406"/>
        <v>9.999999999999995E-3</v>
      </c>
      <c r="BA413" s="4">
        <f t="shared" si="407"/>
        <v>6.8431300000000004</v>
      </c>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E413" s="62">
        <v>0</v>
      </c>
      <c r="CF413" s="62">
        <v>1</v>
      </c>
      <c r="CG413" s="62">
        <v>0.25</v>
      </c>
      <c r="CH413" s="59">
        <f t="shared" si="408"/>
        <v>0.25</v>
      </c>
      <c r="CI413" s="80"/>
      <c r="CJ413" s="59"/>
      <c r="CK413" s="59">
        <v>0</v>
      </c>
      <c r="CL413" s="59">
        <v>0</v>
      </c>
      <c r="CM413" s="59">
        <f t="shared" si="429"/>
        <v>0</v>
      </c>
      <c r="CN413" s="80"/>
      <c r="CO413" s="59"/>
      <c r="CP413" s="59">
        <v>0</v>
      </c>
      <c r="CQ413" s="59">
        <v>0</v>
      </c>
      <c r="CR413" s="59">
        <f t="shared" si="430"/>
        <v>0</v>
      </c>
      <c r="CS413" s="59"/>
      <c r="CT413" s="59"/>
      <c r="CU413" s="59">
        <v>0</v>
      </c>
      <c r="CV413" s="59">
        <v>0</v>
      </c>
      <c r="CW413" s="59">
        <f t="shared" si="431"/>
        <v>0</v>
      </c>
      <c r="CX413" s="59"/>
      <c r="CY413" s="59"/>
      <c r="CZ413" s="59"/>
      <c r="DA413" s="59"/>
      <c r="DB413" s="59"/>
      <c r="DC413" s="59"/>
      <c r="DD413" s="59"/>
      <c r="DE413" s="59"/>
      <c r="DF413" s="59"/>
      <c r="DG413" s="59"/>
      <c r="DH413" s="59"/>
      <c r="DI413" s="59"/>
      <c r="DJ413" s="59"/>
      <c r="DK413" s="59"/>
      <c r="DL413" s="59"/>
      <c r="DM413" s="62">
        <f t="shared" si="409"/>
        <v>0.25</v>
      </c>
      <c r="DN413" s="64">
        <v>1.2500000000000001E-2</v>
      </c>
      <c r="DO413" s="62">
        <f t="shared" si="410"/>
        <v>3.1250000000000002E-3</v>
      </c>
      <c r="DP413" s="62">
        <f t="shared" si="411"/>
        <v>0.25312499999999999</v>
      </c>
      <c r="DQ413" s="62"/>
      <c r="DR413" s="62"/>
      <c r="DS413" s="62"/>
      <c r="DT413" s="62"/>
      <c r="DU413" s="62"/>
      <c r="DV413" s="62"/>
      <c r="DW413" s="62"/>
      <c r="DX413" s="62"/>
      <c r="DY413" s="62"/>
      <c r="DZ413" s="62"/>
      <c r="EA413" s="62"/>
      <c r="EB413" s="62"/>
      <c r="EC413" s="62"/>
      <c r="ED413" s="62"/>
      <c r="EE413" s="62"/>
      <c r="EF413" s="59">
        <v>160</v>
      </c>
      <c r="EG413" s="59">
        <v>1600</v>
      </c>
      <c r="EH413" s="59">
        <v>8</v>
      </c>
      <c r="EI413" s="8">
        <v>0.95</v>
      </c>
      <c r="EJ413" s="59">
        <v>2</v>
      </c>
      <c r="EK413" s="59">
        <v>60</v>
      </c>
      <c r="EL413" s="65">
        <f t="shared" si="412"/>
        <v>912</v>
      </c>
      <c r="EU413" s="62">
        <f t="shared" si="413"/>
        <v>1.7543859649122806</v>
      </c>
      <c r="EV413" s="62"/>
      <c r="EW413" s="62"/>
      <c r="GR413" s="8">
        <v>0.1</v>
      </c>
      <c r="GS413" s="4">
        <f t="shared" si="414"/>
        <v>0.85975159649122812</v>
      </c>
      <c r="GT413" s="9">
        <v>1.2500000000000001E-2</v>
      </c>
      <c r="GU413" s="4">
        <f t="shared" si="415"/>
        <v>0.10746894956140352</v>
      </c>
      <c r="GV413" s="8">
        <v>0.02</v>
      </c>
      <c r="GW413" s="4">
        <f t="shared" si="416"/>
        <v>3.5087719298245612E-2</v>
      </c>
      <c r="GX413" s="4">
        <f t="shared" si="417"/>
        <v>1.0023082653508772</v>
      </c>
      <c r="GY413" s="59" t="s">
        <v>130</v>
      </c>
      <c r="GZ413" s="59" t="s">
        <v>130</v>
      </c>
      <c r="HA413" s="4">
        <v>650</v>
      </c>
      <c r="HB413" s="4">
        <v>450</v>
      </c>
      <c r="HC413" s="59">
        <v>210</v>
      </c>
      <c r="HD413" s="59">
        <v>60</v>
      </c>
      <c r="HE413" s="59">
        <v>40</v>
      </c>
      <c r="HF413" s="4">
        <f t="shared" si="418"/>
        <v>1</v>
      </c>
      <c r="HG413" s="59">
        <v>5</v>
      </c>
      <c r="HH413" s="4">
        <f t="shared" si="419"/>
        <v>5</v>
      </c>
      <c r="HI413" s="59">
        <v>550</v>
      </c>
      <c r="HJ413" s="4">
        <f t="shared" si="420"/>
        <v>2750</v>
      </c>
      <c r="HM413" s="4">
        <v>2</v>
      </c>
      <c r="HN413" s="10">
        <f t="shared" si="421"/>
        <v>24000</v>
      </c>
      <c r="HO413" s="4">
        <f t="shared" si="422"/>
        <v>0.11458333333333333</v>
      </c>
      <c r="HP413" s="4">
        <v>160</v>
      </c>
      <c r="HQ413">
        <v>0</v>
      </c>
      <c r="HR413" s="4">
        <v>0</v>
      </c>
      <c r="HS413" s="4">
        <v>0</v>
      </c>
      <c r="HT413" s="4">
        <f t="shared" si="423"/>
        <v>0</v>
      </c>
      <c r="HU413" s="4"/>
      <c r="HV413" s="4">
        <f t="shared" si="424"/>
        <v>0.11458333333333333</v>
      </c>
      <c r="HW413" s="4"/>
      <c r="HX413" s="4">
        <v>2917</v>
      </c>
      <c r="HY413" s="4">
        <v>1689</v>
      </c>
      <c r="HZ413" s="4">
        <v>1842</v>
      </c>
      <c r="IA413" s="4">
        <f t="shared" si="425"/>
        <v>4</v>
      </c>
      <c r="IB413" s="4">
        <f t="shared" si="426"/>
        <v>3</v>
      </c>
      <c r="IC413" s="4">
        <f t="shared" si="427"/>
        <v>8</v>
      </c>
      <c r="ID413" s="61">
        <v>1</v>
      </c>
      <c r="IE413" s="161">
        <f>PRODUCT(IA413:ID413)-42</f>
        <v>54</v>
      </c>
      <c r="IF413" s="4">
        <v>500</v>
      </c>
      <c r="IG413" s="62">
        <f t="shared" si="428"/>
        <v>0.15432098765432098</v>
      </c>
      <c r="IH413" s="62"/>
      <c r="II413" s="9"/>
      <c r="IJ413" s="4"/>
      <c r="IK413" s="4"/>
    </row>
    <row r="414" spans="1:302" ht="60">
      <c r="A414">
        <v>233</v>
      </c>
      <c r="B414" t="s">
        <v>468</v>
      </c>
      <c r="C414" s="164" t="s">
        <v>943</v>
      </c>
      <c r="D414" s="28" t="s">
        <v>673</v>
      </c>
      <c r="E414" s="27" t="s">
        <v>674</v>
      </c>
      <c r="F414" s="5" t="s">
        <v>2182</v>
      </c>
      <c r="G414" s="27" t="s">
        <v>90</v>
      </c>
      <c r="I414" s="27" t="s">
        <v>121</v>
      </c>
      <c r="J414" s="28">
        <v>21480</v>
      </c>
      <c r="K414" s="27" t="s">
        <v>97</v>
      </c>
      <c r="N414" s="28"/>
      <c r="O414" s="28"/>
      <c r="P414" s="28"/>
      <c r="Q414" s="28" t="s">
        <v>1040</v>
      </c>
      <c r="R414" s="28" t="s">
        <v>1034</v>
      </c>
      <c r="S414" s="27"/>
      <c r="T414" s="27"/>
      <c r="U414" s="27"/>
      <c r="W414" s="163" t="s">
        <v>955</v>
      </c>
      <c r="X414" s="163"/>
      <c r="Y414" s="163"/>
      <c r="Z414" s="163"/>
      <c r="AA414" s="159" t="s">
        <v>937</v>
      </c>
      <c r="AB414" s="348">
        <v>236.33</v>
      </c>
      <c r="AC414" s="62">
        <v>20</v>
      </c>
      <c r="AD414" s="62" t="s">
        <v>935</v>
      </c>
      <c r="AE414" s="42">
        <f t="shared" si="392"/>
        <v>32.986200000000004</v>
      </c>
      <c r="AF414" s="42"/>
      <c r="AG414" s="42">
        <f t="shared" si="393"/>
        <v>4.0935672514619883</v>
      </c>
      <c r="AH414" s="42">
        <f t="shared" si="394"/>
        <v>6.65</v>
      </c>
      <c r="AI414" s="42">
        <f t="shared" si="395"/>
        <v>0.19950000000000001</v>
      </c>
      <c r="AJ414" s="42">
        <f t="shared" si="396"/>
        <v>8.1871345029239762E-2</v>
      </c>
      <c r="AK414" s="42">
        <f t="shared" si="397"/>
        <v>0.46349709064327493</v>
      </c>
      <c r="AL414" s="42">
        <f t="shared" si="398"/>
        <v>3.7079767251461995</v>
      </c>
      <c r="AM414" s="42">
        <f t="shared" si="399"/>
        <v>0.11458333333333333</v>
      </c>
      <c r="AN414" s="42">
        <f t="shared" si="400"/>
        <v>0.23148148148148148</v>
      </c>
      <c r="AO414" s="7">
        <f t="shared" si="401"/>
        <v>0</v>
      </c>
      <c r="AP414" s="7"/>
      <c r="AQ414" s="42">
        <f t="shared" si="402"/>
        <v>48.528677227095521</v>
      </c>
      <c r="AR414" s="42">
        <f t="shared" si="403"/>
        <v>0</v>
      </c>
      <c r="AS414" s="42">
        <f t="shared" si="404"/>
        <v>0</v>
      </c>
      <c r="AT414" s="42">
        <v>0</v>
      </c>
      <c r="AU414" s="42">
        <f>48.75-48.53</f>
        <v>0.21999999999999886</v>
      </c>
      <c r="AV414" s="42">
        <f t="shared" si="405"/>
        <v>48.74867722709552</v>
      </c>
      <c r="AW414" s="69">
        <v>0.14000000000000001</v>
      </c>
      <c r="AX414" s="69">
        <v>0.13500000000000001</v>
      </c>
      <c r="AY414" s="61">
        <v>1</v>
      </c>
      <c r="AZ414" s="62">
        <f t="shared" si="406"/>
        <v>5.0000000000000044E-3</v>
      </c>
      <c r="BA414" s="62">
        <f t="shared" si="407"/>
        <v>32.986200000000004</v>
      </c>
      <c r="BB414" s="62"/>
      <c r="BC414" s="62"/>
      <c r="BD414" s="62"/>
      <c r="BE414" s="62"/>
      <c r="BF414" s="62"/>
      <c r="BG414" s="62"/>
      <c r="BH414" s="62"/>
      <c r="BI414" s="62"/>
      <c r="BJ414" s="62"/>
      <c r="BK414" s="62"/>
      <c r="BL414" s="62"/>
      <c r="BM414" s="62"/>
      <c r="BN414" s="62"/>
      <c r="BO414" s="62"/>
      <c r="BP414" s="62"/>
      <c r="BQ414" s="62"/>
      <c r="BR414" s="62"/>
      <c r="BS414" s="62"/>
      <c r="BT414" s="62"/>
      <c r="BU414" s="62"/>
      <c r="BV414" s="62"/>
      <c r="BW414" s="62"/>
      <c r="BX414" s="62"/>
      <c r="BY414" s="62"/>
      <c r="BZ414" s="62"/>
      <c r="CA414" s="62"/>
      <c r="CB414" s="62"/>
      <c r="CC414" s="62"/>
      <c r="CD414" s="59"/>
      <c r="CE414" s="62">
        <v>0</v>
      </c>
      <c r="CF414" s="62">
        <v>2</v>
      </c>
      <c r="CG414" s="62">
        <f>3.2+0.25/2</f>
        <v>3.3250000000000002</v>
      </c>
      <c r="CH414" s="62">
        <f t="shared" si="408"/>
        <v>6.65</v>
      </c>
      <c r="CI414" s="80"/>
      <c r="CJ414" s="59"/>
      <c r="CK414" s="59"/>
      <c r="CL414" s="59"/>
      <c r="CM414" s="59"/>
      <c r="CN414" s="80"/>
      <c r="CO414" s="59"/>
      <c r="CP414" s="59"/>
      <c r="CQ414" s="59"/>
      <c r="CR414" s="59"/>
      <c r="CS414" s="59"/>
      <c r="CT414" s="59"/>
      <c r="CU414" s="59"/>
      <c r="CV414" s="59"/>
      <c r="CW414" s="59"/>
      <c r="CX414" s="59"/>
      <c r="CY414" s="59"/>
      <c r="CZ414" s="59"/>
      <c r="DA414" s="59"/>
      <c r="DB414" s="59"/>
      <c r="DC414" s="59"/>
      <c r="DD414" s="59"/>
      <c r="DE414" s="59"/>
      <c r="DF414" s="59"/>
      <c r="DG414" s="59"/>
      <c r="DH414" s="59"/>
      <c r="DI414" s="59"/>
      <c r="DJ414" s="59"/>
      <c r="DK414" s="59"/>
      <c r="DL414" s="59"/>
      <c r="DM414" s="62">
        <f t="shared" si="409"/>
        <v>6.65</v>
      </c>
      <c r="DN414" s="64">
        <v>0.03</v>
      </c>
      <c r="DO414" s="62">
        <f t="shared" si="410"/>
        <v>0.19950000000000001</v>
      </c>
      <c r="DP414" s="62">
        <f t="shared" si="411"/>
        <v>6.8495000000000008</v>
      </c>
      <c r="DQ414" s="62"/>
      <c r="DR414" s="62"/>
      <c r="DS414" s="62"/>
      <c r="DT414" s="62"/>
      <c r="DU414" s="62"/>
      <c r="DV414" s="62"/>
      <c r="DW414" s="62"/>
      <c r="DX414" s="62"/>
      <c r="DY414" s="62"/>
      <c r="DZ414" s="62"/>
      <c r="EA414" s="62"/>
      <c r="EB414" s="62"/>
      <c r="EC414" s="62"/>
      <c r="ED414" s="62"/>
      <c r="EE414" s="62"/>
      <c r="EF414" s="59">
        <v>280</v>
      </c>
      <c r="EG414" s="59">
        <v>2800</v>
      </c>
      <c r="EH414" s="59">
        <v>8</v>
      </c>
      <c r="EI414" s="61">
        <v>0.95</v>
      </c>
      <c r="EJ414" s="59">
        <v>2</v>
      </c>
      <c r="EK414" s="59">
        <v>80</v>
      </c>
      <c r="EL414" s="65">
        <f t="shared" si="412"/>
        <v>684</v>
      </c>
      <c r="EM414" s="59"/>
      <c r="EN414" s="59"/>
      <c r="EO414" s="59"/>
      <c r="EP414" s="59"/>
      <c r="EQ414" s="59"/>
      <c r="ER414" s="59"/>
      <c r="ES414" s="59"/>
      <c r="ET414" s="59"/>
      <c r="EU414" s="62">
        <f t="shared" si="413"/>
        <v>4.0935672514619883</v>
      </c>
      <c r="EV414" s="62"/>
      <c r="EW414" s="62"/>
      <c r="EX414" s="59"/>
      <c r="EY414" s="59"/>
      <c r="EZ414" s="59"/>
      <c r="FA414" s="59"/>
      <c r="FB414" s="59"/>
      <c r="FC414" s="59"/>
      <c r="FD414" s="59"/>
      <c r="FE414" s="59"/>
      <c r="FF414" s="59"/>
      <c r="FG414" s="59"/>
      <c r="FH414" s="59"/>
      <c r="FI414" s="59"/>
      <c r="FJ414" s="59"/>
      <c r="FK414" s="59"/>
      <c r="FL414" s="59"/>
      <c r="FM414" s="59"/>
      <c r="FN414" s="59"/>
      <c r="FO414" s="59"/>
      <c r="FP414" s="59"/>
      <c r="FQ414" s="59"/>
      <c r="FR414" s="59"/>
      <c r="FS414" s="59"/>
      <c r="FT414" s="59"/>
      <c r="FU414" s="59"/>
      <c r="FV414" s="59"/>
      <c r="FW414" s="59"/>
      <c r="FX414" s="59"/>
      <c r="FY414" s="59"/>
      <c r="FZ414" s="59"/>
      <c r="GA414" s="59"/>
      <c r="GB414" s="59"/>
      <c r="GC414" s="59"/>
      <c r="GD414" s="59"/>
      <c r="GE414" s="59"/>
      <c r="GF414" s="59"/>
      <c r="GG414" s="59"/>
      <c r="GH414" s="59"/>
      <c r="GI414" s="59"/>
      <c r="GJ414" s="59"/>
      <c r="GK414" s="59"/>
      <c r="GL414" s="59"/>
      <c r="GM414" s="59"/>
      <c r="GN414" s="59"/>
      <c r="GO414" s="59"/>
      <c r="GP414" s="59"/>
      <c r="GQ414" s="59"/>
      <c r="GR414" s="61">
        <v>0.1</v>
      </c>
      <c r="GS414" s="62">
        <f t="shared" si="414"/>
        <v>3.7079767251461995</v>
      </c>
      <c r="GT414" s="64">
        <v>1.2500000000000001E-2</v>
      </c>
      <c r="GU414" s="62">
        <f t="shared" si="415"/>
        <v>0.46349709064327493</v>
      </c>
      <c r="GV414" s="61">
        <v>0.02</v>
      </c>
      <c r="GW414" s="62">
        <f t="shared" si="416"/>
        <v>8.1871345029239762E-2</v>
      </c>
      <c r="GX414" s="62">
        <f t="shared" si="417"/>
        <v>4.2533451608187134</v>
      </c>
      <c r="GY414" s="59" t="s">
        <v>130</v>
      </c>
      <c r="GZ414" s="59" t="s">
        <v>130</v>
      </c>
      <c r="HA414" s="62">
        <v>650</v>
      </c>
      <c r="HB414" s="62">
        <v>450</v>
      </c>
      <c r="HC414" s="59">
        <v>210</v>
      </c>
      <c r="HD414" s="59">
        <v>40</v>
      </c>
      <c r="HE414" s="59">
        <v>40</v>
      </c>
      <c r="HF414" s="62">
        <f t="shared" si="418"/>
        <v>1</v>
      </c>
      <c r="HG414" s="59">
        <v>5</v>
      </c>
      <c r="HH414" s="62">
        <f t="shared" si="419"/>
        <v>5</v>
      </c>
      <c r="HI414" s="59">
        <v>550</v>
      </c>
      <c r="HJ414" s="62">
        <f t="shared" si="420"/>
        <v>2750</v>
      </c>
      <c r="HK414" s="59"/>
      <c r="HL414" s="59"/>
      <c r="HM414" s="62">
        <v>2</v>
      </c>
      <c r="HN414" s="65">
        <f t="shared" si="421"/>
        <v>24000</v>
      </c>
      <c r="HO414" s="62">
        <f t="shared" si="422"/>
        <v>0.11458333333333333</v>
      </c>
      <c r="HP414" s="62">
        <v>160</v>
      </c>
      <c r="HQ414" s="59">
        <v>0</v>
      </c>
      <c r="HR414" s="62">
        <v>0</v>
      </c>
      <c r="HS414" s="62">
        <v>0</v>
      </c>
      <c r="HT414" s="62">
        <f t="shared" si="423"/>
        <v>0</v>
      </c>
      <c r="HU414" s="62"/>
      <c r="HV414" s="62">
        <f t="shared" si="424"/>
        <v>0.11458333333333333</v>
      </c>
      <c r="HW414" s="62"/>
      <c r="HX414" s="62">
        <v>2917</v>
      </c>
      <c r="HY414" s="62">
        <v>1689</v>
      </c>
      <c r="HZ414" s="62">
        <v>1842</v>
      </c>
      <c r="IA414" s="62">
        <f t="shared" si="425"/>
        <v>4</v>
      </c>
      <c r="IB414" s="62">
        <f t="shared" si="426"/>
        <v>3</v>
      </c>
      <c r="IC414" s="62">
        <f t="shared" si="427"/>
        <v>8</v>
      </c>
      <c r="ID414" s="61">
        <v>1</v>
      </c>
      <c r="IE414" s="161">
        <f>PRODUCT(IA414:ID414)-42</f>
        <v>54</v>
      </c>
      <c r="IF414" s="62">
        <v>500</v>
      </c>
      <c r="IG414" s="62">
        <f t="shared" si="428"/>
        <v>0.23148148148148148</v>
      </c>
      <c r="IH414" s="62"/>
      <c r="II414" s="64"/>
      <c r="IJ414" s="62"/>
      <c r="IK414" s="62"/>
    </row>
    <row r="415" spans="1:302" ht="30">
      <c r="A415">
        <v>234</v>
      </c>
      <c r="B415" t="s">
        <v>468</v>
      </c>
      <c r="C415" s="376" t="s">
        <v>936</v>
      </c>
      <c r="D415" s="28" t="s">
        <v>675</v>
      </c>
      <c r="E415" s="27" t="s">
        <v>676</v>
      </c>
      <c r="F415" s="5" t="s">
        <v>2182</v>
      </c>
      <c r="G415" s="27" t="s">
        <v>90</v>
      </c>
      <c r="I415" s="27" t="s">
        <v>121</v>
      </c>
      <c r="J415" s="28">
        <v>21480</v>
      </c>
      <c r="K415" s="27" t="s">
        <v>97</v>
      </c>
      <c r="L415" s="114"/>
      <c r="M415" s="114"/>
      <c r="N415" s="380"/>
      <c r="O415" s="380"/>
      <c r="P415" s="380"/>
      <c r="Q415" s="28" t="s">
        <v>1040</v>
      </c>
      <c r="R415" s="28" t="s">
        <v>1034</v>
      </c>
      <c r="S415" s="27"/>
      <c r="T415" s="27"/>
      <c r="U415" s="27"/>
      <c r="V415" s="319"/>
      <c r="W415" s="140" t="s">
        <v>956</v>
      </c>
      <c r="X415" s="140"/>
      <c r="Y415" s="140"/>
      <c r="Z415" s="140"/>
      <c r="AA415" s="388" t="s">
        <v>937</v>
      </c>
      <c r="AB415" s="212">
        <v>236.33</v>
      </c>
      <c r="AC415" s="109">
        <v>20</v>
      </c>
      <c r="AD415" s="109" t="s">
        <v>935</v>
      </c>
      <c r="AE415" s="106">
        <f t="shared" si="392"/>
        <v>32.986200000000004</v>
      </c>
      <c r="AF415" s="106"/>
      <c r="AG415" s="106">
        <f t="shared" si="393"/>
        <v>4.0935672514619883</v>
      </c>
      <c r="AH415" s="106">
        <f t="shared" si="394"/>
        <v>6.65</v>
      </c>
      <c r="AI415" s="106">
        <f t="shared" si="395"/>
        <v>0.19950000000000001</v>
      </c>
      <c r="AJ415" s="106">
        <f t="shared" si="396"/>
        <v>8.1871345029239762E-2</v>
      </c>
      <c r="AK415" s="106">
        <f t="shared" si="397"/>
        <v>0.46349709064327493</v>
      </c>
      <c r="AL415" s="106">
        <f t="shared" si="398"/>
        <v>3.7079767251461995</v>
      </c>
      <c r="AM415" s="106">
        <f t="shared" si="399"/>
        <v>0.11458333333333333</v>
      </c>
      <c r="AN415" s="106">
        <f t="shared" si="400"/>
        <v>0.23148148148148148</v>
      </c>
      <c r="AO415" s="119">
        <f t="shared" si="401"/>
        <v>0</v>
      </c>
      <c r="AP415" s="119"/>
      <c r="AQ415" s="106">
        <f t="shared" si="402"/>
        <v>48.528677227095521</v>
      </c>
      <c r="AR415" s="106">
        <f t="shared" si="403"/>
        <v>0</v>
      </c>
      <c r="AS415" s="106">
        <f t="shared" si="404"/>
        <v>0</v>
      </c>
      <c r="AT415" s="106">
        <v>0</v>
      </c>
      <c r="AU415" s="106">
        <f>48.56-48.53</f>
        <v>3.0000000000001137E-2</v>
      </c>
      <c r="AV415" s="106">
        <f t="shared" si="405"/>
        <v>48.558677227095522</v>
      </c>
      <c r="AW415" s="138">
        <v>0.14000000000000001</v>
      </c>
      <c r="AX415" s="138">
        <v>0.13500000000000001</v>
      </c>
      <c r="AY415" s="108">
        <v>1</v>
      </c>
      <c r="AZ415" s="109">
        <f t="shared" si="406"/>
        <v>5.0000000000000044E-3</v>
      </c>
      <c r="BA415" s="109">
        <f t="shared" si="407"/>
        <v>32.986200000000004</v>
      </c>
      <c r="BB415" s="109"/>
      <c r="BC415" s="109"/>
      <c r="BD415" s="109"/>
      <c r="BE415" s="109"/>
      <c r="BF415" s="109"/>
      <c r="BG415" s="109"/>
      <c r="BH415" s="109"/>
      <c r="BI415" s="109"/>
      <c r="BJ415" s="109"/>
      <c r="BK415" s="109"/>
      <c r="BL415" s="109"/>
      <c r="BM415" s="109"/>
      <c r="BN415" s="109"/>
      <c r="BO415" s="109"/>
      <c r="BP415" s="109"/>
      <c r="BQ415" s="109"/>
      <c r="BR415" s="109"/>
      <c r="BS415" s="109"/>
      <c r="BT415" s="109"/>
      <c r="BU415" s="109"/>
      <c r="BV415" s="109"/>
      <c r="BW415" s="109"/>
      <c r="BX415" s="109"/>
      <c r="BY415" s="109"/>
      <c r="BZ415" s="109"/>
      <c r="CA415" s="109"/>
      <c r="CB415" s="109"/>
      <c r="CC415" s="109"/>
      <c r="CD415" s="105"/>
      <c r="CE415" s="109">
        <v>0</v>
      </c>
      <c r="CF415" s="109">
        <v>2</v>
      </c>
      <c r="CG415" s="109">
        <f>3.2+0.25/2</f>
        <v>3.3250000000000002</v>
      </c>
      <c r="CH415" s="105">
        <f t="shared" si="408"/>
        <v>6.65</v>
      </c>
      <c r="CI415" s="139"/>
      <c r="CJ415" s="105"/>
      <c r="CK415" s="105"/>
      <c r="CL415" s="105"/>
      <c r="CM415" s="105"/>
      <c r="CN415" s="139"/>
      <c r="CO415" s="105"/>
      <c r="CP415" s="105"/>
      <c r="CQ415" s="105"/>
      <c r="CR415" s="105"/>
      <c r="CS415" s="105"/>
      <c r="CT415" s="105"/>
      <c r="CU415" s="105"/>
      <c r="CV415" s="105"/>
      <c r="CW415" s="105"/>
      <c r="CX415" s="105"/>
      <c r="CY415" s="105"/>
      <c r="CZ415" s="105"/>
      <c r="DA415" s="105"/>
      <c r="DB415" s="105"/>
      <c r="DC415" s="105"/>
      <c r="DD415" s="105"/>
      <c r="DE415" s="105"/>
      <c r="DF415" s="105"/>
      <c r="DG415" s="105"/>
      <c r="DH415" s="105"/>
      <c r="DI415" s="105"/>
      <c r="DJ415" s="105"/>
      <c r="DK415" s="105"/>
      <c r="DL415" s="105"/>
      <c r="DM415" s="109">
        <f t="shared" si="409"/>
        <v>6.65</v>
      </c>
      <c r="DN415" s="110">
        <v>0.03</v>
      </c>
      <c r="DO415" s="109">
        <f t="shared" si="410"/>
        <v>0.19950000000000001</v>
      </c>
      <c r="DP415" s="109">
        <f t="shared" si="411"/>
        <v>6.8495000000000008</v>
      </c>
      <c r="DQ415" s="109"/>
      <c r="DR415" s="109"/>
      <c r="DS415" s="109"/>
      <c r="DT415" s="109"/>
      <c r="DU415" s="109"/>
      <c r="DV415" s="109"/>
      <c r="DW415" s="109"/>
      <c r="DX415" s="109"/>
      <c r="DY415" s="109"/>
      <c r="DZ415" s="109"/>
      <c r="EA415" s="109"/>
      <c r="EB415" s="109"/>
      <c r="EC415" s="109"/>
      <c r="ED415" s="109"/>
      <c r="EE415" s="109"/>
      <c r="EF415" s="105">
        <v>280</v>
      </c>
      <c r="EG415" s="105">
        <v>2800</v>
      </c>
      <c r="EH415" s="105">
        <v>8</v>
      </c>
      <c r="EI415" s="108">
        <v>0.95</v>
      </c>
      <c r="EJ415" s="105">
        <v>2</v>
      </c>
      <c r="EK415" s="105">
        <v>80</v>
      </c>
      <c r="EL415" s="111">
        <f t="shared" si="412"/>
        <v>684</v>
      </c>
      <c r="EM415" s="105"/>
      <c r="EN415" s="105"/>
      <c r="EO415" s="105"/>
      <c r="EP415" s="105"/>
      <c r="EQ415" s="105"/>
      <c r="ER415" s="105"/>
      <c r="ES415" s="105"/>
      <c r="ET415" s="105"/>
      <c r="EU415" s="109">
        <f t="shared" si="413"/>
        <v>4.0935672514619883</v>
      </c>
      <c r="EV415" s="109"/>
      <c r="EW415" s="109"/>
      <c r="EX415" s="105"/>
      <c r="EY415" s="105"/>
      <c r="EZ415" s="105"/>
      <c r="FA415" s="105"/>
      <c r="FB415" s="105"/>
      <c r="FC415" s="105"/>
      <c r="FD415" s="105"/>
      <c r="FE415" s="105"/>
      <c r="FF415" s="105"/>
      <c r="FG415" s="105"/>
      <c r="FH415" s="105"/>
      <c r="FI415" s="105"/>
      <c r="FJ415" s="105"/>
      <c r="FK415" s="105"/>
      <c r="FL415" s="105"/>
      <c r="FM415" s="105"/>
      <c r="FN415" s="105"/>
      <c r="FO415" s="105"/>
      <c r="FP415" s="105"/>
      <c r="FQ415" s="105"/>
      <c r="FR415" s="105"/>
      <c r="FS415" s="105"/>
      <c r="FT415" s="105"/>
      <c r="FU415" s="105"/>
      <c r="FV415" s="105"/>
      <c r="FW415" s="105"/>
      <c r="FX415" s="105"/>
      <c r="FY415" s="105"/>
      <c r="FZ415" s="105"/>
      <c r="GA415" s="105"/>
      <c r="GB415" s="105"/>
      <c r="GC415" s="105"/>
      <c r="GD415" s="105"/>
      <c r="GE415" s="105"/>
      <c r="GF415" s="105"/>
      <c r="GG415" s="105"/>
      <c r="GH415" s="105"/>
      <c r="GI415" s="105"/>
      <c r="GJ415" s="105"/>
      <c r="GK415" s="105"/>
      <c r="GL415" s="105"/>
      <c r="GM415" s="105"/>
      <c r="GN415" s="105"/>
      <c r="GO415" s="105"/>
      <c r="GP415" s="105"/>
      <c r="GQ415" s="105"/>
      <c r="GR415" s="108">
        <v>0.1</v>
      </c>
      <c r="GS415" s="109">
        <f t="shared" si="414"/>
        <v>3.7079767251461995</v>
      </c>
      <c r="GT415" s="110">
        <v>1.2500000000000001E-2</v>
      </c>
      <c r="GU415" s="109">
        <f t="shared" si="415"/>
        <v>0.46349709064327493</v>
      </c>
      <c r="GV415" s="108">
        <v>0.02</v>
      </c>
      <c r="GW415" s="109">
        <f t="shared" si="416"/>
        <v>8.1871345029239762E-2</v>
      </c>
      <c r="GX415" s="109">
        <f t="shared" si="417"/>
        <v>4.2533451608187134</v>
      </c>
      <c r="GY415" s="105" t="s">
        <v>130</v>
      </c>
      <c r="GZ415" s="105" t="s">
        <v>130</v>
      </c>
      <c r="HA415" s="109">
        <v>650</v>
      </c>
      <c r="HB415" s="109">
        <v>450</v>
      </c>
      <c r="HC415" s="105">
        <v>210</v>
      </c>
      <c r="HD415" s="105">
        <v>40</v>
      </c>
      <c r="HE415" s="105">
        <v>40</v>
      </c>
      <c r="HF415" s="109">
        <f t="shared" si="418"/>
        <v>1</v>
      </c>
      <c r="HG415" s="105">
        <v>5</v>
      </c>
      <c r="HH415" s="109">
        <f t="shared" si="419"/>
        <v>5</v>
      </c>
      <c r="HI415" s="105">
        <v>550</v>
      </c>
      <c r="HJ415" s="109">
        <f t="shared" si="420"/>
        <v>2750</v>
      </c>
      <c r="HK415" s="105"/>
      <c r="HL415" s="105"/>
      <c r="HM415" s="109">
        <v>2</v>
      </c>
      <c r="HN415" s="111">
        <f t="shared" si="421"/>
        <v>24000</v>
      </c>
      <c r="HO415" s="109">
        <f t="shared" si="422"/>
        <v>0.11458333333333333</v>
      </c>
      <c r="HP415" s="109">
        <v>160</v>
      </c>
      <c r="HQ415" s="105">
        <v>0</v>
      </c>
      <c r="HR415" s="109">
        <v>0</v>
      </c>
      <c r="HS415" s="109">
        <v>0</v>
      </c>
      <c r="HT415" s="109">
        <f t="shared" si="423"/>
        <v>0</v>
      </c>
      <c r="HU415" s="109"/>
      <c r="HV415" s="109">
        <f t="shared" si="424"/>
        <v>0.11458333333333333</v>
      </c>
      <c r="HW415" s="109"/>
      <c r="HX415" s="109">
        <v>2917</v>
      </c>
      <c r="HY415" s="109">
        <v>1689</v>
      </c>
      <c r="HZ415" s="109">
        <v>1842</v>
      </c>
      <c r="IA415" s="109">
        <f t="shared" si="425"/>
        <v>4</v>
      </c>
      <c r="IB415" s="109">
        <f t="shared" si="426"/>
        <v>3</v>
      </c>
      <c r="IC415" s="109">
        <f t="shared" si="427"/>
        <v>8</v>
      </c>
      <c r="ID415" s="108">
        <v>1</v>
      </c>
      <c r="IE415" s="279">
        <f>PRODUCT(IA415:ID415)-42</f>
        <v>54</v>
      </c>
      <c r="IF415" s="109">
        <v>500</v>
      </c>
      <c r="IG415" s="109">
        <f t="shared" si="428"/>
        <v>0.23148148148148148</v>
      </c>
      <c r="IH415" s="109"/>
      <c r="II415" s="110"/>
      <c r="IJ415" s="109"/>
      <c r="IK415" s="109"/>
      <c r="IL415" s="114"/>
      <c r="IM415" s="114"/>
      <c r="IN415" s="114"/>
      <c r="IO415" s="114"/>
      <c r="IP415" s="114"/>
      <c r="IQ415" s="114"/>
      <c r="IR415" s="114"/>
      <c r="IS415" s="114"/>
      <c r="IT415" s="114"/>
      <c r="IU415" s="114"/>
      <c r="IV415" s="114"/>
      <c r="IW415" s="114"/>
      <c r="IX415" s="114"/>
      <c r="IY415" s="114"/>
      <c r="IZ415" s="114"/>
      <c r="JA415" s="114"/>
      <c r="JB415" s="114"/>
      <c r="JC415" s="114"/>
      <c r="JD415" s="114"/>
      <c r="JE415" s="114"/>
      <c r="JF415" s="114"/>
      <c r="JG415" s="114"/>
      <c r="JH415" s="114"/>
      <c r="JI415" s="114"/>
      <c r="JJ415" s="114"/>
      <c r="JK415" s="114"/>
      <c r="JL415" s="114"/>
      <c r="JM415" s="114"/>
      <c r="JN415" s="114"/>
      <c r="JO415" s="114"/>
      <c r="JP415" s="114"/>
      <c r="JQ415" s="114"/>
      <c r="JR415" s="114"/>
      <c r="JS415" s="114"/>
      <c r="JT415" s="114"/>
      <c r="JU415" s="114"/>
      <c r="JV415" s="114"/>
      <c r="JW415" s="114"/>
      <c r="JX415" s="114"/>
      <c r="JY415" s="114"/>
      <c r="JZ415" s="114"/>
      <c r="KA415" s="114"/>
      <c r="KB415" s="114"/>
      <c r="KC415" s="319"/>
      <c r="KD415" s="319"/>
      <c r="KE415" s="319"/>
      <c r="KF415" s="114"/>
      <c r="KG415" s="114"/>
      <c r="KH415" s="114"/>
      <c r="KI415" s="114"/>
      <c r="KJ415" s="114"/>
      <c r="KK415" s="114"/>
      <c r="KL415" s="114"/>
      <c r="KM415" s="114"/>
      <c r="KN415" s="114"/>
      <c r="KO415" s="114"/>
      <c r="KP415" s="114"/>
    </row>
    <row r="416" spans="1:302" ht="30">
      <c r="A416">
        <v>235</v>
      </c>
      <c r="B416" t="s">
        <v>468</v>
      </c>
      <c r="C416" s="376" t="s">
        <v>938</v>
      </c>
      <c r="D416" s="28" t="s">
        <v>677</v>
      </c>
      <c r="E416" s="27" t="s">
        <v>678</v>
      </c>
      <c r="F416" s="5" t="s">
        <v>2182</v>
      </c>
      <c r="G416" s="27" t="s">
        <v>90</v>
      </c>
      <c r="I416" s="27" t="s">
        <v>121</v>
      </c>
      <c r="J416" s="28">
        <v>21480</v>
      </c>
      <c r="K416" s="27" t="s">
        <v>97</v>
      </c>
      <c r="N416" s="28"/>
      <c r="O416" s="28"/>
      <c r="P416" s="28"/>
      <c r="Q416" s="28" t="s">
        <v>1040</v>
      </c>
      <c r="R416" s="28" t="s">
        <v>1034</v>
      </c>
      <c r="S416" s="27"/>
      <c r="T416" s="27"/>
      <c r="U416" s="27"/>
      <c r="W416" s="140" t="s">
        <v>957</v>
      </c>
      <c r="X416" s="140"/>
      <c r="Y416" s="140"/>
      <c r="Z416" s="140"/>
      <c r="AA416" s="244" t="s">
        <v>939</v>
      </c>
      <c r="AB416" s="201">
        <v>102.02</v>
      </c>
      <c r="AC416" s="118">
        <f>AB416-5</f>
        <v>97.02</v>
      </c>
      <c r="AD416" s="118" t="s">
        <v>935</v>
      </c>
      <c r="AE416" s="119">
        <f t="shared" si="392"/>
        <v>20.21996</v>
      </c>
      <c r="AF416" s="119"/>
      <c r="AG416" s="119">
        <f t="shared" si="393"/>
        <v>5.2266081871345031</v>
      </c>
      <c r="AH416" s="119">
        <f t="shared" si="394"/>
        <v>0.25</v>
      </c>
      <c r="AI416" s="119">
        <f t="shared" si="395"/>
        <v>3.1250000000000002E-3</v>
      </c>
      <c r="AJ416" s="119">
        <f t="shared" si="396"/>
        <v>0.10453216374269006</v>
      </c>
      <c r="AK416" s="119">
        <f t="shared" si="397"/>
        <v>0.31808210233918133</v>
      </c>
      <c r="AL416" s="119">
        <f t="shared" si="398"/>
        <v>2.5446568187134506</v>
      </c>
      <c r="AM416" s="119">
        <f t="shared" si="399"/>
        <v>0.22916666666666666</v>
      </c>
      <c r="AN416" s="119">
        <f t="shared" si="400"/>
        <v>0.46296296296296297</v>
      </c>
      <c r="AO416" s="119">
        <f t="shared" si="401"/>
        <v>0</v>
      </c>
      <c r="AP416" s="119"/>
      <c r="AQ416" s="119">
        <f t="shared" si="402"/>
        <v>29.359093901559458</v>
      </c>
      <c r="AR416" s="119">
        <f t="shared" si="403"/>
        <v>0</v>
      </c>
      <c r="AS416" s="119">
        <f t="shared" si="404"/>
        <v>0</v>
      </c>
      <c r="AT416" s="119">
        <v>0</v>
      </c>
      <c r="AU416" s="119">
        <f>29.44-29.36</f>
        <v>8.0000000000001847E-2</v>
      </c>
      <c r="AV416" s="106">
        <f t="shared" si="405"/>
        <v>29.43909390155946</v>
      </c>
      <c r="AW416" s="124">
        <v>0.20200000000000001</v>
      </c>
      <c r="AX416" s="124">
        <v>0.19800000000000001</v>
      </c>
      <c r="AY416" s="120">
        <v>1</v>
      </c>
      <c r="AZ416" s="118">
        <f t="shared" si="406"/>
        <v>4.0000000000000036E-3</v>
      </c>
      <c r="BA416" s="118">
        <f t="shared" si="407"/>
        <v>20.21996</v>
      </c>
      <c r="BB416" s="118"/>
      <c r="BC416" s="118"/>
      <c r="BD416" s="118"/>
      <c r="BE416" s="118"/>
      <c r="BF416" s="118"/>
      <c r="BG416" s="118"/>
      <c r="BH416" s="118"/>
      <c r="BI416" s="118"/>
      <c r="BJ416" s="118"/>
      <c r="BK416" s="118"/>
      <c r="BL416" s="118"/>
      <c r="BM416" s="118"/>
      <c r="BN416" s="118"/>
      <c r="BO416" s="118"/>
      <c r="BP416" s="118"/>
      <c r="BQ416" s="118"/>
      <c r="BR416" s="118"/>
      <c r="BS416" s="118"/>
      <c r="BT416" s="118"/>
      <c r="BU416" s="118"/>
      <c r="BV416" s="118"/>
      <c r="BW416" s="118"/>
      <c r="BX416" s="118"/>
      <c r="BY416" s="118"/>
      <c r="BZ416" s="118"/>
      <c r="CA416" s="118"/>
      <c r="CB416" s="118"/>
      <c r="CC416" s="118"/>
      <c r="CD416" s="114"/>
      <c r="CE416" s="109">
        <v>0</v>
      </c>
      <c r="CF416" s="109">
        <v>1</v>
      </c>
      <c r="CG416" s="109">
        <v>0.25</v>
      </c>
      <c r="CH416" s="105">
        <f t="shared" si="408"/>
        <v>0.25</v>
      </c>
      <c r="CI416" s="139"/>
      <c r="CJ416" s="105"/>
      <c r="CK416" s="105">
        <v>0</v>
      </c>
      <c r="CL416" s="105">
        <v>0</v>
      </c>
      <c r="CM416" s="105">
        <f>CK416*CL416</f>
        <v>0</v>
      </c>
      <c r="CN416" s="139"/>
      <c r="CO416" s="105"/>
      <c r="CP416" s="105">
        <v>0</v>
      </c>
      <c r="CQ416" s="105">
        <v>0</v>
      </c>
      <c r="CR416" s="105">
        <f>CP416*CQ416</f>
        <v>0</v>
      </c>
      <c r="CS416" s="105"/>
      <c r="CT416" s="105"/>
      <c r="CU416" s="105">
        <v>0</v>
      </c>
      <c r="CV416" s="105">
        <v>0</v>
      </c>
      <c r="CW416" s="105">
        <f>CU416*CV416</f>
        <v>0</v>
      </c>
      <c r="CX416" s="105"/>
      <c r="CY416" s="105"/>
      <c r="CZ416" s="105"/>
      <c r="DA416" s="105"/>
      <c r="DB416" s="105"/>
      <c r="DC416" s="105"/>
      <c r="DD416" s="105"/>
      <c r="DE416" s="105"/>
      <c r="DF416" s="105"/>
      <c r="DG416" s="105"/>
      <c r="DH416" s="105"/>
      <c r="DI416" s="105"/>
      <c r="DJ416" s="105"/>
      <c r="DK416" s="105"/>
      <c r="DL416" s="105"/>
      <c r="DM416" s="109">
        <f t="shared" si="409"/>
        <v>0.25</v>
      </c>
      <c r="DN416" s="110">
        <v>1.2500000000000001E-2</v>
      </c>
      <c r="DO416" s="109">
        <f t="shared" si="410"/>
        <v>3.1250000000000002E-3</v>
      </c>
      <c r="DP416" s="109">
        <f t="shared" si="411"/>
        <v>0.25312499999999999</v>
      </c>
      <c r="DQ416" s="109"/>
      <c r="DR416" s="109"/>
      <c r="DS416" s="109"/>
      <c r="DT416" s="109"/>
      <c r="DU416" s="109"/>
      <c r="DV416" s="109"/>
      <c r="DW416" s="109"/>
      <c r="DX416" s="109"/>
      <c r="DY416" s="109"/>
      <c r="DZ416" s="109"/>
      <c r="EA416" s="109"/>
      <c r="EB416" s="109"/>
      <c r="EC416" s="109"/>
      <c r="ED416" s="109"/>
      <c r="EE416" s="109"/>
      <c r="EF416" s="105">
        <v>220</v>
      </c>
      <c r="EG416" s="105">
        <v>2200</v>
      </c>
      <c r="EH416" s="105">
        <v>8</v>
      </c>
      <c r="EI416" s="120">
        <v>0.95</v>
      </c>
      <c r="EJ416" s="105">
        <v>1</v>
      </c>
      <c r="EK416" s="105">
        <v>65</v>
      </c>
      <c r="EL416" s="111">
        <f t="shared" si="412"/>
        <v>420.92307692307691</v>
      </c>
      <c r="EM416" s="114"/>
      <c r="EN416" s="114"/>
      <c r="EO416" s="114"/>
      <c r="EP416" s="114"/>
      <c r="EQ416" s="114"/>
      <c r="ER416" s="114"/>
      <c r="ES416" s="114"/>
      <c r="ET416" s="114"/>
      <c r="EU416" s="109">
        <f t="shared" si="413"/>
        <v>5.2266081871345031</v>
      </c>
      <c r="EV416" s="109"/>
      <c r="EW416" s="109"/>
      <c r="EX416" s="114"/>
      <c r="EY416" s="114"/>
      <c r="EZ416" s="114"/>
      <c r="FA416" s="114"/>
      <c r="FB416" s="114"/>
      <c r="FC416" s="114"/>
      <c r="FD416" s="114"/>
      <c r="FE416" s="114"/>
      <c r="FF416" s="114"/>
      <c r="FG416" s="114"/>
      <c r="FH416" s="114"/>
      <c r="FI416" s="114"/>
      <c r="FJ416" s="114"/>
      <c r="FK416" s="114"/>
      <c r="FL416" s="114"/>
      <c r="FM416" s="114"/>
      <c r="FN416" s="114"/>
      <c r="FO416" s="114"/>
      <c r="FP416" s="114"/>
      <c r="FQ416" s="114"/>
      <c r="FR416" s="114"/>
      <c r="FS416" s="114"/>
      <c r="FT416" s="114"/>
      <c r="FU416" s="114"/>
      <c r="FV416" s="114"/>
      <c r="FW416" s="114"/>
      <c r="FX416" s="114"/>
      <c r="FY416" s="114"/>
      <c r="FZ416" s="114"/>
      <c r="GA416" s="114"/>
      <c r="GB416" s="114"/>
      <c r="GC416" s="114"/>
      <c r="GD416" s="114"/>
      <c r="GE416" s="114"/>
      <c r="GF416" s="114"/>
      <c r="GG416" s="114"/>
      <c r="GH416" s="114"/>
      <c r="GI416" s="114"/>
      <c r="GJ416" s="114"/>
      <c r="GK416" s="114"/>
      <c r="GL416" s="114"/>
      <c r="GM416" s="114"/>
      <c r="GN416" s="114"/>
      <c r="GO416" s="114"/>
      <c r="GP416" s="114"/>
      <c r="GQ416" s="114"/>
      <c r="GR416" s="120">
        <v>0.1</v>
      </c>
      <c r="GS416" s="118">
        <f t="shared" si="414"/>
        <v>2.5446568187134506</v>
      </c>
      <c r="GT416" s="125">
        <v>1.2500000000000001E-2</v>
      </c>
      <c r="GU416" s="118">
        <f t="shared" si="415"/>
        <v>0.31808210233918133</v>
      </c>
      <c r="GV416" s="120">
        <v>0.02</v>
      </c>
      <c r="GW416" s="118">
        <f t="shared" si="416"/>
        <v>0.10453216374269006</v>
      </c>
      <c r="GX416" s="118">
        <f t="shared" si="417"/>
        <v>2.9672710847953216</v>
      </c>
      <c r="GY416" s="105" t="s">
        <v>130</v>
      </c>
      <c r="GZ416" s="105" t="s">
        <v>130</v>
      </c>
      <c r="HA416" s="118">
        <v>650</v>
      </c>
      <c r="HB416" s="118">
        <v>450</v>
      </c>
      <c r="HC416" s="105">
        <v>315</v>
      </c>
      <c r="HD416" s="105">
        <v>20</v>
      </c>
      <c r="HE416" s="105">
        <v>40</v>
      </c>
      <c r="HF416" s="118">
        <f t="shared" si="418"/>
        <v>2</v>
      </c>
      <c r="HG416" s="105">
        <v>5</v>
      </c>
      <c r="HH416" s="118">
        <f t="shared" si="419"/>
        <v>10</v>
      </c>
      <c r="HI416" s="105">
        <v>550</v>
      </c>
      <c r="HJ416" s="118">
        <f t="shared" si="420"/>
        <v>5500</v>
      </c>
      <c r="HK416" s="114"/>
      <c r="HL416" s="114"/>
      <c r="HM416" s="118">
        <v>2</v>
      </c>
      <c r="HN416" s="126">
        <f t="shared" si="421"/>
        <v>24000</v>
      </c>
      <c r="HO416" s="118">
        <f t="shared" si="422"/>
        <v>0.22916666666666666</v>
      </c>
      <c r="HP416" s="118">
        <v>160</v>
      </c>
      <c r="HQ416" s="114">
        <v>0</v>
      </c>
      <c r="HR416" s="118">
        <v>0</v>
      </c>
      <c r="HS416" s="118">
        <v>0</v>
      </c>
      <c r="HT416" s="118">
        <f t="shared" si="423"/>
        <v>0</v>
      </c>
      <c r="HU416" s="118"/>
      <c r="HV416" s="118">
        <f t="shared" si="424"/>
        <v>0.22916666666666666</v>
      </c>
      <c r="HW416" s="118"/>
      <c r="HX416" s="118">
        <v>2917</v>
      </c>
      <c r="HY416" s="118">
        <v>1689</v>
      </c>
      <c r="HZ416" s="118">
        <v>1842</v>
      </c>
      <c r="IA416" s="118">
        <f t="shared" si="425"/>
        <v>4</v>
      </c>
      <c r="IB416" s="118">
        <f t="shared" si="426"/>
        <v>3</v>
      </c>
      <c r="IC416" s="118">
        <f t="shared" si="427"/>
        <v>5</v>
      </c>
      <c r="ID416" s="108">
        <v>1</v>
      </c>
      <c r="IE416" s="279">
        <f>PRODUCT(IA416:ID416)-6</f>
        <v>54</v>
      </c>
      <c r="IF416" s="118">
        <v>500</v>
      </c>
      <c r="IG416" s="109">
        <f t="shared" si="428"/>
        <v>0.46296296296296297</v>
      </c>
      <c r="IH416" s="62"/>
    </row>
    <row r="417" spans="1:245" ht="30">
      <c r="A417">
        <v>236</v>
      </c>
      <c r="B417" t="s">
        <v>468</v>
      </c>
      <c r="C417" s="376" t="s">
        <v>940</v>
      </c>
      <c r="D417" s="28" t="s">
        <v>679</v>
      </c>
      <c r="E417" s="27" t="s">
        <v>680</v>
      </c>
      <c r="F417" s="5" t="s">
        <v>2182</v>
      </c>
      <c r="G417" s="27" t="s">
        <v>90</v>
      </c>
      <c r="I417" s="27" t="s">
        <v>121</v>
      </c>
      <c r="J417" s="28">
        <v>21480</v>
      </c>
      <c r="K417" s="27" t="s">
        <v>97</v>
      </c>
      <c r="N417" s="28"/>
      <c r="O417" s="28"/>
      <c r="P417" s="28"/>
      <c r="Q417" s="28" t="s">
        <v>1040</v>
      </c>
      <c r="R417" s="28" t="s">
        <v>1034</v>
      </c>
      <c r="S417" s="27"/>
      <c r="T417" s="27"/>
      <c r="U417" s="27"/>
      <c r="W417" s="163" t="s">
        <v>958</v>
      </c>
      <c r="X417" s="163"/>
      <c r="Y417" s="163"/>
      <c r="Z417" s="163"/>
      <c r="AA417" s="244" t="s">
        <v>939</v>
      </c>
      <c r="AB417" s="201">
        <v>102.02</v>
      </c>
      <c r="AC417" s="118">
        <f>AB417-5</f>
        <v>97.02</v>
      </c>
      <c r="AD417" s="118" t="s">
        <v>935</v>
      </c>
      <c r="AE417" s="119">
        <f t="shared" si="392"/>
        <v>3.9067600000000002</v>
      </c>
      <c r="AF417" s="119"/>
      <c r="AG417" s="119">
        <f t="shared" si="393"/>
        <v>3.3260233918128654</v>
      </c>
      <c r="AH417" s="119">
        <f t="shared" si="394"/>
        <v>0.25</v>
      </c>
      <c r="AI417" s="119">
        <f t="shared" si="395"/>
        <v>3.1250000000000002E-3</v>
      </c>
      <c r="AJ417" s="119">
        <f t="shared" si="396"/>
        <v>6.6520467836257313E-2</v>
      </c>
      <c r="AK417" s="119">
        <f t="shared" si="397"/>
        <v>9.0409792397660838E-2</v>
      </c>
      <c r="AL417" s="119">
        <f t="shared" si="398"/>
        <v>0.7232783391812867</v>
      </c>
      <c r="AM417" s="119">
        <f t="shared" si="399"/>
        <v>0.22916666666666666</v>
      </c>
      <c r="AN417" s="119">
        <f t="shared" si="400"/>
        <v>0.30864197530864196</v>
      </c>
      <c r="AO417" s="119">
        <f t="shared" si="401"/>
        <v>0</v>
      </c>
      <c r="AP417" s="119"/>
      <c r="AQ417" s="119">
        <f t="shared" si="402"/>
        <v>8.9039256332033787</v>
      </c>
      <c r="AR417" s="119">
        <f t="shared" si="403"/>
        <v>0</v>
      </c>
      <c r="AS417" s="119">
        <f t="shared" si="404"/>
        <v>0</v>
      </c>
      <c r="AT417" s="119">
        <v>0</v>
      </c>
      <c r="AU417" s="119">
        <f>8.98-8.9</f>
        <v>8.0000000000000071E-2</v>
      </c>
      <c r="AV417" s="106">
        <f t="shared" si="405"/>
        <v>8.9839256332033788</v>
      </c>
      <c r="AW417" s="124">
        <v>4.3999999999999997E-2</v>
      </c>
      <c r="AX417" s="124">
        <v>3.7999999999999999E-2</v>
      </c>
      <c r="AY417" s="120">
        <v>1</v>
      </c>
      <c r="AZ417" s="118">
        <f t="shared" si="406"/>
        <v>5.9999999999999984E-3</v>
      </c>
      <c r="BA417" s="118">
        <f t="shared" si="407"/>
        <v>3.9067600000000002</v>
      </c>
      <c r="BB417" s="118"/>
      <c r="BC417" s="118"/>
      <c r="BD417" s="118"/>
      <c r="BE417" s="118"/>
      <c r="BF417" s="118"/>
      <c r="BG417" s="118"/>
      <c r="BH417" s="118"/>
      <c r="BI417" s="118"/>
      <c r="BJ417" s="118"/>
      <c r="BK417" s="118"/>
      <c r="BL417" s="118"/>
      <c r="BM417" s="118"/>
      <c r="BN417" s="118"/>
      <c r="BO417" s="118"/>
      <c r="BP417" s="118"/>
      <c r="BQ417" s="118"/>
      <c r="BR417" s="118"/>
      <c r="BS417" s="118"/>
      <c r="BT417" s="118"/>
      <c r="BU417" s="118"/>
      <c r="BV417" s="118"/>
      <c r="BW417" s="118"/>
      <c r="BX417" s="118"/>
      <c r="BY417" s="118"/>
      <c r="BZ417" s="118"/>
      <c r="CA417" s="118"/>
      <c r="CB417" s="118"/>
      <c r="CC417" s="118"/>
      <c r="CD417" s="114"/>
      <c r="CE417" s="109">
        <v>0</v>
      </c>
      <c r="CF417" s="109">
        <v>1</v>
      </c>
      <c r="CG417" s="109">
        <v>0.25</v>
      </c>
      <c r="CH417" s="105">
        <f t="shared" si="408"/>
        <v>0.25</v>
      </c>
      <c r="CI417" s="139"/>
      <c r="CJ417" s="105"/>
      <c r="CK417" s="105">
        <v>0</v>
      </c>
      <c r="CL417" s="105">
        <v>0</v>
      </c>
      <c r="CM417" s="105">
        <f>CK417*CL417</f>
        <v>0</v>
      </c>
      <c r="CN417" s="139"/>
      <c r="CO417" s="105"/>
      <c r="CP417" s="105">
        <v>0</v>
      </c>
      <c r="CQ417" s="105">
        <v>0</v>
      </c>
      <c r="CR417" s="105">
        <f>CP417*CQ417</f>
        <v>0</v>
      </c>
      <c r="CS417" s="105"/>
      <c r="CT417" s="105"/>
      <c r="CU417" s="105">
        <v>0</v>
      </c>
      <c r="CV417" s="105">
        <v>0</v>
      </c>
      <c r="CW417" s="105">
        <f>CU417*CV417</f>
        <v>0</v>
      </c>
      <c r="CX417" s="105"/>
      <c r="CY417" s="105"/>
      <c r="CZ417" s="105"/>
      <c r="DA417" s="105"/>
      <c r="DB417" s="105"/>
      <c r="DC417" s="105"/>
      <c r="DD417" s="105"/>
      <c r="DE417" s="105"/>
      <c r="DF417" s="105"/>
      <c r="DG417" s="105"/>
      <c r="DH417" s="105"/>
      <c r="DI417" s="105"/>
      <c r="DJ417" s="105"/>
      <c r="DK417" s="105"/>
      <c r="DL417" s="105"/>
      <c r="DM417" s="109">
        <f t="shared" si="409"/>
        <v>0.25</v>
      </c>
      <c r="DN417" s="110">
        <v>1.2500000000000001E-2</v>
      </c>
      <c r="DO417" s="109">
        <f t="shared" si="410"/>
        <v>3.1250000000000002E-3</v>
      </c>
      <c r="DP417" s="109">
        <f t="shared" si="411"/>
        <v>0.25312499999999999</v>
      </c>
      <c r="DQ417" s="109"/>
      <c r="DR417" s="109"/>
      <c r="DS417" s="109"/>
      <c r="DT417" s="109"/>
      <c r="DU417" s="109"/>
      <c r="DV417" s="109"/>
      <c r="DW417" s="109"/>
      <c r="DX417" s="109"/>
      <c r="DY417" s="109"/>
      <c r="DZ417" s="109"/>
      <c r="EA417" s="109"/>
      <c r="EB417" s="109"/>
      <c r="EC417" s="109"/>
      <c r="ED417" s="109"/>
      <c r="EE417" s="109"/>
      <c r="EF417" s="105">
        <v>280</v>
      </c>
      <c r="EG417" s="105">
        <v>2800</v>
      </c>
      <c r="EH417" s="105">
        <v>8</v>
      </c>
      <c r="EI417" s="120">
        <v>0.95</v>
      </c>
      <c r="EJ417" s="105">
        <v>2</v>
      </c>
      <c r="EK417" s="105">
        <v>65</v>
      </c>
      <c r="EL417" s="111">
        <f t="shared" si="412"/>
        <v>841.84615384615381</v>
      </c>
      <c r="EM417" s="114"/>
      <c r="EN417" s="114"/>
      <c r="EO417" s="114"/>
      <c r="EP417" s="114"/>
      <c r="EQ417" s="114"/>
      <c r="ER417" s="114"/>
      <c r="ES417" s="114"/>
      <c r="ET417" s="114"/>
      <c r="EU417" s="109">
        <f t="shared" si="413"/>
        <v>3.3260233918128654</v>
      </c>
      <c r="EV417" s="109"/>
      <c r="EW417" s="109"/>
      <c r="EX417" s="114"/>
      <c r="EY417" s="114"/>
      <c r="EZ417" s="114"/>
      <c r="FA417" s="114"/>
      <c r="FB417" s="114"/>
      <c r="FC417" s="114"/>
      <c r="FD417" s="114"/>
      <c r="FE417" s="114"/>
      <c r="FF417" s="114"/>
      <c r="FG417" s="114"/>
      <c r="FH417" s="114"/>
      <c r="FI417" s="114"/>
      <c r="FJ417" s="114"/>
      <c r="FK417" s="114"/>
      <c r="FL417" s="114"/>
      <c r="FM417" s="114"/>
      <c r="FN417" s="114"/>
      <c r="FO417" s="114"/>
      <c r="FP417" s="114"/>
      <c r="FQ417" s="114"/>
      <c r="FR417" s="114"/>
      <c r="FS417" s="114"/>
      <c r="FT417" s="114"/>
      <c r="FU417" s="114"/>
      <c r="FV417" s="114"/>
      <c r="FW417" s="114"/>
      <c r="FX417" s="114"/>
      <c r="FY417" s="114"/>
      <c r="FZ417" s="114"/>
      <c r="GA417" s="114"/>
      <c r="GB417" s="114"/>
      <c r="GC417" s="114"/>
      <c r="GD417" s="114"/>
      <c r="GE417" s="114"/>
      <c r="GF417" s="114"/>
      <c r="GG417" s="114"/>
      <c r="GH417" s="114"/>
      <c r="GI417" s="114"/>
      <c r="GJ417" s="114"/>
      <c r="GK417" s="114"/>
      <c r="GL417" s="114"/>
      <c r="GM417" s="114"/>
      <c r="GN417" s="114"/>
      <c r="GO417" s="114"/>
      <c r="GP417" s="114"/>
      <c r="GQ417" s="114"/>
      <c r="GR417" s="120">
        <v>0.1</v>
      </c>
      <c r="GS417" s="118">
        <f t="shared" si="414"/>
        <v>0.7232783391812867</v>
      </c>
      <c r="GT417" s="125">
        <v>1.2500000000000001E-2</v>
      </c>
      <c r="GU417" s="118">
        <f t="shared" si="415"/>
        <v>9.0409792397660838E-2</v>
      </c>
      <c r="GV417" s="120">
        <v>0.02</v>
      </c>
      <c r="GW417" s="118">
        <f t="shared" si="416"/>
        <v>6.6520467836257313E-2</v>
      </c>
      <c r="GX417" s="118">
        <f t="shared" si="417"/>
        <v>0.8802085994152048</v>
      </c>
      <c r="GY417" s="105" t="s">
        <v>130</v>
      </c>
      <c r="GZ417" s="105" t="s">
        <v>130</v>
      </c>
      <c r="HA417" s="118">
        <v>650</v>
      </c>
      <c r="HB417" s="118">
        <v>450</v>
      </c>
      <c r="HC417" s="105">
        <v>210</v>
      </c>
      <c r="HD417" s="105">
        <v>30</v>
      </c>
      <c r="HE417" s="105">
        <v>40</v>
      </c>
      <c r="HF417" s="118">
        <f t="shared" si="418"/>
        <v>2</v>
      </c>
      <c r="HG417" s="105">
        <v>5</v>
      </c>
      <c r="HH417" s="118">
        <f t="shared" si="419"/>
        <v>10</v>
      </c>
      <c r="HI417" s="105">
        <v>550</v>
      </c>
      <c r="HJ417" s="118">
        <f t="shared" si="420"/>
        <v>5500</v>
      </c>
      <c r="HK417" s="114"/>
      <c r="HL417" s="114"/>
      <c r="HM417" s="118">
        <v>2</v>
      </c>
      <c r="HN417" s="126">
        <f t="shared" si="421"/>
        <v>24000</v>
      </c>
      <c r="HO417" s="118">
        <f t="shared" si="422"/>
        <v>0.22916666666666666</v>
      </c>
      <c r="HP417" s="118">
        <v>160</v>
      </c>
      <c r="HQ417" s="114">
        <v>0</v>
      </c>
      <c r="HR417" s="118">
        <v>0</v>
      </c>
      <c r="HS417" s="118">
        <v>0</v>
      </c>
      <c r="HT417" s="118">
        <f t="shared" si="423"/>
        <v>0</v>
      </c>
      <c r="HU417" s="118"/>
      <c r="HV417" s="118">
        <f t="shared" si="424"/>
        <v>0.22916666666666666</v>
      </c>
      <c r="HW417" s="118"/>
      <c r="HX417" s="118">
        <v>2917</v>
      </c>
      <c r="HY417" s="118">
        <v>1689</v>
      </c>
      <c r="HZ417" s="118">
        <v>1842</v>
      </c>
      <c r="IA417" s="118">
        <f t="shared" si="425"/>
        <v>4</v>
      </c>
      <c r="IB417" s="118">
        <f t="shared" si="426"/>
        <v>3</v>
      </c>
      <c r="IC417" s="118">
        <f t="shared" si="427"/>
        <v>8</v>
      </c>
      <c r="ID417" s="108">
        <v>1</v>
      </c>
      <c r="IE417" s="279">
        <f>PRODUCT(IA417:ID417)-42</f>
        <v>54</v>
      </c>
      <c r="IF417" s="118">
        <v>500</v>
      </c>
      <c r="IG417" s="109">
        <f t="shared" si="428"/>
        <v>0.30864197530864196</v>
      </c>
      <c r="IH417" s="62"/>
      <c r="II417" s="9"/>
      <c r="IJ417" s="4"/>
      <c r="IK417" s="4"/>
    </row>
    <row r="418" spans="1:245">
      <c r="A418">
        <v>237</v>
      </c>
      <c r="B418" t="s">
        <v>468</v>
      </c>
      <c r="C418" s="372" t="s">
        <v>942</v>
      </c>
      <c r="D418" s="28" t="s">
        <v>681</v>
      </c>
      <c r="E418" s="27" t="s">
        <v>114</v>
      </c>
      <c r="F418" s="5" t="s">
        <v>2182</v>
      </c>
      <c r="G418" s="27" t="s">
        <v>90</v>
      </c>
      <c r="I418" s="27" t="s">
        <v>121</v>
      </c>
      <c r="J418" s="28">
        <v>21480</v>
      </c>
      <c r="K418" s="27" t="s">
        <v>97</v>
      </c>
      <c r="L418" s="114"/>
      <c r="M418" s="114"/>
      <c r="N418" s="28"/>
      <c r="O418" s="28"/>
      <c r="P418" s="28"/>
      <c r="Q418" s="28" t="s">
        <v>1040</v>
      </c>
      <c r="R418" s="28" t="s">
        <v>1034</v>
      </c>
      <c r="S418" s="27"/>
      <c r="T418" s="27"/>
      <c r="U418" s="27"/>
      <c r="V418" s="319"/>
      <c r="W418" s="115"/>
      <c r="X418" s="115"/>
      <c r="Y418" s="115"/>
      <c r="Z418" s="115"/>
      <c r="AA418" s="244" t="s">
        <v>105</v>
      </c>
      <c r="AB418" s="201">
        <v>156.58000000000001</v>
      </c>
      <c r="AC418" s="118">
        <v>20</v>
      </c>
      <c r="AD418" s="118" t="s">
        <v>941</v>
      </c>
      <c r="AE418" s="119">
        <f t="shared" si="392"/>
        <v>15.258788000000001</v>
      </c>
      <c r="AF418" s="119"/>
      <c r="AG418" s="119">
        <f t="shared" si="393"/>
        <v>2.3026315789473686</v>
      </c>
      <c r="AH418" s="119">
        <f t="shared" si="394"/>
        <v>0</v>
      </c>
      <c r="AI418" s="119">
        <f t="shared" si="395"/>
        <v>0</v>
      </c>
      <c r="AJ418" s="119">
        <f t="shared" si="396"/>
        <v>4.6052631578947373E-2</v>
      </c>
      <c r="AK418" s="119">
        <f t="shared" si="397"/>
        <v>0.21951774473684213</v>
      </c>
      <c r="AL418" s="119">
        <f t="shared" si="398"/>
        <v>1.9317561536842105</v>
      </c>
      <c r="AM418" s="119">
        <f t="shared" si="399"/>
        <v>4.583333333333333E-2</v>
      </c>
      <c r="AN418" s="119">
        <f t="shared" si="400"/>
        <v>0.1736111111111111</v>
      </c>
      <c r="AO418" s="119">
        <f t="shared" si="401"/>
        <v>0</v>
      </c>
      <c r="AP418" s="119"/>
      <c r="AQ418" s="119">
        <f t="shared" si="402"/>
        <v>19.978190553391816</v>
      </c>
      <c r="AR418" s="119">
        <f t="shared" si="403"/>
        <v>0</v>
      </c>
      <c r="AS418" s="119">
        <f t="shared" si="404"/>
        <v>0</v>
      </c>
      <c r="AT418" s="119">
        <v>0</v>
      </c>
      <c r="AU418" s="119">
        <v>0</v>
      </c>
      <c r="AV418" s="106">
        <f t="shared" si="405"/>
        <v>19.978190553391816</v>
      </c>
      <c r="AW418" s="124">
        <v>9.8599999999999993E-2</v>
      </c>
      <c r="AX418" s="124">
        <v>8.9599999999999999E-2</v>
      </c>
      <c r="AY418" s="120">
        <v>1</v>
      </c>
      <c r="AZ418" s="118">
        <f t="shared" si="406"/>
        <v>8.9999999999999941E-3</v>
      </c>
      <c r="BA418" s="118">
        <f t="shared" si="407"/>
        <v>15.258788000000001</v>
      </c>
      <c r="BB418" s="118"/>
      <c r="BC418" s="118"/>
      <c r="BD418" s="118"/>
      <c r="BE418" s="118"/>
      <c r="BF418" s="118"/>
      <c r="BG418" s="118"/>
      <c r="BH418" s="118"/>
      <c r="BI418" s="118"/>
      <c r="BJ418" s="118"/>
      <c r="BK418" s="118"/>
      <c r="BL418" s="118"/>
      <c r="BM418" s="118"/>
      <c r="BN418" s="118"/>
      <c r="BO418" s="118"/>
      <c r="BP418" s="118"/>
      <c r="BQ418" s="118"/>
      <c r="BR418" s="118"/>
      <c r="BS418" s="118"/>
      <c r="BT418" s="118"/>
      <c r="BU418" s="118"/>
      <c r="BV418" s="118"/>
      <c r="BW418" s="118"/>
      <c r="BX418" s="118"/>
      <c r="BY418" s="118"/>
      <c r="BZ418" s="118"/>
      <c r="CA418" s="118"/>
      <c r="CB418" s="118"/>
      <c r="CC418" s="118"/>
      <c r="CD418" s="114"/>
      <c r="CE418" s="109">
        <v>0</v>
      </c>
      <c r="CF418" s="109">
        <v>0</v>
      </c>
      <c r="CG418" s="109">
        <v>0</v>
      </c>
      <c r="CH418" s="105">
        <f t="shared" si="408"/>
        <v>0</v>
      </c>
      <c r="CI418" s="139"/>
      <c r="CJ418" s="105"/>
      <c r="CK418" s="105">
        <v>0</v>
      </c>
      <c r="CL418" s="105">
        <v>0</v>
      </c>
      <c r="CM418" s="105">
        <f>CK418*CL418</f>
        <v>0</v>
      </c>
      <c r="CN418" s="139"/>
      <c r="CO418" s="105"/>
      <c r="CP418" s="105">
        <v>0</v>
      </c>
      <c r="CQ418" s="105">
        <v>0</v>
      </c>
      <c r="CR418" s="105">
        <f>CP418*CQ418</f>
        <v>0</v>
      </c>
      <c r="CS418" s="105"/>
      <c r="CT418" s="105"/>
      <c r="CU418" s="105">
        <v>0</v>
      </c>
      <c r="CV418" s="105">
        <v>0</v>
      </c>
      <c r="CW418" s="105">
        <f>CU418*CV418</f>
        <v>0</v>
      </c>
      <c r="CX418" s="105"/>
      <c r="CY418" s="105"/>
      <c r="CZ418" s="105"/>
      <c r="DA418" s="105"/>
      <c r="DB418" s="105"/>
      <c r="DC418" s="105"/>
      <c r="DD418" s="105"/>
      <c r="DE418" s="105"/>
      <c r="DF418" s="105"/>
      <c r="DG418" s="105"/>
      <c r="DH418" s="105"/>
      <c r="DI418" s="105"/>
      <c r="DJ418" s="105"/>
      <c r="DK418" s="105"/>
      <c r="DL418" s="105"/>
      <c r="DM418" s="109">
        <f t="shared" si="409"/>
        <v>0</v>
      </c>
      <c r="DN418" s="110">
        <v>1.2500000000000001E-2</v>
      </c>
      <c r="DO418" s="109">
        <f t="shared" si="410"/>
        <v>0</v>
      </c>
      <c r="DP418" s="109">
        <f t="shared" si="411"/>
        <v>0</v>
      </c>
      <c r="DQ418" s="109"/>
      <c r="DR418" s="109"/>
      <c r="DS418" s="109"/>
      <c r="DT418" s="109"/>
      <c r="DU418" s="109"/>
      <c r="DV418" s="109"/>
      <c r="DW418" s="109"/>
      <c r="DX418" s="109"/>
      <c r="DY418" s="109"/>
      <c r="DZ418" s="109"/>
      <c r="EA418" s="109"/>
      <c r="EB418" s="109"/>
      <c r="EC418" s="109"/>
      <c r="ED418" s="109"/>
      <c r="EE418" s="109"/>
      <c r="EF418" s="105">
        <v>280</v>
      </c>
      <c r="EG418" s="105">
        <v>2800</v>
      </c>
      <c r="EH418" s="105">
        <v>8</v>
      </c>
      <c r="EI418" s="120">
        <v>0.95</v>
      </c>
      <c r="EJ418" s="105">
        <v>4</v>
      </c>
      <c r="EK418" s="105">
        <v>90</v>
      </c>
      <c r="EL418" s="111">
        <f t="shared" si="412"/>
        <v>1216</v>
      </c>
      <c r="EM418" s="114"/>
      <c r="EN418" s="114"/>
      <c r="EO418" s="114"/>
      <c r="EP418" s="114"/>
      <c r="EQ418" s="389"/>
      <c r="ER418" s="114"/>
      <c r="ES418" s="114"/>
      <c r="ET418" s="114"/>
      <c r="EU418" s="109">
        <f t="shared" si="413"/>
        <v>2.3026315789473686</v>
      </c>
      <c r="EV418" s="109"/>
      <c r="EW418" s="109"/>
      <c r="EX418" s="114"/>
      <c r="EY418" s="114"/>
      <c r="EZ418" s="114"/>
      <c r="FA418" s="114"/>
      <c r="FB418" s="114"/>
      <c r="FC418" s="114"/>
      <c r="FD418" s="114"/>
      <c r="FE418" s="114"/>
      <c r="FF418" s="114"/>
      <c r="FG418" s="114"/>
      <c r="FH418" s="114"/>
      <c r="FI418" s="114"/>
      <c r="FJ418" s="114"/>
      <c r="FK418" s="114"/>
      <c r="FL418" s="114"/>
      <c r="FM418" s="114"/>
      <c r="FN418" s="114"/>
      <c r="FO418" s="114"/>
      <c r="FP418" s="114"/>
      <c r="FQ418" s="114"/>
      <c r="FR418" s="114"/>
      <c r="FS418" s="114"/>
      <c r="FT418" s="114"/>
      <c r="FU418" s="114"/>
      <c r="FV418" s="114"/>
      <c r="FW418" s="114"/>
      <c r="FX418" s="114"/>
      <c r="FY418" s="114"/>
      <c r="FZ418" s="114"/>
      <c r="GA418" s="114"/>
      <c r="GB418" s="114"/>
      <c r="GC418" s="114"/>
      <c r="GD418" s="114"/>
      <c r="GE418" s="114"/>
      <c r="GF418" s="114"/>
      <c r="GG418" s="114"/>
      <c r="GH418" s="114"/>
      <c r="GI418" s="114"/>
      <c r="GJ418" s="114"/>
      <c r="GK418" s="114"/>
      <c r="GL418" s="114"/>
      <c r="GM418" s="114"/>
      <c r="GN418" s="114"/>
      <c r="GO418" s="114"/>
      <c r="GP418" s="114"/>
      <c r="GQ418" s="114"/>
      <c r="GR418" s="120">
        <v>0.11</v>
      </c>
      <c r="GS418" s="118">
        <f t="shared" si="414"/>
        <v>1.9317561536842105</v>
      </c>
      <c r="GT418" s="125">
        <v>1.2500000000000001E-2</v>
      </c>
      <c r="GU418" s="118">
        <f t="shared" si="415"/>
        <v>0.21951774473684213</v>
      </c>
      <c r="GV418" s="120">
        <v>0.02</v>
      </c>
      <c r="GW418" s="118">
        <f t="shared" si="416"/>
        <v>4.6052631578947373E-2</v>
      </c>
      <c r="GX418" s="118">
        <f t="shared" si="417"/>
        <v>2.1973265299999998</v>
      </c>
      <c r="GY418" s="105" t="s">
        <v>130</v>
      </c>
      <c r="GZ418" s="105" t="s">
        <v>130</v>
      </c>
      <c r="HA418" s="118">
        <v>650</v>
      </c>
      <c r="HB418" s="118">
        <v>450</v>
      </c>
      <c r="HC418" s="105">
        <v>480</v>
      </c>
      <c r="HD418" s="105">
        <v>100</v>
      </c>
      <c r="HE418" s="105">
        <v>1000</v>
      </c>
      <c r="HF418" s="118">
        <f t="shared" si="418"/>
        <v>10</v>
      </c>
      <c r="HG418" s="105">
        <v>5</v>
      </c>
      <c r="HH418" s="118">
        <f t="shared" si="419"/>
        <v>50</v>
      </c>
      <c r="HI418" s="105">
        <v>550</v>
      </c>
      <c r="HJ418" s="118">
        <f t="shared" si="420"/>
        <v>27500</v>
      </c>
      <c r="HK418" s="114"/>
      <c r="HL418" s="114"/>
      <c r="HM418" s="118">
        <v>2</v>
      </c>
      <c r="HN418" s="126">
        <f t="shared" si="421"/>
        <v>600000</v>
      </c>
      <c r="HO418" s="118">
        <f t="shared" si="422"/>
        <v>4.583333333333333E-2</v>
      </c>
      <c r="HP418" s="118">
        <v>160</v>
      </c>
      <c r="HQ418" s="114">
        <v>0</v>
      </c>
      <c r="HR418" s="118">
        <v>0</v>
      </c>
      <c r="HS418" s="118">
        <v>0</v>
      </c>
      <c r="HT418" s="118">
        <f t="shared" si="423"/>
        <v>0</v>
      </c>
      <c r="HU418" s="118"/>
      <c r="HV418" s="118">
        <f t="shared" si="424"/>
        <v>4.583333333333333E-2</v>
      </c>
      <c r="HW418" s="118"/>
      <c r="HX418" s="118">
        <v>2917</v>
      </c>
      <c r="HY418" s="118">
        <v>1689</v>
      </c>
      <c r="HZ418" s="118">
        <v>1842</v>
      </c>
      <c r="IA418" s="118">
        <f t="shared" si="425"/>
        <v>4</v>
      </c>
      <c r="IB418" s="118">
        <f t="shared" si="426"/>
        <v>3</v>
      </c>
      <c r="IC418" s="118">
        <f t="shared" si="427"/>
        <v>3</v>
      </c>
      <c r="ID418" s="108">
        <v>0.8</v>
      </c>
      <c r="IE418" s="111">
        <f>PRODUCT(IA418:ID418)</f>
        <v>28.8</v>
      </c>
      <c r="IF418" s="118">
        <v>500</v>
      </c>
      <c r="IG418" s="109">
        <f t="shared" si="428"/>
        <v>0.1736111111111111</v>
      </c>
      <c r="IH418" s="62"/>
      <c r="II418" s="9"/>
    </row>
    <row r="419" spans="1:245">
      <c r="A419">
        <v>368</v>
      </c>
      <c r="B419" t="s">
        <v>468</v>
      </c>
      <c r="C419" s="114" t="s">
        <v>567</v>
      </c>
      <c r="D419" s="28">
        <v>258570</v>
      </c>
      <c r="E419" s="28" t="s">
        <v>1247</v>
      </c>
      <c r="F419" s="28"/>
      <c r="G419" s="27" t="s">
        <v>90</v>
      </c>
      <c r="I419" s="27" t="s">
        <v>121</v>
      </c>
      <c r="J419" s="28">
        <v>21697</v>
      </c>
      <c r="K419" s="27" t="s">
        <v>227</v>
      </c>
      <c r="M419" s="114"/>
      <c r="N419" s="334" t="s">
        <v>1764</v>
      </c>
      <c r="O419" s="13" t="s">
        <v>1763</v>
      </c>
      <c r="P419" s="332">
        <v>43104</v>
      </c>
      <c r="V419" s="319"/>
      <c r="W419" s="238" t="s">
        <v>1765</v>
      </c>
      <c r="X419" s="238"/>
      <c r="Y419" s="238"/>
      <c r="Z419" s="238"/>
      <c r="AA419" s="115"/>
      <c r="AB419" s="121"/>
      <c r="AC419" s="114"/>
      <c r="AD419" s="115"/>
      <c r="AE419" s="114"/>
      <c r="AF419" s="114"/>
      <c r="AG419" s="114"/>
      <c r="AH419" s="114"/>
      <c r="AI419" s="114"/>
      <c r="AJ419" s="114"/>
      <c r="AK419" s="114"/>
      <c r="AL419" s="114"/>
      <c r="AM419" s="114"/>
      <c r="AN419" s="114"/>
      <c r="AO419" s="114"/>
      <c r="AP419" s="114"/>
      <c r="AQ419" s="114"/>
      <c r="AR419" s="114"/>
      <c r="AS419" s="114"/>
      <c r="AT419" s="114"/>
      <c r="AU419" s="114"/>
      <c r="AV419" s="114"/>
      <c r="AW419" s="114"/>
      <c r="AX419" s="114"/>
      <c r="AY419" s="114"/>
      <c r="AZ419" s="114"/>
      <c r="BA419" s="114"/>
      <c r="BB419" s="114"/>
      <c r="BC419" s="114"/>
      <c r="BD419" s="114"/>
      <c r="BE419" s="114"/>
      <c r="BF419" s="114"/>
      <c r="BG419" s="114"/>
      <c r="BH419" s="114"/>
      <c r="BI419" s="114"/>
      <c r="BJ419" s="114"/>
      <c r="BK419" s="114"/>
      <c r="BL419" s="114"/>
      <c r="BM419" s="114"/>
      <c r="BN419" s="114"/>
      <c r="BO419" s="114"/>
      <c r="BP419" s="114"/>
      <c r="BQ419" s="114"/>
      <c r="BR419" s="114"/>
      <c r="BS419" s="114"/>
      <c r="BT419" s="114"/>
      <c r="BU419" s="114"/>
      <c r="BV419" s="114"/>
      <c r="BW419" s="114"/>
      <c r="BX419" s="114"/>
      <c r="BY419" s="114"/>
      <c r="BZ419" s="114"/>
      <c r="CA419" s="114"/>
      <c r="CB419" s="114"/>
      <c r="CC419" s="114"/>
      <c r="CD419" s="114"/>
      <c r="CE419" s="114"/>
      <c r="CF419" s="114"/>
      <c r="CG419" s="114"/>
      <c r="CH419" s="114"/>
      <c r="CI419" s="114"/>
      <c r="CJ419" s="114"/>
      <c r="CK419" s="114"/>
      <c r="CL419" s="114"/>
      <c r="CM419" s="114"/>
      <c r="CN419" s="114"/>
      <c r="CO419" s="114"/>
      <c r="CP419" s="114"/>
      <c r="CQ419" s="114"/>
      <c r="CR419" s="114"/>
      <c r="CS419" s="114"/>
      <c r="CT419" s="114"/>
      <c r="CU419" s="114"/>
      <c r="CV419" s="114"/>
      <c r="CW419" s="114"/>
      <c r="CX419" s="114"/>
      <c r="CY419" s="114"/>
      <c r="CZ419" s="114"/>
      <c r="DA419" s="114"/>
      <c r="DB419" s="114"/>
      <c r="DC419" s="114"/>
      <c r="DD419" s="114"/>
      <c r="DE419" s="114"/>
      <c r="DF419" s="114"/>
      <c r="DG419" s="114"/>
      <c r="DH419" s="114"/>
      <c r="DI419" s="114"/>
      <c r="DJ419" s="114"/>
      <c r="DK419" s="114"/>
      <c r="DL419" s="114"/>
      <c r="DM419" s="114"/>
      <c r="DN419" s="114"/>
      <c r="DO419" s="114"/>
      <c r="DP419" s="114"/>
      <c r="DQ419" s="114"/>
      <c r="DR419" s="114"/>
      <c r="DS419" s="114"/>
      <c r="DT419" s="114"/>
      <c r="DU419" s="114"/>
      <c r="DV419" s="114"/>
      <c r="DW419" s="114"/>
      <c r="DX419" s="114"/>
      <c r="DY419" s="114"/>
      <c r="DZ419" s="114"/>
      <c r="EA419" s="114"/>
      <c r="EB419" s="114"/>
      <c r="EC419" s="114"/>
      <c r="ED419" s="114"/>
      <c r="EE419" s="114"/>
      <c r="EF419" s="114"/>
      <c r="EG419" s="114"/>
      <c r="EH419" s="114"/>
      <c r="EI419" s="114"/>
      <c r="EJ419" s="114"/>
      <c r="EK419" s="114"/>
      <c r="EL419" s="114"/>
      <c r="EM419" s="114"/>
      <c r="EN419" s="114"/>
      <c r="EO419" s="114"/>
      <c r="EP419" s="114"/>
      <c r="EQ419" s="114"/>
      <c r="ER419" s="114"/>
      <c r="ES419" s="114"/>
      <c r="ET419" s="114"/>
      <c r="EU419" s="114"/>
      <c r="EV419" s="114"/>
      <c r="EW419" s="114"/>
      <c r="EX419" s="114"/>
      <c r="EY419" s="114"/>
      <c r="EZ419" s="114"/>
      <c r="FA419" s="114"/>
      <c r="FB419" s="114"/>
      <c r="FC419" s="114"/>
      <c r="FD419" s="114"/>
      <c r="FE419" s="114"/>
      <c r="FF419" s="114"/>
      <c r="FG419" s="114"/>
      <c r="FH419" s="114"/>
      <c r="FI419" s="114"/>
      <c r="FJ419" s="114"/>
      <c r="FK419" s="114"/>
      <c r="FL419" s="114"/>
      <c r="FM419" s="114"/>
      <c r="FN419" s="114"/>
      <c r="FO419" s="114"/>
      <c r="FP419" s="114"/>
      <c r="FQ419" s="114"/>
      <c r="FR419" s="114"/>
      <c r="FS419" s="114"/>
      <c r="FT419" s="114"/>
      <c r="FU419" s="114"/>
      <c r="FV419" s="114"/>
      <c r="FW419" s="114"/>
      <c r="FX419" s="114"/>
      <c r="FY419" s="114"/>
      <c r="FZ419" s="114"/>
      <c r="GA419" s="114"/>
      <c r="GB419" s="114"/>
      <c r="GC419" s="114"/>
      <c r="GD419" s="114"/>
      <c r="GE419" s="114"/>
      <c r="GF419" s="114"/>
      <c r="GG419" s="114"/>
      <c r="GH419" s="114"/>
      <c r="GI419" s="114"/>
      <c r="GJ419" s="114"/>
      <c r="GK419" s="114"/>
      <c r="GL419" s="114"/>
      <c r="GM419" s="114"/>
      <c r="GN419" s="114"/>
      <c r="GO419" s="114"/>
      <c r="GP419" s="114"/>
      <c r="GQ419" s="114"/>
      <c r="GR419" s="114"/>
      <c r="GS419" s="114"/>
      <c r="GT419" s="114"/>
      <c r="GU419" s="114"/>
      <c r="GV419" s="114"/>
      <c r="GW419" s="114"/>
      <c r="GX419" s="114"/>
      <c r="GY419" s="114"/>
      <c r="GZ419" s="114"/>
      <c r="HA419" s="114"/>
      <c r="HB419" s="114"/>
      <c r="HC419" s="114"/>
      <c r="HD419" s="114"/>
      <c r="HE419" s="114"/>
      <c r="HF419" s="114"/>
      <c r="HG419" s="114"/>
      <c r="HH419" s="114"/>
      <c r="HI419" s="114"/>
      <c r="HJ419" s="114"/>
      <c r="HK419" s="114"/>
      <c r="HL419" s="114"/>
      <c r="HM419" s="114"/>
      <c r="HN419" s="114"/>
      <c r="HO419" s="114"/>
      <c r="HP419" s="114"/>
      <c r="HQ419" s="114"/>
      <c r="HR419" s="114"/>
      <c r="HS419" s="114"/>
      <c r="HT419" s="114"/>
      <c r="HU419" s="114"/>
      <c r="HV419" s="114"/>
      <c r="HW419" s="114"/>
      <c r="HX419" s="114"/>
      <c r="HY419" s="114"/>
      <c r="HZ419" s="114"/>
      <c r="IA419" s="114"/>
      <c r="IB419" s="114"/>
      <c r="IC419" s="114"/>
      <c r="ID419" s="114"/>
      <c r="IE419" s="114"/>
      <c r="IF419" s="114"/>
      <c r="IG419" s="114"/>
    </row>
    <row r="420" spans="1:245">
      <c r="A420">
        <v>369</v>
      </c>
      <c r="B420" t="s">
        <v>468</v>
      </c>
      <c r="C420" t="s">
        <v>567</v>
      </c>
      <c r="D420" s="28">
        <v>410019000</v>
      </c>
      <c r="E420" s="28" t="s">
        <v>1248</v>
      </c>
      <c r="F420" s="28"/>
      <c r="G420" s="27" t="s">
        <v>90</v>
      </c>
      <c r="I420" s="27" t="s">
        <v>121</v>
      </c>
      <c r="J420" s="28">
        <v>21697</v>
      </c>
      <c r="K420" s="27" t="s">
        <v>227</v>
      </c>
      <c r="N420" s="334" t="s">
        <v>1764</v>
      </c>
      <c r="O420" s="13" t="s">
        <v>1763</v>
      </c>
      <c r="P420" s="332">
        <v>43104</v>
      </c>
      <c r="W420" s="239" t="s">
        <v>1765</v>
      </c>
      <c r="X420" s="239"/>
      <c r="Y420" s="239"/>
      <c r="Z420" s="239"/>
    </row>
    <row r="421" spans="1:245">
      <c r="A421">
        <v>370</v>
      </c>
      <c r="B421" t="s">
        <v>468</v>
      </c>
      <c r="C421" t="s">
        <v>567</v>
      </c>
      <c r="D421" s="28">
        <v>410019000</v>
      </c>
      <c r="E421" s="28" t="s">
        <v>1248</v>
      </c>
      <c r="F421" s="28"/>
      <c r="G421" s="27" t="s">
        <v>90</v>
      </c>
      <c r="I421" s="27" t="s">
        <v>94</v>
      </c>
      <c r="J421" s="28">
        <v>21697</v>
      </c>
      <c r="K421" s="27" t="s">
        <v>227</v>
      </c>
      <c r="N421" s="13" t="s">
        <v>1767</v>
      </c>
      <c r="O421" s="13" t="s">
        <v>1766</v>
      </c>
      <c r="P421" s="332">
        <v>43671</v>
      </c>
      <c r="W421" s="239" t="s">
        <v>1765</v>
      </c>
      <c r="X421" s="239"/>
      <c r="Y421" s="239"/>
      <c r="Z421" s="239"/>
    </row>
    <row r="422" spans="1:245">
      <c r="A422">
        <v>371</v>
      </c>
      <c r="B422" t="s">
        <v>468</v>
      </c>
      <c r="C422" s="114" t="s">
        <v>567</v>
      </c>
      <c r="D422" s="28">
        <v>410019000</v>
      </c>
      <c r="E422" s="28" t="s">
        <v>1248</v>
      </c>
      <c r="F422" s="28"/>
      <c r="G422" s="27" t="s">
        <v>90</v>
      </c>
      <c r="I422" s="27" t="s">
        <v>226</v>
      </c>
      <c r="J422" s="28">
        <v>21590</v>
      </c>
      <c r="K422" s="27" t="s">
        <v>397</v>
      </c>
      <c r="N422" s="334" t="s">
        <v>1764</v>
      </c>
      <c r="O422" s="13" t="s">
        <v>1763</v>
      </c>
      <c r="P422" s="333">
        <v>43104</v>
      </c>
      <c r="V422" s="319"/>
      <c r="W422" s="238" t="s">
        <v>1765</v>
      </c>
      <c r="X422" s="238"/>
      <c r="Y422" s="238"/>
      <c r="Z422" s="238"/>
      <c r="AA422" s="115"/>
      <c r="AB422" s="121"/>
      <c r="AC422" s="114"/>
      <c r="AD422" s="115"/>
      <c r="AE422" s="114"/>
      <c r="AF422" s="114"/>
      <c r="AG422" s="114"/>
      <c r="AH422" s="114"/>
      <c r="AI422" s="114"/>
      <c r="AJ422" s="114"/>
      <c r="AK422" s="114"/>
      <c r="AL422" s="114"/>
      <c r="AM422" s="114"/>
      <c r="AN422" s="114"/>
      <c r="AO422" s="114"/>
      <c r="AP422" s="114"/>
      <c r="AQ422" s="114"/>
      <c r="AR422" s="114"/>
      <c r="AS422" s="114"/>
      <c r="AT422" s="114"/>
      <c r="AU422" s="114"/>
      <c r="AV422" s="114"/>
      <c r="AW422" s="114"/>
      <c r="AX422" s="114"/>
      <c r="AY422" s="114"/>
      <c r="AZ422" s="114"/>
      <c r="BA422" s="114"/>
      <c r="BB422" s="114"/>
      <c r="BC422" s="114"/>
      <c r="BD422" s="114"/>
      <c r="BE422" s="114"/>
      <c r="BF422" s="114"/>
      <c r="BG422" s="114"/>
      <c r="BH422" s="114"/>
      <c r="BI422" s="114"/>
      <c r="BJ422" s="114"/>
      <c r="BK422" s="114"/>
      <c r="BL422" s="114"/>
      <c r="BM422" s="114"/>
      <c r="BN422" s="114"/>
      <c r="BO422" s="114"/>
      <c r="BP422" s="114"/>
      <c r="BQ422" s="114"/>
      <c r="BR422" s="114"/>
      <c r="BS422" s="114"/>
      <c r="BT422" s="114"/>
      <c r="BU422" s="114"/>
      <c r="BV422" s="114"/>
      <c r="BW422" s="114"/>
      <c r="BX422" s="114"/>
      <c r="BY422" s="114"/>
      <c r="BZ422" s="114"/>
      <c r="CA422" s="114"/>
      <c r="CB422" s="114"/>
      <c r="CC422" s="114"/>
      <c r="CD422" s="114"/>
      <c r="CE422" s="114"/>
      <c r="CF422" s="114"/>
      <c r="CG422" s="114"/>
      <c r="CH422" s="114"/>
      <c r="CI422" s="114"/>
      <c r="CJ422" s="114"/>
      <c r="CK422" s="114"/>
      <c r="CL422" s="114"/>
      <c r="CM422" s="114"/>
      <c r="CN422" s="114"/>
      <c r="CO422" s="114"/>
      <c r="CP422" s="114"/>
      <c r="CQ422" s="114"/>
      <c r="CR422" s="114"/>
      <c r="CS422" s="114"/>
      <c r="CT422" s="114"/>
      <c r="CU422" s="114"/>
      <c r="CV422" s="114"/>
      <c r="CW422" s="114"/>
      <c r="CX422" s="114"/>
      <c r="CY422" s="114"/>
      <c r="CZ422" s="114"/>
      <c r="DA422" s="114"/>
      <c r="DB422" s="114"/>
      <c r="DC422" s="114"/>
      <c r="DD422" s="114"/>
      <c r="DE422" s="114"/>
      <c r="DF422" s="114"/>
      <c r="DG422" s="114"/>
      <c r="DH422" s="114"/>
      <c r="DI422" s="114"/>
      <c r="DJ422" s="114"/>
      <c r="DK422" s="114"/>
      <c r="DL422" s="114"/>
      <c r="DM422" s="114"/>
      <c r="DN422" s="114"/>
      <c r="DO422" s="114"/>
      <c r="DP422" s="114"/>
      <c r="DQ422" s="114"/>
      <c r="DR422" s="114"/>
      <c r="DS422" s="114"/>
      <c r="DT422" s="114"/>
      <c r="DU422" s="114"/>
      <c r="DV422" s="114"/>
      <c r="DW422" s="114"/>
      <c r="DX422" s="114"/>
      <c r="DY422" s="114"/>
      <c r="DZ422" s="114"/>
      <c r="EA422" s="114"/>
      <c r="EB422" s="114"/>
      <c r="EC422" s="114"/>
      <c r="ED422" s="114"/>
      <c r="EE422" s="114"/>
      <c r="EF422" s="114"/>
      <c r="EG422" s="114"/>
      <c r="EH422" s="114"/>
      <c r="EI422" s="114"/>
      <c r="EJ422" s="114"/>
      <c r="EK422" s="114"/>
      <c r="EL422" s="114"/>
      <c r="EM422" s="114"/>
      <c r="EN422" s="114"/>
      <c r="EO422" s="114"/>
      <c r="EP422" s="114"/>
      <c r="EQ422" s="114"/>
      <c r="ER422" s="114"/>
      <c r="ES422" s="114"/>
      <c r="ET422" s="114"/>
      <c r="EU422" s="114"/>
      <c r="EV422" s="114"/>
      <c r="EW422" s="114"/>
      <c r="EX422" s="114"/>
      <c r="EY422" s="114"/>
      <c r="EZ422" s="114"/>
      <c r="FA422" s="114"/>
      <c r="FB422" s="114"/>
      <c r="FC422" s="114"/>
      <c r="FD422" s="114"/>
      <c r="FE422" s="114"/>
      <c r="FF422" s="114"/>
      <c r="FG422" s="114"/>
      <c r="FH422" s="114"/>
      <c r="FI422" s="114"/>
      <c r="FJ422" s="114"/>
      <c r="FK422" s="114"/>
      <c r="FL422" s="114"/>
      <c r="FM422" s="114"/>
      <c r="FN422" s="114"/>
      <c r="FO422" s="114"/>
      <c r="FP422" s="114"/>
      <c r="FQ422" s="114"/>
      <c r="FR422" s="114"/>
      <c r="FS422" s="114"/>
      <c r="FT422" s="114"/>
      <c r="FU422" s="114"/>
      <c r="FV422" s="114"/>
      <c r="FW422" s="114"/>
      <c r="FX422" s="114"/>
      <c r="FY422" s="114"/>
      <c r="FZ422" s="114"/>
      <c r="GA422" s="114"/>
      <c r="GB422" s="114"/>
      <c r="GC422" s="114"/>
      <c r="GD422" s="114"/>
      <c r="GE422" s="114"/>
      <c r="GF422" s="114"/>
      <c r="GG422" s="114"/>
      <c r="GH422" s="114"/>
      <c r="GI422" s="114"/>
      <c r="GJ422" s="114"/>
      <c r="GK422" s="114"/>
      <c r="GL422" s="114"/>
      <c r="GM422" s="114"/>
      <c r="GN422" s="114"/>
      <c r="GO422" s="114"/>
      <c r="GP422" s="114"/>
      <c r="GQ422" s="114"/>
      <c r="GR422" s="114"/>
      <c r="GS422" s="114"/>
      <c r="GT422" s="114"/>
      <c r="GU422" s="114"/>
      <c r="GV422" s="114"/>
      <c r="GW422" s="114"/>
      <c r="GX422" s="114"/>
      <c r="GY422" s="114"/>
      <c r="GZ422" s="114"/>
      <c r="HA422" s="114"/>
      <c r="HB422" s="114"/>
      <c r="HC422" s="114"/>
      <c r="HD422" s="114"/>
      <c r="HE422" s="114"/>
      <c r="HF422" s="114"/>
      <c r="HG422" s="114"/>
      <c r="HH422" s="114"/>
      <c r="HI422" s="114"/>
      <c r="HJ422" s="114"/>
      <c r="HK422" s="114"/>
      <c r="HL422" s="114"/>
      <c r="HM422" s="114"/>
      <c r="HN422" s="114"/>
      <c r="HO422" s="114"/>
      <c r="HP422" s="114"/>
      <c r="HQ422" s="114"/>
      <c r="HR422" s="114"/>
      <c r="HS422" s="114"/>
      <c r="HT422" s="114"/>
      <c r="HU422" s="114"/>
      <c r="HV422" s="114"/>
      <c r="HW422" s="114"/>
      <c r="HX422" s="114"/>
      <c r="HY422" s="114"/>
      <c r="HZ422" s="114"/>
      <c r="IA422" s="114"/>
      <c r="IB422" s="114"/>
      <c r="IC422" s="114"/>
      <c r="ID422" s="114"/>
      <c r="IE422" s="114"/>
      <c r="IF422" s="114"/>
      <c r="IG422" s="114"/>
    </row>
    <row r="423" spans="1:245">
      <c r="A423">
        <v>372</v>
      </c>
      <c r="B423" t="s">
        <v>468</v>
      </c>
      <c r="C423" t="s">
        <v>567</v>
      </c>
      <c r="D423" s="28">
        <v>410059000</v>
      </c>
      <c r="E423" s="28" t="s">
        <v>1249</v>
      </c>
      <c r="F423" s="28"/>
      <c r="G423" s="27" t="s">
        <v>90</v>
      </c>
      <c r="I423" s="27" t="s">
        <v>121</v>
      </c>
      <c r="J423" s="28">
        <v>21697</v>
      </c>
      <c r="K423" s="27" t="s">
        <v>227</v>
      </c>
      <c r="N423" s="334" t="s">
        <v>1764</v>
      </c>
      <c r="O423" s="13" t="s">
        <v>1763</v>
      </c>
      <c r="P423" s="332">
        <v>43104</v>
      </c>
      <c r="W423" s="239" t="s">
        <v>1765</v>
      </c>
      <c r="X423" s="239"/>
      <c r="Y423" s="239"/>
      <c r="Z423" s="239"/>
    </row>
    <row r="424" spans="1:245">
      <c r="A424">
        <v>373</v>
      </c>
      <c r="B424" t="s">
        <v>468</v>
      </c>
      <c r="C424" s="114" t="s">
        <v>567</v>
      </c>
      <c r="D424" s="28">
        <v>410059000</v>
      </c>
      <c r="E424" s="28" t="s">
        <v>1249</v>
      </c>
      <c r="F424" s="28"/>
      <c r="G424" s="27" t="s">
        <v>90</v>
      </c>
      <c r="I424" s="27" t="s">
        <v>94</v>
      </c>
      <c r="J424" s="28">
        <v>21697</v>
      </c>
      <c r="K424" s="27" t="s">
        <v>227</v>
      </c>
      <c r="N424" s="13" t="s">
        <v>1767</v>
      </c>
      <c r="O424" s="13" t="s">
        <v>1763</v>
      </c>
      <c r="P424" s="332">
        <v>43672</v>
      </c>
      <c r="V424" s="319"/>
      <c r="W424" s="238" t="s">
        <v>1765</v>
      </c>
      <c r="X424" s="238"/>
      <c r="Y424" s="238"/>
      <c r="Z424" s="238"/>
      <c r="AA424" s="115"/>
      <c r="AB424" s="121"/>
      <c r="AC424" s="114"/>
      <c r="AD424" s="115"/>
      <c r="AE424" s="114"/>
      <c r="AF424" s="114"/>
      <c r="AG424" s="114"/>
      <c r="AH424" s="114"/>
      <c r="AI424" s="114"/>
      <c r="AJ424" s="114"/>
      <c r="AK424" s="114"/>
      <c r="AL424" s="114"/>
      <c r="AM424" s="114"/>
      <c r="AN424" s="114"/>
      <c r="AO424" s="114"/>
      <c r="AP424" s="114"/>
      <c r="AQ424" s="114"/>
      <c r="AR424" s="114"/>
      <c r="AS424" s="114"/>
      <c r="AT424" s="114"/>
      <c r="AU424" s="114"/>
      <c r="AV424" s="114"/>
      <c r="AW424" s="114"/>
      <c r="AX424" s="114"/>
      <c r="AY424" s="114"/>
      <c r="AZ424" s="114"/>
      <c r="BA424" s="114"/>
      <c r="BB424" s="114"/>
      <c r="BC424" s="114"/>
      <c r="BD424" s="114"/>
      <c r="BE424" s="114"/>
      <c r="BF424" s="114"/>
      <c r="BG424" s="114"/>
      <c r="BH424" s="114"/>
      <c r="BI424" s="114"/>
      <c r="BJ424" s="114"/>
      <c r="BK424" s="114"/>
      <c r="BL424" s="114"/>
      <c r="BM424" s="114"/>
      <c r="BN424" s="114"/>
      <c r="BO424" s="114"/>
      <c r="BP424" s="114"/>
      <c r="BQ424" s="114"/>
      <c r="BR424" s="114"/>
      <c r="BS424" s="114"/>
      <c r="BT424" s="114"/>
      <c r="BU424" s="114"/>
      <c r="BV424" s="114"/>
      <c r="BW424" s="114"/>
      <c r="BX424" s="114"/>
      <c r="BY424" s="114"/>
      <c r="BZ424" s="114"/>
      <c r="CA424" s="114"/>
      <c r="CB424" s="114"/>
      <c r="CC424" s="114"/>
      <c r="CD424" s="114"/>
      <c r="CE424" s="114"/>
      <c r="CF424" s="114"/>
      <c r="CG424" s="114"/>
      <c r="CH424" s="114"/>
      <c r="CI424" s="114"/>
      <c r="CJ424" s="114"/>
      <c r="CK424" s="114"/>
      <c r="CL424" s="114"/>
      <c r="CM424" s="114"/>
      <c r="CN424" s="114"/>
      <c r="CO424" s="114"/>
      <c r="CP424" s="114"/>
      <c r="CQ424" s="114"/>
      <c r="CR424" s="114"/>
      <c r="CS424" s="114"/>
      <c r="CT424" s="114"/>
      <c r="CU424" s="114"/>
      <c r="CV424" s="114"/>
      <c r="CW424" s="114"/>
      <c r="CX424" s="114"/>
      <c r="CY424" s="114"/>
      <c r="CZ424" s="114"/>
      <c r="DA424" s="114"/>
      <c r="DB424" s="114"/>
      <c r="DC424" s="114"/>
      <c r="DD424" s="114"/>
      <c r="DE424" s="114"/>
      <c r="DF424" s="114"/>
      <c r="DG424" s="114"/>
      <c r="DH424" s="114"/>
      <c r="DI424" s="114"/>
      <c r="DJ424" s="114"/>
      <c r="DK424" s="114"/>
      <c r="DL424" s="114"/>
      <c r="DM424" s="114"/>
      <c r="DN424" s="114"/>
      <c r="DO424" s="114"/>
      <c r="DP424" s="114"/>
      <c r="DQ424" s="114"/>
      <c r="DR424" s="114"/>
      <c r="DS424" s="114"/>
      <c r="DT424" s="114"/>
      <c r="DU424" s="114"/>
      <c r="DV424" s="114"/>
      <c r="DW424" s="114"/>
      <c r="DX424" s="114"/>
      <c r="DY424" s="114"/>
      <c r="DZ424" s="114"/>
      <c r="EA424" s="114"/>
      <c r="EB424" s="114"/>
      <c r="EC424" s="114"/>
      <c r="ED424" s="114"/>
      <c r="EE424" s="114"/>
      <c r="EF424" s="114"/>
      <c r="EG424" s="114"/>
      <c r="EH424" s="114"/>
      <c r="EI424" s="114"/>
      <c r="EJ424" s="114"/>
      <c r="EK424" s="114"/>
      <c r="EL424" s="114"/>
      <c r="EM424" s="114"/>
      <c r="EN424" s="114"/>
      <c r="EO424" s="114"/>
      <c r="EP424" s="114"/>
      <c r="EQ424" s="114"/>
      <c r="ER424" s="114"/>
      <c r="ES424" s="114"/>
      <c r="ET424" s="114"/>
      <c r="EU424" s="114"/>
      <c r="EV424" s="114"/>
      <c r="EW424" s="114"/>
      <c r="EX424" s="114"/>
      <c r="EY424" s="114"/>
      <c r="EZ424" s="114"/>
      <c r="FA424" s="114"/>
      <c r="FB424" s="114"/>
      <c r="FC424" s="114"/>
      <c r="FD424" s="114"/>
      <c r="FE424" s="114"/>
      <c r="FF424" s="114"/>
      <c r="FG424" s="114"/>
      <c r="FH424" s="114"/>
      <c r="FI424" s="114"/>
      <c r="FJ424" s="114"/>
      <c r="FK424" s="114"/>
      <c r="FL424" s="114"/>
      <c r="FM424" s="114"/>
      <c r="FN424" s="114"/>
      <c r="FO424" s="114"/>
      <c r="FP424" s="114"/>
      <c r="FQ424" s="114"/>
      <c r="FR424" s="114"/>
      <c r="FS424" s="114"/>
      <c r="FT424" s="114"/>
      <c r="FU424" s="114"/>
      <c r="FV424" s="114"/>
      <c r="FW424" s="114"/>
      <c r="FX424" s="114"/>
      <c r="FY424" s="114"/>
      <c r="FZ424" s="114"/>
      <c r="GA424" s="114"/>
      <c r="GB424" s="114"/>
      <c r="GC424" s="114"/>
      <c r="GD424" s="114"/>
      <c r="GE424" s="114"/>
      <c r="GF424" s="114"/>
      <c r="GG424" s="114"/>
      <c r="GH424" s="114"/>
      <c r="GI424" s="114"/>
      <c r="GJ424" s="114"/>
      <c r="GK424" s="114"/>
      <c r="GL424" s="114"/>
      <c r="GM424" s="114"/>
      <c r="GN424" s="114"/>
      <c r="GO424" s="114"/>
      <c r="GP424" s="114"/>
      <c r="GQ424" s="114"/>
      <c r="GR424" s="114"/>
      <c r="GS424" s="114"/>
      <c r="GT424" s="114"/>
      <c r="GU424" s="114"/>
      <c r="GV424" s="114"/>
      <c r="GW424" s="114"/>
      <c r="GX424" s="114"/>
      <c r="GY424" s="114"/>
      <c r="GZ424" s="114"/>
      <c r="HA424" s="114"/>
      <c r="HB424" s="114"/>
      <c r="HC424" s="114"/>
      <c r="HD424" s="114"/>
      <c r="HE424" s="114"/>
      <c r="HF424" s="114"/>
      <c r="HG424" s="114"/>
      <c r="HH424" s="114"/>
      <c r="HI424" s="114"/>
      <c r="HJ424" s="114"/>
      <c r="HK424" s="114"/>
      <c r="HL424" s="114"/>
      <c r="HM424" s="114"/>
      <c r="HN424" s="114"/>
      <c r="HO424" s="114"/>
      <c r="HP424" s="114"/>
      <c r="HQ424" s="114"/>
      <c r="HR424" s="114"/>
      <c r="HS424" s="114"/>
      <c r="HT424" s="114"/>
      <c r="HU424" s="114"/>
      <c r="HV424" s="114"/>
      <c r="HW424" s="114"/>
      <c r="HX424" s="114"/>
      <c r="HY424" s="114"/>
      <c r="HZ424" s="114"/>
      <c r="IA424" s="114"/>
      <c r="IB424" s="114"/>
      <c r="IC424" s="114"/>
      <c r="ID424" s="114"/>
      <c r="IE424" s="114"/>
      <c r="IF424" s="114"/>
      <c r="IG424" s="114"/>
    </row>
    <row r="425" spans="1:245">
      <c r="A425">
        <v>374</v>
      </c>
      <c r="B425" t="s">
        <v>468</v>
      </c>
      <c r="C425" t="s">
        <v>567</v>
      </c>
      <c r="D425" s="28">
        <v>410059000</v>
      </c>
      <c r="E425" s="28" t="s">
        <v>1249</v>
      </c>
      <c r="F425" s="28"/>
      <c r="G425" s="27" t="s">
        <v>90</v>
      </c>
      <c r="I425" s="27" t="s">
        <v>226</v>
      </c>
      <c r="J425" s="28">
        <v>21590</v>
      </c>
      <c r="K425" s="27" t="s">
        <v>397</v>
      </c>
      <c r="N425" s="334" t="s">
        <v>1764</v>
      </c>
      <c r="O425" s="13" t="s">
        <v>1763</v>
      </c>
      <c r="P425" s="332">
        <v>43104</v>
      </c>
      <c r="W425" s="239" t="s">
        <v>1765</v>
      </c>
      <c r="X425" s="239"/>
      <c r="Y425" s="239"/>
      <c r="Z425" s="239"/>
    </row>
    <row r="426" spans="1:245">
      <c r="A426">
        <v>375</v>
      </c>
      <c r="B426" t="s">
        <v>468</v>
      </c>
      <c r="C426" s="114" t="s">
        <v>567</v>
      </c>
      <c r="D426" s="28">
        <v>412092000</v>
      </c>
      <c r="E426" s="28" t="s">
        <v>1250</v>
      </c>
      <c r="F426" s="28"/>
      <c r="G426" s="27" t="s">
        <v>90</v>
      </c>
      <c r="I426" s="27" t="s">
        <v>121</v>
      </c>
      <c r="J426" s="28">
        <v>21697</v>
      </c>
      <c r="K426" s="27" t="s">
        <v>227</v>
      </c>
      <c r="L426" s="114"/>
      <c r="M426" s="114"/>
      <c r="N426" s="334" t="s">
        <v>1764</v>
      </c>
      <c r="O426" s="13" t="s">
        <v>1763</v>
      </c>
      <c r="P426" s="332">
        <v>43104</v>
      </c>
      <c r="V426" s="319"/>
      <c r="W426" s="238" t="s">
        <v>1765</v>
      </c>
      <c r="X426" s="238"/>
      <c r="Y426" s="238"/>
      <c r="Z426" s="238"/>
      <c r="AA426" s="115"/>
      <c r="AB426" s="121"/>
      <c r="AC426" s="114"/>
      <c r="AD426" s="115"/>
      <c r="AE426" s="114"/>
      <c r="AF426" s="114"/>
      <c r="AG426" s="114"/>
      <c r="AH426" s="114"/>
      <c r="AI426" s="114"/>
      <c r="AJ426" s="114"/>
      <c r="AK426" s="114"/>
      <c r="AL426" s="114"/>
      <c r="AM426" s="114"/>
      <c r="AN426" s="114"/>
      <c r="AO426" s="114"/>
      <c r="AP426" s="114"/>
      <c r="AQ426" s="114"/>
      <c r="AR426" s="114"/>
      <c r="AS426" s="114"/>
      <c r="AT426" s="114"/>
      <c r="AU426" s="114"/>
      <c r="AV426" s="114"/>
      <c r="AW426" s="114"/>
      <c r="AX426" s="114"/>
      <c r="AY426" s="114"/>
      <c r="AZ426" s="114"/>
      <c r="BA426" s="114"/>
      <c r="BB426" s="114"/>
      <c r="BC426" s="114"/>
      <c r="BD426" s="114"/>
      <c r="BE426" s="114"/>
      <c r="BF426" s="114"/>
      <c r="BG426" s="114"/>
      <c r="BH426" s="114"/>
      <c r="BI426" s="114"/>
      <c r="BJ426" s="114"/>
      <c r="BK426" s="114"/>
      <c r="BL426" s="114"/>
      <c r="BM426" s="114"/>
      <c r="BN426" s="114"/>
      <c r="BO426" s="114"/>
      <c r="BP426" s="114"/>
      <c r="BQ426" s="114"/>
      <c r="BR426" s="114"/>
      <c r="BS426" s="114"/>
      <c r="BT426" s="114"/>
      <c r="BU426" s="114"/>
      <c r="BV426" s="114"/>
      <c r="BW426" s="114"/>
      <c r="BX426" s="114"/>
      <c r="BY426" s="114"/>
      <c r="BZ426" s="114"/>
      <c r="CA426" s="114"/>
      <c r="CB426" s="114"/>
      <c r="CC426" s="114"/>
      <c r="CD426" s="114"/>
      <c r="CE426" s="114"/>
      <c r="CF426" s="114"/>
      <c r="CG426" s="114"/>
      <c r="CH426" s="114"/>
      <c r="CI426" s="114"/>
      <c r="CJ426" s="114"/>
      <c r="CK426" s="114"/>
      <c r="CL426" s="114"/>
      <c r="CM426" s="114"/>
      <c r="CN426" s="114"/>
      <c r="CO426" s="114"/>
      <c r="CP426" s="114"/>
      <c r="CQ426" s="114"/>
      <c r="CR426" s="114"/>
      <c r="CS426" s="114"/>
      <c r="CT426" s="114"/>
      <c r="CU426" s="114"/>
      <c r="CV426" s="114"/>
      <c r="CW426" s="114"/>
      <c r="CX426" s="114"/>
      <c r="CY426" s="114"/>
      <c r="CZ426" s="114"/>
      <c r="DA426" s="114"/>
      <c r="DB426" s="114"/>
      <c r="DC426" s="114"/>
      <c r="DD426" s="114"/>
      <c r="DE426" s="114"/>
      <c r="DF426" s="114"/>
      <c r="DG426" s="114"/>
      <c r="DH426" s="114"/>
      <c r="DI426" s="114"/>
      <c r="DJ426" s="114"/>
      <c r="DK426" s="114"/>
      <c r="DL426" s="114"/>
      <c r="DM426" s="114"/>
      <c r="DN426" s="114"/>
      <c r="DO426" s="114"/>
      <c r="DP426" s="114"/>
      <c r="DQ426" s="114"/>
      <c r="DR426" s="114"/>
      <c r="DS426" s="114"/>
      <c r="DT426" s="114"/>
      <c r="DU426" s="114"/>
      <c r="DV426" s="114"/>
      <c r="DW426" s="114"/>
      <c r="DX426" s="114"/>
      <c r="DY426" s="114"/>
      <c r="DZ426" s="114"/>
      <c r="EA426" s="114"/>
      <c r="EB426" s="114"/>
      <c r="EC426" s="114"/>
      <c r="ED426" s="114"/>
      <c r="EE426" s="114"/>
      <c r="EF426" s="114"/>
      <c r="EG426" s="114"/>
      <c r="EH426" s="114"/>
      <c r="EI426" s="114"/>
      <c r="EJ426" s="114"/>
      <c r="EK426" s="114"/>
      <c r="EL426" s="114"/>
      <c r="EM426" s="114"/>
      <c r="EN426" s="114"/>
      <c r="EO426" s="114"/>
      <c r="EP426" s="114"/>
      <c r="EQ426" s="114"/>
      <c r="ER426" s="114"/>
      <c r="ES426" s="114"/>
      <c r="ET426" s="114"/>
      <c r="EU426" s="114"/>
      <c r="EV426" s="114"/>
      <c r="EW426" s="114"/>
      <c r="EX426" s="114"/>
      <c r="EY426" s="114"/>
      <c r="EZ426" s="114"/>
      <c r="FA426" s="114"/>
      <c r="FB426" s="114"/>
      <c r="FC426" s="114"/>
      <c r="FD426" s="114"/>
      <c r="FE426" s="114"/>
      <c r="FF426" s="114"/>
      <c r="FG426" s="114"/>
      <c r="FH426" s="114"/>
      <c r="FI426" s="114"/>
      <c r="FJ426" s="114"/>
      <c r="FK426" s="114"/>
      <c r="FL426" s="114"/>
      <c r="FM426" s="114"/>
      <c r="FN426" s="114"/>
      <c r="FO426" s="114"/>
      <c r="FP426" s="114"/>
      <c r="FQ426" s="114"/>
      <c r="FR426" s="114"/>
      <c r="FS426" s="114"/>
      <c r="FT426" s="114"/>
      <c r="FU426" s="114"/>
      <c r="FV426" s="114"/>
      <c r="FW426" s="114"/>
      <c r="FX426" s="114"/>
      <c r="FY426" s="114"/>
      <c r="FZ426" s="114"/>
      <c r="GA426" s="114"/>
      <c r="GB426" s="114"/>
      <c r="GC426" s="114"/>
      <c r="GD426" s="114"/>
      <c r="GE426" s="114"/>
      <c r="GF426" s="114"/>
      <c r="GG426" s="114"/>
      <c r="GH426" s="114"/>
      <c r="GI426" s="114"/>
      <c r="GJ426" s="114"/>
      <c r="GK426" s="114"/>
      <c r="GL426" s="114"/>
      <c r="GM426" s="114"/>
      <c r="GN426" s="114"/>
      <c r="GO426" s="114"/>
      <c r="GP426" s="114"/>
      <c r="GQ426" s="114"/>
      <c r="GR426" s="114"/>
      <c r="GS426" s="114"/>
      <c r="GT426" s="114"/>
      <c r="GU426" s="114"/>
      <c r="GV426" s="114"/>
      <c r="GW426" s="114"/>
      <c r="GX426" s="114"/>
      <c r="GY426" s="114"/>
      <c r="GZ426" s="114"/>
      <c r="HA426" s="114"/>
      <c r="HB426" s="114"/>
      <c r="HC426" s="114"/>
      <c r="HD426" s="114"/>
      <c r="HE426" s="114"/>
      <c r="HF426" s="114"/>
      <c r="HG426" s="114"/>
      <c r="HH426" s="114"/>
      <c r="HI426" s="114"/>
      <c r="HJ426" s="114"/>
      <c r="HK426" s="114"/>
      <c r="HL426" s="114"/>
      <c r="HM426" s="114"/>
      <c r="HN426" s="114"/>
      <c r="HO426" s="114"/>
      <c r="HP426" s="114"/>
      <c r="HQ426" s="114"/>
      <c r="HR426" s="114"/>
      <c r="HS426" s="114"/>
      <c r="HT426" s="114"/>
      <c r="HU426" s="114"/>
      <c r="HV426" s="114"/>
      <c r="HW426" s="114"/>
      <c r="HX426" s="114"/>
      <c r="HY426" s="114"/>
      <c r="HZ426" s="114"/>
      <c r="IA426" s="114"/>
      <c r="IB426" s="114"/>
      <c r="IC426" s="114"/>
      <c r="ID426" s="114"/>
      <c r="IE426" s="114"/>
      <c r="IF426" s="114"/>
      <c r="IG426" s="114"/>
      <c r="IH426" s="114"/>
      <c r="II426" s="114"/>
      <c r="IJ426" s="114"/>
    </row>
    <row r="427" spans="1:245">
      <c r="A427">
        <v>376</v>
      </c>
      <c r="B427" t="s">
        <v>468</v>
      </c>
      <c r="C427" s="114" t="s">
        <v>567</v>
      </c>
      <c r="D427" s="28">
        <v>412092000</v>
      </c>
      <c r="E427" s="28" t="s">
        <v>1250</v>
      </c>
      <c r="F427" s="28"/>
      <c r="G427" s="27" t="s">
        <v>90</v>
      </c>
      <c r="I427" s="27" t="s">
        <v>94</v>
      </c>
      <c r="J427" s="28">
        <v>21697</v>
      </c>
      <c r="K427" s="27" t="s">
        <v>227</v>
      </c>
      <c r="L427" s="114"/>
      <c r="M427" s="114"/>
      <c r="N427" s="115" t="s">
        <v>1767</v>
      </c>
      <c r="O427" s="115" t="s">
        <v>1763</v>
      </c>
      <c r="P427" s="333">
        <v>43672</v>
      </c>
      <c r="V427" s="319"/>
      <c r="W427" s="238" t="s">
        <v>1765</v>
      </c>
      <c r="X427" s="238"/>
      <c r="Y427" s="238"/>
      <c r="Z427" s="238"/>
      <c r="AA427" s="115"/>
      <c r="AB427" s="121"/>
      <c r="AC427" s="114"/>
      <c r="AD427" s="115"/>
      <c r="AE427" s="114"/>
      <c r="AF427" s="114"/>
      <c r="AG427" s="114"/>
      <c r="AH427" s="114"/>
      <c r="AI427" s="114"/>
      <c r="AJ427" s="114"/>
      <c r="AK427" s="114"/>
      <c r="AL427" s="114"/>
      <c r="AM427" s="114"/>
      <c r="AN427" s="114"/>
      <c r="AO427" s="114"/>
      <c r="AP427" s="114"/>
      <c r="AQ427" s="114"/>
      <c r="AR427" s="114"/>
      <c r="AS427" s="114"/>
      <c r="AT427" s="114"/>
      <c r="AU427" s="114"/>
      <c r="AV427" s="114"/>
      <c r="AW427" s="114"/>
      <c r="AX427" s="114"/>
      <c r="AY427" s="114"/>
      <c r="AZ427" s="114"/>
      <c r="BA427" s="114"/>
      <c r="BB427" s="114"/>
      <c r="BC427" s="114"/>
      <c r="BD427" s="114"/>
      <c r="BE427" s="114"/>
      <c r="BF427" s="114"/>
      <c r="BG427" s="114"/>
      <c r="BH427" s="114"/>
      <c r="BI427" s="114"/>
      <c r="BJ427" s="114"/>
      <c r="BK427" s="114"/>
      <c r="BL427" s="114"/>
      <c r="BM427" s="114"/>
      <c r="BN427" s="114"/>
      <c r="BO427" s="114"/>
      <c r="BP427" s="114"/>
      <c r="BQ427" s="114"/>
      <c r="BR427" s="114"/>
      <c r="BS427" s="114"/>
      <c r="BT427" s="114"/>
      <c r="BU427" s="114"/>
      <c r="BV427" s="114"/>
      <c r="BW427" s="114"/>
      <c r="BX427" s="114"/>
      <c r="BY427" s="114"/>
      <c r="BZ427" s="114"/>
      <c r="CA427" s="114"/>
      <c r="CB427" s="114"/>
      <c r="CC427" s="114"/>
      <c r="CD427" s="114"/>
      <c r="CE427" s="114"/>
      <c r="CF427" s="114"/>
      <c r="CG427" s="114"/>
      <c r="CH427" s="114"/>
      <c r="CI427" s="114"/>
      <c r="CJ427" s="114"/>
      <c r="CK427" s="114"/>
      <c r="CL427" s="114"/>
      <c r="CM427" s="114"/>
      <c r="CN427" s="114"/>
      <c r="CO427" s="114"/>
      <c r="CP427" s="114"/>
      <c r="CQ427" s="114"/>
      <c r="CR427" s="114"/>
      <c r="CS427" s="114"/>
      <c r="CT427" s="114"/>
      <c r="CU427" s="114"/>
      <c r="CV427" s="114"/>
      <c r="CW427" s="114"/>
      <c r="CX427" s="114"/>
      <c r="CY427" s="114"/>
      <c r="CZ427" s="114"/>
      <c r="DA427" s="114"/>
      <c r="DB427" s="114"/>
      <c r="DC427" s="114"/>
      <c r="DD427" s="114"/>
      <c r="DE427" s="114"/>
      <c r="DF427" s="114"/>
      <c r="DG427" s="114"/>
      <c r="DH427" s="114"/>
      <c r="DI427" s="114"/>
      <c r="DJ427" s="114"/>
      <c r="DK427" s="114"/>
      <c r="DL427" s="114"/>
      <c r="DM427" s="114"/>
      <c r="DN427" s="114"/>
      <c r="DO427" s="114"/>
      <c r="DP427" s="114"/>
      <c r="DQ427" s="114"/>
      <c r="DR427" s="114"/>
      <c r="DS427" s="114"/>
      <c r="DT427" s="114"/>
      <c r="DU427" s="114"/>
      <c r="DV427" s="114"/>
      <c r="DW427" s="114"/>
      <c r="DX427" s="114"/>
      <c r="DY427" s="114"/>
      <c r="DZ427" s="114"/>
      <c r="EA427" s="114"/>
      <c r="EB427" s="114"/>
      <c r="EC427" s="114"/>
      <c r="ED427" s="114"/>
      <c r="EE427" s="114"/>
      <c r="EF427" s="114"/>
      <c r="EG427" s="114"/>
      <c r="EH427" s="114"/>
      <c r="EI427" s="114"/>
      <c r="EJ427" s="114"/>
      <c r="EK427" s="114"/>
      <c r="EL427" s="114"/>
      <c r="EM427" s="114"/>
      <c r="EN427" s="114"/>
      <c r="EO427" s="114"/>
      <c r="EP427" s="114"/>
      <c r="EQ427" s="114"/>
      <c r="ER427" s="114"/>
      <c r="ES427" s="114"/>
      <c r="ET427" s="114"/>
      <c r="EU427" s="114"/>
      <c r="EV427" s="114"/>
      <c r="EW427" s="114"/>
      <c r="EX427" s="114"/>
      <c r="EY427" s="114"/>
      <c r="EZ427" s="114"/>
      <c r="FA427" s="114"/>
      <c r="FB427" s="114"/>
      <c r="FC427" s="114"/>
      <c r="FD427" s="114"/>
      <c r="FE427" s="114"/>
      <c r="FF427" s="114"/>
      <c r="FG427" s="114"/>
      <c r="FH427" s="114"/>
      <c r="FI427" s="114"/>
      <c r="FJ427" s="114"/>
      <c r="FK427" s="114"/>
      <c r="FL427" s="114"/>
      <c r="FM427" s="114"/>
      <c r="FN427" s="114"/>
      <c r="FO427" s="114"/>
      <c r="FP427" s="114"/>
      <c r="FQ427" s="114"/>
      <c r="FR427" s="114"/>
      <c r="FS427" s="114"/>
      <c r="FT427" s="114"/>
      <c r="FU427" s="114"/>
      <c r="FV427" s="114"/>
      <c r="FW427" s="114"/>
      <c r="FX427" s="114"/>
      <c r="FY427" s="114"/>
      <c r="FZ427" s="114"/>
      <c r="GA427" s="114"/>
      <c r="GB427" s="114"/>
      <c r="GC427" s="114"/>
      <c r="GD427" s="114"/>
      <c r="GE427" s="114"/>
      <c r="GF427" s="114"/>
      <c r="GG427" s="114"/>
      <c r="GH427" s="114"/>
      <c r="GI427" s="114"/>
      <c r="GJ427" s="114"/>
      <c r="GK427" s="114"/>
      <c r="GL427" s="114"/>
      <c r="GM427" s="114"/>
      <c r="GN427" s="114"/>
      <c r="GO427" s="114"/>
      <c r="GP427" s="114"/>
      <c r="GQ427" s="114"/>
      <c r="GR427" s="114"/>
      <c r="GS427" s="114"/>
      <c r="GT427" s="114"/>
      <c r="GU427" s="114"/>
      <c r="GV427" s="114"/>
      <c r="GW427" s="114"/>
      <c r="GX427" s="114"/>
      <c r="GY427" s="114"/>
      <c r="GZ427" s="114"/>
      <c r="HA427" s="114"/>
      <c r="HB427" s="114"/>
      <c r="HC427" s="114"/>
      <c r="HD427" s="114"/>
      <c r="HE427" s="114"/>
      <c r="HF427" s="114"/>
      <c r="HG427" s="114"/>
      <c r="HH427" s="114"/>
      <c r="HI427" s="114"/>
      <c r="HJ427" s="114"/>
      <c r="HK427" s="114"/>
      <c r="HL427" s="114"/>
      <c r="HM427" s="114"/>
      <c r="HN427" s="114"/>
      <c r="HO427" s="114"/>
      <c r="HP427" s="114"/>
      <c r="HQ427" s="114"/>
      <c r="HR427" s="114"/>
      <c r="HS427" s="114"/>
      <c r="HT427" s="114"/>
      <c r="HU427" s="114"/>
      <c r="HV427" s="114"/>
      <c r="HW427" s="114"/>
      <c r="HX427" s="114"/>
      <c r="HY427" s="114"/>
      <c r="HZ427" s="114"/>
      <c r="IA427" s="114"/>
      <c r="IB427" s="114"/>
      <c r="IC427" s="114"/>
      <c r="ID427" s="114"/>
      <c r="IE427" s="114"/>
      <c r="IF427" s="114"/>
      <c r="IG427" s="114"/>
    </row>
    <row r="428" spans="1:245">
      <c r="A428">
        <v>377</v>
      </c>
      <c r="B428" t="s">
        <v>468</v>
      </c>
      <c r="C428" s="114" t="s">
        <v>567</v>
      </c>
      <c r="D428" s="28">
        <v>412092000</v>
      </c>
      <c r="E428" s="28" t="s">
        <v>1250</v>
      </c>
      <c r="F428" s="28"/>
      <c r="G428" s="27" t="s">
        <v>90</v>
      </c>
      <c r="I428" s="27" t="s">
        <v>226</v>
      </c>
      <c r="J428" s="28">
        <v>21590</v>
      </c>
      <c r="K428" s="27" t="s">
        <v>397</v>
      </c>
      <c r="L428" s="114"/>
      <c r="M428" s="114"/>
      <c r="N428" s="278" t="s">
        <v>1764</v>
      </c>
      <c r="O428" s="115" t="s">
        <v>1763</v>
      </c>
      <c r="P428" s="333">
        <v>43104</v>
      </c>
      <c r="V428" s="319"/>
      <c r="W428" s="238" t="s">
        <v>1765</v>
      </c>
      <c r="X428" s="238"/>
      <c r="Y428" s="238"/>
      <c r="Z428" s="238"/>
      <c r="AA428" s="115"/>
      <c r="AB428" s="121"/>
      <c r="AC428" s="114"/>
      <c r="AD428" s="115"/>
      <c r="AE428" s="114"/>
      <c r="AF428" s="114"/>
      <c r="AG428" s="114"/>
      <c r="AH428" s="114"/>
      <c r="AI428" s="114"/>
      <c r="AJ428" s="114"/>
      <c r="AK428" s="114"/>
      <c r="AL428" s="114"/>
      <c r="AM428" s="114"/>
      <c r="AN428" s="114"/>
      <c r="AO428" s="114"/>
      <c r="AP428" s="114"/>
      <c r="AQ428" s="114"/>
      <c r="AR428" s="114"/>
      <c r="AS428" s="114"/>
      <c r="AT428" s="114"/>
      <c r="AU428" s="114"/>
      <c r="AV428" s="114"/>
      <c r="AW428" s="114"/>
      <c r="AX428" s="114"/>
      <c r="AY428" s="114"/>
      <c r="AZ428" s="114"/>
      <c r="BA428" s="114"/>
      <c r="BB428" s="114"/>
      <c r="BC428" s="114"/>
      <c r="BD428" s="114"/>
      <c r="BE428" s="114"/>
      <c r="BF428" s="114"/>
      <c r="BG428" s="114"/>
      <c r="BH428" s="114"/>
      <c r="BI428" s="114"/>
      <c r="BJ428" s="114"/>
      <c r="BK428" s="114"/>
      <c r="BL428" s="114"/>
      <c r="BM428" s="114"/>
      <c r="BN428" s="114"/>
      <c r="BO428" s="114"/>
      <c r="BP428" s="114"/>
      <c r="BQ428" s="114"/>
      <c r="BR428" s="114"/>
      <c r="BS428" s="114"/>
      <c r="BT428" s="114"/>
      <c r="BU428" s="114"/>
      <c r="BV428" s="114"/>
      <c r="BW428" s="114"/>
      <c r="BX428" s="114"/>
      <c r="BY428" s="114"/>
      <c r="BZ428" s="114"/>
      <c r="CA428" s="114"/>
      <c r="CB428" s="114"/>
      <c r="CC428" s="114"/>
      <c r="CD428" s="114"/>
      <c r="CE428" s="114"/>
      <c r="CF428" s="114"/>
      <c r="CG428" s="114"/>
      <c r="CH428" s="114"/>
      <c r="CI428" s="114"/>
      <c r="CJ428" s="114"/>
      <c r="CK428" s="114"/>
      <c r="CL428" s="114"/>
      <c r="CM428" s="114"/>
      <c r="CN428" s="114"/>
      <c r="CO428" s="114"/>
      <c r="CP428" s="114"/>
      <c r="CQ428" s="114"/>
      <c r="CR428" s="114"/>
      <c r="CS428" s="114"/>
      <c r="CT428" s="114"/>
      <c r="CU428" s="114"/>
      <c r="CV428" s="114"/>
      <c r="CW428" s="114"/>
      <c r="CX428" s="114"/>
      <c r="CY428" s="114"/>
      <c r="CZ428" s="114"/>
      <c r="DA428" s="114"/>
      <c r="DB428" s="114"/>
      <c r="DC428" s="114"/>
      <c r="DD428" s="114"/>
      <c r="DE428" s="114"/>
      <c r="DF428" s="114"/>
      <c r="DG428" s="114"/>
      <c r="DH428" s="114"/>
      <c r="DI428" s="114"/>
      <c r="DJ428" s="114"/>
      <c r="DK428" s="114"/>
      <c r="DL428" s="114"/>
      <c r="DM428" s="114"/>
      <c r="DN428" s="114"/>
      <c r="DO428" s="114"/>
      <c r="DP428" s="114"/>
      <c r="DQ428" s="114"/>
      <c r="DR428" s="114"/>
      <c r="DS428" s="114"/>
      <c r="DT428" s="114"/>
      <c r="DU428" s="114"/>
      <c r="DV428" s="114"/>
      <c r="DW428" s="114"/>
      <c r="DX428" s="114"/>
      <c r="DY428" s="114"/>
      <c r="DZ428" s="114"/>
      <c r="EA428" s="114"/>
      <c r="EB428" s="114"/>
      <c r="EC428" s="114"/>
      <c r="ED428" s="114"/>
      <c r="EE428" s="114"/>
      <c r="EF428" s="114"/>
      <c r="EG428" s="114"/>
      <c r="EH428" s="114"/>
      <c r="EI428" s="114"/>
      <c r="EJ428" s="114"/>
      <c r="EK428" s="114"/>
      <c r="EL428" s="114"/>
      <c r="EM428" s="114"/>
      <c r="EN428" s="114"/>
      <c r="EO428" s="114"/>
      <c r="EP428" s="114"/>
      <c r="EQ428" s="114"/>
      <c r="ER428" s="114"/>
      <c r="ES428" s="114"/>
      <c r="ET428" s="114"/>
      <c r="EU428" s="114"/>
      <c r="EV428" s="114"/>
      <c r="EW428" s="114"/>
      <c r="EX428" s="114"/>
      <c r="EY428" s="114"/>
      <c r="EZ428" s="114"/>
      <c r="FA428" s="114"/>
      <c r="FB428" s="114"/>
      <c r="FC428" s="114"/>
      <c r="FD428" s="114"/>
      <c r="FE428" s="114"/>
      <c r="FF428" s="114"/>
      <c r="FG428" s="114"/>
      <c r="FH428" s="114"/>
      <c r="FI428" s="114"/>
      <c r="FJ428" s="114"/>
      <c r="FK428" s="114"/>
      <c r="FL428" s="114"/>
      <c r="FM428" s="114"/>
      <c r="FN428" s="114"/>
      <c r="FO428" s="114"/>
      <c r="FP428" s="114"/>
      <c r="FQ428" s="114"/>
      <c r="FR428" s="114"/>
      <c r="FS428" s="114"/>
      <c r="FT428" s="114"/>
      <c r="FU428" s="114"/>
      <c r="FV428" s="114"/>
      <c r="FW428" s="114"/>
      <c r="FX428" s="114"/>
      <c r="FY428" s="114"/>
      <c r="FZ428" s="114"/>
      <c r="GA428" s="114"/>
      <c r="GB428" s="114"/>
      <c r="GC428" s="114"/>
      <c r="GD428" s="114"/>
      <c r="GE428" s="114"/>
      <c r="GF428" s="114"/>
      <c r="GG428" s="114"/>
      <c r="GH428" s="114"/>
      <c r="GI428" s="114"/>
      <c r="GJ428" s="114"/>
      <c r="GK428" s="114"/>
      <c r="GL428" s="114"/>
      <c r="GM428" s="114"/>
      <c r="GN428" s="114"/>
      <c r="GO428" s="114"/>
      <c r="GP428" s="114"/>
      <c r="GQ428" s="114"/>
      <c r="GR428" s="114"/>
      <c r="GS428" s="114"/>
      <c r="GT428" s="114"/>
      <c r="GU428" s="114"/>
      <c r="GV428" s="114"/>
      <c r="GW428" s="114"/>
      <c r="GX428" s="114"/>
      <c r="GY428" s="114"/>
      <c r="GZ428" s="114"/>
      <c r="HA428" s="114"/>
      <c r="HB428" s="114"/>
      <c r="HC428" s="114"/>
      <c r="HD428" s="114"/>
      <c r="HE428" s="114"/>
      <c r="HF428" s="114"/>
      <c r="HG428" s="114"/>
      <c r="HH428" s="114"/>
      <c r="HI428" s="114"/>
      <c r="HJ428" s="114"/>
      <c r="HK428" s="114"/>
      <c r="HL428" s="114"/>
      <c r="HM428" s="114"/>
      <c r="HN428" s="114"/>
      <c r="HO428" s="114"/>
      <c r="HP428" s="114"/>
      <c r="HQ428" s="114"/>
      <c r="HR428" s="114"/>
      <c r="HS428" s="114"/>
      <c r="HT428" s="114"/>
      <c r="HU428" s="114"/>
      <c r="HV428" s="114"/>
      <c r="HW428" s="114"/>
      <c r="HX428" s="114"/>
      <c r="HY428" s="114"/>
      <c r="HZ428" s="114"/>
      <c r="IA428" s="114"/>
      <c r="IB428" s="114"/>
      <c r="IC428" s="114"/>
      <c r="ID428" s="114"/>
      <c r="IE428" s="114"/>
      <c r="IF428" s="114"/>
      <c r="IG428" s="114"/>
    </row>
    <row r="429" spans="1:245">
      <c r="A429">
        <v>378</v>
      </c>
      <c r="B429" t="s">
        <v>468</v>
      </c>
      <c r="C429" s="114" t="s">
        <v>567</v>
      </c>
      <c r="D429" s="28" t="s">
        <v>1251</v>
      </c>
      <c r="E429" s="28" t="s">
        <v>1252</v>
      </c>
      <c r="F429" s="28"/>
      <c r="G429" s="27" t="s">
        <v>90</v>
      </c>
      <c r="I429" s="27" t="s">
        <v>121</v>
      </c>
      <c r="J429" s="28">
        <v>21697</v>
      </c>
      <c r="K429" s="27" t="s">
        <v>227</v>
      </c>
      <c r="L429" s="114"/>
      <c r="M429" s="114"/>
      <c r="N429" s="278" t="s">
        <v>1764</v>
      </c>
      <c r="O429" s="115" t="s">
        <v>1763</v>
      </c>
      <c r="P429" s="333">
        <v>43104</v>
      </c>
      <c r="V429" s="319"/>
      <c r="W429" s="238" t="s">
        <v>1765</v>
      </c>
      <c r="X429" s="238"/>
      <c r="Y429" s="238"/>
      <c r="Z429" s="238"/>
      <c r="AA429" s="115"/>
      <c r="AB429" s="121"/>
      <c r="AC429" s="114"/>
      <c r="AD429" s="115"/>
      <c r="AE429" s="114"/>
      <c r="AF429" s="114"/>
      <c r="AG429" s="114"/>
      <c r="AH429" s="114"/>
      <c r="AI429" s="114"/>
      <c r="AJ429" s="114"/>
      <c r="AK429" s="114"/>
      <c r="AL429" s="114"/>
      <c r="AM429" s="114"/>
      <c r="AN429" s="114"/>
      <c r="AO429" s="114"/>
      <c r="AP429" s="114"/>
      <c r="AQ429" s="114"/>
      <c r="AR429" s="114"/>
      <c r="AS429" s="114"/>
      <c r="AT429" s="114"/>
      <c r="AU429" s="114"/>
      <c r="AV429" s="114"/>
      <c r="AW429" s="114"/>
      <c r="AX429" s="114"/>
      <c r="AY429" s="114"/>
      <c r="AZ429" s="114"/>
      <c r="BA429" s="114"/>
      <c r="BB429" s="114"/>
      <c r="BC429" s="114"/>
      <c r="BD429" s="114"/>
      <c r="BE429" s="114"/>
      <c r="BF429" s="114"/>
      <c r="BG429" s="114"/>
      <c r="BH429" s="114"/>
      <c r="BI429" s="114"/>
      <c r="BJ429" s="114"/>
      <c r="BK429" s="114"/>
      <c r="BL429" s="114"/>
      <c r="BM429" s="114"/>
      <c r="BN429" s="114"/>
      <c r="BO429" s="114"/>
      <c r="BP429" s="114"/>
      <c r="BQ429" s="114"/>
      <c r="BR429" s="114"/>
      <c r="BS429" s="114"/>
      <c r="BT429" s="114"/>
      <c r="BU429" s="114"/>
      <c r="BV429" s="114"/>
      <c r="BW429" s="114"/>
      <c r="BX429" s="114"/>
      <c r="BY429" s="114"/>
      <c r="BZ429" s="114"/>
      <c r="CA429" s="114"/>
      <c r="CB429" s="114"/>
      <c r="CC429" s="114"/>
      <c r="CD429" s="114"/>
      <c r="CE429" s="114"/>
      <c r="CF429" s="114"/>
      <c r="CG429" s="114"/>
      <c r="CH429" s="114"/>
      <c r="CI429" s="114"/>
      <c r="CJ429" s="114"/>
      <c r="CK429" s="114"/>
      <c r="CL429" s="114"/>
      <c r="CM429" s="114"/>
      <c r="CN429" s="114"/>
      <c r="CO429" s="114"/>
      <c r="CP429" s="114"/>
      <c r="CQ429" s="114"/>
      <c r="CR429" s="114"/>
      <c r="CS429" s="114"/>
      <c r="CT429" s="114"/>
      <c r="CU429" s="114"/>
      <c r="CV429" s="114"/>
      <c r="CW429" s="114"/>
      <c r="CX429" s="114"/>
      <c r="CY429" s="114"/>
      <c r="CZ429" s="114"/>
      <c r="DA429" s="114"/>
      <c r="DB429" s="114"/>
      <c r="DC429" s="114"/>
      <c r="DD429" s="114"/>
      <c r="DE429" s="114"/>
      <c r="DF429" s="114"/>
      <c r="DG429" s="114"/>
      <c r="DH429" s="114"/>
      <c r="DI429" s="114"/>
      <c r="DJ429" s="114"/>
      <c r="DK429" s="114"/>
      <c r="DL429" s="114"/>
      <c r="DM429" s="114"/>
      <c r="DN429" s="114"/>
      <c r="DO429" s="114"/>
      <c r="DP429" s="114"/>
      <c r="DQ429" s="114"/>
      <c r="DR429" s="114"/>
      <c r="DS429" s="114"/>
      <c r="DT429" s="114"/>
      <c r="DU429" s="114"/>
      <c r="DV429" s="114"/>
      <c r="DW429" s="114"/>
      <c r="DX429" s="114"/>
      <c r="DY429" s="114"/>
      <c r="DZ429" s="114"/>
      <c r="EA429" s="114"/>
      <c r="EB429" s="114"/>
      <c r="EC429" s="114"/>
      <c r="ED429" s="114"/>
      <c r="EE429" s="114"/>
      <c r="EF429" s="114"/>
      <c r="EG429" s="114"/>
      <c r="EH429" s="114"/>
      <c r="EI429" s="114"/>
      <c r="EJ429" s="114"/>
      <c r="EK429" s="114"/>
      <c r="EL429" s="114"/>
      <c r="EM429" s="114"/>
      <c r="EN429" s="114"/>
      <c r="EO429" s="114"/>
      <c r="EP429" s="114"/>
      <c r="EQ429" s="114"/>
      <c r="ER429" s="114"/>
      <c r="ES429" s="114"/>
      <c r="ET429" s="114"/>
      <c r="EU429" s="114"/>
      <c r="EV429" s="114"/>
      <c r="EW429" s="114"/>
      <c r="EX429" s="114"/>
      <c r="EY429" s="114"/>
      <c r="EZ429" s="114"/>
      <c r="FA429" s="114"/>
      <c r="FB429" s="114"/>
      <c r="FC429" s="114"/>
      <c r="FD429" s="114"/>
      <c r="FE429" s="114"/>
      <c r="FF429" s="114"/>
      <c r="FG429" s="114"/>
      <c r="FH429" s="114"/>
      <c r="FI429" s="114"/>
      <c r="FJ429" s="114"/>
      <c r="FK429" s="114"/>
      <c r="FL429" s="114"/>
      <c r="FM429" s="114"/>
      <c r="FN429" s="114"/>
      <c r="FO429" s="114"/>
      <c r="FP429" s="114"/>
      <c r="FQ429" s="114"/>
      <c r="FR429" s="114"/>
      <c r="FS429" s="114"/>
      <c r="FT429" s="114"/>
      <c r="FU429" s="114"/>
      <c r="FV429" s="114"/>
      <c r="FW429" s="114"/>
      <c r="FX429" s="114"/>
      <c r="FY429" s="114"/>
      <c r="FZ429" s="114"/>
      <c r="GA429" s="114"/>
      <c r="GB429" s="114"/>
      <c r="GC429" s="114"/>
      <c r="GD429" s="114"/>
      <c r="GE429" s="114"/>
      <c r="GF429" s="114"/>
      <c r="GG429" s="114"/>
      <c r="GH429" s="114"/>
      <c r="GI429" s="114"/>
      <c r="GJ429" s="114"/>
      <c r="GK429" s="114"/>
      <c r="GL429" s="114"/>
      <c r="GM429" s="114"/>
      <c r="GN429" s="114"/>
      <c r="GO429" s="114"/>
      <c r="GP429" s="114"/>
      <c r="GQ429" s="114"/>
      <c r="GR429" s="114"/>
      <c r="GS429" s="114"/>
      <c r="GT429" s="114"/>
      <c r="GU429" s="114"/>
      <c r="GV429" s="114"/>
      <c r="GW429" s="114"/>
      <c r="GX429" s="114"/>
      <c r="GY429" s="114"/>
      <c r="GZ429" s="114"/>
      <c r="HA429" s="114"/>
      <c r="HB429" s="114"/>
      <c r="HC429" s="114"/>
      <c r="HD429" s="114"/>
      <c r="HE429" s="114"/>
      <c r="HF429" s="114"/>
      <c r="HG429" s="114"/>
      <c r="HH429" s="114"/>
      <c r="HI429" s="114"/>
      <c r="HJ429" s="114"/>
      <c r="HK429" s="114"/>
      <c r="HL429" s="114"/>
      <c r="HM429" s="114"/>
      <c r="HN429" s="114"/>
      <c r="HO429" s="114"/>
      <c r="HP429" s="114"/>
      <c r="HQ429" s="114"/>
      <c r="HR429" s="114"/>
      <c r="HS429" s="114"/>
      <c r="HT429" s="114"/>
      <c r="HU429" s="114"/>
      <c r="HV429" s="114"/>
      <c r="HW429" s="114"/>
      <c r="HX429" s="114"/>
      <c r="HY429" s="114"/>
      <c r="HZ429" s="114"/>
      <c r="IA429" s="114"/>
      <c r="IB429" s="114"/>
      <c r="IC429" s="114"/>
      <c r="ID429" s="114"/>
      <c r="IE429" s="114"/>
      <c r="IF429" s="114"/>
      <c r="IG429" s="114"/>
    </row>
    <row r="430" spans="1:245">
      <c r="A430">
        <v>379</v>
      </c>
      <c r="B430" t="s">
        <v>468</v>
      </c>
      <c r="C430" s="114" t="s">
        <v>567</v>
      </c>
      <c r="D430" s="28" t="s">
        <v>1251</v>
      </c>
      <c r="E430" s="28" t="s">
        <v>1252</v>
      </c>
      <c r="F430" s="28"/>
      <c r="G430" s="27" t="s">
        <v>90</v>
      </c>
      <c r="I430" s="27" t="s">
        <v>94</v>
      </c>
      <c r="J430" s="28">
        <v>21697</v>
      </c>
      <c r="K430" s="27" t="s">
        <v>227</v>
      </c>
      <c r="L430" s="114"/>
      <c r="M430" s="114"/>
      <c r="N430" s="115" t="s">
        <v>1767</v>
      </c>
      <c r="O430" s="115" t="s">
        <v>1763</v>
      </c>
      <c r="P430" s="333">
        <v>43672</v>
      </c>
      <c r="V430" s="319"/>
      <c r="W430" s="238" t="s">
        <v>1765</v>
      </c>
      <c r="X430" s="238"/>
      <c r="Y430" s="238"/>
      <c r="Z430" s="238"/>
      <c r="AA430" s="115"/>
      <c r="AB430" s="121"/>
      <c r="AC430" s="114"/>
      <c r="AD430" s="115"/>
      <c r="AE430" s="114"/>
      <c r="AF430" s="114"/>
      <c r="AG430" s="114"/>
      <c r="AH430" s="114"/>
      <c r="AI430" s="114"/>
      <c r="AJ430" s="114"/>
      <c r="AK430" s="114"/>
      <c r="AL430" s="114"/>
      <c r="AM430" s="114"/>
      <c r="AN430" s="114"/>
      <c r="AO430" s="114"/>
      <c r="AP430" s="114"/>
      <c r="AQ430" s="114"/>
      <c r="AR430" s="114"/>
      <c r="AS430" s="114"/>
      <c r="AT430" s="114"/>
      <c r="AU430" s="114"/>
      <c r="AV430" s="114"/>
      <c r="AW430" s="114"/>
      <c r="AX430" s="114"/>
      <c r="AY430" s="114"/>
      <c r="AZ430" s="114"/>
      <c r="BA430" s="114"/>
      <c r="BB430" s="114"/>
      <c r="BC430" s="114"/>
      <c r="BD430" s="114"/>
      <c r="BE430" s="114"/>
      <c r="BF430" s="114"/>
      <c r="BG430" s="114"/>
      <c r="BH430" s="114"/>
      <c r="BI430" s="114"/>
      <c r="BJ430" s="114"/>
      <c r="BK430" s="114"/>
      <c r="BL430" s="114"/>
      <c r="BM430" s="114"/>
      <c r="BN430" s="114"/>
      <c r="BO430" s="114"/>
      <c r="BP430" s="114"/>
      <c r="BQ430" s="114"/>
      <c r="BR430" s="114"/>
      <c r="BS430" s="114"/>
      <c r="BT430" s="114"/>
      <c r="BU430" s="114"/>
      <c r="BV430" s="114"/>
      <c r="BW430" s="114"/>
      <c r="BX430" s="114"/>
      <c r="BY430" s="114"/>
      <c r="BZ430" s="114"/>
      <c r="CA430" s="114"/>
      <c r="CB430" s="114"/>
      <c r="CC430" s="114"/>
      <c r="CD430" s="114"/>
      <c r="CE430" s="114"/>
      <c r="CF430" s="114"/>
      <c r="CG430" s="114"/>
      <c r="CH430" s="114"/>
      <c r="CI430" s="114"/>
      <c r="CJ430" s="114"/>
      <c r="CK430" s="114"/>
      <c r="CL430" s="114"/>
      <c r="CM430" s="114"/>
      <c r="CN430" s="114"/>
      <c r="CO430" s="114"/>
      <c r="CP430" s="114"/>
      <c r="CQ430" s="114"/>
      <c r="CR430" s="114"/>
      <c r="CS430" s="114"/>
      <c r="CT430" s="114"/>
      <c r="CU430" s="114"/>
      <c r="CV430" s="114"/>
      <c r="CW430" s="114"/>
      <c r="CX430" s="114"/>
      <c r="CY430" s="114"/>
      <c r="CZ430" s="114"/>
      <c r="DA430" s="114"/>
      <c r="DB430" s="114"/>
      <c r="DC430" s="114"/>
      <c r="DD430" s="114"/>
      <c r="DE430" s="114"/>
      <c r="DF430" s="114"/>
      <c r="DG430" s="114"/>
      <c r="DH430" s="114"/>
      <c r="DI430" s="114"/>
      <c r="DJ430" s="114"/>
      <c r="DK430" s="114"/>
      <c r="DL430" s="114"/>
      <c r="DM430" s="114"/>
      <c r="DN430" s="114"/>
      <c r="DO430" s="114"/>
      <c r="DP430" s="114"/>
      <c r="DQ430" s="114"/>
      <c r="DR430" s="114"/>
      <c r="DS430" s="114"/>
      <c r="DT430" s="114"/>
      <c r="DU430" s="114"/>
      <c r="DV430" s="114"/>
      <c r="DW430" s="114"/>
      <c r="DX430" s="114"/>
      <c r="DY430" s="114"/>
      <c r="DZ430" s="114"/>
      <c r="EA430" s="114"/>
      <c r="EB430" s="114"/>
      <c r="EC430" s="114"/>
      <c r="ED430" s="114"/>
      <c r="EE430" s="114"/>
      <c r="EF430" s="114"/>
      <c r="EG430" s="114"/>
      <c r="EH430" s="114"/>
      <c r="EI430" s="114"/>
      <c r="EJ430" s="114"/>
      <c r="EK430" s="114"/>
      <c r="EL430" s="114"/>
      <c r="EM430" s="114"/>
      <c r="EN430" s="114"/>
      <c r="EO430" s="114"/>
      <c r="EP430" s="114"/>
      <c r="EQ430" s="114"/>
      <c r="ER430" s="114"/>
      <c r="ES430" s="114"/>
      <c r="ET430" s="114"/>
      <c r="EU430" s="114"/>
      <c r="EV430" s="114"/>
      <c r="EW430" s="114"/>
      <c r="EX430" s="114"/>
      <c r="EY430" s="114"/>
      <c r="EZ430" s="114"/>
      <c r="FA430" s="114"/>
      <c r="FB430" s="114"/>
      <c r="FC430" s="114"/>
      <c r="FD430" s="114"/>
      <c r="FE430" s="114"/>
      <c r="FF430" s="114"/>
      <c r="FG430" s="114"/>
      <c r="FH430" s="114"/>
      <c r="FI430" s="114"/>
      <c r="FJ430" s="114"/>
      <c r="FK430" s="114"/>
      <c r="FL430" s="114"/>
      <c r="FM430" s="114"/>
      <c r="FN430" s="114"/>
      <c r="FO430" s="114"/>
      <c r="FP430" s="114"/>
      <c r="FQ430" s="114"/>
      <c r="FR430" s="114"/>
      <c r="FS430" s="114"/>
      <c r="FT430" s="114"/>
      <c r="FU430" s="114"/>
      <c r="FV430" s="114"/>
      <c r="FW430" s="114"/>
      <c r="FX430" s="114"/>
      <c r="FY430" s="114"/>
      <c r="FZ430" s="114"/>
      <c r="GA430" s="114"/>
      <c r="GB430" s="114"/>
      <c r="GC430" s="114"/>
      <c r="GD430" s="114"/>
      <c r="GE430" s="114"/>
      <c r="GF430" s="114"/>
      <c r="GG430" s="114"/>
      <c r="GH430" s="114"/>
      <c r="GI430" s="114"/>
      <c r="GJ430" s="114"/>
      <c r="GK430" s="114"/>
      <c r="GL430" s="114"/>
      <c r="GM430" s="114"/>
      <c r="GN430" s="114"/>
      <c r="GO430" s="114"/>
      <c r="GP430" s="114"/>
      <c r="GQ430" s="114"/>
      <c r="GR430" s="114"/>
      <c r="GS430" s="114"/>
      <c r="GT430" s="114"/>
      <c r="GU430" s="114"/>
      <c r="GV430" s="114"/>
      <c r="GW430" s="114"/>
      <c r="GX430" s="114"/>
      <c r="GY430" s="114"/>
      <c r="GZ430" s="114"/>
      <c r="HA430" s="114"/>
      <c r="HB430" s="114"/>
      <c r="HC430" s="114"/>
      <c r="HD430" s="114"/>
      <c r="HE430" s="114"/>
      <c r="HF430" s="114"/>
      <c r="HG430" s="114"/>
      <c r="HH430" s="114"/>
      <c r="HI430" s="114"/>
      <c r="HJ430" s="114"/>
      <c r="HK430" s="114"/>
      <c r="HL430" s="114"/>
      <c r="HM430" s="114"/>
      <c r="HN430" s="114"/>
      <c r="HO430" s="114"/>
      <c r="HP430" s="114"/>
      <c r="HQ430" s="114"/>
      <c r="HR430" s="114"/>
      <c r="HS430" s="114"/>
      <c r="HT430" s="114"/>
      <c r="HU430" s="114"/>
      <c r="HV430" s="114"/>
      <c r="HW430" s="114"/>
      <c r="HX430" s="114"/>
      <c r="HY430" s="114"/>
      <c r="HZ430" s="114"/>
      <c r="IA430" s="114"/>
      <c r="IB430" s="114"/>
      <c r="IC430" s="114"/>
      <c r="ID430" s="114"/>
      <c r="IE430" s="114"/>
      <c r="IF430" s="114"/>
      <c r="IG430" s="114"/>
    </row>
    <row r="431" spans="1:245">
      <c r="A431">
        <v>380</v>
      </c>
      <c r="B431" t="s">
        <v>468</v>
      </c>
      <c r="C431" s="114" t="s">
        <v>567</v>
      </c>
      <c r="D431" s="28" t="s">
        <v>1251</v>
      </c>
      <c r="E431" s="28" t="s">
        <v>1252</v>
      </c>
      <c r="F431" s="28"/>
      <c r="G431" s="27" t="s">
        <v>90</v>
      </c>
      <c r="I431" s="27" t="s">
        <v>226</v>
      </c>
      <c r="J431" s="28">
        <v>21590</v>
      </c>
      <c r="K431" s="27" t="s">
        <v>397</v>
      </c>
      <c r="L431" s="114"/>
      <c r="M431" s="114"/>
      <c r="N431" s="278" t="s">
        <v>1764</v>
      </c>
      <c r="O431" s="115" t="s">
        <v>1763</v>
      </c>
      <c r="P431" s="333">
        <v>43104</v>
      </c>
      <c r="V431" s="319"/>
      <c r="W431" s="238" t="s">
        <v>1765</v>
      </c>
      <c r="X431" s="238"/>
      <c r="Y431" s="238"/>
      <c r="Z431" s="238"/>
      <c r="AA431" s="115"/>
      <c r="AB431" s="121"/>
      <c r="AC431" s="114"/>
      <c r="AD431" s="115"/>
      <c r="AE431" s="114"/>
      <c r="AF431" s="114"/>
      <c r="AG431" s="114"/>
      <c r="AH431" s="114"/>
      <c r="AI431" s="114"/>
      <c r="AJ431" s="114"/>
      <c r="AK431" s="114"/>
      <c r="AL431" s="114"/>
      <c r="AM431" s="114"/>
      <c r="AN431" s="114"/>
      <c r="AO431" s="114"/>
      <c r="AP431" s="114"/>
      <c r="AQ431" s="114"/>
      <c r="AR431" s="114"/>
      <c r="AS431" s="114"/>
      <c r="AT431" s="114"/>
      <c r="AU431" s="114"/>
      <c r="AV431" s="114"/>
      <c r="AW431" s="114"/>
      <c r="AX431" s="114"/>
      <c r="AY431" s="114"/>
      <c r="AZ431" s="114"/>
      <c r="BA431" s="114"/>
      <c r="BB431" s="114"/>
      <c r="BC431" s="114"/>
      <c r="BD431" s="114"/>
      <c r="BE431" s="114"/>
      <c r="BF431" s="114"/>
      <c r="BG431" s="114"/>
      <c r="BH431" s="114"/>
      <c r="BI431" s="114"/>
      <c r="BJ431" s="114"/>
      <c r="BK431" s="114"/>
      <c r="BL431" s="114"/>
      <c r="BM431" s="114"/>
      <c r="BN431" s="114"/>
      <c r="BO431" s="114"/>
      <c r="BP431" s="114"/>
      <c r="BQ431" s="114"/>
      <c r="BR431" s="114"/>
      <c r="BS431" s="114"/>
      <c r="BT431" s="114"/>
      <c r="BU431" s="114"/>
      <c r="BV431" s="114"/>
      <c r="BW431" s="114"/>
      <c r="BX431" s="114"/>
      <c r="BY431" s="114"/>
      <c r="BZ431" s="114"/>
      <c r="CA431" s="114"/>
      <c r="CB431" s="114"/>
      <c r="CC431" s="114"/>
      <c r="CD431" s="114"/>
      <c r="CE431" s="114"/>
      <c r="CF431" s="114"/>
      <c r="CG431" s="114"/>
      <c r="CH431" s="114"/>
      <c r="CI431" s="114"/>
      <c r="CJ431" s="114"/>
      <c r="CK431" s="114"/>
      <c r="CL431" s="114"/>
      <c r="CM431" s="114"/>
      <c r="CN431" s="114"/>
      <c r="CO431" s="114"/>
      <c r="CP431" s="114"/>
      <c r="CQ431" s="114"/>
      <c r="CR431" s="114"/>
      <c r="CS431" s="114"/>
      <c r="CT431" s="114"/>
      <c r="CU431" s="114"/>
      <c r="CV431" s="114"/>
      <c r="CW431" s="114"/>
      <c r="CX431" s="114"/>
      <c r="CY431" s="114"/>
      <c r="CZ431" s="114"/>
      <c r="DA431" s="114"/>
      <c r="DB431" s="114"/>
      <c r="DC431" s="114"/>
      <c r="DD431" s="114"/>
      <c r="DE431" s="114"/>
      <c r="DF431" s="114"/>
      <c r="DG431" s="114"/>
      <c r="DH431" s="114"/>
      <c r="DI431" s="114"/>
      <c r="DJ431" s="114"/>
      <c r="DK431" s="114"/>
      <c r="DL431" s="114"/>
      <c r="DM431" s="114"/>
      <c r="DN431" s="114"/>
      <c r="DO431" s="114"/>
      <c r="DP431" s="114"/>
      <c r="DQ431" s="114"/>
      <c r="DR431" s="114"/>
      <c r="DS431" s="114"/>
      <c r="DT431" s="114"/>
      <c r="DU431" s="114"/>
      <c r="DV431" s="114"/>
      <c r="DW431" s="114"/>
      <c r="DX431" s="114"/>
      <c r="DY431" s="114"/>
      <c r="DZ431" s="114"/>
      <c r="EA431" s="114"/>
      <c r="EB431" s="114"/>
      <c r="EC431" s="114"/>
      <c r="ED431" s="114"/>
      <c r="EE431" s="114"/>
      <c r="EF431" s="114"/>
      <c r="EG431" s="114"/>
      <c r="EH431" s="114"/>
      <c r="EI431" s="114"/>
      <c r="EJ431" s="114"/>
      <c r="EK431" s="114"/>
      <c r="EL431" s="114"/>
      <c r="EM431" s="114"/>
      <c r="EN431" s="114"/>
      <c r="EO431" s="114"/>
      <c r="EP431" s="114"/>
      <c r="EQ431" s="114"/>
      <c r="ER431" s="114"/>
      <c r="ES431" s="114"/>
      <c r="ET431" s="114"/>
      <c r="EU431" s="114"/>
      <c r="EV431" s="114"/>
      <c r="EW431" s="114"/>
      <c r="EX431" s="114"/>
      <c r="EY431" s="114"/>
      <c r="EZ431" s="114"/>
      <c r="FA431" s="114"/>
      <c r="FB431" s="114"/>
      <c r="FC431" s="114"/>
      <c r="FD431" s="114"/>
      <c r="FE431" s="114"/>
      <c r="FF431" s="114"/>
      <c r="FG431" s="114"/>
      <c r="FH431" s="114"/>
      <c r="FI431" s="114"/>
      <c r="FJ431" s="114"/>
      <c r="FK431" s="114"/>
      <c r="FL431" s="114"/>
      <c r="FM431" s="114"/>
      <c r="FN431" s="114"/>
      <c r="FO431" s="114"/>
      <c r="FP431" s="114"/>
      <c r="FQ431" s="114"/>
      <c r="FR431" s="114"/>
      <c r="FS431" s="114"/>
      <c r="FT431" s="114"/>
      <c r="FU431" s="114"/>
      <c r="FV431" s="114"/>
      <c r="FW431" s="114"/>
      <c r="FX431" s="114"/>
      <c r="FY431" s="114"/>
      <c r="FZ431" s="114"/>
      <c r="GA431" s="114"/>
      <c r="GB431" s="114"/>
      <c r="GC431" s="114"/>
      <c r="GD431" s="114"/>
      <c r="GE431" s="114"/>
      <c r="GF431" s="114"/>
      <c r="GG431" s="114"/>
      <c r="GH431" s="114"/>
      <c r="GI431" s="114"/>
      <c r="GJ431" s="114"/>
      <c r="GK431" s="114"/>
      <c r="GL431" s="114"/>
      <c r="GM431" s="114"/>
      <c r="GN431" s="114"/>
      <c r="GO431" s="114"/>
      <c r="GP431" s="114"/>
      <c r="GQ431" s="114"/>
      <c r="GR431" s="114"/>
      <c r="GS431" s="114"/>
      <c r="GT431" s="114"/>
      <c r="GU431" s="114"/>
      <c r="GV431" s="114"/>
      <c r="GW431" s="114"/>
      <c r="GX431" s="114"/>
      <c r="GY431" s="114"/>
      <c r="GZ431" s="114"/>
      <c r="HA431" s="114"/>
      <c r="HB431" s="114"/>
      <c r="HC431" s="114"/>
      <c r="HD431" s="114"/>
      <c r="HE431" s="114"/>
      <c r="HF431" s="114"/>
      <c r="HG431" s="114"/>
      <c r="HH431" s="114"/>
      <c r="HI431" s="114"/>
      <c r="HJ431" s="114"/>
      <c r="HK431" s="114"/>
      <c r="HL431" s="114"/>
      <c r="HM431" s="114"/>
      <c r="HN431" s="114"/>
      <c r="HO431" s="114"/>
      <c r="HP431" s="114"/>
      <c r="HQ431" s="114"/>
      <c r="HR431" s="114"/>
      <c r="HS431" s="114"/>
      <c r="HT431" s="114"/>
      <c r="HU431" s="114"/>
      <c r="HV431" s="114"/>
      <c r="HW431" s="114"/>
      <c r="HX431" s="114"/>
      <c r="HY431" s="114"/>
      <c r="HZ431" s="114"/>
      <c r="IA431" s="114"/>
      <c r="IB431" s="114"/>
      <c r="IC431" s="114"/>
      <c r="ID431" s="114"/>
      <c r="IE431" s="114"/>
      <c r="IF431" s="114"/>
      <c r="IG431" s="114"/>
    </row>
    <row r="432" spans="1:245">
      <c r="A432">
        <v>381</v>
      </c>
      <c r="B432" t="s">
        <v>468</v>
      </c>
      <c r="C432" t="s">
        <v>1770</v>
      </c>
      <c r="D432" s="28" t="s">
        <v>1253</v>
      </c>
      <c r="E432" s="28" t="s">
        <v>140</v>
      </c>
      <c r="F432" s="5" t="s">
        <v>2182</v>
      </c>
      <c r="G432" s="27" t="s">
        <v>90</v>
      </c>
      <c r="I432" s="27" t="s">
        <v>121</v>
      </c>
      <c r="J432" s="28">
        <v>21677</v>
      </c>
      <c r="K432" s="27" t="s">
        <v>228</v>
      </c>
      <c r="L432" s="379">
        <v>21401</v>
      </c>
      <c r="Q432" s="13" t="s">
        <v>1768</v>
      </c>
      <c r="R432" s="13" t="s">
        <v>1769</v>
      </c>
      <c r="W432" s="383" t="s">
        <v>1771</v>
      </c>
      <c r="X432" s="383"/>
      <c r="Y432" s="383"/>
      <c r="Z432" s="383"/>
      <c r="AA432" s="13" t="s">
        <v>1772</v>
      </c>
      <c r="AB432" s="57">
        <v>285</v>
      </c>
      <c r="AC432">
        <v>0</v>
      </c>
      <c r="AE432" s="7">
        <f t="shared" ref="AE432:AE439" si="432">BA432</f>
        <v>5.13</v>
      </c>
      <c r="AF432" s="7"/>
      <c r="AG432" s="7">
        <f t="shared" ref="AG432:AG439" si="433">EU432</f>
        <v>2.0611111111111113</v>
      </c>
      <c r="AH432" s="7">
        <f t="shared" ref="AH432:AH439" si="434">DM432</f>
        <v>0</v>
      </c>
      <c r="AI432" s="7">
        <f t="shared" ref="AI432:AI439" si="435">DO432</f>
        <v>0</v>
      </c>
      <c r="AJ432" s="7">
        <f t="shared" ref="AJ432:AJ439" si="436">GW432</f>
        <v>2.2222222222222227E-2</v>
      </c>
      <c r="AK432" s="7">
        <f t="shared" ref="AK432:AK439" si="437">GU432</f>
        <v>0.14382222222222221</v>
      </c>
      <c r="AL432" s="7">
        <f t="shared" ref="AL432:AL439" si="438">GS432</f>
        <v>0.79102222222222218</v>
      </c>
      <c r="AM432" s="7">
        <f t="shared" ref="AM432:AM439" si="439">HV432</f>
        <v>1.3541666666666667E-2</v>
      </c>
      <c r="AN432" s="7">
        <f t="shared" ref="AN432:AN439" si="440">IG432</f>
        <v>6.5789473684210523E-3</v>
      </c>
      <c r="AO432" s="7">
        <f t="shared" ref="AO432:AO439" si="441">EY432</f>
        <v>0</v>
      </c>
      <c r="AP432" s="7"/>
      <c r="AQ432" s="7">
        <f t="shared" ref="AQ432:AQ439" si="442">SUM(AE432:AO432)</f>
        <v>8.1682983918128649</v>
      </c>
      <c r="AR432" s="7">
        <f t="shared" ref="AR432:AR439" si="443">IJ432</f>
        <v>0</v>
      </c>
      <c r="AS432" s="7">
        <f t="shared" ref="AS432:AS439" si="444">EO432</f>
        <v>0</v>
      </c>
      <c r="AT432" s="7">
        <v>0</v>
      </c>
      <c r="AU432" s="7">
        <v>0</v>
      </c>
      <c r="AV432" s="7">
        <f t="shared" ref="AV432:AV439" si="445">AQ432+AT432+AU432+AR432+AS432</f>
        <v>8.1682983918128649</v>
      </c>
      <c r="AW432">
        <v>1.7999999999999999E-2</v>
      </c>
      <c r="AX432" s="14">
        <v>1.4500000000000001E-2</v>
      </c>
      <c r="AY432" s="8">
        <v>0</v>
      </c>
      <c r="AZ432" s="4">
        <f t="shared" ref="AZ432:AZ439" si="446">(AW432-AX432)*AY432</f>
        <v>0</v>
      </c>
      <c r="BA432" s="4">
        <f t="shared" ref="BA432:BA439" si="447">AW432*AB432-AZ432*AC432</f>
        <v>5.13</v>
      </c>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E432" s="4">
        <v>0</v>
      </c>
      <c r="CF432" s="4">
        <v>0</v>
      </c>
      <c r="CG432" s="4">
        <v>0</v>
      </c>
      <c r="CH432">
        <f t="shared" ref="CH432:CH439" si="448">CF432*CG432</f>
        <v>0</v>
      </c>
      <c r="CI432" s="13"/>
      <c r="CK432">
        <v>0</v>
      </c>
      <c r="CL432">
        <v>0</v>
      </c>
      <c r="CM432">
        <f t="shared" ref="CM432:CM439" si="449">CK432*CL432</f>
        <v>0</v>
      </c>
      <c r="CN432" s="13"/>
      <c r="CP432">
        <v>0</v>
      </c>
      <c r="CQ432">
        <v>0</v>
      </c>
      <c r="CR432">
        <f t="shared" ref="CR432:CR439" si="450">CP432*CQ432</f>
        <v>0</v>
      </c>
      <c r="CU432">
        <v>0</v>
      </c>
      <c r="CV432">
        <v>0</v>
      </c>
      <c r="CW432">
        <f t="shared" ref="CW432:CW439" si="451">CU432*CV432</f>
        <v>0</v>
      </c>
      <c r="DM432" s="4">
        <f t="shared" ref="DM432:DM439" si="452">CH432+CM432+CR432+CW432+DB432+DG432+DL432</f>
        <v>0</v>
      </c>
      <c r="DN432" s="9">
        <v>1.2500000000000001E-2</v>
      </c>
      <c r="DO432" s="4">
        <f t="shared" ref="DO432:DO439" si="453">DM432*DN432</f>
        <v>0</v>
      </c>
      <c r="DP432" s="4">
        <f t="shared" ref="DP432:DP439" si="454">DM432+DO432</f>
        <v>0</v>
      </c>
      <c r="DQ432" s="4"/>
      <c r="DR432" s="4"/>
      <c r="DS432" s="4"/>
      <c r="DT432" s="4"/>
      <c r="DU432" s="4"/>
      <c r="DV432" s="4"/>
      <c r="DW432" s="4"/>
      <c r="DX432" s="4"/>
      <c r="DY432" s="4"/>
      <c r="DZ432" s="4"/>
      <c r="EA432" s="4"/>
      <c r="EB432" s="4"/>
      <c r="EC432" s="4"/>
      <c r="ED432" s="4"/>
      <c r="EE432" s="4"/>
      <c r="EF432">
        <v>160</v>
      </c>
      <c r="EG432">
        <v>2560</v>
      </c>
      <c r="EH432">
        <v>8</v>
      </c>
      <c r="EI432" s="8">
        <v>0.85</v>
      </c>
      <c r="EJ432">
        <v>8</v>
      </c>
      <c r="EK432">
        <v>85</v>
      </c>
      <c r="EL432" s="10">
        <f t="shared" ref="EL432:EL439" si="455">3600/EK432*EH432*EJ432*EI432</f>
        <v>2304</v>
      </c>
      <c r="EP432" s="4">
        <v>0.8</v>
      </c>
      <c r="EQ432">
        <v>0.15</v>
      </c>
      <c r="EU432" s="4">
        <f t="shared" ref="EU432:EU439" si="456">EG432/EL432+EM432+EX432+EP432+EQ432+ER432</f>
        <v>2.0611111111111113</v>
      </c>
      <c r="GR432" s="8">
        <v>0.11</v>
      </c>
      <c r="GS432" s="4">
        <f>GR432*(BA432+EU432)</f>
        <v>0.79102222222222218</v>
      </c>
      <c r="GT432" s="9">
        <v>0.02</v>
      </c>
      <c r="GU432" s="4">
        <f t="shared" ref="GU432:GU439" si="457">GT432*(EU432+BA432)</f>
        <v>0.14382222222222221</v>
      </c>
      <c r="GV432" s="8">
        <v>0.02</v>
      </c>
      <c r="GW432" s="4">
        <f t="shared" ref="GW432:GW439" si="458">GV432*(EU432-EP432-EQ432)</f>
        <v>2.2222222222222227E-2</v>
      </c>
      <c r="GX432" s="4">
        <f t="shared" ref="GX432:GX439" si="459">GS432+GU432+GW432</f>
        <v>0.95706666666666662</v>
      </c>
      <c r="GY432" t="s">
        <v>43</v>
      </c>
      <c r="GZ432" t="s">
        <v>87</v>
      </c>
      <c r="HA432" s="4">
        <v>650</v>
      </c>
      <c r="HB432" s="4">
        <v>450</v>
      </c>
      <c r="HC432">
        <v>315</v>
      </c>
      <c r="HD432">
        <v>400</v>
      </c>
      <c r="HE432">
        <v>800</v>
      </c>
      <c r="HF432" s="4">
        <f t="shared" ref="HF432:HF439" si="460">ROUNDUP(HE432/HD432,0)</f>
        <v>2</v>
      </c>
      <c r="HG432">
        <v>5</v>
      </c>
      <c r="HH432" s="4">
        <f t="shared" ref="HH432:HH439" si="461">HF432*HG432</f>
        <v>10</v>
      </c>
      <c r="HI432">
        <v>650</v>
      </c>
      <c r="HJ432" s="4">
        <f t="shared" ref="HJ432:HJ439" si="462">HH432*HI432</f>
        <v>6500</v>
      </c>
      <c r="HM432" s="4">
        <v>2</v>
      </c>
      <c r="HN432" s="10">
        <f t="shared" ref="HN432:HN439" si="463">HM432*12*25*HE432</f>
        <v>480000</v>
      </c>
      <c r="HO432" s="4">
        <f t="shared" ref="HO432:HO439" si="464">IF(GY432="carton box",HI432/HD432,HJ432/HN432)</f>
        <v>1.3541666666666667E-2</v>
      </c>
      <c r="HP432" s="4">
        <v>160</v>
      </c>
      <c r="HQ432">
        <v>0</v>
      </c>
      <c r="HR432" s="4">
        <v>0</v>
      </c>
      <c r="HS432" s="4">
        <v>0</v>
      </c>
      <c r="HT432" s="4">
        <f t="shared" ref="HT432:HT439" si="465">IF(ISERROR(HR432/HS432),0,HR432/HS432)</f>
        <v>0</v>
      </c>
      <c r="HU432" s="4"/>
      <c r="HV432" s="4">
        <f t="shared" ref="HV432:HV439" si="466">HO432+HT432</f>
        <v>1.3541666666666667E-2</v>
      </c>
      <c r="HW432" s="4"/>
      <c r="HX432" s="4">
        <v>5016</v>
      </c>
      <c r="HY432" s="4">
        <v>1976</v>
      </c>
      <c r="HZ432" s="4">
        <v>2280</v>
      </c>
      <c r="IA432" s="4">
        <f t="shared" ref="IA432:IC439" si="467">ROUNDDOWN(HX432/HA432,0)</f>
        <v>7</v>
      </c>
      <c r="IB432" s="4">
        <f t="shared" si="467"/>
        <v>4</v>
      </c>
      <c r="IC432" s="4">
        <f t="shared" si="467"/>
        <v>7</v>
      </c>
      <c r="ID432" s="8">
        <v>1</v>
      </c>
      <c r="IE432" s="10">
        <f>PRODUCT(IA432:ID432)-6</f>
        <v>190</v>
      </c>
      <c r="IF432" s="4">
        <v>500</v>
      </c>
      <c r="IG432" s="4">
        <f>IF432/(IE432*HD432)</f>
        <v>6.5789473684210523E-3</v>
      </c>
      <c r="IH432" s="4"/>
    </row>
    <row r="433" spans="1:291">
      <c r="A433">
        <v>382</v>
      </c>
      <c r="B433" t="s">
        <v>468</v>
      </c>
      <c r="C433" s="114" t="s">
        <v>1770</v>
      </c>
      <c r="D433" s="28" t="s">
        <v>1253</v>
      </c>
      <c r="E433" s="28" t="s">
        <v>140</v>
      </c>
      <c r="F433" s="5" t="s">
        <v>2182</v>
      </c>
      <c r="G433" s="27" t="s">
        <v>90</v>
      </c>
      <c r="I433" s="27" t="s">
        <v>94</v>
      </c>
      <c r="J433" s="28">
        <v>21677</v>
      </c>
      <c r="K433" s="27" t="s">
        <v>228</v>
      </c>
      <c r="L433" s="240">
        <v>21401</v>
      </c>
      <c r="M433" s="114" t="s">
        <v>226</v>
      </c>
      <c r="N433" s="115"/>
      <c r="O433" s="115"/>
      <c r="P433" s="115"/>
      <c r="Q433" s="115" t="s">
        <v>1768</v>
      </c>
      <c r="R433" s="13" t="s">
        <v>1769</v>
      </c>
      <c r="V433" s="319"/>
      <c r="W433" s="241" t="s">
        <v>1773</v>
      </c>
      <c r="X433" s="241"/>
      <c r="Y433" s="241"/>
      <c r="Z433" s="241"/>
      <c r="AA433" s="115" t="s">
        <v>1772</v>
      </c>
      <c r="AB433" s="201">
        <v>285</v>
      </c>
      <c r="AC433" s="114">
        <v>0</v>
      </c>
      <c r="AD433" s="115"/>
      <c r="AE433" s="119">
        <f t="shared" si="432"/>
        <v>5.13</v>
      </c>
      <c r="AF433" s="119"/>
      <c r="AG433" s="119">
        <f t="shared" si="433"/>
        <v>2.0611111111111113</v>
      </c>
      <c r="AH433" s="119">
        <f t="shared" si="434"/>
        <v>0</v>
      </c>
      <c r="AI433" s="119">
        <f t="shared" si="435"/>
        <v>0</v>
      </c>
      <c r="AJ433" s="119">
        <f t="shared" si="436"/>
        <v>2.2222222222222227E-2</v>
      </c>
      <c r="AK433" s="119">
        <f t="shared" si="437"/>
        <v>0.14382222222222221</v>
      </c>
      <c r="AL433" s="119">
        <f t="shared" si="438"/>
        <v>0.79102222222222218</v>
      </c>
      <c r="AM433" s="119">
        <f t="shared" si="439"/>
        <v>1.3541666666666667E-2</v>
      </c>
      <c r="AN433" s="119">
        <f t="shared" si="440"/>
        <v>6.5789473684210523E-3</v>
      </c>
      <c r="AO433" s="119">
        <f t="shared" si="441"/>
        <v>0</v>
      </c>
      <c r="AP433" s="119"/>
      <c r="AQ433" s="119">
        <f t="shared" si="442"/>
        <v>8.1682983918128649</v>
      </c>
      <c r="AR433" s="119">
        <f t="shared" si="443"/>
        <v>0</v>
      </c>
      <c r="AS433" s="119">
        <f t="shared" si="444"/>
        <v>0</v>
      </c>
      <c r="AT433" s="119">
        <v>0</v>
      </c>
      <c r="AU433" s="119">
        <v>0</v>
      </c>
      <c r="AV433" s="119">
        <f t="shared" si="445"/>
        <v>8.1682983918128649</v>
      </c>
      <c r="AW433" s="114">
        <v>1.7999999999999999E-2</v>
      </c>
      <c r="AX433" s="124">
        <v>1.4500000000000001E-2</v>
      </c>
      <c r="AY433" s="120">
        <v>0</v>
      </c>
      <c r="AZ433" s="118">
        <f t="shared" si="446"/>
        <v>0</v>
      </c>
      <c r="BA433" s="118">
        <f t="shared" si="447"/>
        <v>5.13</v>
      </c>
      <c r="BB433" s="118"/>
      <c r="BC433" s="118"/>
      <c r="BD433" s="118"/>
      <c r="BE433" s="118"/>
      <c r="BF433" s="118"/>
      <c r="BG433" s="118"/>
      <c r="BH433" s="118"/>
      <c r="BI433" s="118"/>
      <c r="BJ433" s="118"/>
      <c r="BK433" s="118"/>
      <c r="BL433" s="118"/>
      <c r="BM433" s="118"/>
      <c r="BN433" s="118"/>
      <c r="BO433" s="118"/>
      <c r="BP433" s="118"/>
      <c r="BQ433" s="118"/>
      <c r="BR433" s="118"/>
      <c r="BS433" s="118"/>
      <c r="BT433" s="118"/>
      <c r="BU433" s="118"/>
      <c r="BV433" s="118"/>
      <c r="BW433" s="118"/>
      <c r="BX433" s="118"/>
      <c r="BY433" s="118"/>
      <c r="BZ433" s="118"/>
      <c r="CA433" s="118"/>
      <c r="CB433" s="118"/>
      <c r="CC433" s="118"/>
      <c r="CD433" s="114"/>
      <c r="CE433" s="118">
        <v>0</v>
      </c>
      <c r="CF433" s="118">
        <v>0</v>
      </c>
      <c r="CG433" s="118">
        <v>0</v>
      </c>
      <c r="CH433" s="114">
        <f t="shared" si="448"/>
        <v>0</v>
      </c>
      <c r="CI433" s="115"/>
      <c r="CJ433" s="114"/>
      <c r="CK433" s="114">
        <v>0</v>
      </c>
      <c r="CL433" s="114">
        <v>0</v>
      </c>
      <c r="CM433" s="114">
        <f t="shared" si="449"/>
        <v>0</v>
      </c>
      <c r="CN433" s="115"/>
      <c r="CO433" s="114"/>
      <c r="CP433" s="114">
        <v>0</v>
      </c>
      <c r="CQ433" s="114">
        <v>0</v>
      </c>
      <c r="CR433" s="114">
        <f t="shared" si="450"/>
        <v>0</v>
      </c>
      <c r="CS433" s="114"/>
      <c r="CT433" s="114"/>
      <c r="CU433" s="114">
        <v>0</v>
      </c>
      <c r="CV433" s="114">
        <v>0</v>
      </c>
      <c r="CW433" s="114">
        <f t="shared" si="451"/>
        <v>0</v>
      </c>
      <c r="CX433" s="114"/>
      <c r="CY433" s="114"/>
      <c r="CZ433" s="114"/>
      <c r="DA433" s="114"/>
      <c r="DB433" s="114"/>
      <c r="DC433" s="114"/>
      <c r="DD433" s="114"/>
      <c r="DE433" s="114"/>
      <c r="DF433" s="114"/>
      <c r="DG433" s="114"/>
      <c r="DH433" s="114"/>
      <c r="DI433" s="114"/>
      <c r="DJ433" s="114"/>
      <c r="DK433" s="114"/>
      <c r="DL433" s="114"/>
      <c r="DM433" s="118">
        <f t="shared" si="452"/>
        <v>0</v>
      </c>
      <c r="DN433" s="125">
        <v>1.2500000000000001E-2</v>
      </c>
      <c r="DO433" s="118">
        <f t="shared" si="453"/>
        <v>0</v>
      </c>
      <c r="DP433" s="118">
        <f t="shared" si="454"/>
        <v>0</v>
      </c>
      <c r="DQ433" s="118"/>
      <c r="DR433" s="118"/>
      <c r="DS433" s="118"/>
      <c r="DT433" s="118"/>
      <c r="DU433" s="118"/>
      <c r="DV433" s="118"/>
      <c r="DW433" s="118"/>
      <c r="DX433" s="118"/>
      <c r="DY433" s="118"/>
      <c r="DZ433" s="118"/>
      <c r="EA433" s="118"/>
      <c r="EB433" s="118"/>
      <c r="EC433" s="118"/>
      <c r="ED433" s="118"/>
      <c r="EE433" s="118"/>
      <c r="EF433" s="114">
        <v>160</v>
      </c>
      <c r="EG433" s="114">
        <v>2560</v>
      </c>
      <c r="EH433" s="114">
        <v>8</v>
      </c>
      <c r="EI433" s="120">
        <v>0.85</v>
      </c>
      <c r="EJ433" s="114">
        <v>8</v>
      </c>
      <c r="EK433" s="114">
        <v>85</v>
      </c>
      <c r="EL433" s="126">
        <f t="shared" si="455"/>
        <v>2304</v>
      </c>
      <c r="EM433" s="114"/>
      <c r="EN433" s="114"/>
      <c r="EO433" s="114"/>
      <c r="EP433" s="118">
        <v>0.8</v>
      </c>
      <c r="EQ433" s="114">
        <v>0.15</v>
      </c>
      <c r="ER433" s="114"/>
      <c r="ES433" s="114"/>
      <c r="ET433" s="114"/>
      <c r="EU433" s="118">
        <f t="shared" si="456"/>
        <v>2.0611111111111113</v>
      </c>
      <c r="EV433" s="114"/>
      <c r="EW433" s="114"/>
      <c r="EX433" s="114"/>
      <c r="EY433" s="114"/>
      <c r="EZ433" s="114"/>
      <c r="FA433" s="114"/>
      <c r="FB433" s="114"/>
      <c r="FC433" s="114"/>
      <c r="FD433" s="114"/>
      <c r="FE433" s="114"/>
      <c r="FF433" s="114"/>
      <c r="FG433" s="114"/>
      <c r="FH433" s="114"/>
      <c r="FI433" s="114"/>
      <c r="FJ433" s="114"/>
      <c r="FK433" s="114"/>
      <c r="FL433" s="114"/>
      <c r="FM433" s="114"/>
      <c r="FN433" s="114"/>
      <c r="FO433" s="114"/>
      <c r="FP433" s="114"/>
      <c r="FQ433" s="114"/>
      <c r="FR433" s="114"/>
      <c r="FS433" s="114"/>
      <c r="FT433" s="114"/>
      <c r="FU433" s="114"/>
      <c r="FV433" s="114"/>
      <c r="FW433" s="114"/>
      <c r="FX433" s="114"/>
      <c r="FY433" s="114"/>
      <c r="FZ433" s="114"/>
      <c r="GA433" s="114"/>
      <c r="GB433" s="114"/>
      <c r="GC433" s="114"/>
      <c r="GD433" s="114"/>
      <c r="GE433" s="114"/>
      <c r="GF433" s="114"/>
      <c r="GG433" s="114"/>
      <c r="GH433" s="114"/>
      <c r="GI433" s="114"/>
      <c r="GJ433" s="114"/>
      <c r="GK433" s="114"/>
      <c r="GL433" s="114"/>
      <c r="GM433" s="114"/>
      <c r="GN433" s="114"/>
      <c r="GO433" s="114"/>
      <c r="GP433" s="114"/>
      <c r="GQ433" s="114"/>
      <c r="GR433" s="120">
        <v>0.11</v>
      </c>
      <c r="GS433" s="118">
        <f>GR433*(BA433+EU433)</f>
        <v>0.79102222222222218</v>
      </c>
      <c r="GT433" s="125">
        <v>0.02</v>
      </c>
      <c r="GU433" s="118">
        <f t="shared" si="457"/>
        <v>0.14382222222222221</v>
      </c>
      <c r="GV433" s="120">
        <v>0.02</v>
      </c>
      <c r="GW433" s="118">
        <f t="shared" si="458"/>
        <v>2.2222222222222227E-2</v>
      </c>
      <c r="GX433" s="118">
        <f t="shared" si="459"/>
        <v>0.95706666666666662</v>
      </c>
      <c r="GY433" s="114" t="s">
        <v>43</v>
      </c>
      <c r="GZ433" s="114" t="s">
        <v>87</v>
      </c>
      <c r="HA433" s="118">
        <v>650</v>
      </c>
      <c r="HB433" s="118">
        <v>450</v>
      </c>
      <c r="HC433" s="114">
        <v>315</v>
      </c>
      <c r="HD433" s="114">
        <v>400</v>
      </c>
      <c r="HE433" s="114">
        <v>800</v>
      </c>
      <c r="HF433" s="118">
        <f t="shared" si="460"/>
        <v>2</v>
      </c>
      <c r="HG433" s="114">
        <v>5</v>
      </c>
      <c r="HH433" s="118">
        <f t="shared" si="461"/>
        <v>10</v>
      </c>
      <c r="HI433" s="114">
        <v>650</v>
      </c>
      <c r="HJ433" s="118">
        <f t="shared" si="462"/>
        <v>6500</v>
      </c>
      <c r="HK433" s="114"/>
      <c r="HL433" s="114"/>
      <c r="HM433" s="118">
        <v>2</v>
      </c>
      <c r="HN433" s="126">
        <f t="shared" si="463"/>
        <v>480000</v>
      </c>
      <c r="HO433" s="118">
        <f t="shared" si="464"/>
        <v>1.3541666666666667E-2</v>
      </c>
      <c r="HP433" s="118">
        <v>160</v>
      </c>
      <c r="HQ433" s="114">
        <v>0</v>
      </c>
      <c r="HR433" s="118">
        <v>0</v>
      </c>
      <c r="HS433" s="118">
        <v>0</v>
      </c>
      <c r="HT433" s="118">
        <f t="shared" si="465"/>
        <v>0</v>
      </c>
      <c r="HU433" s="118"/>
      <c r="HV433" s="118">
        <f t="shared" si="466"/>
        <v>1.3541666666666667E-2</v>
      </c>
      <c r="HW433" s="118"/>
      <c r="HX433" s="118">
        <v>5016</v>
      </c>
      <c r="HY433" s="118">
        <v>1976</v>
      </c>
      <c r="HZ433" s="118">
        <v>2280</v>
      </c>
      <c r="IA433" s="118">
        <f t="shared" si="467"/>
        <v>7</v>
      </c>
      <c r="IB433" s="118">
        <f t="shared" si="467"/>
        <v>4</v>
      </c>
      <c r="IC433" s="118">
        <f t="shared" si="467"/>
        <v>7</v>
      </c>
      <c r="ID433" s="120">
        <v>1</v>
      </c>
      <c r="IE433" s="126">
        <f>PRODUCT(IA433:ID433)-6</f>
        <v>190</v>
      </c>
      <c r="IF433" s="118">
        <v>500</v>
      </c>
      <c r="IG433" s="118">
        <f>IF433/(IE433*HD433)</f>
        <v>6.5789473684210523E-3</v>
      </c>
      <c r="IH433" s="4"/>
    </row>
    <row r="434" spans="1:291">
      <c r="A434">
        <v>383</v>
      </c>
      <c r="B434" t="s">
        <v>468</v>
      </c>
      <c r="C434" t="s">
        <v>1770</v>
      </c>
      <c r="D434" s="28" t="s">
        <v>1253</v>
      </c>
      <c r="E434" s="28" t="s">
        <v>140</v>
      </c>
      <c r="F434" s="5" t="s">
        <v>2182</v>
      </c>
      <c r="G434" s="27" t="s">
        <v>90</v>
      </c>
      <c r="I434" s="27" t="s">
        <v>226</v>
      </c>
      <c r="J434" s="28">
        <v>21691</v>
      </c>
      <c r="K434" s="27" t="s">
        <v>404</v>
      </c>
      <c r="L434" s="379">
        <v>21401</v>
      </c>
      <c r="M434" t="s">
        <v>226</v>
      </c>
      <c r="Q434" s="13" t="s">
        <v>1768</v>
      </c>
      <c r="R434" s="13" t="s">
        <v>1769</v>
      </c>
      <c r="W434" s="383" t="s">
        <v>1774</v>
      </c>
      <c r="X434" s="383"/>
      <c r="Y434" s="383"/>
      <c r="Z434" s="383"/>
      <c r="AA434" s="13" t="s">
        <v>1772</v>
      </c>
      <c r="AB434" s="57">
        <v>285</v>
      </c>
      <c r="AC434">
        <v>0</v>
      </c>
      <c r="AE434" s="7">
        <f t="shared" si="432"/>
        <v>5.13</v>
      </c>
      <c r="AF434" s="7"/>
      <c r="AG434" s="7">
        <f t="shared" si="433"/>
        <v>2.0611111111111113</v>
      </c>
      <c r="AH434" s="7">
        <f t="shared" si="434"/>
        <v>0</v>
      </c>
      <c r="AI434" s="7">
        <f t="shared" si="435"/>
        <v>0</v>
      </c>
      <c r="AJ434" s="7">
        <f t="shared" si="436"/>
        <v>2.2222222222222227E-2</v>
      </c>
      <c r="AK434" s="7">
        <f t="shared" si="437"/>
        <v>0.14382222222222221</v>
      </c>
      <c r="AL434" s="7">
        <f t="shared" si="438"/>
        <v>0.79102222222222218</v>
      </c>
      <c r="AM434" s="7">
        <f t="shared" si="439"/>
        <v>1.3541666666666667E-2</v>
      </c>
      <c r="AN434" s="7">
        <f t="shared" si="440"/>
        <v>6.5789473684210523E-3</v>
      </c>
      <c r="AO434" s="7">
        <f t="shared" si="441"/>
        <v>0</v>
      </c>
      <c r="AP434" s="7"/>
      <c r="AQ434" s="7">
        <f t="shared" si="442"/>
        <v>8.1682983918128649</v>
      </c>
      <c r="AR434" s="7">
        <f t="shared" si="443"/>
        <v>0</v>
      </c>
      <c r="AS434" s="7">
        <f t="shared" si="444"/>
        <v>0</v>
      </c>
      <c r="AT434" s="7">
        <v>0</v>
      </c>
      <c r="AU434" s="7">
        <v>0</v>
      </c>
      <c r="AV434" s="7">
        <f t="shared" si="445"/>
        <v>8.1682983918128649</v>
      </c>
      <c r="AW434">
        <v>1.7999999999999999E-2</v>
      </c>
      <c r="AX434" s="14">
        <v>1.4500000000000001E-2</v>
      </c>
      <c r="AY434" s="8">
        <v>0</v>
      </c>
      <c r="AZ434" s="4">
        <f t="shared" si="446"/>
        <v>0</v>
      </c>
      <c r="BA434" s="4">
        <f t="shared" si="447"/>
        <v>5.13</v>
      </c>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E434" s="4">
        <v>0</v>
      </c>
      <c r="CF434" s="4">
        <v>0</v>
      </c>
      <c r="CG434" s="4">
        <v>0</v>
      </c>
      <c r="CH434">
        <f t="shared" si="448"/>
        <v>0</v>
      </c>
      <c r="CI434" s="13"/>
      <c r="CK434">
        <v>0</v>
      </c>
      <c r="CL434">
        <v>0</v>
      </c>
      <c r="CM434">
        <f t="shared" si="449"/>
        <v>0</v>
      </c>
      <c r="CN434" s="13"/>
      <c r="CP434">
        <v>0</v>
      </c>
      <c r="CQ434">
        <v>0</v>
      </c>
      <c r="CR434">
        <f t="shared" si="450"/>
        <v>0</v>
      </c>
      <c r="CU434">
        <v>0</v>
      </c>
      <c r="CV434">
        <v>0</v>
      </c>
      <c r="CW434">
        <f t="shared" si="451"/>
        <v>0</v>
      </c>
      <c r="DM434" s="4">
        <f t="shared" si="452"/>
        <v>0</v>
      </c>
      <c r="DN434" s="9">
        <v>1.2500000000000001E-2</v>
      </c>
      <c r="DO434" s="4">
        <f t="shared" si="453"/>
        <v>0</v>
      </c>
      <c r="DP434" s="4">
        <f t="shared" si="454"/>
        <v>0</v>
      </c>
      <c r="DQ434" s="4"/>
      <c r="DR434" s="4"/>
      <c r="DS434" s="4"/>
      <c r="DT434" s="4"/>
      <c r="DU434" s="4"/>
      <c r="DV434" s="4"/>
      <c r="DW434" s="4"/>
      <c r="DX434" s="4"/>
      <c r="DY434" s="4"/>
      <c r="DZ434" s="4"/>
      <c r="EA434" s="4"/>
      <c r="EB434" s="4"/>
      <c r="EC434" s="4"/>
      <c r="ED434" s="4"/>
      <c r="EE434" s="4"/>
      <c r="EF434">
        <v>160</v>
      </c>
      <c r="EG434">
        <v>2560</v>
      </c>
      <c r="EH434">
        <v>8</v>
      </c>
      <c r="EI434" s="8">
        <v>0.85</v>
      </c>
      <c r="EJ434">
        <v>8</v>
      </c>
      <c r="EK434">
        <v>85</v>
      </c>
      <c r="EL434" s="10">
        <f t="shared" si="455"/>
        <v>2304</v>
      </c>
      <c r="EP434" s="4">
        <v>0.8</v>
      </c>
      <c r="EQ434">
        <v>0.15</v>
      </c>
      <c r="EU434" s="4">
        <f t="shared" si="456"/>
        <v>2.0611111111111113</v>
      </c>
      <c r="GR434" s="8">
        <v>0.11</v>
      </c>
      <c r="GS434" s="4">
        <f>GR434*(BA434+EU434)</f>
        <v>0.79102222222222218</v>
      </c>
      <c r="GT434" s="9">
        <v>0.02</v>
      </c>
      <c r="GU434" s="4">
        <f t="shared" si="457"/>
        <v>0.14382222222222221</v>
      </c>
      <c r="GV434" s="8">
        <v>0.02</v>
      </c>
      <c r="GW434" s="4">
        <f t="shared" si="458"/>
        <v>2.2222222222222227E-2</v>
      </c>
      <c r="GX434" s="4">
        <f t="shared" si="459"/>
        <v>0.95706666666666662</v>
      </c>
      <c r="GY434" t="s">
        <v>43</v>
      </c>
      <c r="GZ434" t="s">
        <v>87</v>
      </c>
      <c r="HA434" s="4">
        <v>650</v>
      </c>
      <c r="HB434" s="4">
        <v>450</v>
      </c>
      <c r="HC434">
        <v>315</v>
      </c>
      <c r="HD434">
        <v>400</v>
      </c>
      <c r="HE434">
        <v>800</v>
      </c>
      <c r="HF434" s="4">
        <f t="shared" si="460"/>
        <v>2</v>
      </c>
      <c r="HG434">
        <v>5</v>
      </c>
      <c r="HH434" s="4">
        <f t="shared" si="461"/>
        <v>10</v>
      </c>
      <c r="HI434">
        <v>650</v>
      </c>
      <c r="HJ434" s="4">
        <f t="shared" si="462"/>
        <v>6500</v>
      </c>
      <c r="HM434" s="4">
        <v>2</v>
      </c>
      <c r="HN434" s="10">
        <f t="shared" si="463"/>
        <v>480000</v>
      </c>
      <c r="HO434" s="4">
        <f t="shared" si="464"/>
        <v>1.3541666666666667E-2</v>
      </c>
      <c r="HP434" s="4">
        <v>160</v>
      </c>
      <c r="HQ434">
        <v>0</v>
      </c>
      <c r="HR434" s="4">
        <v>0</v>
      </c>
      <c r="HS434" s="4">
        <v>0</v>
      </c>
      <c r="HT434" s="4">
        <f t="shared" si="465"/>
        <v>0</v>
      </c>
      <c r="HU434" s="4"/>
      <c r="HV434" s="4">
        <f t="shared" si="466"/>
        <v>1.3541666666666667E-2</v>
      </c>
      <c r="HW434" s="4"/>
      <c r="HX434" s="4">
        <v>5016</v>
      </c>
      <c r="HY434" s="4">
        <v>1976</v>
      </c>
      <c r="HZ434" s="4">
        <v>2280</v>
      </c>
      <c r="IA434" s="4">
        <f t="shared" si="467"/>
        <v>7</v>
      </c>
      <c r="IB434" s="4">
        <f t="shared" si="467"/>
        <v>4</v>
      </c>
      <c r="IC434" s="4">
        <f t="shared" si="467"/>
        <v>7</v>
      </c>
      <c r="ID434" s="8">
        <v>1</v>
      </c>
      <c r="IE434" s="10">
        <f>PRODUCT(IA434:ID434)-6</f>
        <v>190</v>
      </c>
      <c r="IF434" s="4">
        <v>500</v>
      </c>
      <c r="IG434" s="4">
        <f>IF434/(IE434*HD434)</f>
        <v>6.5789473684210523E-3</v>
      </c>
      <c r="IH434" s="4"/>
    </row>
    <row r="435" spans="1:291">
      <c r="A435">
        <v>384</v>
      </c>
      <c r="B435" t="s">
        <v>468</v>
      </c>
      <c r="C435" t="s">
        <v>1780</v>
      </c>
      <c r="D435" s="28" t="s">
        <v>626</v>
      </c>
      <c r="E435" s="28" t="s">
        <v>142</v>
      </c>
      <c r="F435" s="5" t="s">
        <v>2182</v>
      </c>
      <c r="G435" s="27" t="s">
        <v>90</v>
      </c>
      <c r="I435" s="27" t="s">
        <v>226</v>
      </c>
      <c r="J435" s="28">
        <v>29164</v>
      </c>
      <c r="K435" s="27" t="s">
        <v>229</v>
      </c>
      <c r="Q435" s="13" t="s">
        <v>1777</v>
      </c>
      <c r="R435" s="13" t="s">
        <v>1778</v>
      </c>
      <c r="AA435" s="13" t="s">
        <v>1779</v>
      </c>
      <c r="AB435" s="57">
        <v>127.8</v>
      </c>
      <c r="AC435">
        <f>AB435-5</f>
        <v>122.8</v>
      </c>
      <c r="AD435" s="13" t="s">
        <v>596</v>
      </c>
      <c r="AE435" s="7">
        <f t="shared" si="432"/>
        <v>8.8700400000000013</v>
      </c>
      <c r="AF435" s="42"/>
      <c r="AG435" s="7">
        <f t="shared" si="433"/>
        <v>1.7763157894736841</v>
      </c>
      <c r="AH435" s="7">
        <f t="shared" si="434"/>
        <v>0</v>
      </c>
      <c r="AI435" s="42">
        <f t="shared" si="435"/>
        <v>0</v>
      </c>
      <c r="AJ435" s="42">
        <f t="shared" si="436"/>
        <v>3.5526315789473684E-2</v>
      </c>
      <c r="AK435" s="42">
        <f t="shared" si="437"/>
        <v>0.13307944736842106</v>
      </c>
      <c r="AL435" s="42">
        <f t="shared" si="438"/>
        <v>1.1710991368421053</v>
      </c>
      <c r="AM435" s="42">
        <f t="shared" si="439"/>
        <v>0.24425925925925923</v>
      </c>
      <c r="AN435" s="42">
        <f t="shared" si="440"/>
        <v>7.716049382716049E-2</v>
      </c>
      <c r="AO435" s="42">
        <f t="shared" si="441"/>
        <v>0</v>
      </c>
      <c r="AP435" s="42"/>
      <c r="AQ435" s="42">
        <f t="shared" si="442"/>
        <v>12.307480442560104</v>
      </c>
      <c r="AR435" s="42">
        <f t="shared" si="443"/>
        <v>0</v>
      </c>
      <c r="AS435" s="42">
        <f t="shared" si="444"/>
        <v>0</v>
      </c>
      <c r="AT435" s="42">
        <v>0</v>
      </c>
      <c r="AU435" s="42">
        <f>3%*AQ435</f>
        <v>0.36922441327680311</v>
      </c>
      <c r="AV435" s="42">
        <f t="shared" si="445"/>
        <v>12.676704855836908</v>
      </c>
      <c r="AW435" s="59">
        <v>7.2000000000000008E-2</v>
      </c>
      <c r="AX435" s="59">
        <v>6.9000000000000006E-2</v>
      </c>
      <c r="AY435" s="61">
        <v>0.9</v>
      </c>
      <c r="AZ435" s="62">
        <f t="shared" si="446"/>
        <v>2.7000000000000023E-3</v>
      </c>
      <c r="BA435" s="62">
        <f t="shared" si="447"/>
        <v>8.8700400000000013</v>
      </c>
      <c r="BB435" s="62"/>
      <c r="BC435" s="62"/>
      <c r="BD435" s="62"/>
      <c r="BE435" s="62"/>
      <c r="BF435" s="62"/>
      <c r="BG435" s="62"/>
      <c r="BH435" s="62"/>
      <c r="BI435" s="62"/>
      <c r="BJ435" s="62"/>
      <c r="BK435" s="62"/>
      <c r="BL435" s="62"/>
      <c r="BM435" s="62"/>
      <c r="BN435" s="62"/>
      <c r="BO435" s="62"/>
      <c r="BP435" s="62"/>
      <c r="BQ435" s="62"/>
      <c r="BR435" s="62"/>
      <c r="BS435" s="62"/>
      <c r="BT435" s="62"/>
      <c r="BU435" s="62"/>
      <c r="BV435" s="62"/>
      <c r="BW435" s="62"/>
      <c r="BX435" s="62"/>
      <c r="BY435" s="62"/>
      <c r="BZ435" s="62"/>
      <c r="CA435" s="62"/>
      <c r="CB435" s="62"/>
      <c r="CC435" s="62"/>
      <c r="CD435" s="59"/>
      <c r="CE435" s="62">
        <v>0</v>
      </c>
      <c r="CF435" s="62">
        <v>0</v>
      </c>
      <c r="CG435" s="62">
        <v>0</v>
      </c>
      <c r="CH435" s="59">
        <f t="shared" si="448"/>
        <v>0</v>
      </c>
      <c r="CI435" s="80"/>
      <c r="CJ435" s="59"/>
      <c r="CK435" s="59">
        <v>0</v>
      </c>
      <c r="CL435" s="59">
        <v>0</v>
      </c>
      <c r="CM435" s="59">
        <f t="shared" si="449"/>
        <v>0</v>
      </c>
      <c r="CN435" s="80"/>
      <c r="CO435" s="59"/>
      <c r="CP435" s="59">
        <v>0</v>
      </c>
      <c r="CQ435" s="59">
        <v>0</v>
      </c>
      <c r="CR435" s="59">
        <f t="shared" si="450"/>
        <v>0</v>
      </c>
      <c r="CS435" s="59"/>
      <c r="CT435" s="59"/>
      <c r="CU435" s="59">
        <v>0</v>
      </c>
      <c r="CV435" s="59">
        <v>0</v>
      </c>
      <c r="CW435" s="59">
        <f t="shared" si="451"/>
        <v>0</v>
      </c>
      <c r="CX435" s="59"/>
      <c r="CY435" s="59"/>
      <c r="CZ435" s="59"/>
      <c r="DA435" s="59"/>
      <c r="DB435" s="59"/>
      <c r="DC435" s="59"/>
      <c r="DD435" s="59"/>
      <c r="DE435" s="59"/>
      <c r="DF435" s="59"/>
      <c r="DG435" s="59"/>
      <c r="DH435" s="59"/>
      <c r="DI435" s="59"/>
      <c r="DJ435" s="59"/>
      <c r="DK435" s="59"/>
      <c r="DL435" s="59"/>
      <c r="DM435" s="62">
        <f t="shared" si="452"/>
        <v>0</v>
      </c>
      <c r="DN435" s="64">
        <v>1.2500000000000001E-2</v>
      </c>
      <c r="DO435" s="62">
        <f t="shared" si="453"/>
        <v>0</v>
      </c>
      <c r="DP435" s="62">
        <f t="shared" si="454"/>
        <v>0</v>
      </c>
      <c r="DQ435" s="62"/>
      <c r="DR435" s="62"/>
      <c r="DS435" s="62"/>
      <c r="DT435" s="62"/>
      <c r="DU435" s="62"/>
      <c r="DV435" s="62"/>
      <c r="DW435" s="62"/>
      <c r="DX435" s="62"/>
      <c r="DY435" s="62"/>
      <c r="DZ435" s="62"/>
      <c r="EA435" s="62"/>
      <c r="EB435" s="62"/>
      <c r="EC435" s="62"/>
      <c r="ED435" s="62"/>
      <c r="EE435" s="62"/>
      <c r="EF435" s="59">
        <v>180</v>
      </c>
      <c r="EG435" s="59">
        <v>1800</v>
      </c>
      <c r="EH435" s="59">
        <v>8</v>
      </c>
      <c r="EI435" s="61">
        <v>0.95</v>
      </c>
      <c r="EJ435" s="59">
        <v>2</v>
      </c>
      <c r="EK435" s="59">
        <v>54</v>
      </c>
      <c r="EL435" s="65">
        <f t="shared" si="455"/>
        <v>1013.3333333333334</v>
      </c>
      <c r="EM435" s="59"/>
      <c r="EN435" s="59"/>
      <c r="EO435" s="59"/>
      <c r="EP435" s="59"/>
      <c r="EQ435" s="59"/>
      <c r="ER435" s="59"/>
      <c r="ES435" s="59"/>
      <c r="ET435" s="59"/>
      <c r="EU435" s="62">
        <f t="shared" si="456"/>
        <v>1.7763157894736841</v>
      </c>
      <c r="EV435" s="59"/>
      <c r="EW435" s="59"/>
      <c r="EX435" s="59"/>
      <c r="EY435" s="59"/>
      <c r="EZ435" s="59"/>
      <c r="FA435" s="59"/>
      <c r="FB435" s="59"/>
      <c r="FC435" s="59"/>
      <c r="FD435" s="59"/>
      <c r="FE435" s="59"/>
      <c r="FF435" s="59"/>
      <c r="FG435" s="59"/>
      <c r="FH435" s="59"/>
      <c r="FI435" s="59"/>
      <c r="FJ435" s="59"/>
      <c r="FK435" s="59"/>
      <c r="FL435" s="59"/>
      <c r="FM435" s="59"/>
      <c r="FN435" s="59"/>
      <c r="FO435" s="59"/>
      <c r="FP435" s="59"/>
      <c r="FQ435" s="59"/>
      <c r="FR435" s="59"/>
      <c r="FS435" s="59"/>
      <c r="FT435" s="59"/>
      <c r="FU435" s="59"/>
      <c r="FV435" s="59"/>
      <c r="FW435" s="59"/>
      <c r="FX435" s="59"/>
      <c r="FY435" s="59"/>
      <c r="FZ435" s="59"/>
      <c r="GA435" s="59"/>
      <c r="GB435" s="59"/>
      <c r="GC435" s="59"/>
      <c r="GD435" s="59"/>
      <c r="GE435" s="59"/>
      <c r="GF435" s="59"/>
      <c r="GG435" s="59"/>
      <c r="GH435" s="59"/>
      <c r="GI435" s="59"/>
      <c r="GJ435" s="59"/>
      <c r="GK435" s="59"/>
      <c r="GL435" s="59"/>
      <c r="GM435" s="59"/>
      <c r="GN435" s="59"/>
      <c r="GO435" s="59"/>
      <c r="GP435" s="59"/>
      <c r="GQ435" s="59"/>
      <c r="GR435" s="61">
        <v>0.11</v>
      </c>
      <c r="GS435" s="62">
        <f>GR435*(BA435+EU435)</f>
        <v>1.1710991368421053</v>
      </c>
      <c r="GT435" s="64">
        <v>1.2500000000000001E-2</v>
      </c>
      <c r="GU435" s="62">
        <f t="shared" si="457"/>
        <v>0.13307944736842106</v>
      </c>
      <c r="GV435" s="61">
        <v>0.02</v>
      </c>
      <c r="GW435" s="62">
        <f t="shared" si="458"/>
        <v>3.5526315789473684E-2</v>
      </c>
      <c r="GX435" s="62">
        <f t="shared" si="459"/>
        <v>1.3397049000000001</v>
      </c>
      <c r="GY435" s="59" t="s">
        <v>130</v>
      </c>
      <c r="GZ435" s="59" t="s">
        <v>130</v>
      </c>
      <c r="HA435" s="62">
        <v>650</v>
      </c>
      <c r="HB435" s="62">
        <v>450</v>
      </c>
      <c r="HC435" s="59">
        <v>315</v>
      </c>
      <c r="HD435" s="59">
        <v>45</v>
      </c>
      <c r="HE435" s="59">
        <v>600</v>
      </c>
      <c r="HF435" s="62">
        <f t="shared" si="460"/>
        <v>14</v>
      </c>
      <c r="HG435" s="59">
        <v>5</v>
      </c>
      <c r="HH435" s="62">
        <f t="shared" si="461"/>
        <v>70</v>
      </c>
      <c r="HI435" s="59">
        <v>650</v>
      </c>
      <c r="HJ435" s="62">
        <f t="shared" si="462"/>
        <v>45500</v>
      </c>
      <c r="HK435" s="59"/>
      <c r="HL435" s="59"/>
      <c r="HM435" s="62">
        <v>3</v>
      </c>
      <c r="HN435" s="65">
        <f t="shared" si="463"/>
        <v>540000</v>
      </c>
      <c r="HO435" s="62">
        <f t="shared" si="464"/>
        <v>8.4259259259259256E-2</v>
      </c>
      <c r="HP435" s="62">
        <v>160</v>
      </c>
      <c r="HQ435" s="59">
        <v>0</v>
      </c>
      <c r="HR435" s="62">
        <f>2.4*3</f>
        <v>7.1999999999999993</v>
      </c>
      <c r="HS435" s="62">
        <v>45</v>
      </c>
      <c r="HT435" s="62">
        <f t="shared" si="465"/>
        <v>0.15999999999999998</v>
      </c>
      <c r="HU435" s="62"/>
      <c r="HV435" s="62">
        <f t="shared" si="466"/>
        <v>0.24425925925925923</v>
      </c>
      <c r="HW435" s="62"/>
      <c r="HX435" s="62">
        <v>4200</v>
      </c>
      <c r="HY435" s="62">
        <v>1900</v>
      </c>
      <c r="HZ435" s="62">
        <v>1975</v>
      </c>
      <c r="IA435" s="62">
        <f t="shared" si="467"/>
        <v>6</v>
      </c>
      <c r="IB435" s="62">
        <f t="shared" si="467"/>
        <v>4</v>
      </c>
      <c r="IC435" s="62">
        <f t="shared" si="467"/>
        <v>6</v>
      </c>
      <c r="ID435" s="61">
        <v>1</v>
      </c>
      <c r="IE435" s="65">
        <f>PRODUCT(IA435:ID435)</f>
        <v>144</v>
      </c>
      <c r="IF435" s="62">
        <v>500</v>
      </c>
      <c r="IG435" s="62">
        <f>IF435/(IE435*HD435)</f>
        <v>7.716049382716049E-2</v>
      </c>
      <c r="IH435" s="62"/>
    </row>
    <row r="436" spans="1:291">
      <c r="A436">
        <v>385</v>
      </c>
      <c r="B436" t="s">
        <v>468</v>
      </c>
      <c r="C436" t="s">
        <v>1781</v>
      </c>
      <c r="D436" s="236" t="s">
        <v>626</v>
      </c>
      <c r="E436" s="236" t="s">
        <v>142</v>
      </c>
      <c r="F436" s="5" t="s">
        <v>2182</v>
      </c>
      <c r="G436" s="27" t="s">
        <v>90</v>
      </c>
      <c r="I436" s="235" t="s">
        <v>226</v>
      </c>
      <c r="J436" s="236">
        <v>21691</v>
      </c>
      <c r="K436" s="235" t="s">
        <v>404</v>
      </c>
      <c r="L436" s="379">
        <v>21401</v>
      </c>
      <c r="M436" t="s">
        <v>226</v>
      </c>
      <c r="Q436" s="13" t="s">
        <v>1035</v>
      </c>
      <c r="R436" s="13" t="s">
        <v>1769</v>
      </c>
      <c r="W436" s="383" t="s">
        <v>1771</v>
      </c>
      <c r="X436" s="383"/>
      <c r="Y436" s="383"/>
      <c r="Z436" s="383"/>
      <c r="AA436" s="13" t="s">
        <v>1775</v>
      </c>
      <c r="AB436" s="57">
        <v>136.72</v>
      </c>
      <c r="AC436">
        <v>20</v>
      </c>
      <c r="AD436" s="13" t="s">
        <v>1776</v>
      </c>
      <c r="AE436" s="7">
        <f t="shared" si="432"/>
        <v>8.61008</v>
      </c>
      <c r="AF436" s="7"/>
      <c r="AG436" s="7">
        <f t="shared" si="433"/>
        <v>2.522280701754386</v>
      </c>
      <c r="AH436" s="7">
        <f t="shared" si="434"/>
        <v>0</v>
      </c>
      <c r="AI436" s="7">
        <f t="shared" si="435"/>
        <v>0</v>
      </c>
      <c r="AJ436" s="7">
        <f t="shared" si="436"/>
        <v>5.0445614035087724E-2</v>
      </c>
      <c r="AK436" s="7">
        <f t="shared" si="437"/>
        <v>0.13915450877192984</v>
      </c>
      <c r="AL436" s="7">
        <f t="shared" si="438"/>
        <v>1.2124596771929825</v>
      </c>
      <c r="AM436" s="7">
        <f t="shared" si="439"/>
        <v>9.375E-2</v>
      </c>
      <c r="AN436" s="7">
        <f t="shared" si="440"/>
        <v>0.11363636363636363</v>
      </c>
      <c r="AO436" s="7">
        <f t="shared" si="441"/>
        <v>0</v>
      </c>
      <c r="AP436" s="7"/>
      <c r="AQ436" s="7">
        <f t="shared" si="442"/>
        <v>12.74180686539075</v>
      </c>
      <c r="AR436" s="7">
        <f t="shared" si="443"/>
        <v>0</v>
      </c>
      <c r="AS436" s="7">
        <f t="shared" si="444"/>
        <v>0</v>
      </c>
      <c r="AT436" s="7">
        <v>0</v>
      </c>
      <c r="AU436" s="7">
        <v>0</v>
      </c>
      <c r="AV436" s="7">
        <f t="shared" si="445"/>
        <v>12.74180686539075</v>
      </c>
      <c r="AW436">
        <v>6.4000000000000001E-2</v>
      </c>
      <c r="AX436">
        <v>5.7000000000000002E-2</v>
      </c>
      <c r="AY436" s="8">
        <v>1</v>
      </c>
      <c r="AZ436" s="4">
        <f t="shared" si="446"/>
        <v>6.9999999999999993E-3</v>
      </c>
      <c r="BA436" s="4">
        <f t="shared" si="447"/>
        <v>8.61008</v>
      </c>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E436" s="4">
        <v>0</v>
      </c>
      <c r="CF436" s="4">
        <v>0</v>
      </c>
      <c r="CG436" s="4">
        <v>0</v>
      </c>
      <c r="CH436">
        <f t="shared" si="448"/>
        <v>0</v>
      </c>
      <c r="CI436" s="13"/>
      <c r="CK436">
        <v>0</v>
      </c>
      <c r="CL436">
        <v>0</v>
      </c>
      <c r="CM436">
        <f t="shared" si="449"/>
        <v>0</v>
      </c>
      <c r="CN436" s="13"/>
      <c r="CP436">
        <v>0</v>
      </c>
      <c r="CQ436">
        <v>0</v>
      </c>
      <c r="CR436">
        <f t="shared" si="450"/>
        <v>0</v>
      </c>
      <c r="CU436">
        <v>0</v>
      </c>
      <c r="CV436">
        <v>0</v>
      </c>
      <c r="CW436">
        <f t="shared" si="451"/>
        <v>0</v>
      </c>
      <c r="DM436" s="4">
        <f t="shared" si="452"/>
        <v>0</v>
      </c>
      <c r="DN436" s="9">
        <v>1.2500000000000001E-2</v>
      </c>
      <c r="DO436" s="4">
        <f t="shared" si="453"/>
        <v>0</v>
      </c>
      <c r="DP436" s="4">
        <f t="shared" si="454"/>
        <v>0</v>
      </c>
      <c r="DQ436" s="4"/>
      <c r="DR436" s="4"/>
      <c r="DS436" s="4"/>
      <c r="DT436" s="4"/>
      <c r="DU436" s="4"/>
      <c r="DV436" s="4"/>
      <c r="DW436" s="4"/>
      <c r="DX436" s="4"/>
      <c r="DY436" s="4"/>
      <c r="DZ436" s="4"/>
      <c r="EA436" s="4"/>
      <c r="EB436" s="4"/>
      <c r="EC436" s="4"/>
      <c r="ED436" s="4"/>
      <c r="EE436" s="4"/>
      <c r="EF436">
        <v>220</v>
      </c>
      <c r="EG436">
        <v>2200</v>
      </c>
      <c r="EH436">
        <v>8</v>
      </c>
      <c r="EI436" s="8">
        <v>0.95</v>
      </c>
      <c r="EJ436">
        <v>2</v>
      </c>
      <c r="EK436">
        <v>60</v>
      </c>
      <c r="EL436" s="10">
        <f t="shared" si="455"/>
        <v>912</v>
      </c>
      <c r="EM436">
        <v>0.11</v>
      </c>
      <c r="EU436" s="4">
        <f t="shared" si="456"/>
        <v>2.522280701754386</v>
      </c>
      <c r="GR436" s="8">
        <v>0.11</v>
      </c>
      <c r="GS436" s="4">
        <f>GR436*(BA436+EU436-EM436)</f>
        <v>1.2124596771929825</v>
      </c>
      <c r="GT436" s="9">
        <v>1.2500000000000001E-2</v>
      </c>
      <c r="GU436" s="4">
        <f t="shared" si="457"/>
        <v>0.13915450877192984</v>
      </c>
      <c r="GV436" s="8">
        <v>0.02</v>
      </c>
      <c r="GW436" s="4">
        <f t="shared" si="458"/>
        <v>5.0445614035087724E-2</v>
      </c>
      <c r="GX436" s="4">
        <f t="shared" si="459"/>
        <v>1.4020598000000002</v>
      </c>
      <c r="GY436" t="s">
        <v>43</v>
      </c>
      <c r="GZ436" t="s">
        <v>87</v>
      </c>
      <c r="HA436" s="4">
        <v>650</v>
      </c>
      <c r="HB436" s="4">
        <v>450</v>
      </c>
      <c r="HC436">
        <v>315</v>
      </c>
      <c r="HD436">
        <v>110</v>
      </c>
      <c r="HE436">
        <v>1600</v>
      </c>
      <c r="HF436" s="4">
        <f t="shared" si="460"/>
        <v>15</v>
      </c>
      <c r="HG436">
        <v>5</v>
      </c>
      <c r="HH436" s="4">
        <f t="shared" si="461"/>
        <v>75</v>
      </c>
      <c r="HI436">
        <v>1200</v>
      </c>
      <c r="HJ436" s="4">
        <f t="shared" si="462"/>
        <v>90000</v>
      </c>
      <c r="HM436" s="4">
        <v>2</v>
      </c>
      <c r="HN436" s="10">
        <f t="shared" si="463"/>
        <v>960000</v>
      </c>
      <c r="HO436" s="4">
        <f t="shared" si="464"/>
        <v>9.375E-2</v>
      </c>
      <c r="HP436" s="4">
        <v>160</v>
      </c>
      <c r="HQ436">
        <v>0</v>
      </c>
      <c r="HR436" s="4">
        <v>0</v>
      </c>
      <c r="HS436" s="4">
        <v>0</v>
      </c>
      <c r="HT436" s="4">
        <f t="shared" si="465"/>
        <v>0</v>
      </c>
      <c r="HU436" s="4"/>
      <c r="HV436" s="4">
        <f t="shared" si="466"/>
        <v>9.375E-2</v>
      </c>
      <c r="HW436" s="4"/>
      <c r="HX436" s="4">
        <v>5016</v>
      </c>
      <c r="HY436" s="4">
        <v>1976</v>
      </c>
      <c r="HZ436" s="4">
        <v>2280</v>
      </c>
      <c r="IA436" s="4">
        <f t="shared" si="467"/>
        <v>7</v>
      </c>
      <c r="IB436" s="4">
        <f t="shared" si="467"/>
        <v>4</v>
      </c>
      <c r="IC436" s="4">
        <f t="shared" si="467"/>
        <v>7</v>
      </c>
      <c r="ID436" s="8">
        <v>1</v>
      </c>
      <c r="IE436" s="10">
        <f>PRODUCT(IA436:ID436)-156</f>
        <v>40</v>
      </c>
      <c r="IF436" s="4">
        <v>500</v>
      </c>
      <c r="IG436" s="4">
        <f>IF436/(IE436*HD436)</f>
        <v>0.11363636363636363</v>
      </c>
      <c r="IH436" s="4"/>
    </row>
    <row r="437" spans="1:291">
      <c r="A437">
        <v>386</v>
      </c>
      <c r="B437" t="s">
        <v>468</v>
      </c>
      <c r="C437" t="s">
        <v>1785</v>
      </c>
      <c r="D437" s="28" t="s">
        <v>1254</v>
      </c>
      <c r="E437" s="28" t="s">
        <v>1255</v>
      </c>
      <c r="F437" s="5" t="s">
        <v>2182</v>
      </c>
      <c r="G437" s="27" t="s">
        <v>90</v>
      </c>
      <c r="I437" s="27" t="s">
        <v>94</v>
      </c>
      <c r="J437" s="28">
        <v>21590</v>
      </c>
      <c r="K437" s="27" t="s">
        <v>397</v>
      </c>
      <c r="Q437" s="13" t="s">
        <v>1782</v>
      </c>
      <c r="R437" s="13" t="s">
        <v>1194</v>
      </c>
      <c r="W437" s="383" t="s">
        <v>1783</v>
      </c>
      <c r="X437" s="383"/>
      <c r="Y437" s="383"/>
      <c r="Z437" s="383"/>
      <c r="AA437" s="13" t="s">
        <v>469</v>
      </c>
      <c r="AB437" s="57">
        <v>105.69</v>
      </c>
      <c r="AC437">
        <v>20</v>
      </c>
      <c r="AD437" s="13" t="s">
        <v>1784</v>
      </c>
      <c r="AE437" s="7">
        <f t="shared" si="432"/>
        <v>4.6560500000000005</v>
      </c>
      <c r="AF437" s="7"/>
      <c r="AG437" s="7">
        <f t="shared" si="433"/>
        <v>1.3983539094650206</v>
      </c>
      <c r="AH437" s="7">
        <f t="shared" si="434"/>
        <v>0.19</v>
      </c>
      <c r="AI437" s="7">
        <f t="shared" si="435"/>
        <v>4.7500000000000007E-3</v>
      </c>
      <c r="AJ437" s="7">
        <f t="shared" si="436"/>
        <v>2.7967078189300412E-2</v>
      </c>
      <c r="AK437" s="7">
        <f t="shared" si="437"/>
        <v>9.0816058641975311E-2</v>
      </c>
      <c r="AL437" s="7">
        <f t="shared" si="438"/>
        <v>0.75680048868312766</v>
      </c>
      <c r="AM437" s="7">
        <f t="shared" si="439"/>
        <v>1.5476190476190477E-2</v>
      </c>
      <c r="AN437" s="7">
        <f t="shared" si="440"/>
        <v>0.11</v>
      </c>
      <c r="AO437" s="7">
        <f t="shared" si="441"/>
        <v>0</v>
      </c>
      <c r="AP437" s="7"/>
      <c r="AQ437" s="7">
        <f t="shared" si="442"/>
        <v>7.250213725455616</v>
      </c>
      <c r="AR437" s="7">
        <f t="shared" si="443"/>
        <v>7.0602137254556163E-2</v>
      </c>
      <c r="AS437" s="7">
        <f t="shared" si="444"/>
        <v>0</v>
      </c>
      <c r="AT437" s="7">
        <f>5.79-7.12+0.64</f>
        <v>-0.69000000000000006</v>
      </c>
      <c r="AU437" s="7">
        <v>0</v>
      </c>
      <c r="AV437" s="42">
        <f t="shared" si="445"/>
        <v>6.6308158627101719</v>
      </c>
      <c r="AW437">
        <v>4.4999999999999998E-2</v>
      </c>
      <c r="AX437" s="14">
        <v>0.04</v>
      </c>
      <c r="AY437" s="8">
        <v>1</v>
      </c>
      <c r="AZ437" s="4">
        <f t="shared" si="446"/>
        <v>4.9999999999999975E-3</v>
      </c>
      <c r="BA437" s="4">
        <f t="shared" si="447"/>
        <v>4.6560500000000005</v>
      </c>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E437" s="62">
        <v>0</v>
      </c>
      <c r="CF437" s="62">
        <v>1</v>
      </c>
      <c r="CG437" s="62">
        <v>0.19</v>
      </c>
      <c r="CH437" s="59">
        <f t="shared" si="448"/>
        <v>0.19</v>
      </c>
      <c r="CI437" s="80"/>
      <c r="CJ437" s="59"/>
      <c r="CK437" s="59">
        <v>0</v>
      </c>
      <c r="CL437" s="59">
        <v>0</v>
      </c>
      <c r="CM437" s="59">
        <f t="shared" si="449"/>
        <v>0</v>
      </c>
      <c r="CN437" s="80"/>
      <c r="CO437" s="59"/>
      <c r="CP437" s="59">
        <v>0</v>
      </c>
      <c r="CQ437" s="59">
        <v>0</v>
      </c>
      <c r="CR437" s="59">
        <f t="shared" si="450"/>
        <v>0</v>
      </c>
      <c r="CS437" s="59"/>
      <c r="CT437" s="59"/>
      <c r="CU437" s="59">
        <v>0</v>
      </c>
      <c r="CV437" s="59">
        <v>0</v>
      </c>
      <c r="CW437" s="59">
        <f t="shared" si="451"/>
        <v>0</v>
      </c>
      <c r="CX437" s="59"/>
      <c r="CY437" s="59"/>
      <c r="CZ437" s="59"/>
      <c r="DA437" s="59"/>
      <c r="DB437" s="59"/>
      <c r="DC437" s="59"/>
      <c r="DD437" s="59"/>
      <c r="DE437" s="59"/>
      <c r="DF437" s="59"/>
      <c r="DG437" s="59"/>
      <c r="DH437" s="59"/>
      <c r="DI437" s="59"/>
      <c r="DJ437" s="59"/>
      <c r="DK437" s="59"/>
      <c r="DL437" s="59"/>
      <c r="DM437" s="62">
        <f t="shared" si="452"/>
        <v>0.19</v>
      </c>
      <c r="DN437" s="64">
        <v>2.5000000000000001E-2</v>
      </c>
      <c r="DO437" s="62">
        <f t="shared" si="453"/>
        <v>4.7500000000000007E-3</v>
      </c>
      <c r="DP437" s="62">
        <f t="shared" si="454"/>
        <v>0.19475000000000001</v>
      </c>
      <c r="DQ437" s="62"/>
      <c r="DR437" s="62"/>
      <c r="DS437" s="62"/>
      <c r="DT437" s="62"/>
      <c r="DU437" s="62"/>
      <c r="DV437" s="62"/>
      <c r="DW437" s="62"/>
      <c r="DX437" s="62"/>
      <c r="DY437" s="62"/>
      <c r="DZ437" s="62"/>
      <c r="EA437" s="62"/>
      <c r="EB437" s="62"/>
      <c r="EC437" s="62"/>
      <c r="ED437" s="62"/>
      <c r="EE437" s="62"/>
      <c r="EF437" s="59">
        <v>120</v>
      </c>
      <c r="EG437" s="59">
        <v>1699</v>
      </c>
      <c r="EH437" s="59">
        <v>7.5</v>
      </c>
      <c r="EI437" s="8">
        <v>0.9</v>
      </c>
      <c r="EJ437" s="59">
        <v>2</v>
      </c>
      <c r="EK437" s="59">
        <v>40</v>
      </c>
      <c r="EL437" s="65">
        <f t="shared" si="455"/>
        <v>1215</v>
      </c>
      <c r="EU437" s="62">
        <f t="shared" si="456"/>
        <v>1.3983539094650206</v>
      </c>
      <c r="GR437" s="36">
        <v>0.125</v>
      </c>
      <c r="GS437" s="4">
        <f>GR437*(BA437+EU437)</f>
        <v>0.75680048868312766</v>
      </c>
      <c r="GT437" s="36">
        <v>1.4999999999999999E-2</v>
      </c>
      <c r="GU437" s="4">
        <f t="shared" si="457"/>
        <v>9.0816058641975311E-2</v>
      </c>
      <c r="GV437" s="8">
        <v>0.02</v>
      </c>
      <c r="GW437" s="4">
        <f t="shared" si="458"/>
        <v>2.7967078189300412E-2</v>
      </c>
      <c r="GX437" s="4">
        <f t="shared" si="459"/>
        <v>0.87558362551440339</v>
      </c>
      <c r="GY437" t="s">
        <v>130</v>
      </c>
      <c r="GZ437" s="59" t="s">
        <v>130</v>
      </c>
      <c r="HA437" s="4">
        <v>650</v>
      </c>
      <c r="HB437" s="4">
        <v>450</v>
      </c>
      <c r="HC437" s="59">
        <v>330</v>
      </c>
      <c r="HD437" s="59">
        <v>412</v>
      </c>
      <c r="HE437" s="59">
        <v>1400</v>
      </c>
      <c r="HF437" s="4">
        <f t="shared" si="460"/>
        <v>4</v>
      </c>
      <c r="HG437" s="59">
        <v>5</v>
      </c>
      <c r="HH437" s="4">
        <f t="shared" si="461"/>
        <v>20</v>
      </c>
      <c r="HI437" s="59">
        <v>650</v>
      </c>
      <c r="HJ437" s="4">
        <f t="shared" si="462"/>
        <v>13000</v>
      </c>
      <c r="HM437" s="4">
        <v>2</v>
      </c>
      <c r="HN437" s="10">
        <f t="shared" si="463"/>
        <v>840000</v>
      </c>
      <c r="HO437" s="4">
        <f t="shared" si="464"/>
        <v>1.5476190476190477E-2</v>
      </c>
      <c r="HP437" s="4">
        <v>160</v>
      </c>
      <c r="HQ437">
        <v>0</v>
      </c>
      <c r="HR437" s="4">
        <v>0</v>
      </c>
      <c r="HS437" s="4">
        <v>0</v>
      </c>
      <c r="HT437" s="4">
        <f t="shared" si="465"/>
        <v>0</v>
      </c>
      <c r="HU437" s="4"/>
      <c r="HV437" s="4">
        <f t="shared" si="466"/>
        <v>1.5476190476190477E-2</v>
      </c>
      <c r="HW437" s="4"/>
      <c r="HX437" s="4">
        <v>4200</v>
      </c>
      <c r="HY437" s="4">
        <v>1900</v>
      </c>
      <c r="HZ437" s="4">
        <v>1975</v>
      </c>
      <c r="IA437" s="4">
        <f t="shared" si="467"/>
        <v>6</v>
      </c>
      <c r="IB437" s="4">
        <f t="shared" si="467"/>
        <v>4</v>
      </c>
      <c r="IC437" s="4">
        <f t="shared" si="467"/>
        <v>5</v>
      </c>
      <c r="ID437" s="61">
        <v>0.95</v>
      </c>
      <c r="IE437" s="65">
        <f>PRODUCT(IA437:ID437)</f>
        <v>114</v>
      </c>
      <c r="IF437" s="4">
        <v>5000</v>
      </c>
      <c r="IG437" s="62">
        <f>ROUNDUP(IF437/(IE437*HD437),2)</f>
        <v>0.11</v>
      </c>
      <c r="IH437" s="62"/>
      <c r="II437" s="9">
        <v>0.01</v>
      </c>
      <c r="IJ437" s="4">
        <f>(BA437+EU437+GS437+GU437+GW437+DO437+HV437+IG437)*II437</f>
        <v>7.0602137254556163E-2</v>
      </c>
    </row>
    <row r="438" spans="1:291">
      <c r="A438">
        <v>387</v>
      </c>
      <c r="B438" t="s">
        <v>468</v>
      </c>
      <c r="C438" t="s">
        <v>1787</v>
      </c>
      <c r="D438" s="28" t="s">
        <v>629</v>
      </c>
      <c r="E438" s="28" t="s">
        <v>630</v>
      </c>
      <c r="F438" s="5" t="s">
        <v>2182</v>
      </c>
      <c r="G438" s="27" t="s">
        <v>90</v>
      </c>
      <c r="I438" s="27" t="s">
        <v>226</v>
      </c>
      <c r="J438" s="28">
        <v>21691</v>
      </c>
      <c r="K438" s="27" t="s">
        <v>404</v>
      </c>
      <c r="L438" s="379">
        <v>21401</v>
      </c>
      <c r="M438" t="s">
        <v>226</v>
      </c>
      <c r="Q438" s="13" t="s">
        <v>1786</v>
      </c>
      <c r="R438" s="13" t="s">
        <v>1769</v>
      </c>
      <c r="W438" s="383" t="s">
        <v>1771</v>
      </c>
      <c r="X438" s="383"/>
      <c r="Y438" s="383"/>
      <c r="Z438" s="383"/>
      <c r="AA438" s="13" t="s">
        <v>1788</v>
      </c>
      <c r="AB438" s="57">
        <v>95.6</v>
      </c>
      <c r="AC438">
        <v>20</v>
      </c>
      <c r="AD438" s="13" t="s">
        <v>285</v>
      </c>
      <c r="AE438" s="7">
        <f t="shared" si="432"/>
        <v>22.04297</v>
      </c>
      <c r="AF438" s="7"/>
      <c r="AG438" s="7">
        <f t="shared" si="433"/>
        <v>8.5526315789473681</v>
      </c>
      <c r="AH438" s="7">
        <f t="shared" si="434"/>
        <v>12.6</v>
      </c>
      <c r="AI438" s="7">
        <f t="shared" si="435"/>
        <v>0.1575</v>
      </c>
      <c r="AJ438" s="7">
        <f t="shared" si="436"/>
        <v>0.17105263157894737</v>
      </c>
      <c r="AK438" s="7">
        <f t="shared" si="437"/>
        <v>0.38244501973684208</v>
      </c>
      <c r="AL438" s="7">
        <f t="shared" si="438"/>
        <v>3.3655161736842105</v>
      </c>
      <c r="AM438" s="7">
        <f t="shared" si="439"/>
        <v>0.24761904761904763</v>
      </c>
      <c r="AN438" s="7">
        <f t="shared" si="440"/>
        <v>0.17482517482517482</v>
      </c>
      <c r="AO438" s="7">
        <f t="shared" si="441"/>
        <v>0</v>
      </c>
      <c r="AP438" s="7"/>
      <c r="AQ438" s="7">
        <f t="shared" si="442"/>
        <v>47.694559626391587</v>
      </c>
      <c r="AR438" s="7">
        <f t="shared" si="443"/>
        <v>0</v>
      </c>
      <c r="AS438" s="7">
        <f t="shared" si="444"/>
        <v>0</v>
      </c>
      <c r="AT438" s="7">
        <v>0</v>
      </c>
      <c r="AU438" s="7">
        <v>0</v>
      </c>
      <c r="AV438" s="42">
        <f t="shared" si="445"/>
        <v>47.694559626391587</v>
      </c>
      <c r="AW438" s="14">
        <v>0.230575</v>
      </c>
      <c r="AX438" s="14">
        <v>0.230575</v>
      </c>
      <c r="AY438" s="8">
        <v>1</v>
      </c>
      <c r="AZ438" s="4">
        <f t="shared" si="446"/>
        <v>0</v>
      </c>
      <c r="BA438" s="4">
        <f t="shared" si="447"/>
        <v>22.04297</v>
      </c>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E438" s="62">
        <v>0</v>
      </c>
      <c r="CF438" s="62">
        <v>7</v>
      </c>
      <c r="CG438" s="62">
        <v>1.8</v>
      </c>
      <c r="CH438" s="59">
        <f t="shared" si="448"/>
        <v>12.6</v>
      </c>
      <c r="CK438" s="59">
        <v>0</v>
      </c>
      <c r="CL438" s="59">
        <v>0</v>
      </c>
      <c r="CM438" s="59">
        <f t="shared" si="449"/>
        <v>0</v>
      </c>
      <c r="CN438" s="80"/>
      <c r="CO438" s="59"/>
      <c r="CP438" s="59">
        <v>0</v>
      </c>
      <c r="CQ438" s="59">
        <v>0</v>
      </c>
      <c r="CR438" s="59">
        <f t="shared" si="450"/>
        <v>0</v>
      </c>
      <c r="CS438" s="59"/>
      <c r="CT438" s="59"/>
      <c r="CU438" s="59">
        <v>0</v>
      </c>
      <c r="CV438" s="59">
        <v>0</v>
      </c>
      <c r="CW438" s="59">
        <f t="shared" si="451"/>
        <v>0</v>
      </c>
      <c r="CX438" s="59"/>
      <c r="CY438" s="59"/>
      <c r="CZ438" s="59"/>
      <c r="DA438" s="59"/>
      <c r="DB438" s="59"/>
      <c r="DC438" s="59"/>
      <c r="DD438" s="59"/>
      <c r="DE438" s="59"/>
      <c r="DF438" s="59"/>
      <c r="DG438" s="59"/>
      <c r="DH438" s="59"/>
      <c r="DI438" s="59"/>
      <c r="DJ438" s="59"/>
      <c r="DK438" s="59"/>
      <c r="DL438" s="59"/>
      <c r="DM438" s="62">
        <f t="shared" si="452"/>
        <v>12.6</v>
      </c>
      <c r="DN438" s="64">
        <v>1.2500000000000001E-2</v>
      </c>
      <c r="DO438" s="62">
        <f t="shared" si="453"/>
        <v>0.1575</v>
      </c>
      <c r="DP438" s="62">
        <f t="shared" si="454"/>
        <v>12.7575</v>
      </c>
      <c r="DQ438" s="62"/>
      <c r="DR438" s="62"/>
      <c r="DS438" s="62"/>
      <c r="DT438" s="62"/>
      <c r="DU438" s="62"/>
      <c r="DV438" s="62"/>
      <c r="DW438" s="62"/>
      <c r="DX438" s="62"/>
      <c r="DY438" s="62"/>
      <c r="DZ438" s="62"/>
      <c r="EA438" s="62"/>
      <c r="EB438" s="62"/>
      <c r="EC438" s="62"/>
      <c r="ED438" s="62"/>
      <c r="EE438" s="62"/>
      <c r="EF438" s="59">
        <v>360</v>
      </c>
      <c r="EG438" s="59">
        <v>3600</v>
      </c>
      <c r="EH438" s="59">
        <v>8</v>
      </c>
      <c r="EI438" s="8">
        <v>0.95</v>
      </c>
      <c r="EJ438" s="59">
        <v>2</v>
      </c>
      <c r="EK438" s="59">
        <v>130</v>
      </c>
      <c r="EL438" s="65">
        <f t="shared" si="455"/>
        <v>420.92307692307691</v>
      </c>
      <c r="EU438" s="62">
        <f t="shared" si="456"/>
        <v>8.5526315789473681</v>
      </c>
      <c r="GR438" s="8">
        <v>0.11</v>
      </c>
      <c r="GS438" s="4">
        <f>GR438*(BA438+EU438)</f>
        <v>3.3655161736842105</v>
      </c>
      <c r="GT438" s="9">
        <v>1.2500000000000001E-2</v>
      </c>
      <c r="GU438" s="4">
        <f t="shared" si="457"/>
        <v>0.38244501973684208</v>
      </c>
      <c r="GV438" s="8">
        <v>0.02</v>
      </c>
      <c r="GW438" s="4">
        <f t="shared" si="458"/>
        <v>0.17105263157894737</v>
      </c>
      <c r="GX438" s="4">
        <f t="shared" si="459"/>
        <v>3.919013825</v>
      </c>
      <c r="GY438" t="s">
        <v>43</v>
      </c>
      <c r="GZ438" s="59" t="s">
        <v>87</v>
      </c>
      <c r="HA438" s="4">
        <v>650</v>
      </c>
      <c r="HB438" s="4">
        <v>450</v>
      </c>
      <c r="HC438" s="59">
        <v>300</v>
      </c>
      <c r="HD438" s="59">
        <v>22</v>
      </c>
      <c r="HE438" s="59">
        <v>1400</v>
      </c>
      <c r="HF438" s="4">
        <f t="shared" si="460"/>
        <v>64</v>
      </c>
      <c r="HG438" s="59">
        <v>5</v>
      </c>
      <c r="HH438" s="4">
        <f t="shared" si="461"/>
        <v>320</v>
      </c>
      <c r="HI438" s="59">
        <v>650</v>
      </c>
      <c r="HJ438" s="4">
        <f t="shared" si="462"/>
        <v>208000</v>
      </c>
      <c r="HM438" s="4">
        <v>2</v>
      </c>
      <c r="HN438" s="10">
        <f t="shared" si="463"/>
        <v>840000</v>
      </c>
      <c r="HO438" s="4">
        <f t="shared" si="464"/>
        <v>0.24761904761904763</v>
      </c>
      <c r="HP438" s="4">
        <v>160</v>
      </c>
      <c r="HQ438">
        <v>0</v>
      </c>
      <c r="HR438" s="4">
        <v>0</v>
      </c>
      <c r="HS438" s="4">
        <v>0</v>
      </c>
      <c r="HT438" s="4">
        <f t="shared" si="465"/>
        <v>0</v>
      </c>
      <c r="HU438" s="4"/>
      <c r="HV438" s="4">
        <f t="shared" si="466"/>
        <v>0.24761904761904763</v>
      </c>
      <c r="HW438" s="4"/>
      <c r="HX438" s="4">
        <v>5016</v>
      </c>
      <c r="HY438" s="4">
        <v>1976</v>
      </c>
      <c r="HZ438" s="4">
        <v>2280</v>
      </c>
      <c r="IA438" s="4">
        <f t="shared" si="467"/>
        <v>7</v>
      </c>
      <c r="IB438" s="4">
        <f t="shared" si="467"/>
        <v>4</v>
      </c>
      <c r="IC438" s="4">
        <f t="shared" si="467"/>
        <v>7</v>
      </c>
      <c r="ID438" s="61">
        <v>1</v>
      </c>
      <c r="IE438" s="65">
        <f>PRODUCT(IA438:ID438)-66</f>
        <v>130</v>
      </c>
      <c r="IF438" s="4">
        <v>500</v>
      </c>
      <c r="IG438" s="62">
        <f>IF438/(IE438*HD438)</f>
        <v>0.17482517482517482</v>
      </c>
      <c r="IH438" s="62"/>
    </row>
    <row r="439" spans="1:291">
      <c r="A439">
        <v>388</v>
      </c>
      <c r="B439" t="s">
        <v>468</v>
      </c>
      <c r="C439" s="114" t="s">
        <v>1789</v>
      </c>
      <c r="D439" s="28" t="s">
        <v>1256</v>
      </c>
      <c r="E439" s="28" t="s">
        <v>1257</v>
      </c>
      <c r="F439" s="5" t="s">
        <v>2182</v>
      </c>
      <c r="G439" s="27" t="s">
        <v>90</v>
      </c>
      <c r="I439" s="27" t="s">
        <v>226</v>
      </c>
      <c r="J439" s="28">
        <v>21691</v>
      </c>
      <c r="K439" s="27" t="s">
        <v>404</v>
      </c>
      <c r="Q439" s="13" t="s">
        <v>1035</v>
      </c>
      <c r="R439" s="13" t="s">
        <v>1194</v>
      </c>
      <c r="V439" s="319"/>
      <c r="W439" s="241"/>
      <c r="X439" s="241"/>
      <c r="Y439" s="241"/>
      <c r="Z439" s="241"/>
      <c r="AA439" s="115" t="s">
        <v>1790</v>
      </c>
      <c r="AB439" s="121">
        <v>128.63</v>
      </c>
      <c r="AC439" s="114">
        <v>20</v>
      </c>
      <c r="AD439" s="115" t="s">
        <v>315</v>
      </c>
      <c r="AE439" s="119">
        <f t="shared" si="432"/>
        <v>2.8984899999999998</v>
      </c>
      <c r="AF439" s="119"/>
      <c r="AG439" s="119">
        <f t="shared" si="433"/>
        <v>1.3157894736842106</v>
      </c>
      <c r="AH439" s="119">
        <f t="shared" si="434"/>
        <v>0</v>
      </c>
      <c r="AI439" s="119">
        <f t="shared" si="435"/>
        <v>0</v>
      </c>
      <c r="AJ439" s="119">
        <f t="shared" si="436"/>
        <v>2.6315789473684213E-2</v>
      </c>
      <c r="AK439" s="119">
        <f t="shared" si="437"/>
        <v>5.267849342105263E-2</v>
      </c>
      <c r="AL439" s="119">
        <f t="shared" si="438"/>
        <v>0.46357074210526317</v>
      </c>
      <c r="AM439" s="119">
        <f t="shared" si="439"/>
        <v>0.12666666666666665</v>
      </c>
      <c r="AN439" s="119">
        <f t="shared" si="440"/>
        <v>0.05</v>
      </c>
      <c r="AO439" s="119">
        <f t="shared" si="441"/>
        <v>0</v>
      </c>
      <c r="AP439" s="119"/>
      <c r="AQ439" s="119">
        <f t="shared" si="442"/>
        <v>4.9335111653508772</v>
      </c>
      <c r="AR439" s="119">
        <f t="shared" si="443"/>
        <v>0</v>
      </c>
      <c r="AS439" s="119">
        <f t="shared" si="444"/>
        <v>0</v>
      </c>
      <c r="AT439" s="119">
        <v>0</v>
      </c>
      <c r="AU439" s="119">
        <v>0</v>
      </c>
      <c r="AV439" s="106">
        <f t="shared" si="445"/>
        <v>4.9335111653508772</v>
      </c>
      <c r="AW439" s="114">
        <v>2.3E-2</v>
      </c>
      <c r="AX439" s="124">
        <v>0.02</v>
      </c>
      <c r="AY439" s="120">
        <v>1</v>
      </c>
      <c r="AZ439" s="118">
        <f t="shared" si="446"/>
        <v>2.9999999999999992E-3</v>
      </c>
      <c r="BA439" s="118">
        <f t="shared" si="447"/>
        <v>2.8984899999999998</v>
      </c>
      <c r="BB439" s="118"/>
      <c r="BC439" s="118"/>
      <c r="BD439" s="118"/>
      <c r="BE439" s="118"/>
      <c r="BF439" s="118"/>
      <c r="BG439" s="118"/>
      <c r="BH439" s="118"/>
      <c r="BI439" s="118"/>
      <c r="BJ439" s="118"/>
      <c r="BK439" s="118"/>
      <c r="BL439" s="118"/>
      <c r="BM439" s="118"/>
      <c r="BN439" s="118"/>
      <c r="BO439" s="118"/>
      <c r="BP439" s="118"/>
      <c r="BQ439" s="118"/>
      <c r="BR439" s="118"/>
      <c r="BS439" s="118"/>
      <c r="BT439" s="118"/>
      <c r="BU439" s="118"/>
      <c r="BV439" s="118"/>
      <c r="BW439" s="118"/>
      <c r="BX439" s="118"/>
      <c r="BY439" s="118"/>
      <c r="BZ439" s="118"/>
      <c r="CA439" s="118"/>
      <c r="CB439" s="118"/>
      <c r="CC439" s="118"/>
      <c r="CD439" s="114"/>
      <c r="CE439" s="109">
        <v>0</v>
      </c>
      <c r="CF439" s="109">
        <v>0</v>
      </c>
      <c r="CG439" s="109">
        <v>0</v>
      </c>
      <c r="CH439" s="105">
        <f t="shared" si="448"/>
        <v>0</v>
      </c>
      <c r="CI439" s="139"/>
      <c r="CJ439" s="105"/>
      <c r="CK439" s="105">
        <v>0</v>
      </c>
      <c r="CL439" s="105">
        <v>0</v>
      </c>
      <c r="CM439" s="105">
        <f t="shared" si="449"/>
        <v>0</v>
      </c>
      <c r="CN439" s="139"/>
      <c r="CO439" s="105"/>
      <c r="CP439" s="105">
        <v>0</v>
      </c>
      <c r="CQ439" s="105">
        <v>0</v>
      </c>
      <c r="CR439" s="105">
        <f t="shared" si="450"/>
        <v>0</v>
      </c>
      <c r="CS439" s="105"/>
      <c r="CT439" s="105"/>
      <c r="CU439" s="105">
        <v>0</v>
      </c>
      <c r="CV439" s="105">
        <v>0</v>
      </c>
      <c r="CW439" s="105">
        <f t="shared" si="451"/>
        <v>0</v>
      </c>
      <c r="CX439" s="105"/>
      <c r="CY439" s="105"/>
      <c r="CZ439" s="105"/>
      <c r="DA439" s="105"/>
      <c r="DB439" s="105"/>
      <c r="DC439" s="105"/>
      <c r="DD439" s="105"/>
      <c r="DE439" s="105"/>
      <c r="DF439" s="105"/>
      <c r="DG439" s="105"/>
      <c r="DH439" s="105"/>
      <c r="DI439" s="105"/>
      <c r="DJ439" s="105"/>
      <c r="DK439" s="105"/>
      <c r="DL439" s="105"/>
      <c r="DM439" s="109">
        <f t="shared" si="452"/>
        <v>0</v>
      </c>
      <c r="DN439" s="110">
        <v>1.2500000000000001E-2</v>
      </c>
      <c r="DO439" s="109">
        <f t="shared" si="453"/>
        <v>0</v>
      </c>
      <c r="DP439" s="109">
        <f t="shared" si="454"/>
        <v>0</v>
      </c>
      <c r="DQ439" s="109"/>
      <c r="DR439" s="109"/>
      <c r="DS439" s="109"/>
      <c r="DT439" s="109"/>
      <c r="DU439" s="109"/>
      <c r="DV439" s="109"/>
      <c r="DW439" s="109"/>
      <c r="DX439" s="109"/>
      <c r="DY439" s="109"/>
      <c r="DZ439" s="109"/>
      <c r="EA439" s="109"/>
      <c r="EB439" s="109"/>
      <c r="EC439" s="109"/>
      <c r="ED439" s="109"/>
      <c r="EE439" s="109"/>
      <c r="EF439" s="105">
        <v>120</v>
      </c>
      <c r="EG439" s="105">
        <v>1200</v>
      </c>
      <c r="EH439" s="105">
        <v>8</v>
      </c>
      <c r="EI439" s="120">
        <v>0.95</v>
      </c>
      <c r="EJ439" s="105">
        <v>2</v>
      </c>
      <c r="EK439" s="105">
        <v>60</v>
      </c>
      <c r="EL439" s="111">
        <f t="shared" si="455"/>
        <v>912</v>
      </c>
      <c r="EM439" s="114"/>
      <c r="EN439" s="114"/>
      <c r="EO439" s="114"/>
      <c r="EP439" s="114"/>
      <c r="EQ439" s="114"/>
      <c r="ER439" s="114"/>
      <c r="ES439" s="114"/>
      <c r="ET439" s="114"/>
      <c r="EU439" s="109">
        <f t="shared" si="456"/>
        <v>1.3157894736842106</v>
      </c>
      <c r="EV439" s="114"/>
      <c r="EW439" s="114"/>
      <c r="EX439" s="114"/>
      <c r="EY439" s="114"/>
      <c r="EZ439" s="114"/>
      <c r="FA439" s="114"/>
      <c r="FB439" s="114"/>
      <c r="FC439" s="114"/>
      <c r="FD439" s="114"/>
      <c r="FE439" s="114"/>
      <c r="FF439" s="114"/>
      <c r="FG439" s="114"/>
      <c r="FH439" s="114"/>
      <c r="FI439" s="114"/>
      <c r="FJ439" s="114"/>
      <c r="FK439" s="114"/>
      <c r="FL439" s="114"/>
      <c r="FM439" s="114"/>
      <c r="FN439" s="114"/>
      <c r="FO439" s="114"/>
      <c r="FP439" s="114"/>
      <c r="FQ439" s="114"/>
      <c r="FR439" s="114"/>
      <c r="FS439" s="114"/>
      <c r="FT439" s="114"/>
      <c r="FU439" s="114"/>
      <c r="FV439" s="114"/>
      <c r="FW439" s="114"/>
      <c r="FX439" s="114"/>
      <c r="FY439" s="114"/>
      <c r="FZ439" s="114"/>
      <c r="GA439" s="114"/>
      <c r="GB439" s="114"/>
      <c r="GC439" s="114"/>
      <c r="GD439" s="114"/>
      <c r="GE439" s="114"/>
      <c r="GF439" s="114"/>
      <c r="GG439" s="114"/>
      <c r="GH439" s="114"/>
      <c r="GI439" s="114"/>
      <c r="GJ439" s="114"/>
      <c r="GK439" s="114"/>
      <c r="GL439" s="114"/>
      <c r="GM439" s="114"/>
      <c r="GN439" s="114"/>
      <c r="GO439" s="114"/>
      <c r="GP439" s="114"/>
      <c r="GQ439" s="114"/>
      <c r="GR439" s="120">
        <v>0.11</v>
      </c>
      <c r="GS439" s="118">
        <f>GR439*(BA439+EU439)</f>
        <v>0.46357074210526317</v>
      </c>
      <c r="GT439" s="125">
        <v>1.2500000000000001E-2</v>
      </c>
      <c r="GU439" s="118">
        <f t="shared" si="457"/>
        <v>5.267849342105263E-2</v>
      </c>
      <c r="GV439" s="120">
        <v>0.02</v>
      </c>
      <c r="GW439" s="118">
        <f t="shared" si="458"/>
        <v>2.6315789473684213E-2</v>
      </c>
      <c r="GX439" s="118">
        <f t="shared" si="459"/>
        <v>0.54256502499999992</v>
      </c>
      <c r="GY439" s="114" t="s">
        <v>43</v>
      </c>
      <c r="GZ439" s="105" t="s">
        <v>87</v>
      </c>
      <c r="HA439" s="118">
        <v>650</v>
      </c>
      <c r="HB439" s="118">
        <v>450</v>
      </c>
      <c r="HC439" s="105">
        <v>315</v>
      </c>
      <c r="HD439" s="105">
        <v>200</v>
      </c>
      <c r="HE439" s="105">
        <v>200</v>
      </c>
      <c r="HF439" s="118">
        <f t="shared" si="460"/>
        <v>1</v>
      </c>
      <c r="HG439" s="105">
        <v>5</v>
      </c>
      <c r="HH439" s="118">
        <f t="shared" si="461"/>
        <v>5</v>
      </c>
      <c r="HI439" s="105">
        <v>880</v>
      </c>
      <c r="HJ439" s="118">
        <f t="shared" si="462"/>
        <v>4400</v>
      </c>
      <c r="HK439" s="114"/>
      <c r="HL439" s="114"/>
      <c r="HM439" s="118">
        <v>2</v>
      </c>
      <c r="HN439" s="126">
        <f t="shared" si="463"/>
        <v>120000</v>
      </c>
      <c r="HO439" s="124">
        <f t="shared" si="464"/>
        <v>3.6666666666666667E-2</v>
      </c>
      <c r="HP439" s="118">
        <v>160</v>
      </c>
      <c r="HQ439" s="114">
        <v>0</v>
      </c>
      <c r="HR439" s="118">
        <v>0.09</v>
      </c>
      <c r="HS439" s="118">
        <v>1</v>
      </c>
      <c r="HT439" s="118">
        <f t="shared" si="465"/>
        <v>0.09</v>
      </c>
      <c r="HU439" s="118"/>
      <c r="HV439" s="118">
        <f t="shared" si="466"/>
        <v>0.12666666666666665</v>
      </c>
      <c r="HW439" s="118"/>
      <c r="HX439" s="118">
        <v>5016</v>
      </c>
      <c r="HY439" s="118">
        <v>1976</v>
      </c>
      <c r="HZ439" s="118">
        <v>2280</v>
      </c>
      <c r="IA439" s="118">
        <f t="shared" si="467"/>
        <v>7</v>
      </c>
      <c r="IB439" s="118">
        <f t="shared" si="467"/>
        <v>4</v>
      </c>
      <c r="IC439" s="118">
        <f t="shared" si="467"/>
        <v>7</v>
      </c>
      <c r="ID439" s="108">
        <v>1</v>
      </c>
      <c r="IE439" s="111">
        <f>PRODUCT(IA439:ID439)-146</f>
        <v>50</v>
      </c>
      <c r="IF439" s="118">
        <v>500</v>
      </c>
      <c r="IG439" s="138">
        <f>IF439/(IE439*HD439)</f>
        <v>0.05</v>
      </c>
      <c r="IH439" s="69"/>
    </row>
    <row r="440" spans="1:291">
      <c r="A440">
        <v>389</v>
      </c>
      <c r="B440" t="s">
        <v>468</v>
      </c>
      <c r="C440" s="114" t="s">
        <v>567</v>
      </c>
      <c r="D440" s="28" t="s">
        <v>1258</v>
      </c>
      <c r="E440" s="28" t="s">
        <v>1259</v>
      </c>
      <c r="F440" s="28"/>
      <c r="G440" s="27" t="s">
        <v>90</v>
      </c>
      <c r="I440" s="27" t="s">
        <v>94</v>
      </c>
      <c r="J440" s="28">
        <v>21691</v>
      </c>
      <c r="K440" s="27" t="s">
        <v>404</v>
      </c>
      <c r="N440" s="13" t="s">
        <v>1767</v>
      </c>
      <c r="O440" s="13" t="s">
        <v>1791</v>
      </c>
      <c r="P440" s="332">
        <v>44971</v>
      </c>
      <c r="V440" s="319"/>
      <c r="W440" s="115" t="s">
        <v>1765</v>
      </c>
      <c r="X440" s="115"/>
      <c r="Y440" s="115"/>
      <c r="Z440" s="115"/>
      <c r="AA440" s="115"/>
      <c r="AB440" s="121"/>
      <c r="AC440" s="114"/>
      <c r="AD440" s="115"/>
      <c r="AE440" s="114"/>
      <c r="AF440" s="114"/>
      <c r="AG440" s="114"/>
      <c r="AH440" s="114"/>
      <c r="AI440" s="114"/>
      <c r="AJ440" s="114"/>
      <c r="AK440" s="114"/>
      <c r="AL440" s="114"/>
      <c r="AM440" s="114"/>
      <c r="AN440" s="114"/>
      <c r="AO440" s="114"/>
      <c r="AP440" s="114"/>
      <c r="AQ440" s="114"/>
      <c r="AR440" s="114"/>
      <c r="AS440" s="114"/>
      <c r="AT440" s="114"/>
      <c r="AU440" s="114"/>
      <c r="AV440" s="114"/>
      <c r="AW440" s="114"/>
      <c r="AX440" s="114"/>
      <c r="AY440" s="114"/>
      <c r="AZ440" s="114"/>
      <c r="BA440" s="114"/>
      <c r="BB440" s="114"/>
      <c r="BC440" s="114"/>
      <c r="BD440" s="114"/>
      <c r="BE440" s="114"/>
      <c r="BF440" s="114"/>
      <c r="BG440" s="114"/>
      <c r="BH440" s="114"/>
      <c r="BI440" s="114"/>
      <c r="BJ440" s="114"/>
      <c r="BK440" s="114"/>
      <c r="BL440" s="114"/>
      <c r="BM440" s="114"/>
      <c r="BN440" s="114"/>
      <c r="BO440" s="114"/>
      <c r="BP440" s="114"/>
      <c r="BQ440" s="114"/>
      <c r="BR440" s="114"/>
      <c r="BS440" s="114"/>
      <c r="BT440" s="114"/>
      <c r="BU440" s="114"/>
      <c r="BV440" s="114"/>
      <c r="BW440" s="114"/>
      <c r="BX440" s="114"/>
      <c r="BY440" s="114"/>
      <c r="BZ440" s="114"/>
      <c r="CA440" s="114"/>
      <c r="CB440" s="114"/>
      <c r="CC440" s="114"/>
      <c r="CD440" s="114"/>
      <c r="CE440" s="114"/>
      <c r="CF440" s="114"/>
      <c r="CG440" s="114"/>
      <c r="CH440" s="114"/>
      <c r="CI440" s="114"/>
      <c r="CJ440" s="114"/>
      <c r="CK440" s="114"/>
      <c r="CL440" s="114"/>
      <c r="CM440" s="114"/>
      <c r="CN440" s="114"/>
      <c r="CO440" s="114"/>
      <c r="CP440" s="114"/>
      <c r="CQ440" s="114"/>
      <c r="CR440" s="114"/>
      <c r="CS440" s="114"/>
      <c r="CT440" s="114"/>
      <c r="CU440" s="114"/>
      <c r="CV440" s="114"/>
      <c r="CW440" s="114"/>
      <c r="CX440" s="114"/>
      <c r="CY440" s="114"/>
      <c r="CZ440" s="114"/>
      <c r="DA440" s="114"/>
      <c r="DB440" s="114"/>
      <c r="DC440" s="114"/>
      <c r="DD440" s="114"/>
      <c r="DE440" s="114"/>
      <c r="DF440" s="114"/>
      <c r="DG440" s="114"/>
      <c r="DH440" s="114"/>
      <c r="DI440" s="114"/>
      <c r="DJ440" s="114"/>
      <c r="DK440" s="114"/>
      <c r="DL440" s="114"/>
      <c r="DM440" s="114"/>
      <c r="DN440" s="114"/>
      <c r="DO440" s="114"/>
      <c r="DP440" s="114"/>
      <c r="DQ440" s="114"/>
      <c r="DR440" s="114"/>
      <c r="DS440" s="114"/>
      <c r="DT440" s="114"/>
      <c r="DU440" s="114"/>
      <c r="DV440" s="114"/>
      <c r="DW440" s="114"/>
      <c r="DX440" s="114"/>
      <c r="DY440" s="114"/>
      <c r="DZ440" s="114"/>
      <c r="EA440" s="114"/>
      <c r="EB440" s="114"/>
      <c r="EC440" s="114"/>
      <c r="ED440" s="114"/>
      <c r="EE440" s="114"/>
      <c r="EF440" s="114"/>
      <c r="EG440" s="114"/>
      <c r="EH440" s="114"/>
      <c r="EI440" s="114"/>
      <c r="EJ440" s="114"/>
      <c r="EK440" s="114"/>
      <c r="EL440" s="114"/>
      <c r="EM440" s="114"/>
      <c r="EN440" s="114"/>
      <c r="EO440" s="114"/>
      <c r="EP440" s="114"/>
      <c r="EQ440" s="114"/>
      <c r="ER440" s="114"/>
      <c r="ES440" s="114"/>
      <c r="ET440" s="114"/>
      <c r="EU440" s="114"/>
      <c r="EV440" s="114"/>
      <c r="EW440" s="114"/>
      <c r="EX440" s="114"/>
      <c r="EY440" s="114"/>
      <c r="EZ440" s="114"/>
      <c r="FA440" s="114"/>
      <c r="FB440" s="114"/>
      <c r="FC440" s="114"/>
      <c r="FD440" s="114"/>
      <c r="FE440" s="114"/>
      <c r="FF440" s="114"/>
      <c r="FG440" s="114"/>
      <c r="FH440" s="114"/>
      <c r="FI440" s="114"/>
      <c r="FJ440" s="114"/>
      <c r="FK440" s="114"/>
      <c r="FL440" s="114"/>
      <c r="FM440" s="114"/>
      <c r="FN440" s="114"/>
      <c r="FO440" s="114"/>
      <c r="FP440" s="114"/>
      <c r="FQ440" s="114"/>
      <c r="FR440" s="114"/>
      <c r="FS440" s="114"/>
      <c r="FT440" s="114"/>
      <c r="FU440" s="114"/>
      <c r="FV440" s="114"/>
      <c r="FW440" s="114"/>
      <c r="FX440" s="114"/>
      <c r="FY440" s="114"/>
      <c r="FZ440" s="114"/>
      <c r="GA440" s="114"/>
      <c r="GB440" s="114"/>
      <c r="GC440" s="114"/>
      <c r="GD440" s="114"/>
      <c r="GE440" s="114"/>
      <c r="GF440" s="114"/>
      <c r="GG440" s="114"/>
      <c r="GH440" s="114"/>
      <c r="GI440" s="114"/>
      <c r="GJ440" s="114"/>
      <c r="GK440" s="114"/>
      <c r="GL440" s="114"/>
      <c r="GM440" s="114"/>
      <c r="GN440" s="114"/>
      <c r="GO440" s="114"/>
      <c r="GP440" s="114"/>
      <c r="GQ440" s="114"/>
      <c r="GR440" s="114"/>
      <c r="GS440" s="114"/>
      <c r="GT440" s="114"/>
      <c r="GU440" s="114"/>
      <c r="GV440" s="114"/>
      <c r="GW440" s="114"/>
      <c r="GX440" s="114"/>
      <c r="GY440" s="114"/>
      <c r="GZ440" s="114"/>
      <c r="HA440" s="114"/>
      <c r="HB440" s="114"/>
      <c r="HC440" s="114"/>
      <c r="HD440" s="114"/>
      <c r="HE440" s="114"/>
      <c r="HF440" s="114"/>
      <c r="HG440" s="114"/>
      <c r="HH440" s="114"/>
      <c r="HI440" s="114"/>
      <c r="HJ440" s="114"/>
      <c r="HK440" s="114"/>
      <c r="HL440" s="114"/>
      <c r="HM440" s="114"/>
      <c r="HN440" s="114"/>
      <c r="HO440" s="114"/>
      <c r="HP440" s="114"/>
      <c r="HQ440" s="114"/>
      <c r="HR440" s="114"/>
      <c r="HS440" s="114"/>
      <c r="HT440" s="114"/>
      <c r="HU440" s="114"/>
      <c r="HV440" s="114"/>
      <c r="HW440" s="114"/>
      <c r="HX440" s="114"/>
      <c r="HY440" s="114"/>
      <c r="HZ440" s="114"/>
      <c r="IA440" s="114"/>
      <c r="IB440" s="114"/>
      <c r="IC440" s="114"/>
      <c r="ID440" s="114"/>
      <c r="IE440" s="114"/>
      <c r="IF440" s="114"/>
      <c r="IG440" s="114"/>
      <c r="IH440" s="114"/>
      <c r="II440" s="114"/>
      <c r="IJ440" s="114"/>
    </row>
    <row r="441" spans="1:291">
      <c r="A441">
        <v>390</v>
      </c>
      <c r="B441" t="s">
        <v>468</v>
      </c>
      <c r="C441" t="s">
        <v>1792</v>
      </c>
      <c r="D441" s="28" t="s">
        <v>1258</v>
      </c>
      <c r="E441" s="28" t="s">
        <v>1259</v>
      </c>
      <c r="F441" s="5" t="s">
        <v>2182</v>
      </c>
      <c r="G441" s="27" t="s">
        <v>90</v>
      </c>
      <c r="I441" s="27" t="s">
        <v>226</v>
      </c>
      <c r="J441" s="28">
        <v>21691</v>
      </c>
      <c r="K441" s="27" t="s">
        <v>404</v>
      </c>
      <c r="Q441" s="13" t="s">
        <v>1035</v>
      </c>
      <c r="R441" s="13" t="s">
        <v>1194</v>
      </c>
      <c r="AA441" s="13" t="s">
        <v>1790</v>
      </c>
      <c r="AB441" s="66">
        <v>128.63</v>
      </c>
      <c r="AC441">
        <v>20</v>
      </c>
      <c r="AD441" s="13" t="s">
        <v>315</v>
      </c>
      <c r="AE441" s="7">
        <f>BA441</f>
        <v>29.084695</v>
      </c>
      <c r="AF441" s="7"/>
      <c r="AG441" s="7">
        <f>EU441</f>
        <v>8.0409356725146193</v>
      </c>
      <c r="AH441" s="7">
        <f>DM441</f>
        <v>12.450000000000001</v>
      </c>
      <c r="AI441" s="7">
        <f>DO441</f>
        <v>0.15562500000000001</v>
      </c>
      <c r="AJ441" s="7">
        <f>GW441</f>
        <v>0.16081871345029239</v>
      </c>
      <c r="AK441" s="7">
        <f>GU441</f>
        <v>0.46407038340643275</v>
      </c>
      <c r="AL441" s="7">
        <f>GS441</f>
        <v>4.083819373976608</v>
      </c>
      <c r="AM441" s="7">
        <f>HV441</f>
        <v>0.29333333333333333</v>
      </c>
      <c r="AN441" s="7">
        <f>IG441</f>
        <v>0.4</v>
      </c>
      <c r="AO441" s="7">
        <f>EY441</f>
        <v>0</v>
      </c>
      <c r="AP441" s="7"/>
      <c r="AQ441" s="7">
        <f>SUM(AE441:AO441)</f>
        <v>55.133297476681285</v>
      </c>
      <c r="AR441" s="7">
        <f>IJ441</f>
        <v>0</v>
      </c>
      <c r="AS441" s="7">
        <f>EO441</f>
        <v>0</v>
      </c>
      <c r="AT441" s="7">
        <v>0</v>
      </c>
      <c r="AU441" s="7">
        <v>0</v>
      </c>
      <c r="AV441" s="42">
        <f>AQ441+AT441+AU441+AR441+AS441</f>
        <v>55.133297476681285</v>
      </c>
      <c r="AW441" s="14">
        <v>0.22650000000000001</v>
      </c>
      <c r="AX441">
        <v>0.224</v>
      </c>
      <c r="AY441" s="8">
        <v>1</v>
      </c>
      <c r="AZ441" s="4">
        <f>(AW441-AX441)*AY441</f>
        <v>2.5000000000000022E-3</v>
      </c>
      <c r="BA441" s="45">
        <f>AW441*AB441-AZ441*AC441</f>
        <v>29.084695</v>
      </c>
      <c r="BB441" s="45"/>
      <c r="BC441" s="45"/>
      <c r="BD441" s="45"/>
      <c r="BE441" s="45"/>
      <c r="BF441" s="45"/>
      <c r="BG441" s="45"/>
      <c r="BH441" s="45"/>
      <c r="BI441" s="45"/>
      <c r="BJ441" s="45"/>
      <c r="BK441" s="45"/>
      <c r="BL441" s="45"/>
      <c r="BM441" s="45"/>
      <c r="BN441" s="45"/>
      <c r="BO441" s="45"/>
      <c r="BP441" s="45"/>
      <c r="BQ441" s="45"/>
      <c r="BR441" s="45"/>
      <c r="BS441" s="45"/>
      <c r="BT441" s="45"/>
      <c r="BU441" s="45"/>
      <c r="BV441" s="45"/>
      <c r="BW441" s="45"/>
      <c r="BX441" s="45"/>
      <c r="BY441" s="45"/>
      <c r="BZ441" s="45"/>
      <c r="CA441" s="45"/>
      <c r="CB441" s="45"/>
      <c r="CC441" s="45"/>
      <c r="CE441" s="62">
        <v>0</v>
      </c>
      <c r="CF441" s="62">
        <v>5</v>
      </c>
      <c r="CG441" s="62">
        <f>2.45+0.2/5</f>
        <v>2.4900000000000002</v>
      </c>
      <c r="CH441" s="59">
        <f>CF441*CG441</f>
        <v>12.450000000000001</v>
      </c>
      <c r="CK441" s="59">
        <v>0</v>
      </c>
      <c r="CL441" s="59">
        <v>0</v>
      </c>
      <c r="CM441" s="59">
        <f>CK441*CL441</f>
        <v>0</v>
      </c>
      <c r="CN441" s="80"/>
      <c r="CO441" s="59"/>
      <c r="CP441" s="59">
        <v>0</v>
      </c>
      <c r="CQ441" s="59">
        <v>0</v>
      </c>
      <c r="CR441" s="59">
        <f>CP441*CQ441</f>
        <v>0</v>
      </c>
      <c r="CS441" s="59"/>
      <c r="CT441" s="59"/>
      <c r="CU441" s="59">
        <v>0</v>
      </c>
      <c r="CV441" s="59">
        <v>0</v>
      </c>
      <c r="CW441" s="59">
        <f>CU441*CV441</f>
        <v>0</v>
      </c>
      <c r="CX441" s="59"/>
      <c r="CY441" s="59"/>
      <c r="CZ441" s="59"/>
      <c r="DA441" s="59"/>
      <c r="DB441" s="59"/>
      <c r="DC441" s="59"/>
      <c r="DD441" s="59"/>
      <c r="DE441" s="59"/>
      <c r="DF441" s="59"/>
      <c r="DG441" s="59"/>
      <c r="DH441" s="59"/>
      <c r="DI441" s="59"/>
      <c r="DJ441" s="59"/>
      <c r="DK441" s="59"/>
      <c r="DL441" s="59"/>
      <c r="DM441" s="62">
        <f>CH441+CM441+CR441+CW441+DB441+DG441+DL441</f>
        <v>12.450000000000001</v>
      </c>
      <c r="DN441" s="64">
        <v>1.2500000000000001E-2</v>
      </c>
      <c r="DO441" s="62">
        <f>DM441*DN441</f>
        <v>0.15562500000000001</v>
      </c>
      <c r="DP441" s="62">
        <f>DM441+DO441</f>
        <v>12.605625000000002</v>
      </c>
      <c r="DQ441" s="62"/>
      <c r="DR441" s="62"/>
      <c r="DS441" s="62"/>
      <c r="DT441" s="62"/>
      <c r="DU441" s="62"/>
      <c r="DV441" s="62"/>
      <c r="DW441" s="62"/>
      <c r="DX441" s="62"/>
      <c r="DY441" s="62"/>
      <c r="DZ441" s="62"/>
      <c r="EA441" s="62"/>
      <c r="EB441" s="62"/>
      <c r="EC441" s="62"/>
      <c r="ED441" s="62"/>
      <c r="EE441" s="62"/>
      <c r="EF441" s="59">
        <v>400</v>
      </c>
      <c r="EG441" s="59">
        <v>4000</v>
      </c>
      <c r="EH441" s="59">
        <v>8</v>
      </c>
      <c r="EI441" s="8">
        <v>0.95</v>
      </c>
      <c r="EJ441" s="59">
        <v>2</v>
      </c>
      <c r="EK441" s="59">
        <v>110</v>
      </c>
      <c r="EL441" s="65">
        <f>3600/EK441*EH441*EJ441*EI441</f>
        <v>497.45454545454544</v>
      </c>
      <c r="EU441" s="62">
        <f>EG441/EL441+EM441+EX441+EP441+EQ441+ER441</f>
        <v>8.0409356725146193</v>
      </c>
      <c r="GR441" s="8">
        <v>0.11</v>
      </c>
      <c r="GS441" s="4">
        <f>GR441*(BA441+EU441)</f>
        <v>4.083819373976608</v>
      </c>
      <c r="GT441" s="9">
        <v>1.2500000000000001E-2</v>
      </c>
      <c r="GU441" s="4">
        <f>GT441*(EU441+BA441)</f>
        <v>0.46407038340643275</v>
      </c>
      <c r="GV441" s="8">
        <v>0.02</v>
      </c>
      <c r="GW441" s="4">
        <f>GV441*(EU441-EP441-EQ441)</f>
        <v>0.16081871345029239</v>
      </c>
      <c r="GX441" s="4">
        <f>GS441+GU441+GW441</f>
        <v>4.7087084708333329</v>
      </c>
      <c r="GY441" t="s">
        <v>43</v>
      </c>
      <c r="GZ441" s="59" t="s">
        <v>87</v>
      </c>
      <c r="HA441" s="4">
        <v>650</v>
      </c>
      <c r="HB441" s="4">
        <v>450</v>
      </c>
      <c r="HC441" s="59">
        <v>315</v>
      </c>
      <c r="HD441" s="59">
        <v>25</v>
      </c>
      <c r="HE441" s="59">
        <v>200</v>
      </c>
      <c r="HF441" s="4">
        <f>ROUNDUP(HE441/HD441,0)</f>
        <v>8</v>
      </c>
      <c r="HG441" s="59">
        <v>5</v>
      </c>
      <c r="HH441" s="4">
        <f>HF441*HG441</f>
        <v>40</v>
      </c>
      <c r="HI441" s="59">
        <v>880</v>
      </c>
      <c r="HJ441" s="4">
        <f>HH441*HI441</f>
        <v>35200</v>
      </c>
      <c r="HM441" s="4">
        <v>2</v>
      </c>
      <c r="HN441" s="10">
        <f>HM441*12*25*HE441</f>
        <v>120000</v>
      </c>
      <c r="HO441" s="4">
        <f>IF(GY441="carton box",HI441/HD441,HJ441/HN441)</f>
        <v>0.29333333333333333</v>
      </c>
      <c r="HP441" s="4">
        <v>160</v>
      </c>
      <c r="HQ441">
        <v>0</v>
      </c>
      <c r="HR441" s="4">
        <v>0</v>
      </c>
      <c r="HS441" s="4">
        <v>0</v>
      </c>
      <c r="HT441" s="4">
        <f>IF(ISERROR(HR441/HS441),0,HR441/HS441)</f>
        <v>0</v>
      </c>
      <c r="HU441" s="4"/>
      <c r="HV441" s="4">
        <f>HO441+HT441</f>
        <v>0.29333333333333333</v>
      </c>
      <c r="HW441" s="4"/>
      <c r="HX441" s="4">
        <v>5016</v>
      </c>
      <c r="HY441" s="4">
        <v>1976</v>
      </c>
      <c r="HZ441" s="4">
        <v>2280</v>
      </c>
      <c r="IA441" s="4">
        <f>ROUNDDOWN(HX441/HA441,0)</f>
        <v>7</v>
      </c>
      <c r="IB441" s="4">
        <f>ROUNDDOWN(HY441/HB441,0)</f>
        <v>4</v>
      </c>
      <c r="IC441" s="4">
        <f>ROUNDDOWN(HZ441/HC441,0)</f>
        <v>7</v>
      </c>
      <c r="ID441" s="61">
        <v>1</v>
      </c>
      <c r="IE441" s="65">
        <f>PRODUCT(IA441:ID441)-146</f>
        <v>50</v>
      </c>
      <c r="IF441" s="4">
        <v>500</v>
      </c>
      <c r="IG441" s="62">
        <f>IF441/(IE441*HD441)</f>
        <v>0.4</v>
      </c>
      <c r="IH441" s="62"/>
    </row>
    <row r="442" spans="1:291" s="264" customFormat="1">
      <c r="A442">
        <v>391</v>
      </c>
      <c r="B442" t="s">
        <v>468</v>
      </c>
      <c r="C442" s="114" t="s">
        <v>567</v>
      </c>
      <c r="D442" s="28" t="s">
        <v>1260</v>
      </c>
      <c r="E442" s="28" t="s">
        <v>158</v>
      </c>
      <c r="F442" s="28"/>
      <c r="G442" s="27" t="s">
        <v>90</v>
      </c>
      <c r="H442"/>
      <c r="I442" s="27" t="s">
        <v>94</v>
      </c>
      <c r="J442" s="28">
        <v>21691</v>
      </c>
      <c r="K442" s="27" t="s">
        <v>404</v>
      </c>
      <c r="L442" s="114"/>
      <c r="M442" s="114"/>
      <c r="N442" s="115" t="s">
        <v>1767</v>
      </c>
      <c r="O442" s="115" t="s">
        <v>1791</v>
      </c>
      <c r="P442" s="333">
        <v>44971</v>
      </c>
      <c r="Q442" s="13"/>
      <c r="R442" s="13"/>
      <c r="S442"/>
      <c r="T442"/>
      <c r="U442"/>
      <c r="V442" s="319"/>
      <c r="W442" s="115" t="s">
        <v>1765</v>
      </c>
      <c r="X442" s="115"/>
      <c r="Y442" s="115"/>
      <c r="Z442" s="115"/>
      <c r="AA442" s="115"/>
      <c r="AB442" s="121"/>
      <c r="AC442" s="114"/>
      <c r="AD442" s="115"/>
      <c r="AE442" s="114"/>
      <c r="AF442" s="114"/>
      <c r="AG442" s="114"/>
      <c r="AH442" s="114"/>
      <c r="AI442" s="114"/>
      <c r="AJ442" s="114"/>
      <c r="AK442" s="114"/>
      <c r="AL442" s="114"/>
      <c r="AM442" s="114"/>
      <c r="AN442" s="114"/>
      <c r="AO442" s="114"/>
      <c r="AP442" s="114"/>
      <c r="AQ442" s="114"/>
      <c r="AR442" s="114"/>
      <c r="AS442" s="114"/>
      <c r="AT442" s="114"/>
      <c r="AU442" s="114"/>
      <c r="AV442" s="114"/>
      <c r="AW442" s="114"/>
      <c r="AX442" s="114"/>
      <c r="AY442" s="114"/>
      <c r="AZ442" s="114"/>
      <c r="BA442" s="114"/>
      <c r="BB442" s="114"/>
      <c r="BC442" s="114"/>
      <c r="BD442" s="114"/>
      <c r="BE442" s="114"/>
      <c r="BF442" s="114"/>
      <c r="BG442" s="114"/>
      <c r="BH442" s="114"/>
      <c r="BI442" s="114"/>
      <c r="BJ442" s="114"/>
      <c r="BK442" s="114"/>
      <c r="BL442" s="114"/>
      <c r="BM442" s="114"/>
      <c r="BN442" s="114"/>
      <c r="BO442" s="114"/>
      <c r="BP442" s="114"/>
      <c r="BQ442" s="114"/>
      <c r="BR442" s="114"/>
      <c r="BS442" s="114"/>
      <c r="BT442" s="114"/>
      <c r="BU442" s="114"/>
      <c r="BV442" s="114"/>
      <c r="BW442" s="114"/>
      <c r="BX442" s="114"/>
      <c r="BY442" s="114"/>
      <c r="BZ442" s="114"/>
      <c r="CA442" s="114"/>
      <c r="CB442" s="114"/>
      <c r="CC442" s="114"/>
      <c r="CD442" s="114"/>
      <c r="CE442" s="114"/>
      <c r="CF442" s="114"/>
      <c r="CG442" s="114"/>
      <c r="CH442" s="114"/>
      <c r="CI442" s="114"/>
      <c r="CJ442" s="114"/>
      <c r="CK442" s="114"/>
      <c r="CL442" s="114"/>
      <c r="CM442" s="114"/>
      <c r="CN442" s="114"/>
      <c r="CO442" s="114"/>
      <c r="CP442" s="114"/>
      <c r="CQ442" s="114"/>
      <c r="CR442" s="114"/>
      <c r="CS442" s="114"/>
      <c r="CT442" s="114"/>
      <c r="CU442" s="114"/>
      <c r="CV442" s="114"/>
      <c r="CW442" s="114"/>
      <c r="CX442" s="114"/>
      <c r="CY442" s="114"/>
      <c r="CZ442" s="114"/>
      <c r="DA442" s="114"/>
      <c r="DB442" s="114"/>
      <c r="DC442" s="114"/>
      <c r="DD442" s="114"/>
      <c r="DE442" s="114"/>
      <c r="DF442" s="114"/>
      <c r="DG442" s="114"/>
      <c r="DH442" s="114"/>
      <c r="DI442" s="114"/>
      <c r="DJ442" s="114"/>
      <c r="DK442" s="114"/>
      <c r="DL442" s="114"/>
      <c r="DM442" s="114"/>
      <c r="DN442" s="114"/>
      <c r="DO442" s="114"/>
      <c r="DP442" s="114"/>
      <c r="DQ442" s="114"/>
      <c r="DR442" s="114"/>
      <c r="DS442" s="114"/>
      <c r="DT442" s="114"/>
      <c r="DU442" s="114"/>
      <c r="DV442" s="114"/>
      <c r="DW442" s="114"/>
      <c r="DX442" s="114"/>
      <c r="DY442" s="114"/>
      <c r="DZ442" s="114"/>
      <c r="EA442" s="114"/>
      <c r="EB442" s="114"/>
      <c r="EC442" s="114"/>
      <c r="ED442" s="114"/>
      <c r="EE442" s="114"/>
      <c r="EF442" s="114"/>
      <c r="EG442" s="114"/>
      <c r="EH442" s="114"/>
      <c r="EI442" s="114"/>
      <c r="EJ442" s="114"/>
      <c r="EK442" s="114"/>
      <c r="EL442" s="114"/>
      <c r="EM442" s="114"/>
      <c r="EN442" s="114"/>
      <c r="EO442" s="114"/>
      <c r="EP442" s="114"/>
      <c r="EQ442" s="114"/>
      <c r="ER442" s="114"/>
      <c r="ES442" s="114"/>
      <c r="ET442" s="114"/>
      <c r="EU442" s="114"/>
      <c r="EV442" s="114"/>
      <c r="EW442" s="114"/>
      <c r="EX442" s="114"/>
      <c r="EY442" s="114"/>
      <c r="EZ442" s="114"/>
      <c r="FA442" s="114"/>
      <c r="FB442" s="114"/>
      <c r="FC442" s="114"/>
      <c r="FD442" s="114"/>
      <c r="FE442" s="114"/>
      <c r="FF442" s="114"/>
      <c r="FG442" s="114"/>
      <c r="FH442" s="114"/>
      <c r="FI442" s="114"/>
      <c r="FJ442" s="114"/>
      <c r="FK442" s="114"/>
      <c r="FL442" s="114"/>
      <c r="FM442" s="114"/>
      <c r="FN442" s="114"/>
      <c r="FO442" s="114"/>
      <c r="FP442" s="114"/>
      <c r="FQ442" s="114"/>
      <c r="FR442" s="114"/>
      <c r="FS442" s="114"/>
      <c r="FT442" s="114"/>
      <c r="FU442" s="114"/>
      <c r="FV442" s="114"/>
      <c r="FW442" s="114"/>
      <c r="FX442" s="114"/>
      <c r="FY442" s="114"/>
      <c r="FZ442" s="114"/>
      <c r="GA442" s="114"/>
      <c r="GB442" s="114"/>
      <c r="GC442" s="114"/>
      <c r="GD442" s="114"/>
      <c r="GE442" s="114"/>
      <c r="GF442" s="114"/>
      <c r="GG442" s="114"/>
      <c r="GH442" s="114"/>
      <c r="GI442" s="114"/>
      <c r="GJ442" s="114"/>
      <c r="GK442" s="114"/>
      <c r="GL442" s="114"/>
      <c r="GM442" s="114"/>
      <c r="GN442" s="114"/>
      <c r="GO442" s="114"/>
      <c r="GP442" s="114"/>
      <c r="GQ442" s="114"/>
      <c r="GR442" s="114"/>
      <c r="GS442" s="114"/>
      <c r="GT442" s="114"/>
      <c r="GU442" s="114"/>
      <c r="GV442" s="114"/>
      <c r="GW442" s="114"/>
      <c r="GX442" s="114"/>
      <c r="GY442" s="114"/>
      <c r="GZ442" s="114"/>
      <c r="HA442" s="114"/>
      <c r="HB442" s="114"/>
      <c r="HC442" s="114"/>
      <c r="HD442" s="114"/>
      <c r="HE442" s="114"/>
      <c r="HF442" s="114"/>
      <c r="HG442" s="114"/>
      <c r="HH442" s="114"/>
      <c r="HI442" s="114"/>
      <c r="HJ442" s="114"/>
      <c r="HK442" s="114"/>
      <c r="HL442" s="114"/>
      <c r="HM442" s="114"/>
      <c r="HN442" s="114"/>
      <c r="HO442" s="114"/>
      <c r="HP442" s="114"/>
      <c r="HQ442" s="114"/>
      <c r="HR442" s="114"/>
      <c r="HS442" s="114"/>
      <c r="HT442" s="114"/>
      <c r="HU442" s="114"/>
      <c r="HV442" s="114"/>
      <c r="HW442" s="114"/>
      <c r="HX442" s="114"/>
      <c r="HY442" s="114"/>
      <c r="HZ442" s="114"/>
      <c r="IA442" s="114"/>
      <c r="IB442" s="114"/>
      <c r="IC442" s="114"/>
      <c r="ID442" s="114"/>
      <c r="IE442" s="114"/>
      <c r="IF442" s="114"/>
      <c r="IG442" s="114"/>
      <c r="IH442"/>
      <c r="II442"/>
      <c r="IJ442"/>
      <c r="IK442"/>
      <c r="IL442"/>
      <c r="IM442"/>
      <c r="IN442"/>
      <c r="IO442"/>
      <c r="IP442"/>
      <c r="IQ442"/>
      <c r="KC442" s="49"/>
      <c r="KD442" s="49"/>
      <c r="KE442" s="49"/>
    </row>
    <row r="443" spans="1:291">
      <c r="A443">
        <v>392</v>
      </c>
      <c r="B443" t="s">
        <v>468</v>
      </c>
      <c r="C443" t="s">
        <v>1794</v>
      </c>
      <c r="D443" s="28" t="s">
        <v>1260</v>
      </c>
      <c r="E443" s="28" t="s">
        <v>158</v>
      </c>
      <c r="F443" s="5" t="s">
        <v>2182</v>
      </c>
      <c r="G443" s="27" t="s">
        <v>90</v>
      </c>
      <c r="I443" s="27" t="s">
        <v>226</v>
      </c>
      <c r="J443" s="28">
        <v>21691</v>
      </c>
      <c r="K443" s="27" t="s">
        <v>404</v>
      </c>
      <c r="Q443" s="13" t="s">
        <v>1035</v>
      </c>
      <c r="R443" s="13" t="s">
        <v>1194</v>
      </c>
      <c r="W443" s="383"/>
      <c r="X443" s="383"/>
      <c r="Y443" s="383"/>
      <c r="Z443" s="383"/>
      <c r="AA443" s="13" t="s">
        <v>1793</v>
      </c>
      <c r="AB443" s="66">
        <v>191.7</v>
      </c>
      <c r="AC443">
        <v>20</v>
      </c>
      <c r="AD443" s="13" t="s">
        <v>315</v>
      </c>
      <c r="AE443" s="7">
        <f t="shared" ref="AE443:AE463" si="468">BA443</f>
        <v>15.765249999999998</v>
      </c>
      <c r="AF443" s="7"/>
      <c r="AG443" s="7">
        <f t="shared" ref="AG443:AG463" si="469">EU443</f>
        <v>1.4254385964912282</v>
      </c>
      <c r="AH443" s="7">
        <f t="shared" ref="AH443:AH463" si="470">DM443</f>
        <v>2.6500000000000004</v>
      </c>
      <c r="AI443" s="7">
        <f t="shared" ref="AI443:AI463" si="471">DO443</f>
        <v>3.3125000000000009E-2</v>
      </c>
      <c r="AJ443" s="7">
        <f t="shared" ref="AJ443:AJ463" si="472">GW443</f>
        <v>2.8508771929824563E-2</v>
      </c>
      <c r="AK443" s="7">
        <f t="shared" ref="AK443:AK463" si="473">GU443</f>
        <v>0.21488360745614035</v>
      </c>
      <c r="AL443" s="7">
        <f t="shared" ref="AL443:AL463" si="474">GS443</f>
        <v>1.890975745614035</v>
      </c>
      <c r="AM443" s="7">
        <f t="shared" ref="AM443:AM463" si="475">HV443</f>
        <v>0.27222222222222225</v>
      </c>
      <c r="AN443" s="7">
        <f t="shared" ref="AN443:AN463" si="476">IG443</f>
        <v>0.16666666666666666</v>
      </c>
      <c r="AO443" s="7">
        <f t="shared" ref="AO443:AO463" si="477">EY443</f>
        <v>0</v>
      </c>
      <c r="AP443" s="7"/>
      <c r="AQ443" s="7">
        <f t="shared" ref="AQ443:AQ463" si="478">SUM(AE443:AO443)</f>
        <v>22.447070610380116</v>
      </c>
      <c r="AR443" s="7">
        <f t="shared" ref="AR443:AR457" si="479">IJ443</f>
        <v>0</v>
      </c>
      <c r="AS443" s="7">
        <f t="shared" ref="AS443:AS463" si="480">EO443</f>
        <v>0</v>
      </c>
      <c r="AT443" s="7">
        <v>0</v>
      </c>
      <c r="AU443" s="7">
        <v>0</v>
      </c>
      <c r="AV443" s="42">
        <f t="shared" ref="AV443:AV463" si="481">AQ443+AT443+AU443+AR443+AS443</f>
        <v>22.447070610380116</v>
      </c>
      <c r="AW443">
        <v>8.2500000000000004E-2</v>
      </c>
      <c r="AX443" s="14">
        <v>0.08</v>
      </c>
      <c r="AY443" s="8">
        <v>1</v>
      </c>
      <c r="AZ443" s="4">
        <f t="shared" ref="AZ443:AZ463" si="482">(AW443-AX443)*AY443</f>
        <v>2.5000000000000022E-3</v>
      </c>
      <c r="BA443" s="4">
        <f t="shared" ref="BA443:BA463" si="483">AW443*AB443-AZ443*AC443</f>
        <v>15.765249999999998</v>
      </c>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E443" s="62">
        <v>0</v>
      </c>
      <c r="CF443" s="62">
        <v>1</v>
      </c>
      <c r="CG443" s="62">
        <f>2.45+0.2</f>
        <v>2.6500000000000004</v>
      </c>
      <c r="CH443" s="59">
        <f t="shared" ref="CH443:CH449" si="484">CF443*CG443</f>
        <v>2.6500000000000004</v>
      </c>
      <c r="CK443" s="59">
        <v>0</v>
      </c>
      <c r="CL443" s="59">
        <v>0</v>
      </c>
      <c r="CM443" s="59">
        <f t="shared" ref="CM443:CM455" si="485">CK443*CL443</f>
        <v>0</v>
      </c>
      <c r="CN443" s="80"/>
      <c r="CO443" s="59"/>
      <c r="CP443" s="59">
        <v>0</v>
      </c>
      <c r="CQ443" s="59">
        <v>0</v>
      </c>
      <c r="CR443" s="59">
        <f t="shared" ref="CR443:CR455" si="486">CP443*CQ443</f>
        <v>0</v>
      </c>
      <c r="CS443" s="59"/>
      <c r="CT443" s="59"/>
      <c r="CU443" s="59">
        <v>0</v>
      </c>
      <c r="CV443" s="59">
        <v>0</v>
      </c>
      <c r="CW443" s="59">
        <f t="shared" ref="CW443:CW449" si="487">CU443*CV443</f>
        <v>0</v>
      </c>
      <c r="CX443" s="59"/>
      <c r="CY443" s="59"/>
      <c r="CZ443" s="59"/>
      <c r="DA443" s="59"/>
      <c r="DB443" s="59"/>
      <c r="DC443" s="59"/>
      <c r="DD443" s="59"/>
      <c r="DE443" s="59"/>
      <c r="DF443" s="59"/>
      <c r="DG443" s="59"/>
      <c r="DH443" s="59"/>
      <c r="DI443" s="59"/>
      <c r="DJ443" s="59"/>
      <c r="DK443" s="59"/>
      <c r="DL443" s="59"/>
      <c r="DM443" s="62">
        <f t="shared" ref="DM443:DM463" si="488">CH443+CM443+CR443+CW443+DB443+DG443+DL443</f>
        <v>2.6500000000000004</v>
      </c>
      <c r="DN443" s="64">
        <v>1.2500000000000001E-2</v>
      </c>
      <c r="DO443" s="62">
        <f t="shared" ref="DO443:DO463" si="489">DM443*DN443</f>
        <v>3.3125000000000009E-2</v>
      </c>
      <c r="DP443" s="62">
        <f t="shared" ref="DP443:DP463" si="490">DM443+DO443</f>
        <v>2.6831250000000004</v>
      </c>
      <c r="DQ443" s="62"/>
      <c r="DR443" s="62"/>
      <c r="DS443" s="62"/>
      <c r="DT443" s="62"/>
      <c r="DU443" s="62"/>
      <c r="DV443" s="62"/>
      <c r="DW443" s="62"/>
      <c r="DX443" s="62"/>
      <c r="DY443" s="62"/>
      <c r="DZ443" s="62"/>
      <c r="EA443" s="62"/>
      <c r="EB443" s="62"/>
      <c r="EC443" s="62"/>
      <c r="ED443" s="62"/>
      <c r="EE443" s="62"/>
      <c r="EF443" s="59">
        <v>120</v>
      </c>
      <c r="EG443" s="59">
        <v>1200</v>
      </c>
      <c r="EH443" s="59">
        <v>8</v>
      </c>
      <c r="EI443" s="8">
        <v>0.95</v>
      </c>
      <c r="EJ443" s="59">
        <v>2</v>
      </c>
      <c r="EK443" s="59">
        <v>65</v>
      </c>
      <c r="EL443" s="65">
        <f t="shared" ref="EL443:EL463" si="491">3600/EK443*EH443*EJ443*EI443</f>
        <v>841.84615384615381</v>
      </c>
      <c r="EU443" s="62">
        <f t="shared" ref="EU443:EU449" si="492">EG443/EL443+EM443+EX443+EP443+EQ443+ER443</f>
        <v>1.4254385964912282</v>
      </c>
      <c r="GR443" s="8">
        <v>0.11</v>
      </c>
      <c r="GS443" s="4">
        <f t="shared" ref="GS443:GS458" si="493">GR443*(BA443+EU443)</f>
        <v>1.890975745614035</v>
      </c>
      <c r="GT443" s="9">
        <v>1.2500000000000001E-2</v>
      </c>
      <c r="GU443" s="4">
        <f t="shared" ref="GU443:GU458" si="494">GT443*(EU443+BA443)</f>
        <v>0.21488360745614035</v>
      </c>
      <c r="GV443" s="8">
        <v>0.02</v>
      </c>
      <c r="GW443" s="4">
        <f t="shared" ref="GW443:GW458" si="495">GV443*(EU443-EP443-EQ443)</f>
        <v>2.8508771929824563E-2</v>
      </c>
      <c r="GX443" s="4">
        <f t="shared" ref="GX443:GX463" si="496">GS443+GU443+GW443</f>
        <v>2.1343681249999999</v>
      </c>
      <c r="GY443" t="s">
        <v>43</v>
      </c>
      <c r="GZ443" s="59" t="s">
        <v>87</v>
      </c>
      <c r="HA443" s="4">
        <v>650</v>
      </c>
      <c r="HB443" s="4">
        <v>450</v>
      </c>
      <c r="HC443" s="59">
        <v>315</v>
      </c>
      <c r="HD443" s="59">
        <v>60</v>
      </c>
      <c r="HE443" s="59">
        <v>200</v>
      </c>
      <c r="HF443" s="10">
        <f>HE443/HD443</f>
        <v>3.3333333333333335</v>
      </c>
      <c r="HG443" s="59">
        <v>5</v>
      </c>
      <c r="HH443" s="4">
        <f t="shared" ref="HH443:HH463" si="497">HF443*HG443</f>
        <v>16.666666666666668</v>
      </c>
      <c r="HI443" s="59">
        <v>880</v>
      </c>
      <c r="HJ443" s="4">
        <f t="shared" ref="HJ443:HJ463" si="498">HH443*HI443</f>
        <v>14666.666666666668</v>
      </c>
      <c r="HM443" s="4">
        <v>2</v>
      </c>
      <c r="HN443" s="10">
        <f t="shared" ref="HN443:HN463" si="499">HM443*12*25*HE443</f>
        <v>120000</v>
      </c>
      <c r="HO443" s="4">
        <f>IF(GY443="carton box",HI443/HD443,HJ443/HN443)</f>
        <v>0.12222222222222223</v>
      </c>
      <c r="HP443" s="4">
        <v>160</v>
      </c>
      <c r="HQ443">
        <v>0</v>
      </c>
      <c r="HR443" s="45">
        <v>0.15</v>
      </c>
      <c r="HS443" s="10">
        <v>1</v>
      </c>
      <c r="HT443" s="4">
        <f t="shared" ref="HT443:HT463" si="500">IF(ISERROR(HR443/HS443),0,HR443/HS443)</f>
        <v>0.15</v>
      </c>
      <c r="HU443" s="4"/>
      <c r="HV443" s="4">
        <f t="shared" ref="HV443:HV463" si="501">HO443+HT443</f>
        <v>0.27222222222222225</v>
      </c>
      <c r="HW443" s="4"/>
      <c r="HX443" s="4">
        <v>5016</v>
      </c>
      <c r="HY443" s="4">
        <v>1976</v>
      </c>
      <c r="HZ443" s="4">
        <v>2280</v>
      </c>
      <c r="IA443" s="4">
        <f t="shared" ref="IA443:IC445" si="502">ROUNDDOWN(HX443/HA443,0)</f>
        <v>7</v>
      </c>
      <c r="IB443" s="4">
        <f t="shared" si="502"/>
        <v>4</v>
      </c>
      <c r="IC443" s="4">
        <f t="shared" si="502"/>
        <v>7</v>
      </c>
      <c r="ID443" s="61">
        <v>1</v>
      </c>
      <c r="IE443" s="65">
        <f>PRODUCT(IA443:ID443)-146</f>
        <v>50</v>
      </c>
      <c r="IF443" s="4">
        <v>500</v>
      </c>
      <c r="IG443" s="62">
        <f>IF443/(IE443*HD443)</f>
        <v>0.16666666666666666</v>
      </c>
      <c r="IH443" s="62"/>
    </row>
    <row r="444" spans="1:291">
      <c r="A444">
        <v>398</v>
      </c>
      <c r="B444" t="s">
        <v>468</v>
      </c>
      <c r="C444" s="114" t="s">
        <v>1797</v>
      </c>
      <c r="D444" s="28" t="s">
        <v>1263</v>
      </c>
      <c r="E444" s="28" t="s">
        <v>1264</v>
      </c>
      <c r="F444" s="5" t="s">
        <v>2182</v>
      </c>
      <c r="G444" s="27" t="s">
        <v>90</v>
      </c>
      <c r="I444" s="27" t="s">
        <v>226</v>
      </c>
      <c r="J444" s="28">
        <v>21590</v>
      </c>
      <c r="K444" s="27" t="s">
        <v>397</v>
      </c>
      <c r="L444" s="240">
        <v>20089</v>
      </c>
      <c r="M444" s="114" t="s">
        <v>226</v>
      </c>
      <c r="N444" s="278"/>
      <c r="O444" s="278"/>
      <c r="P444" s="278"/>
      <c r="Q444" s="13" t="s">
        <v>1035</v>
      </c>
      <c r="R444" s="13" t="s">
        <v>1769</v>
      </c>
      <c r="V444" s="319"/>
      <c r="W444" s="241" t="s">
        <v>1795</v>
      </c>
      <c r="X444" s="241"/>
      <c r="Y444" s="241"/>
      <c r="Z444" s="241"/>
      <c r="AA444" s="115" t="s">
        <v>469</v>
      </c>
      <c r="AB444" s="121">
        <v>105.69</v>
      </c>
      <c r="AC444" s="114">
        <v>20</v>
      </c>
      <c r="AD444" s="115" t="s">
        <v>1796</v>
      </c>
      <c r="AE444" s="119">
        <f t="shared" si="468"/>
        <v>1.12259</v>
      </c>
      <c r="AF444" s="119"/>
      <c r="AG444" s="119">
        <f t="shared" si="469"/>
        <v>0.87397119341563789</v>
      </c>
      <c r="AH444" s="119">
        <f t="shared" si="470"/>
        <v>0</v>
      </c>
      <c r="AI444" s="119">
        <f t="shared" si="471"/>
        <v>0</v>
      </c>
      <c r="AJ444" s="119">
        <f t="shared" si="472"/>
        <v>1.7479423868312759E-2</v>
      </c>
      <c r="AK444" s="119">
        <f t="shared" si="473"/>
        <v>2.9948417901234568E-2</v>
      </c>
      <c r="AL444" s="119">
        <f t="shared" si="474"/>
        <v>0.24957014917695475</v>
      </c>
      <c r="AM444" s="119">
        <f t="shared" si="475"/>
        <v>6.7708333333333336E-3</v>
      </c>
      <c r="AN444" s="119">
        <f t="shared" si="476"/>
        <v>0.05</v>
      </c>
      <c r="AO444" s="119">
        <f t="shared" si="477"/>
        <v>0</v>
      </c>
      <c r="AP444" s="119"/>
      <c r="AQ444" s="119">
        <f t="shared" si="478"/>
        <v>2.3503300176954731</v>
      </c>
      <c r="AR444" s="119">
        <f t="shared" si="479"/>
        <v>2.3503300176954733E-2</v>
      </c>
      <c r="AS444" s="119">
        <f t="shared" si="480"/>
        <v>0</v>
      </c>
      <c r="AT444" s="119">
        <v>0</v>
      </c>
      <c r="AU444" s="119">
        <v>0</v>
      </c>
      <c r="AV444" s="106">
        <f t="shared" si="481"/>
        <v>2.3738333178724278</v>
      </c>
      <c r="AW444" s="114">
        <v>1.0999999999999999E-2</v>
      </c>
      <c r="AX444" s="114">
        <v>8.9999999999999993E-3</v>
      </c>
      <c r="AY444" s="120">
        <v>1</v>
      </c>
      <c r="AZ444" s="118">
        <f t="shared" si="482"/>
        <v>2E-3</v>
      </c>
      <c r="BA444" s="118">
        <f t="shared" si="483"/>
        <v>1.12259</v>
      </c>
      <c r="BB444" s="118"/>
      <c r="BC444" s="118"/>
      <c r="BD444" s="118"/>
      <c r="BE444" s="118"/>
      <c r="BF444" s="118"/>
      <c r="BG444" s="118"/>
      <c r="BH444" s="118"/>
      <c r="BI444" s="118"/>
      <c r="BJ444" s="118"/>
      <c r="BK444" s="118"/>
      <c r="BL444" s="118"/>
      <c r="BM444" s="118"/>
      <c r="BN444" s="118"/>
      <c r="BO444" s="118"/>
      <c r="BP444" s="118"/>
      <c r="BQ444" s="118"/>
      <c r="BR444" s="118"/>
      <c r="BS444" s="118"/>
      <c r="BT444" s="118"/>
      <c r="BU444" s="118"/>
      <c r="BV444" s="118"/>
      <c r="BW444" s="118"/>
      <c r="BX444" s="118"/>
      <c r="BY444" s="118"/>
      <c r="BZ444" s="118"/>
      <c r="CA444" s="118"/>
      <c r="CB444" s="118"/>
      <c r="CC444" s="118"/>
      <c r="CD444" s="114"/>
      <c r="CE444" s="109">
        <v>0</v>
      </c>
      <c r="CF444" s="109">
        <v>0</v>
      </c>
      <c r="CG444" s="109">
        <v>0</v>
      </c>
      <c r="CH444" s="105">
        <f t="shared" si="484"/>
        <v>0</v>
      </c>
      <c r="CI444" s="139"/>
      <c r="CJ444" s="105"/>
      <c r="CK444" s="105">
        <v>0</v>
      </c>
      <c r="CL444" s="105">
        <v>0</v>
      </c>
      <c r="CM444" s="105">
        <f t="shared" si="485"/>
        <v>0</v>
      </c>
      <c r="CN444" s="139"/>
      <c r="CO444" s="105"/>
      <c r="CP444" s="105">
        <v>0</v>
      </c>
      <c r="CQ444" s="105">
        <v>0</v>
      </c>
      <c r="CR444" s="105">
        <f t="shared" si="486"/>
        <v>0</v>
      </c>
      <c r="CS444" s="105"/>
      <c r="CT444" s="105"/>
      <c r="CU444" s="105">
        <v>0</v>
      </c>
      <c r="CV444" s="105">
        <v>0</v>
      </c>
      <c r="CW444" s="105">
        <f t="shared" si="487"/>
        <v>0</v>
      </c>
      <c r="CX444" s="105"/>
      <c r="CY444" s="105"/>
      <c r="CZ444" s="105"/>
      <c r="DA444" s="105"/>
      <c r="DB444" s="105"/>
      <c r="DC444" s="105"/>
      <c r="DD444" s="105"/>
      <c r="DE444" s="105"/>
      <c r="DF444" s="105"/>
      <c r="DG444" s="105"/>
      <c r="DH444" s="105"/>
      <c r="DI444" s="105"/>
      <c r="DJ444" s="105"/>
      <c r="DK444" s="105"/>
      <c r="DL444" s="105"/>
      <c r="DM444" s="109">
        <f t="shared" si="488"/>
        <v>0</v>
      </c>
      <c r="DN444" s="110">
        <v>1.2500000000000001E-2</v>
      </c>
      <c r="DO444" s="109">
        <f t="shared" si="489"/>
        <v>0</v>
      </c>
      <c r="DP444" s="109">
        <f t="shared" si="490"/>
        <v>0</v>
      </c>
      <c r="DQ444" s="109"/>
      <c r="DR444" s="109"/>
      <c r="DS444" s="109"/>
      <c r="DT444" s="109"/>
      <c r="DU444" s="109"/>
      <c r="DV444" s="109"/>
      <c r="DW444" s="109"/>
      <c r="DX444" s="109"/>
      <c r="DY444" s="109"/>
      <c r="DZ444" s="109"/>
      <c r="EA444" s="109"/>
      <c r="EB444" s="109"/>
      <c r="EC444" s="109"/>
      <c r="ED444" s="109"/>
      <c r="EE444" s="109"/>
      <c r="EF444" s="105">
        <v>90</v>
      </c>
      <c r="EG444" s="105">
        <v>1699</v>
      </c>
      <c r="EH444" s="105">
        <v>7.5</v>
      </c>
      <c r="EI444" s="120">
        <v>0.9</v>
      </c>
      <c r="EJ444" s="105">
        <v>4</v>
      </c>
      <c r="EK444" s="105">
        <v>50</v>
      </c>
      <c r="EL444" s="111">
        <f t="shared" si="491"/>
        <v>1944</v>
      </c>
      <c r="EM444" s="114"/>
      <c r="EN444" s="114"/>
      <c r="EO444" s="114"/>
      <c r="EP444" s="114"/>
      <c r="EQ444" s="114"/>
      <c r="ER444" s="114"/>
      <c r="ES444" s="114"/>
      <c r="ET444" s="114"/>
      <c r="EU444" s="109">
        <f t="shared" si="492"/>
        <v>0.87397119341563789</v>
      </c>
      <c r="EV444" s="114"/>
      <c r="EW444" s="114"/>
      <c r="EX444" s="114"/>
      <c r="EY444" s="114"/>
      <c r="EZ444" s="114"/>
      <c r="FA444" s="114"/>
      <c r="FB444" s="114"/>
      <c r="FC444" s="114"/>
      <c r="FD444" s="114"/>
      <c r="FE444" s="114"/>
      <c r="FF444" s="114"/>
      <c r="FG444" s="114"/>
      <c r="FH444" s="114"/>
      <c r="FI444" s="114"/>
      <c r="FJ444" s="114"/>
      <c r="FK444" s="114"/>
      <c r="FL444" s="114"/>
      <c r="FM444" s="114"/>
      <c r="FN444" s="114"/>
      <c r="FO444" s="114"/>
      <c r="FP444" s="114"/>
      <c r="FQ444" s="114"/>
      <c r="FR444" s="114"/>
      <c r="FS444" s="114"/>
      <c r="FT444" s="114"/>
      <c r="FU444" s="114"/>
      <c r="FV444" s="114"/>
      <c r="FW444" s="114"/>
      <c r="FX444" s="114"/>
      <c r="FY444" s="114"/>
      <c r="FZ444" s="114"/>
      <c r="GA444" s="114"/>
      <c r="GB444" s="114"/>
      <c r="GC444" s="114"/>
      <c r="GD444" s="114"/>
      <c r="GE444" s="114"/>
      <c r="GF444" s="114"/>
      <c r="GG444" s="114"/>
      <c r="GH444" s="114"/>
      <c r="GI444" s="114"/>
      <c r="GJ444" s="114"/>
      <c r="GK444" s="114"/>
      <c r="GL444" s="114"/>
      <c r="GM444" s="114"/>
      <c r="GN444" s="114"/>
      <c r="GO444" s="114"/>
      <c r="GP444" s="114"/>
      <c r="GQ444" s="114"/>
      <c r="GR444" s="242">
        <v>0.125</v>
      </c>
      <c r="GS444" s="118">
        <f t="shared" si="493"/>
        <v>0.24957014917695475</v>
      </c>
      <c r="GT444" s="242">
        <v>1.4999999999999999E-2</v>
      </c>
      <c r="GU444" s="118">
        <f t="shared" si="494"/>
        <v>2.9948417901234568E-2</v>
      </c>
      <c r="GV444" s="120">
        <v>0.02</v>
      </c>
      <c r="GW444" s="118">
        <f t="shared" si="495"/>
        <v>1.7479423868312759E-2</v>
      </c>
      <c r="GX444" s="118">
        <f t="shared" si="496"/>
        <v>0.29699799094650209</v>
      </c>
      <c r="GY444" s="114" t="s">
        <v>130</v>
      </c>
      <c r="GZ444" s="105" t="s">
        <v>130</v>
      </c>
      <c r="HA444" s="118">
        <v>650</v>
      </c>
      <c r="HB444" s="118">
        <v>450</v>
      </c>
      <c r="HC444" s="105">
        <v>330</v>
      </c>
      <c r="HD444" s="105">
        <v>1000</v>
      </c>
      <c r="HE444" s="105">
        <v>1600</v>
      </c>
      <c r="HF444" s="118">
        <f t="shared" ref="HF444:HF463" si="503">ROUNDUP(HE444/HD444,0)</f>
        <v>2</v>
      </c>
      <c r="HG444" s="105">
        <v>5</v>
      </c>
      <c r="HH444" s="118">
        <f t="shared" si="497"/>
        <v>10</v>
      </c>
      <c r="HI444" s="105">
        <v>650</v>
      </c>
      <c r="HJ444" s="118">
        <f t="shared" si="498"/>
        <v>6500</v>
      </c>
      <c r="HK444" s="114"/>
      <c r="HL444" s="114"/>
      <c r="HM444" s="118">
        <v>2</v>
      </c>
      <c r="HN444" s="126">
        <f t="shared" si="499"/>
        <v>960000</v>
      </c>
      <c r="HO444" s="118">
        <f>IF(GY444="carton box",HI444/HD444,HJ444/HN444)</f>
        <v>6.7708333333333336E-3</v>
      </c>
      <c r="HP444" s="118">
        <v>160</v>
      </c>
      <c r="HQ444" s="114">
        <v>0</v>
      </c>
      <c r="HR444" s="118">
        <v>0</v>
      </c>
      <c r="HS444" s="118">
        <v>0</v>
      </c>
      <c r="HT444" s="118">
        <f t="shared" si="500"/>
        <v>0</v>
      </c>
      <c r="HU444" s="118"/>
      <c r="HV444" s="118">
        <f t="shared" si="501"/>
        <v>6.7708333333333336E-3</v>
      </c>
      <c r="HW444" s="118"/>
      <c r="HX444" s="118">
        <v>4200</v>
      </c>
      <c r="HY444" s="118">
        <v>1900</v>
      </c>
      <c r="HZ444" s="118">
        <v>1975</v>
      </c>
      <c r="IA444" s="118">
        <f t="shared" si="502"/>
        <v>6</v>
      </c>
      <c r="IB444" s="118">
        <f t="shared" si="502"/>
        <v>4</v>
      </c>
      <c r="IC444" s="118">
        <f t="shared" si="502"/>
        <v>5</v>
      </c>
      <c r="ID444" s="108">
        <v>1</v>
      </c>
      <c r="IE444" s="111">
        <f>PRODUCT(IA444:ID444)</f>
        <v>120</v>
      </c>
      <c r="IF444" s="118">
        <v>5000</v>
      </c>
      <c r="IG444" s="109">
        <f>ROUNDUP(IF444/(IE444*HD444),2)</f>
        <v>0.05</v>
      </c>
      <c r="IH444" s="62"/>
      <c r="II444" s="9">
        <v>0.01</v>
      </c>
      <c r="IJ444" s="4">
        <f>(BA444+EU444+GS444+GU444+GW444+DO444+HV444+IG444)*II444</f>
        <v>2.3503300176954733E-2</v>
      </c>
    </row>
    <row r="445" spans="1:291">
      <c r="A445">
        <v>399</v>
      </c>
      <c r="B445" t="s">
        <v>468</v>
      </c>
      <c r="C445" s="114" t="s">
        <v>900</v>
      </c>
      <c r="D445" s="28" t="s">
        <v>633</v>
      </c>
      <c r="E445" s="28" t="s">
        <v>118</v>
      </c>
      <c r="F445" s="5" t="s">
        <v>2182</v>
      </c>
      <c r="G445" s="27" t="s">
        <v>90</v>
      </c>
      <c r="I445" s="27" t="s">
        <v>94</v>
      </c>
      <c r="J445" s="28">
        <v>21591</v>
      </c>
      <c r="K445" s="27" t="s">
        <v>97</v>
      </c>
      <c r="L445" s="114"/>
      <c r="M445" s="114"/>
      <c r="N445" s="115"/>
      <c r="O445" s="115"/>
      <c r="P445" s="115"/>
      <c r="V445" s="319"/>
      <c r="W445" s="238"/>
      <c r="X445" s="238"/>
      <c r="Y445" s="238"/>
      <c r="Z445" s="238"/>
      <c r="AA445" s="244" t="s">
        <v>899</v>
      </c>
      <c r="AB445" s="201">
        <v>108.48</v>
      </c>
      <c r="AC445" s="118">
        <f>AB445-5</f>
        <v>103.48</v>
      </c>
      <c r="AD445" s="118" t="s">
        <v>24</v>
      </c>
      <c r="AE445" s="119">
        <f t="shared" si="468"/>
        <v>0.46461600000000003</v>
      </c>
      <c r="AF445" s="119"/>
      <c r="AG445" s="119">
        <f t="shared" si="469"/>
        <v>0.41118421052631576</v>
      </c>
      <c r="AH445" s="119">
        <f t="shared" si="470"/>
        <v>0</v>
      </c>
      <c r="AI445" s="119">
        <f t="shared" si="471"/>
        <v>0</v>
      </c>
      <c r="AJ445" s="119">
        <f t="shared" si="472"/>
        <v>8.2236842105263153E-3</v>
      </c>
      <c r="AK445" s="119">
        <f t="shared" si="473"/>
        <v>1.0947502631578948E-2</v>
      </c>
      <c r="AL445" s="119">
        <f t="shared" si="474"/>
        <v>9.6338023157894748E-2</v>
      </c>
      <c r="AM445" s="119">
        <f t="shared" si="475"/>
        <v>1.4102564102564103E-2</v>
      </c>
      <c r="AN445" s="119">
        <f t="shared" si="476"/>
        <v>1.8518518518518517E-2</v>
      </c>
      <c r="AO445" s="119">
        <f t="shared" si="477"/>
        <v>0</v>
      </c>
      <c r="AP445" s="119"/>
      <c r="AQ445" s="119">
        <f t="shared" si="478"/>
        <v>1.0239305031473986</v>
      </c>
      <c r="AR445" s="119">
        <f t="shared" si="479"/>
        <v>0</v>
      </c>
      <c r="AS445" s="119">
        <f t="shared" si="480"/>
        <v>0</v>
      </c>
      <c r="AT445" s="119">
        <v>0</v>
      </c>
      <c r="AU445" s="119">
        <v>0</v>
      </c>
      <c r="AV445" s="106">
        <f t="shared" si="481"/>
        <v>1.0239305031473986</v>
      </c>
      <c r="AW445" s="138">
        <v>6.0000000000000001E-3</v>
      </c>
      <c r="AX445" s="138">
        <v>4.0000000000000001E-3</v>
      </c>
      <c r="AY445" s="108">
        <v>0.9</v>
      </c>
      <c r="AZ445" s="109">
        <f t="shared" si="482"/>
        <v>1.8000000000000002E-3</v>
      </c>
      <c r="BA445" s="109">
        <f t="shared" si="483"/>
        <v>0.46461600000000003</v>
      </c>
      <c r="BB445" s="109"/>
      <c r="BC445" s="109"/>
      <c r="BD445" s="109"/>
      <c r="BE445" s="109"/>
      <c r="BF445" s="109"/>
      <c r="BG445" s="109"/>
      <c r="BH445" s="109"/>
      <c r="BI445" s="109"/>
      <c r="BJ445" s="109"/>
      <c r="BK445" s="109"/>
      <c r="BL445" s="109"/>
      <c r="BM445" s="109"/>
      <c r="BN445" s="109"/>
      <c r="BO445" s="109"/>
      <c r="BP445" s="109"/>
      <c r="BQ445" s="109"/>
      <c r="BR445" s="109"/>
      <c r="BS445" s="109"/>
      <c r="BT445" s="109"/>
      <c r="BU445" s="109"/>
      <c r="BV445" s="109"/>
      <c r="BW445" s="109"/>
      <c r="BX445" s="109"/>
      <c r="BY445" s="109"/>
      <c r="BZ445" s="109"/>
      <c r="CA445" s="109"/>
      <c r="CB445" s="109"/>
      <c r="CC445" s="109"/>
      <c r="CD445" s="105"/>
      <c r="CE445" s="109">
        <v>0</v>
      </c>
      <c r="CF445" s="109">
        <v>0</v>
      </c>
      <c r="CG445" s="109">
        <v>0</v>
      </c>
      <c r="CH445" s="105">
        <f t="shared" si="484"/>
        <v>0</v>
      </c>
      <c r="CI445" s="139"/>
      <c r="CJ445" s="105"/>
      <c r="CK445" s="105">
        <v>0</v>
      </c>
      <c r="CL445" s="105">
        <v>0</v>
      </c>
      <c r="CM445" s="105">
        <f t="shared" si="485"/>
        <v>0</v>
      </c>
      <c r="CN445" s="139"/>
      <c r="CO445" s="105"/>
      <c r="CP445" s="105">
        <v>0</v>
      </c>
      <c r="CQ445" s="105">
        <v>0</v>
      </c>
      <c r="CR445" s="105">
        <f t="shared" si="486"/>
        <v>0</v>
      </c>
      <c r="CS445" s="105"/>
      <c r="CT445" s="105"/>
      <c r="CU445" s="105">
        <v>0</v>
      </c>
      <c r="CV445" s="105">
        <v>0</v>
      </c>
      <c r="CW445" s="105">
        <f t="shared" si="487"/>
        <v>0</v>
      </c>
      <c r="CX445" s="105"/>
      <c r="CY445" s="105"/>
      <c r="CZ445" s="105"/>
      <c r="DA445" s="105"/>
      <c r="DB445" s="105"/>
      <c r="DC445" s="105"/>
      <c r="DD445" s="105"/>
      <c r="DE445" s="105"/>
      <c r="DF445" s="105"/>
      <c r="DG445" s="105"/>
      <c r="DH445" s="105"/>
      <c r="DI445" s="105"/>
      <c r="DJ445" s="105"/>
      <c r="DK445" s="105"/>
      <c r="DL445" s="105"/>
      <c r="DM445" s="109">
        <f t="shared" si="488"/>
        <v>0</v>
      </c>
      <c r="DN445" s="110">
        <v>1.2500000000000001E-2</v>
      </c>
      <c r="DO445" s="109">
        <f t="shared" si="489"/>
        <v>0</v>
      </c>
      <c r="DP445" s="109">
        <f t="shared" si="490"/>
        <v>0</v>
      </c>
      <c r="DQ445" s="109"/>
      <c r="DR445" s="109"/>
      <c r="DS445" s="109"/>
      <c r="DT445" s="109"/>
      <c r="DU445" s="109"/>
      <c r="DV445" s="109"/>
      <c r="DW445" s="109"/>
      <c r="DX445" s="109"/>
      <c r="DY445" s="109"/>
      <c r="DZ445" s="109"/>
      <c r="EA445" s="109"/>
      <c r="EB445" s="109"/>
      <c r="EC445" s="109"/>
      <c r="ED445" s="109"/>
      <c r="EE445" s="109"/>
      <c r="EF445" s="105">
        <v>100</v>
      </c>
      <c r="EG445" s="105">
        <v>1000</v>
      </c>
      <c r="EH445" s="105">
        <v>8</v>
      </c>
      <c r="EI445" s="108">
        <v>0.95</v>
      </c>
      <c r="EJ445" s="105">
        <v>4</v>
      </c>
      <c r="EK445" s="105">
        <v>45</v>
      </c>
      <c r="EL445" s="111">
        <f t="shared" si="491"/>
        <v>2432</v>
      </c>
      <c r="EM445" s="105"/>
      <c r="EN445" s="105"/>
      <c r="EO445" s="105"/>
      <c r="EP445" s="105"/>
      <c r="EQ445" s="105"/>
      <c r="ER445" s="105"/>
      <c r="ES445" s="105"/>
      <c r="ET445" s="105"/>
      <c r="EU445" s="109">
        <f t="shared" si="492"/>
        <v>0.41118421052631576</v>
      </c>
      <c r="EV445" s="109"/>
      <c r="EW445" s="109"/>
      <c r="EX445" s="105"/>
      <c r="EY445" s="105"/>
      <c r="EZ445" s="105"/>
      <c r="FA445" s="105"/>
      <c r="FB445" s="105"/>
      <c r="FC445" s="105"/>
      <c r="FD445" s="105"/>
      <c r="FE445" s="105"/>
      <c r="FF445" s="105"/>
      <c r="FG445" s="105"/>
      <c r="FH445" s="105"/>
      <c r="FI445" s="105"/>
      <c r="FJ445" s="105"/>
      <c r="FK445" s="105"/>
      <c r="FL445" s="105"/>
      <c r="FM445" s="105"/>
      <c r="FN445" s="105"/>
      <c r="FO445" s="105"/>
      <c r="FP445" s="105"/>
      <c r="FQ445" s="105"/>
      <c r="FR445" s="105"/>
      <c r="FS445" s="105"/>
      <c r="FT445" s="105"/>
      <c r="FU445" s="105"/>
      <c r="FV445" s="105"/>
      <c r="FW445" s="105"/>
      <c r="FX445" s="105"/>
      <c r="FY445" s="105"/>
      <c r="FZ445" s="105"/>
      <c r="GA445" s="105"/>
      <c r="GB445" s="105"/>
      <c r="GC445" s="105"/>
      <c r="GD445" s="105"/>
      <c r="GE445" s="105"/>
      <c r="GF445" s="105"/>
      <c r="GG445" s="105"/>
      <c r="GH445" s="105"/>
      <c r="GI445" s="105"/>
      <c r="GJ445" s="105"/>
      <c r="GK445" s="105"/>
      <c r="GL445" s="105"/>
      <c r="GM445" s="105"/>
      <c r="GN445" s="105"/>
      <c r="GO445" s="105"/>
      <c r="GP445" s="105"/>
      <c r="GQ445" s="105"/>
      <c r="GR445" s="108">
        <v>0.11</v>
      </c>
      <c r="GS445" s="109">
        <f t="shared" si="493"/>
        <v>9.6338023157894748E-2</v>
      </c>
      <c r="GT445" s="110">
        <v>1.2500000000000001E-2</v>
      </c>
      <c r="GU445" s="109">
        <f t="shared" si="494"/>
        <v>1.0947502631578948E-2</v>
      </c>
      <c r="GV445" s="108">
        <v>0.02</v>
      </c>
      <c r="GW445" s="109">
        <f t="shared" si="495"/>
        <v>8.2236842105263153E-3</v>
      </c>
      <c r="GX445" s="109">
        <f t="shared" si="496"/>
        <v>0.11550921000000001</v>
      </c>
      <c r="GY445" s="105" t="s">
        <v>43</v>
      </c>
      <c r="GZ445" s="105" t="s">
        <v>87</v>
      </c>
      <c r="HA445" s="109">
        <v>650</v>
      </c>
      <c r="HB445" s="109">
        <v>450</v>
      </c>
      <c r="HC445" s="105">
        <v>320</v>
      </c>
      <c r="HD445" s="105">
        <v>500</v>
      </c>
      <c r="HE445" s="105">
        <v>650</v>
      </c>
      <c r="HF445" s="109">
        <f t="shared" si="503"/>
        <v>2</v>
      </c>
      <c r="HG445" s="105">
        <v>5</v>
      </c>
      <c r="HH445" s="109">
        <f t="shared" si="497"/>
        <v>10</v>
      </c>
      <c r="HI445" s="105">
        <v>550</v>
      </c>
      <c r="HJ445" s="109">
        <f t="shared" si="498"/>
        <v>5500</v>
      </c>
      <c r="HK445" s="105"/>
      <c r="HL445" s="105"/>
      <c r="HM445" s="109">
        <v>2</v>
      </c>
      <c r="HN445" s="111">
        <f t="shared" si="499"/>
        <v>390000</v>
      </c>
      <c r="HO445" s="109">
        <f>IF(GY445="carton box",HI445/HD445,HJ445/HN445)</f>
        <v>1.4102564102564103E-2</v>
      </c>
      <c r="HP445" s="109">
        <v>160</v>
      </c>
      <c r="HQ445" s="105">
        <v>0</v>
      </c>
      <c r="HR445" s="109">
        <f>HP445*HQ445</f>
        <v>0</v>
      </c>
      <c r="HS445" s="109">
        <v>0</v>
      </c>
      <c r="HT445" s="109">
        <f t="shared" si="500"/>
        <v>0</v>
      </c>
      <c r="HU445" s="109"/>
      <c r="HV445" s="109">
        <f t="shared" si="501"/>
        <v>1.4102564102564103E-2</v>
      </c>
      <c r="HW445" s="109"/>
      <c r="HX445" s="109">
        <v>2917</v>
      </c>
      <c r="HY445" s="109">
        <v>1689</v>
      </c>
      <c r="HZ445" s="109">
        <v>1842</v>
      </c>
      <c r="IA445" s="109">
        <f t="shared" si="502"/>
        <v>4</v>
      </c>
      <c r="IB445" s="109">
        <f t="shared" si="502"/>
        <v>3</v>
      </c>
      <c r="IC445" s="109">
        <f t="shared" si="502"/>
        <v>5</v>
      </c>
      <c r="ID445" s="108">
        <v>0.9</v>
      </c>
      <c r="IE445" s="109">
        <f>PRODUCT(IA445:ID445)</f>
        <v>54</v>
      </c>
      <c r="IF445" s="109">
        <v>500</v>
      </c>
      <c r="IG445" s="109">
        <f>IF445/(IE445*HD445)</f>
        <v>1.8518518518518517E-2</v>
      </c>
      <c r="IH445" s="62"/>
    </row>
    <row r="446" spans="1:291" ht="30">
      <c r="A446">
        <v>400</v>
      </c>
      <c r="B446" s="245" t="s">
        <v>468</v>
      </c>
      <c r="C446" s="114" t="s">
        <v>1798</v>
      </c>
      <c r="D446" s="28" t="s">
        <v>633</v>
      </c>
      <c r="E446" s="28" t="s">
        <v>118</v>
      </c>
      <c r="F446" s="5" t="s">
        <v>2182</v>
      </c>
      <c r="G446" s="27" t="s">
        <v>90</v>
      </c>
      <c r="I446" s="27" t="s">
        <v>94</v>
      </c>
      <c r="J446" s="28">
        <v>21697</v>
      </c>
      <c r="K446" s="27" t="s">
        <v>227</v>
      </c>
      <c r="L446" s="114"/>
      <c r="M446" s="114"/>
      <c r="N446" s="115" t="s">
        <v>1801</v>
      </c>
      <c r="O446" s="115" t="s">
        <v>1763</v>
      </c>
      <c r="P446" s="115" t="s">
        <v>1802</v>
      </c>
      <c r="V446" s="319"/>
      <c r="W446" s="218" t="s">
        <v>1799</v>
      </c>
      <c r="X446" s="218"/>
      <c r="Y446" s="218"/>
      <c r="Z446" s="218"/>
      <c r="AA446" s="115" t="s">
        <v>469</v>
      </c>
      <c r="AB446" s="121">
        <v>100.81</v>
      </c>
      <c r="AC446" s="114">
        <v>20</v>
      </c>
      <c r="AD446" s="115" t="s">
        <v>280</v>
      </c>
      <c r="AE446" s="119">
        <f t="shared" si="468"/>
        <v>0.61266375000000006</v>
      </c>
      <c r="AF446" s="119"/>
      <c r="AG446" s="119">
        <f t="shared" si="469"/>
        <v>0.41666666666666669</v>
      </c>
      <c r="AH446" s="119">
        <f t="shared" si="470"/>
        <v>0</v>
      </c>
      <c r="AI446" s="119">
        <f t="shared" si="471"/>
        <v>0</v>
      </c>
      <c r="AJ446" s="119">
        <f t="shared" si="472"/>
        <v>8.3333333333333332E-3</v>
      </c>
      <c r="AK446" s="119">
        <f t="shared" si="473"/>
        <v>1.2866630208333335E-2</v>
      </c>
      <c r="AL446" s="119">
        <f t="shared" si="474"/>
        <v>0.11322634583333335</v>
      </c>
      <c r="AM446" s="119">
        <f t="shared" si="475"/>
        <v>3.0439999999999998E-2</v>
      </c>
      <c r="AN446" s="119">
        <f t="shared" si="476"/>
        <v>0.02</v>
      </c>
      <c r="AO446" s="119">
        <f t="shared" si="477"/>
        <v>0</v>
      </c>
      <c r="AP446" s="119"/>
      <c r="AQ446" s="119">
        <f t="shared" si="478"/>
        <v>1.2141967260416668</v>
      </c>
      <c r="AR446" s="119">
        <f t="shared" si="479"/>
        <v>0</v>
      </c>
      <c r="AS446" s="119">
        <f t="shared" si="480"/>
        <v>0</v>
      </c>
      <c r="AT446" s="119">
        <v>0</v>
      </c>
      <c r="AU446" s="119">
        <v>0</v>
      </c>
      <c r="AV446" s="106">
        <f t="shared" si="481"/>
        <v>1.2141967260416668</v>
      </c>
      <c r="AW446" s="246">
        <v>6.3750000000000005E-3</v>
      </c>
      <c r="AX446" s="246">
        <v>4.875E-3</v>
      </c>
      <c r="AY446" s="120">
        <v>1</v>
      </c>
      <c r="AZ446" s="118">
        <f t="shared" si="482"/>
        <v>1.5000000000000005E-3</v>
      </c>
      <c r="BA446" s="118">
        <f t="shared" si="483"/>
        <v>0.61266375000000006</v>
      </c>
      <c r="BB446" s="118"/>
      <c r="BC446" s="118"/>
      <c r="BD446" s="118"/>
      <c r="BE446" s="118"/>
      <c r="BF446" s="118"/>
      <c r="BG446" s="118"/>
      <c r="BH446" s="118"/>
      <c r="BI446" s="118"/>
      <c r="BJ446" s="118"/>
      <c r="BK446" s="118"/>
      <c r="BL446" s="118"/>
      <c r="BM446" s="118"/>
      <c r="BN446" s="118"/>
      <c r="BO446" s="118"/>
      <c r="BP446" s="118"/>
      <c r="BQ446" s="118"/>
      <c r="BR446" s="118"/>
      <c r="BS446" s="118"/>
      <c r="BT446" s="118"/>
      <c r="BU446" s="118"/>
      <c r="BV446" s="118"/>
      <c r="BW446" s="118"/>
      <c r="BX446" s="118"/>
      <c r="BY446" s="118"/>
      <c r="BZ446" s="118"/>
      <c r="CA446" s="118"/>
      <c r="CB446" s="118"/>
      <c r="CC446" s="118"/>
      <c r="CD446" s="114"/>
      <c r="CE446" s="109">
        <v>0</v>
      </c>
      <c r="CF446" s="109">
        <v>0</v>
      </c>
      <c r="CG446" s="109">
        <v>0</v>
      </c>
      <c r="CH446" s="105">
        <f t="shared" si="484"/>
        <v>0</v>
      </c>
      <c r="CI446" s="139"/>
      <c r="CJ446" s="105"/>
      <c r="CK446" s="105">
        <v>0</v>
      </c>
      <c r="CL446" s="105">
        <v>0</v>
      </c>
      <c r="CM446" s="105">
        <f t="shared" si="485"/>
        <v>0</v>
      </c>
      <c r="CN446" s="139"/>
      <c r="CO446" s="105"/>
      <c r="CP446" s="105">
        <v>0</v>
      </c>
      <c r="CQ446" s="105">
        <v>0</v>
      </c>
      <c r="CR446" s="105">
        <f t="shared" si="486"/>
        <v>0</v>
      </c>
      <c r="CS446" s="105"/>
      <c r="CT446" s="105"/>
      <c r="CU446" s="105">
        <v>0</v>
      </c>
      <c r="CV446" s="105">
        <v>0</v>
      </c>
      <c r="CW446" s="105">
        <f t="shared" si="487"/>
        <v>0</v>
      </c>
      <c r="CX446" s="105"/>
      <c r="CY446" s="105"/>
      <c r="CZ446" s="105"/>
      <c r="DA446" s="105"/>
      <c r="DB446" s="105"/>
      <c r="DC446" s="105"/>
      <c r="DD446" s="105"/>
      <c r="DE446" s="105"/>
      <c r="DF446" s="105"/>
      <c r="DG446" s="105"/>
      <c r="DH446" s="105"/>
      <c r="DI446" s="105"/>
      <c r="DJ446" s="105"/>
      <c r="DK446" s="105"/>
      <c r="DL446" s="105"/>
      <c r="DM446" s="109">
        <f t="shared" si="488"/>
        <v>0</v>
      </c>
      <c r="DN446" s="110">
        <v>1.2500000000000001E-2</v>
      </c>
      <c r="DO446" s="109">
        <f t="shared" si="489"/>
        <v>0</v>
      </c>
      <c r="DP446" s="109">
        <f t="shared" si="490"/>
        <v>0</v>
      </c>
      <c r="DQ446" s="109"/>
      <c r="DR446" s="109"/>
      <c r="DS446" s="109"/>
      <c r="DT446" s="109"/>
      <c r="DU446" s="109"/>
      <c r="DV446" s="109"/>
      <c r="DW446" s="109"/>
      <c r="DX446" s="109"/>
      <c r="DY446" s="109"/>
      <c r="DZ446" s="109"/>
      <c r="EA446" s="109"/>
      <c r="EB446" s="109"/>
      <c r="EC446" s="109"/>
      <c r="ED446" s="109"/>
      <c r="EE446" s="109"/>
      <c r="EF446" s="105">
        <v>90</v>
      </c>
      <c r="EG446" s="105">
        <v>900</v>
      </c>
      <c r="EH446" s="105">
        <v>7.5</v>
      </c>
      <c r="EI446" s="120">
        <v>0.9</v>
      </c>
      <c r="EJ446" s="105">
        <v>4</v>
      </c>
      <c r="EK446" s="105">
        <v>45</v>
      </c>
      <c r="EL446" s="111">
        <f t="shared" si="491"/>
        <v>2160</v>
      </c>
      <c r="EM446" s="114"/>
      <c r="EN446" s="114"/>
      <c r="EO446" s="114"/>
      <c r="EP446" s="114"/>
      <c r="EQ446" s="114"/>
      <c r="ER446" s="114"/>
      <c r="ES446" s="114"/>
      <c r="ET446" s="114"/>
      <c r="EU446" s="109">
        <f t="shared" si="492"/>
        <v>0.41666666666666669</v>
      </c>
      <c r="EV446" s="114"/>
      <c r="EW446" s="114"/>
      <c r="EX446" s="114"/>
      <c r="EY446" s="114"/>
      <c r="EZ446" s="114"/>
      <c r="FA446" s="114"/>
      <c r="FB446" s="114"/>
      <c r="FC446" s="114"/>
      <c r="FD446" s="114"/>
      <c r="FE446" s="114"/>
      <c r="FF446" s="114"/>
      <c r="FG446" s="114"/>
      <c r="FH446" s="114"/>
      <c r="FI446" s="114"/>
      <c r="FJ446" s="114"/>
      <c r="FK446" s="114"/>
      <c r="FL446" s="114"/>
      <c r="FM446" s="114"/>
      <c r="FN446" s="114"/>
      <c r="FO446" s="114"/>
      <c r="FP446" s="114"/>
      <c r="FQ446" s="114"/>
      <c r="FR446" s="114"/>
      <c r="FS446" s="114"/>
      <c r="FT446" s="114"/>
      <c r="FU446" s="114"/>
      <c r="FV446" s="114"/>
      <c r="FW446" s="114"/>
      <c r="FX446" s="114"/>
      <c r="FY446" s="114"/>
      <c r="FZ446" s="114"/>
      <c r="GA446" s="114"/>
      <c r="GB446" s="114"/>
      <c r="GC446" s="114"/>
      <c r="GD446" s="114"/>
      <c r="GE446" s="114"/>
      <c r="GF446" s="114"/>
      <c r="GG446" s="114"/>
      <c r="GH446" s="114"/>
      <c r="GI446" s="114"/>
      <c r="GJ446" s="114"/>
      <c r="GK446" s="114"/>
      <c r="GL446" s="114"/>
      <c r="GM446" s="114"/>
      <c r="GN446" s="114"/>
      <c r="GO446" s="114"/>
      <c r="GP446" s="114"/>
      <c r="GQ446" s="114"/>
      <c r="GR446" s="120">
        <v>0.11</v>
      </c>
      <c r="GS446" s="118">
        <f t="shared" si="493"/>
        <v>0.11322634583333335</v>
      </c>
      <c r="GT446" s="125">
        <v>1.2500000000000001E-2</v>
      </c>
      <c r="GU446" s="118">
        <f t="shared" si="494"/>
        <v>1.2866630208333335E-2</v>
      </c>
      <c r="GV446" s="120">
        <v>0.02</v>
      </c>
      <c r="GW446" s="118">
        <f t="shared" si="495"/>
        <v>8.3333333333333332E-3</v>
      </c>
      <c r="GX446" s="118">
        <f t="shared" si="496"/>
        <v>0.13442630937500002</v>
      </c>
      <c r="GY446" s="114" t="s">
        <v>274</v>
      </c>
      <c r="GZ446" s="114" t="s">
        <v>1800</v>
      </c>
      <c r="HA446" s="118">
        <v>480</v>
      </c>
      <c r="HB446" s="118">
        <v>280</v>
      </c>
      <c r="HC446" s="105">
        <v>240</v>
      </c>
      <c r="HD446" s="105">
        <v>1500</v>
      </c>
      <c r="HE446" s="105">
        <v>1000</v>
      </c>
      <c r="HF446" s="118">
        <f t="shared" si="503"/>
        <v>1</v>
      </c>
      <c r="HG446" s="105">
        <v>5</v>
      </c>
      <c r="HH446" s="118">
        <f t="shared" si="497"/>
        <v>5</v>
      </c>
      <c r="HI446" s="105">
        <v>45.66</v>
      </c>
      <c r="HJ446" s="118">
        <f t="shared" si="498"/>
        <v>228.29999999999998</v>
      </c>
      <c r="HK446" s="114"/>
      <c r="HL446" s="114"/>
      <c r="HM446" s="118">
        <v>2</v>
      </c>
      <c r="HN446" s="126">
        <f t="shared" si="499"/>
        <v>600000</v>
      </c>
      <c r="HO446" s="124">
        <f>IF(GY446="carton box",HI446/HD446,HJ446/HN446)</f>
        <v>3.0439999999999998E-2</v>
      </c>
      <c r="HP446" s="118">
        <v>160</v>
      </c>
      <c r="HQ446" s="114">
        <v>0</v>
      </c>
      <c r="HR446" s="118">
        <v>0</v>
      </c>
      <c r="HS446" s="118">
        <v>0</v>
      </c>
      <c r="HT446" s="118">
        <f t="shared" si="500"/>
        <v>0</v>
      </c>
      <c r="HU446" s="118"/>
      <c r="HV446" s="118">
        <f t="shared" si="501"/>
        <v>3.0439999999999998E-2</v>
      </c>
      <c r="HW446" s="118"/>
      <c r="HX446" s="118">
        <v>4200</v>
      </c>
      <c r="HY446" s="118">
        <v>1900</v>
      </c>
      <c r="HZ446" s="118">
        <v>1975</v>
      </c>
      <c r="IA446" s="118">
        <f t="shared" ref="IA446:IA460" si="504">ROUNDDOWN(HX446/HA446,0)</f>
        <v>8</v>
      </c>
      <c r="IB446" s="118">
        <f t="shared" ref="IB446:IB460" si="505">ROUNDDOWN(HY446/HB446,0)</f>
        <v>6</v>
      </c>
      <c r="IC446" s="118">
        <f>ROUNDDOWN(HZ446/HC446,0)-3</f>
        <v>5</v>
      </c>
      <c r="ID446" s="108">
        <v>0.95</v>
      </c>
      <c r="IE446" s="111">
        <f>PRODUCT(IA446:ID446)</f>
        <v>228</v>
      </c>
      <c r="IF446" s="118">
        <v>5000</v>
      </c>
      <c r="IG446" s="109">
        <f>ROUNDUP(IF446/(IE446*HD446),2)</f>
        <v>0.02</v>
      </c>
      <c r="IH446" s="62"/>
    </row>
    <row r="447" spans="1:291">
      <c r="A447">
        <v>401</v>
      </c>
      <c r="B447" t="s">
        <v>468</v>
      </c>
      <c r="C447" t="s">
        <v>1798</v>
      </c>
      <c r="D447" s="28" t="s">
        <v>633</v>
      </c>
      <c r="E447" s="28" t="s">
        <v>118</v>
      </c>
      <c r="F447" s="5" t="s">
        <v>2182</v>
      </c>
      <c r="G447" s="27" t="s">
        <v>90</v>
      </c>
      <c r="I447" s="27" t="s">
        <v>226</v>
      </c>
      <c r="J447" s="28">
        <v>21590</v>
      </c>
      <c r="K447" s="27" t="s">
        <v>397</v>
      </c>
      <c r="L447" s="379">
        <v>20089</v>
      </c>
      <c r="M447" t="s">
        <v>226</v>
      </c>
      <c r="Q447" s="13" t="s">
        <v>1039</v>
      </c>
      <c r="R447" s="13" t="s">
        <v>1769</v>
      </c>
      <c r="W447" s="383" t="s">
        <v>1795</v>
      </c>
      <c r="X447" s="383"/>
      <c r="Y447" s="383"/>
      <c r="Z447" s="383"/>
      <c r="AA447" s="13" t="s">
        <v>469</v>
      </c>
      <c r="AB447" s="66">
        <v>100.81</v>
      </c>
      <c r="AC447">
        <v>20</v>
      </c>
      <c r="AD447" s="13" t="s">
        <v>280</v>
      </c>
      <c r="AE447" s="7">
        <f t="shared" si="468"/>
        <v>0.61266375000000006</v>
      </c>
      <c r="AF447" s="7"/>
      <c r="AG447" s="7">
        <f t="shared" si="469"/>
        <v>0.41666666666666669</v>
      </c>
      <c r="AH447" s="7">
        <f t="shared" si="470"/>
        <v>0</v>
      </c>
      <c r="AI447" s="7">
        <f t="shared" si="471"/>
        <v>0</v>
      </c>
      <c r="AJ447" s="7">
        <f t="shared" si="472"/>
        <v>8.3333333333333332E-3</v>
      </c>
      <c r="AK447" s="7">
        <f t="shared" si="473"/>
        <v>1.2866630208333335E-2</v>
      </c>
      <c r="AL447" s="7">
        <f t="shared" si="474"/>
        <v>0.11322634583333335</v>
      </c>
      <c r="AM447" s="7">
        <f t="shared" si="475"/>
        <v>0.02</v>
      </c>
      <c r="AN447" s="7">
        <f t="shared" si="476"/>
        <v>0.01</v>
      </c>
      <c r="AO447" s="7">
        <f t="shared" si="477"/>
        <v>0</v>
      </c>
      <c r="AP447" s="7"/>
      <c r="AQ447" s="7">
        <f t="shared" si="478"/>
        <v>1.1937567260416668</v>
      </c>
      <c r="AR447" s="7">
        <f t="shared" si="479"/>
        <v>0</v>
      </c>
      <c r="AS447" s="7">
        <f t="shared" si="480"/>
        <v>0</v>
      </c>
      <c r="AT447" s="7">
        <v>0</v>
      </c>
      <c r="AU447" s="7">
        <v>0</v>
      </c>
      <c r="AV447" s="42">
        <f t="shared" si="481"/>
        <v>1.1937567260416668</v>
      </c>
      <c r="AW447" s="296">
        <v>6.3750000000000005E-3</v>
      </c>
      <c r="AX447" s="296">
        <v>4.875E-3</v>
      </c>
      <c r="AY447" s="8">
        <v>1</v>
      </c>
      <c r="AZ447" s="4">
        <f t="shared" si="482"/>
        <v>1.5000000000000005E-3</v>
      </c>
      <c r="BA447" s="4">
        <f t="shared" si="483"/>
        <v>0.61266375000000006</v>
      </c>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E447" s="62">
        <v>0</v>
      </c>
      <c r="CF447" s="62">
        <v>0</v>
      </c>
      <c r="CG447" s="62">
        <v>0</v>
      </c>
      <c r="CH447" s="59">
        <f t="shared" si="484"/>
        <v>0</v>
      </c>
      <c r="CI447" s="80"/>
      <c r="CJ447" s="59"/>
      <c r="CK447" s="59">
        <v>0</v>
      </c>
      <c r="CL447" s="59">
        <v>0</v>
      </c>
      <c r="CM447" s="59">
        <f t="shared" si="485"/>
        <v>0</v>
      </c>
      <c r="CN447" s="80"/>
      <c r="CO447" s="59"/>
      <c r="CP447" s="59">
        <v>0</v>
      </c>
      <c r="CQ447" s="59">
        <v>0</v>
      </c>
      <c r="CR447" s="59">
        <f t="shared" si="486"/>
        <v>0</v>
      </c>
      <c r="CS447" s="59"/>
      <c r="CT447" s="59"/>
      <c r="CU447" s="59">
        <v>0</v>
      </c>
      <c r="CV447" s="59">
        <v>0</v>
      </c>
      <c r="CW447" s="59">
        <f t="shared" si="487"/>
        <v>0</v>
      </c>
      <c r="CX447" s="59"/>
      <c r="CY447" s="59"/>
      <c r="CZ447" s="59"/>
      <c r="DA447" s="59"/>
      <c r="DB447" s="59"/>
      <c r="DC447" s="59"/>
      <c r="DD447" s="59"/>
      <c r="DE447" s="59"/>
      <c r="DF447" s="59"/>
      <c r="DG447" s="59"/>
      <c r="DH447" s="59"/>
      <c r="DI447" s="59"/>
      <c r="DJ447" s="59"/>
      <c r="DK447" s="59"/>
      <c r="DL447" s="59"/>
      <c r="DM447" s="62">
        <f t="shared" si="488"/>
        <v>0</v>
      </c>
      <c r="DN447" s="64">
        <v>1.2500000000000001E-2</v>
      </c>
      <c r="DO447" s="62">
        <f t="shared" si="489"/>
        <v>0</v>
      </c>
      <c r="DP447" s="62">
        <f t="shared" si="490"/>
        <v>0</v>
      </c>
      <c r="DQ447" s="62"/>
      <c r="DR447" s="62"/>
      <c r="DS447" s="62"/>
      <c r="DT447" s="62"/>
      <c r="DU447" s="62"/>
      <c r="DV447" s="62"/>
      <c r="DW447" s="62"/>
      <c r="DX447" s="62"/>
      <c r="DY447" s="62"/>
      <c r="DZ447" s="62"/>
      <c r="EA447" s="62"/>
      <c r="EB447" s="62"/>
      <c r="EC447" s="62"/>
      <c r="ED447" s="62"/>
      <c r="EE447" s="62"/>
      <c r="EF447" s="59">
        <v>90</v>
      </c>
      <c r="EG447" s="59">
        <v>900</v>
      </c>
      <c r="EH447" s="59">
        <v>7.5</v>
      </c>
      <c r="EI447" s="8">
        <v>0.9</v>
      </c>
      <c r="EJ447" s="59">
        <v>4</v>
      </c>
      <c r="EK447" s="59">
        <v>45</v>
      </c>
      <c r="EL447" s="65">
        <f t="shared" si="491"/>
        <v>2160</v>
      </c>
      <c r="EU447" s="62">
        <f t="shared" si="492"/>
        <v>0.41666666666666669</v>
      </c>
      <c r="GR447" s="8">
        <v>0.11</v>
      </c>
      <c r="GS447" s="4">
        <f t="shared" si="493"/>
        <v>0.11322634583333335</v>
      </c>
      <c r="GT447" s="9">
        <v>1.2500000000000001E-2</v>
      </c>
      <c r="GU447" s="4">
        <f t="shared" si="494"/>
        <v>1.2866630208333335E-2</v>
      </c>
      <c r="GV447" s="8">
        <v>0.02</v>
      </c>
      <c r="GW447" s="4">
        <f t="shared" si="495"/>
        <v>8.3333333333333332E-3</v>
      </c>
      <c r="GX447" s="4">
        <f t="shared" si="496"/>
        <v>0.13442630937500002</v>
      </c>
      <c r="GY447" t="s">
        <v>130</v>
      </c>
      <c r="GZ447" t="s">
        <v>130</v>
      </c>
      <c r="HA447" s="4">
        <v>650</v>
      </c>
      <c r="HB447" s="4">
        <v>450</v>
      </c>
      <c r="HC447" s="59">
        <v>330</v>
      </c>
      <c r="HD447" s="59">
        <v>500</v>
      </c>
      <c r="HE447" s="59">
        <v>1000</v>
      </c>
      <c r="HF447" s="4">
        <f t="shared" si="503"/>
        <v>2</v>
      </c>
      <c r="HG447" s="59">
        <v>5</v>
      </c>
      <c r="HH447" s="4">
        <f t="shared" si="497"/>
        <v>10</v>
      </c>
      <c r="HI447" s="59">
        <v>650</v>
      </c>
      <c r="HJ447" s="4">
        <f t="shared" si="498"/>
        <v>6500</v>
      </c>
      <c r="HM447" s="4">
        <v>2</v>
      </c>
      <c r="HN447" s="10">
        <f t="shared" si="499"/>
        <v>600000</v>
      </c>
      <c r="HO447" s="4">
        <f>ROUNDUP(IF(GY447="carton box",HI447/HD447,HJ447/HN447),2)</f>
        <v>0.02</v>
      </c>
      <c r="HP447" s="4">
        <v>160</v>
      </c>
      <c r="HQ447">
        <v>0</v>
      </c>
      <c r="HR447" s="4">
        <v>0</v>
      </c>
      <c r="HS447" s="4">
        <v>0</v>
      </c>
      <c r="HT447" s="4">
        <f t="shared" si="500"/>
        <v>0</v>
      </c>
      <c r="HU447" s="4"/>
      <c r="HV447" s="4">
        <f t="shared" si="501"/>
        <v>0.02</v>
      </c>
      <c r="HW447" s="4"/>
      <c r="HX447" s="4">
        <v>4200</v>
      </c>
      <c r="HY447" s="4">
        <v>1900</v>
      </c>
      <c r="HZ447" s="4">
        <v>1975</v>
      </c>
      <c r="IA447" s="4">
        <f t="shared" si="504"/>
        <v>6</v>
      </c>
      <c r="IB447" s="4">
        <f t="shared" si="505"/>
        <v>4</v>
      </c>
      <c r="IC447" s="4">
        <f t="shared" ref="IC447:IC460" si="506">ROUNDDOWN(HZ447/HC447,0)</f>
        <v>5</v>
      </c>
      <c r="ID447" s="61">
        <v>1</v>
      </c>
      <c r="IE447" s="65">
        <f>PRODUCT(IA447:ID447)</f>
        <v>120</v>
      </c>
      <c r="IF447" s="4">
        <v>500</v>
      </c>
      <c r="IG447" s="62">
        <f>ROUNDUP(IF447/(IE447*HD447),2)</f>
        <v>0.01</v>
      </c>
      <c r="IH447" s="62"/>
    </row>
    <row r="448" spans="1:291">
      <c r="A448">
        <v>402</v>
      </c>
      <c r="B448" t="s">
        <v>468</v>
      </c>
      <c r="C448" s="114" t="s">
        <v>1804</v>
      </c>
      <c r="D448" s="28" t="s">
        <v>636</v>
      </c>
      <c r="E448" s="28" t="s">
        <v>637</v>
      </c>
      <c r="F448" s="5" t="s">
        <v>2182</v>
      </c>
      <c r="G448" s="27" t="s">
        <v>90</v>
      </c>
      <c r="I448" s="27" t="s">
        <v>226</v>
      </c>
      <c r="J448" s="28">
        <v>21691</v>
      </c>
      <c r="K448" s="27" t="s">
        <v>404</v>
      </c>
      <c r="L448" s="381">
        <v>21401</v>
      </c>
      <c r="M448" s="114" t="s">
        <v>226</v>
      </c>
      <c r="N448" s="115"/>
      <c r="O448" s="115"/>
      <c r="P448" s="115"/>
      <c r="Q448" s="13" t="s">
        <v>1039</v>
      </c>
      <c r="R448" s="13" t="s">
        <v>1769</v>
      </c>
      <c r="V448" s="319"/>
      <c r="W448" s="241" t="s">
        <v>1771</v>
      </c>
      <c r="X448" s="241"/>
      <c r="Y448" s="241"/>
      <c r="Z448" s="241"/>
      <c r="AA448" s="115" t="s">
        <v>1803</v>
      </c>
      <c r="AB448" s="201">
        <v>98.1</v>
      </c>
      <c r="AC448" s="114">
        <v>20</v>
      </c>
      <c r="AD448" s="115"/>
      <c r="AE448" s="119">
        <f t="shared" si="468"/>
        <v>2.1572499999999999</v>
      </c>
      <c r="AF448" s="119"/>
      <c r="AG448" s="119">
        <f t="shared" si="469"/>
        <v>0.37006578947368424</v>
      </c>
      <c r="AH448" s="119">
        <f t="shared" si="470"/>
        <v>0</v>
      </c>
      <c r="AI448" s="119">
        <f t="shared" si="471"/>
        <v>0</v>
      </c>
      <c r="AJ448" s="119">
        <f t="shared" si="472"/>
        <v>7.4013157894736847E-3</v>
      </c>
      <c r="AK448" s="119">
        <f t="shared" si="473"/>
        <v>3.1591447368421052E-2</v>
      </c>
      <c r="AL448" s="119">
        <f t="shared" si="474"/>
        <v>0.27800473684210525</v>
      </c>
      <c r="AM448" s="119">
        <f t="shared" si="475"/>
        <v>1.0714285714285714E-2</v>
      </c>
      <c r="AN448" s="119">
        <f t="shared" si="476"/>
        <v>1.6666666666666666E-2</v>
      </c>
      <c r="AO448" s="119">
        <f t="shared" si="477"/>
        <v>0</v>
      </c>
      <c r="AP448" s="119"/>
      <c r="AQ448" s="119">
        <f t="shared" si="478"/>
        <v>2.8716942418546365</v>
      </c>
      <c r="AR448" s="119">
        <f t="shared" si="479"/>
        <v>0</v>
      </c>
      <c r="AS448" s="119">
        <f t="shared" si="480"/>
        <v>0</v>
      </c>
      <c r="AT448" s="119">
        <v>0</v>
      </c>
      <c r="AU448" s="119">
        <v>0</v>
      </c>
      <c r="AV448" s="106">
        <f t="shared" si="481"/>
        <v>2.8716942418546365</v>
      </c>
      <c r="AW448" s="114">
        <v>2.2499999999999999E-2</v>
      </c>
      <c r="AX448" s="124">
        <v>0.02</v>
      </c>
      <c r="AY448" s="120">
        <v>1</v>
      </c>
      <c r="AZ448" s="118">
        <f t="shared" si="482"/>
        <v>2.4999999999999988E-3</v>
      </c>
      <c r="BA448" s="118">
        <f t="shared" si="483"/>
        <v>2.1572499999999999</v>
      </c>
      <c r="BB448" s="118"/>
      <c r="BC448" s="118"/>
      <c r="BD448" s="118"/>
      <c r="BE448" s="118"/>
      <c r="BF448" s="118"/>
      <c r="BG448" s="118"/>
      <c r="BH448" s="118"/>
      <c r="BI448" s="118"/>
      <c r="BJ448" s="118"/>
      <c r="BK448" s="118"/>
      <c r="BL448" s="118"/>
      <c r="BM448" s="118"/>
      <c r="BN448" s="118"/>
      <c r="BO448" s="118"/>
      <c r="BP448" s="118"/>
      <c r="BQ448" s="118"/>
      <c r="BR448" s="118"/>
      <c r="BS448" s="118"/>
      <c r="BT448" s="118"/>
      <c r="BU448" s="118"/>
      <c r="BV448" s="118"/>
      <c r="BW448" s="118"/>
      <c r="BX448" s="118"/>
      <c r="BY448" s="118"/>
      <c r="BZ448" s="118"/>
      <c r="CA448" s="118"/>
      <c r="CB448" s="118"/>
      <c r="CC448" s="118"/>
      <c r="CD448" s="114"/>
      <c r="CE448" s="109">
        <v>0</v>
      </c>
      <c r="CF448" s="109">
        <v>0</v>
      </c>
      <c r="CG448" s="109">
        <v>0</v>
      </c>
      <c r="CH448" s="105">
        <f t="shared" si="484"/>
        <v>0</v>
      </c>
      <c r="CI448" s="139"/>
      <c r="CJ448" s="105"/>
      <c r="CK448" s="105">
        <v>0</v>
      </c>
      <c r="CL448" s="105">
        <v>0</v>
      </c>
      <c r="CM448" s="105">
        <f t="shared" si="485"/>
        <v>0</v>
      </c>
      <c r="CN448" s="139"/>
      <c r="CO448" s="105"/>
      <c r="CP448" s="105">
        <v>0</v>
      </c>
      <c r="CQ448" s="105">
        <v>0</v>
      </c>
      <c r="CR448" s="105">
        <f t="shared" si="486"/>
        <v>0</v>
      </c>
      <c r="CS448" s="105"/>
      <c r="CT448" s="105"/>
      <c r="CU448" s="105">
        <v>0</v>
      </c>
      <c r="CV448" s="105">
        <v>0</v>
      </c>
      <c r="CW448" s="105">
        <f t="shared" si="487"/>
        <v>0</v>
      </c>
      <c r="CX448" s="105"/>
      <c r="CY448" s="105"/>
      <c r="CZ448" s="105"/>
      <c r="DA448" s="105"/>
      <c r="DB448" s="105"/>
      <c r="DC448" s="105"/>
      <c r="DD448" s="105"/>
      <c r="DE448" s="105"/>
      <c r="DF448" s="105"/>
      <c r="DG448" s="105"/>
      <c r="DH448" s="105"/>
      <c r="DI448" s="105"/>
      <c r="DJ448" s="105"/>
      <c r="DK448" s="105"/>
      <c r="DL448" s="105"/>
      <c r="DM448" s="109">
        <f t="shared" si="488"/>
        <v>0</v>
      </c>
      <c r="DN448" s="110">
        <v>1.2500000000000001E-2</v>
      </c>
      <c r="DO448" s="109">
        <f t="shared" si="489"/>
        <v>0</v>
      </c>
      <c r="DP448" s="109">
        <f t="shared" si="490"/>
        <v>0</v>
      </c>
      <c r="DQ448" s="109"/>
      <c r="DR448" s="109"/>
      <c r="DS448" s="109"/>
      <c r="DT448" s="109"/>
      <c r="DU448" s="109"/>
      <c r="DV448" s="109"/>
      <c r="DW448" s="109"/>
      <c r="DX448" s="109"/>
      <c r="DY448" s="109"/>
      <c r="DZ448" s="109"/>
      <c r="EA448" s="109"/>
      <c r="EB448" s="109"/>
      <c r="EC448" s="109"/>
      <c r="ED448" s="109"/>
      <c r="EE448" s="109"/>
      <c r="EF448" s="105">
        <v>90</v>
      </c>
      <c r="EG448" s="105">
        <v>900</v>
      </c>
      <c r="EH448" s="105">
        <v>8</v>
      </c>
      <c r="EI448" s="120">
        <v>0.95</v>
      </c>
      <c r="EJ448" s="105">
        <v>4</v>
      </c>
      <c r="EK448" s="105">
        <v>45</v>
      </c>
      <c r="EL448" s="111">
        <f t="shared" si="491"/>
        <v>2432</v>
      </c>
      <c r="EM448" s="114"/>
      <c r="EN448" s="114"/>
      <c r="EO448" s="114"/>
      <c r="EP448" s="114"/>
      <c r="EQ448" s="114"/>
      <c r="ER448" s="114"/>
      <c r="ES448" s="114"/>
      <c r="ET448" s="114"/>
      <c r="EU448" s="109">
        <f t="shared" si="492"/>
        <v>0.37006578947368424</v>
      </c>
      <c r="EV448" s="114"/>
      <c r="EW448" s="114"/>
      <c r="EX448" s="114"/>
      <c r="EY448" s="114"/>
      <c r="EZ448" s="114"/>
      <c r="FA448" s="114"/>
      <c r="FB448" s="114"/>
      <c r="FC448" s="114"/>
      <c r="FD448" s="114"/>
      <c r="FE448" s="114"/>
      <c r="FF448" s="114"/>
      <c r="FG448" s="114"/>
      <c r="FH448" s="114"/>
      <c r="FI448" s="114"/>
      <c r="FJ448" s="114"/>
      <c r="FK448" s="114"/>
      <c r="FL448" s="114"/>
      <c r="FM448" s="114"/>
      <c r="FN448" s="114"/>
      <c r="FO448" s="114"/>
      <c r="FP448" s="114"/>
      <c r="FQ448" s="114"/>
      <c r="FR448" s="114"/>
      <c r="FS448" s="114"/>
      <c r="FT448" s="114"/>
      <c r="FU448" s="114"/>
      <c r="FV448" s="114"/>
      <c r="FW448" s="114"/>
      <c r="FX448" s="114"/>
      <c r="FY448" s="114"/>
      <c r="FZ448" s="114"/>
      <c r="GA448" s="114"/>
      <c r="GB448" s="114"/>
      <c r="GC448" s="114"/>
      <c r="GD448" s="114"/>
      <c r="GE448" s="114"/>
      <c r="GF448" s="114"/>
      <c r="GG448" s="114"/>
      <c r="GH448" s="114"/>
      <c r="GI448" s="114"/>
      <c r="GJ448" s="114"/>
      <c r="GK448" s="114"/>
      <c r="GL448" s="114"/>
      <c r="GM448" s="114"/>
      <c r="GN448" s="114"/>
      <c r="GO448" s="114"/>
      <c r="GP448" s="114"/>
      <c r="GQ448" s="114"/>
      <c r="GR448" s="120">
        <v>0.11</v>
      </c>
      <c r="GS448" s="118">
        <f t="shared" si="493"/>
        <v>0.27800473684210525</v>
      </c>
      <c r="GT448" s="125">
        <v>1.2500000000000001E-2</v>
      </c>
      <c r="GU448" s="118">
        <f t="shared" si="494"/>
        <v>3.1591447368421052E-2</v>
      </c>
      <c r="GV448" s="120">
        <v>0.02</v>
      </c>
      <c r="GW448" s="118">
        <f t="shared" si="495"/>
        <v>7.4013157894736847E-3</v>
      </c>
      <c r="GX448" s="118">
        <f t="shared" si="496"/>
        <v>0.31699749999999999</v>
      </c>
      <c r="GY448" s="114" t="s">
        <v>130</v>
      </c>
      <c r="GZ448" s="114" t="s">
        <v>130</v>
      </c>
      <c r="HA448" s="118">
        <v>650</v>
      </c>
      <c r="HB448" s="118">
        <v>450</v>
      </c>
      <c r="HC448" s="105">
        <v>300</v>
      </c>
      <c r="HD448" s="105">
        <v>500</v>
      </c>
      <c r="HE448" s="105">
        <v>1400</v>
      </c>
      <c r="HF448" s="118">
        <f t="shared" si="503"/>
        <v>3</v>
      </c>
      <c r="HG448" s="105">
        <v>5</v>
      </c>
      <c r="HH448" s="118">
        <f t="shared" si="497"/>
        <v>15</v>
      </c>
      <c r="HI448" s="105">
        <v>600</v>
      </c>
      <c r="HJ448" s="118">
        <f t="shared" si="498"/>
        <v>9000</v>
      </c>
      <c r="HK448" s="114"/>
      <c r="HL448" s="114"/>
      <c r="HM448" s="118">
        <v>2</v>
      </c>
      <c r="HN448" s="126">
        <f t="shared" si="499"/>
        <v>840000</v>
      </c>
      <c r="HO448" s="118">
        <f>(IF(GY448="carton box",HI448/HD448,HJ448/HN448))</f>
        <v>1.0714285714285714E-2</v>
      </c>
      <c r="HP448" s="118">
        <v>160</v>
      </c>
      <c r="HQ448" s="114">
        <v>0</v>
      </c>
      <c r="HR448" s="118">
        <v>0</v>
      </c>
      <c r="HS448" s="118">
        <v>0</v>
      </c>
      <c r="HT448" s="118">
        <f t="shared" si="500"/>
        <v>0</v>
      </c>
      <c r="HU448" s="118"/>
      <c r="HV448" s="118">
        <f t="shared" si="501"/>
        <v>1.0714285714285714E-2</v>
      </c>
      <c r="HW448" s="118"/>
      <c r="HX448" s="118">
        <v>5016</v>
      </c>
      <c r="HY448" s="118">
        <v>1976</v>
      </c>
      <c r="HZ448" s="118">
        <v>2280</v>
      </c>
      <c r="IA448" s="118">
        <f t="shared" si="504"/>
        <v>7</v>
      </c>
      <c r="IB448" s="118">
        <f t="shared" si="505"/>
        <v>4</v>
      </c>
      <c r="IC448" s="118">
        <f t="shared" si="506"/>
        <v>7</v>
      </c>
      <c r="ID448" s="108">
        <v>1</v>
      </c>
      <c r="IE448" s="111">
        <f>PRODUCT(IA448:ID448)-136</f>
        <v>60</v>
      </c>
      <c r="IF448" s="118">
        <v>500</v>
      </c>
      <c r="IG448" s="109">
        <f>IF448/(IE448*HD448)</f>
        <v>1.6666666666666666E-2</v>
      </c>
      <c r="IH448" s="62"/>
    </row>
    <row r="449" spans="1:251" ht="40.5">
      <c r="A449">
        <v>405</v>
      </c>
      <c r="B449" t="s">
        <v>468</v>
      </c>
      <c r="C449" s="114" t="s">
        <v>1809</v>
      </c>
      <c r="D449" s="28" t="s">
        <v>640</v>
      </c>
      <c r="E449" s="28" t="s">
        <v>641</v>
      </c>
      <c r="F449" s="5" t="s">
        <v>2182</v>
      </c>
      <c r="G449" s="27" t="s">
        <v>90</v>
      </c>
      <c r="I449" s="27" t="s">
        <v>226</v>
      </c>
      <c r="J449" s="28">
        <v>21691</v>
      </c>
      <c r="K449" s="27" t="s">
        <v>404</v>
      </c>
      <c r="L449" s="114"/>
      <c r="M449" s="114"/>
      <c r="N449" s="115"/>
      <c r="O449" s="115"/>
      <c r="P449" s="115"/>
      <c r="Q449" s="13" t="s">
        <v>1768</v>
      </c>
      <c r="R449" s="13" t="s">
        <v>1778</v>
      </c>
      <c r="V449" s="319"/>
      <c r="W449" s="241" t="s">
        <v>1807</v>
      </c>
      <c r="X449" s="241"/>
      <c r="Y449" s="241"/>
      <c r="Z449" s="241"/>
      <c r="AA449" s="115" t="s">
        <v>1808</v>
      </c>
      <c r="AB449" s="201">
        <v>85.45</v>
      </c>
      <c r="AC449" s="114">
        <v>5</v>
      </c>
      <c r="AD449" s="115"/>
      <c r="AE449" s="119">
        <f t="shared" si="468"/>
        <v>20.110975000000003</v>
      </c>
      <c r="AF449" s="106"/>
      <c r="AG449" s="119">
        <f t="shared" si="469"/>
        <v>10.051169590643275</v>
      </c>
      <c r="AH449" s="106">
        <f t="shared" si="470"/>
        <v>0</v>
      </c>
      <c r="AI449" s="106">
        <f t="shared" si="471"/>
        <v>0</v>
      </c>
      <c r="AJ449" s="106">
        <f t="shared" si="472"/>
        <v>0.20102339181286549</v>
      </c>
      <c r="AK449" s="106">
        <f t="shared" si="473"/>
        <v>0.37702680738304101</v>
      </c>
      <c r="AL449" s="106">
        <f t="shared" si="474"/>
        <v>3.3178359049707606</v>
      </c>
      <c r="AM449" s="106">
        <f t="shared" si="475"/>
        <v>0.15277777777777779</v>
      </c>
      <c r="AN449" s="106">
        <f t="shared" si="476"/>
        <v>0.1984126984126984</v>
      </c>
      <c r="AO449" s="106">
        <f t="shared" si="477"/>
        <v>0</v>
      </c>
      <c r="AP449" s="106"/>
      <c r="AQ449" s="106">
        <f t="shared" si="478"/>
        <v>34.409221171000418</v>
      </c>
      <c r="AR449" s="106">
        <f t="shared" si="479"/>
        <v>0</v>
      </c>
      <c r="AS449" s="106">
        <f t="shared" si="480"/>
        <v>0</v>
      </c>
      <c r="AT449" s="106">
        <v>0</v>
      </c>
      <c r="AU449" s="106">
        <f>34.2-34.41</f>
        <v>-0.20999999999999375</v>
      </c>
      <c r="AV449" s="106">
        <f t="shared" si="481"/>
        <v>34.199221171000424</v>
      </c>
      <c r="AW449" s="138">
        <v>0.23550000000000001</v>
      </c>
      <c r="AX449" s="105">
        <v>0.23300000000000001</v>
      </c>
      <c r="AY449" s="108">
        <v>1</v>
      </c>
      <c r="AZ449" s="109">
        <f t="shared" si="482"/>
        <v>2.5000000000000022E-3</v>
      </c>
      <c r="BA449" s="109">
        <f t="shared" si="483"/>
        <v>20.110975000000003</v>
      </c>
      <c r="BB449" s="109"/>
      <c r="BC449" s="109"/>
      <c r="BD449" s="109"/>
      <c r="BE449" s="109"/>
      <c r="BF449" s="109"/>
      <c r="BG449" s="109"/>
      <c r="BH449" s="109"/>
      <c r="BI449" s="109"/>
      <c r="BJ449" s="109"/>
      <c r="BK449" s="109"/>
      <c r="BL449" s="109"/>
      <c r="BM449" s="109"/>
      <c r="BN449" s="109"/>
      <c r="BO449" s="109"/>
      <c r="BP449" s="109"/>
      <c r="BQ449" s="109"/>
      <c r="BR449" s="109"/>
      <c r="BS449" s="109"/>
      <c r="BT449" s="109"/>
      <c r="BU449" s="109"/>
      <c r="BV449" s="109"/>
      <c r="BW449" s="109"/>
      <c r="BX449" s="109"/>
      <c r="BY449" s="109"/>
      <c r="BZ449" s="109"/>
      <c r="CA449" s="109"/>
      <c r="CB449" s="109"/>
      <c r="CC449" s="109"/>
      <c r="CD449" s="105"/>
      <c r="CE449" s="109">
        <v>0</v>
      </c>
      <c r="CF449" s="109">
        <v>0</v>
      </c>
      <c r="CG449" s="109">
        <v>0</v>
      </c>
      <c r="CH449" s="105">
        <f t="shared" si="484"/>
        <v>0</v>
      </c>
      <c r="CI449" s="139"/>
      <c r="CJ449" s="105"/>
      <c r="CK449" s="105">
        <v>0</v>
      </c>
      <c r="CL449" s="105">
        <v>0</v>
      </c>
      <c r="CM449" s="105">
        <f t="shared" si="485"/>
        <v>0</v>
      </c>
      <c r="CN449" s="139"/>
      <c r="CO449" s="105"/>
      <c r="CP449" s="105">
        <v>0</v>
      </c>
      <c r="CQ449" s="105">
        <v>0</v>
      </c>
      <c r="CR449" s="105">
        <f t="shared" si="486"/>
        <v>0</v>
      </c>
      <c r="CS449" s="105"/>
      <c r="CT449" s="105"/>
      <c r="CU449" s="105">
        <v>0</v>
      </c>
      <c r="CV449" s="105">
        <v>0</v>
      </c>
      <c r="CW449" s="105">
        <f t="shared" si="487"/>
        <v>0</v>
      </c>
      <c r="CX449" s="105"/>
      <c r="CY449" s="105"/>
      <c r="CZ449" s="105"/>
      <c r="DA449" s="105"/>
      <c r="DB449" s="105"/>
      <c r="DC449" s="105"/>
      <c r="DD449" s="105"/>
      <c r="DE449" s="105"/>
      <c r="DF449" s="105"/>
      <c r="DG449" s="105"/>
      <c r="DH449" s="105"/>
      <c r="DI449" s="105"/>
      <c r="DJ449" s="105"/>
      <c r="DK449" s="105"/>
      <c r="DL449" s="105"/>
      <c r="DM449" s="109">
        <f t="shared" si="488"/>
        <v>0</v>
      </c>
      <c r="DN449" s="110">
        <v>1.2500000000000001E-2</v>
      </c>
      <c r="DO449" s="109">
        <f t="shared" si="489"/>
        <v>0</v>
      </c>
      <c r="DP449" s="109">
        <f t="shared" si="490"/>
        <v>0</v>
      </c>
      <c r="DQ449" s="109"/>
      <c r="DR449" s="109"/>
      <c r="DS449" s="109"/>
      <c r="DT449" s="109"/>
      <c r="DU449" s="109"/>
      <c r="DV449" s="109"/>
      <c r="DW449" s="109"/>
      <c r="DX449" s="109"/>
      <c r="DY449" s="109"/>
      <c r="DZ449" s="109"/>
      <c r="EA449" s="109"/>
      <c r="EB449" s="109"/>
      <c r="EC449" s="109"/>
      <c r="ED449" s="109"/>
      <c r="EE449" s="109"/>
      <c r="EF449" s="105">
        <v>500</v>
      </c>
      <c r="EG449" s="105">
        <v>5000</v>
      </c>
      <c r="EH449" s="105">
        <v>8</v>
      </c>
      <c r="EI449" s="120">
        <v>0.95</v>
      </c>
      <c r="EJ449" s="105">
        <v>1</v>
      </c>
      <c r="EK449" s="105">
        <v>55</v>
      </c>
      <c r="EL449" s="111">
        <f t="shared" si="491"/>
        <v>497.45454545454544</v>
      </c>
      <c r="EM449" s="105"/>
      <c r="EN449" s="105"/>
      <c r="EO449" s="105"/>
      <c r="EP449" s="105"/>
      <c r="EQ449" s="105"/>
      <c r="ER449" s="105"/>
      <c r="ES449" s="105"/>
      <c r="ET449" s="105"/>
      <c r="EU449" s="109">
        <f t="shared" si="492"/>
        <v>10.051169590643275</v>
      </c>
      <c r="EV449" s="105"/>
      <c r="EW449" s="105"/>
      <c r="EX449" s="105"/>
      <c r="EY449" s="105"/>
      <c r="EZ449" s="105"/>
      <c r="FA449" s="105"/>
      <c r="FB449" s="105"/>
      <c r="FC449" s="105"/>
      <c r="FD449" s="105"/>
      <c r="FE449" s="105"/>
      <c r="FF449" s="105"/>
      <c r="FG449" s="105"/>
      <c r="FH449" s="105"/>
      <c r="FI449" s="105"/>
      <c r="FJ449" s="105"/>
      <c r="FK449" s="105"/>
      <c r="FL449" s="105"/>
      <c r="FM449" s="105"/>
      <c r="FN449" s="105"/>
      <c r="FO449" s="105"/>
      <c r="FP449" s="105"/>
      <c r="FQ449" s="105"/>
      <c r="FR449" s="105"/>
      <c r="FS449" s="105"/>
      <c r="FT449" s="105"/>
      <c r="FU449" s="105"/>
      <c r="FV449" s="105"/>
      <c r="FW449" s="105"/>
      <c r="FX449" s="105"/>
      <c r="FY449" s="105"/>
      <c r="FZ449" s="105"/>
      <c r="GA449" s="105"/>
      <c r="GB449" s="105"/>
      <c r="GC449" s="105"/>
      <c r="GD449" s="105"/>
      <c r="GE449" s="105"/>
      <c r="GF449" s="105"/>
      <c r="GG449" s="105"/>
      <c r="GH449" s="105"/>
      <c r="GI449" s="105"/>
      <c r="GJ449" s="105"/>
      <c r="GK449" s="105"/>
      <c r="GL449" s="105"/>
      <c r="GM449" s="105"/>
      <c r="GN449" s="105"/>
      <c r="GO449" s="105"/>
      <c r="GP449" s="105"/>
      <c r="GQ449" s="105"/>
      <c r="GR449" s="120">
        <v>0.11</v>
      </c>
      <c r="GS449" s="118">
        <f t="shared" si="493"/>
        <v>3.3178359049707606</v>
      </c>
      <c r="GT449" s="125">
        <v>1.2500000000000001E-2</v>
      </c>
      <c r="GU449" s="118">
        <f t="shared" si="494"/>
        <v>0.37702680738304101</v>
      </c>
      <c r="GV449" s="120">
        <v>0.02</v>
      </c>
      <c r="GW449" s="118">
        <f t="shared" si="495"/>
        <v>0.20102339181286549</v>
      </c>
      <c r="GX449" s="118">
        <f t="shared" si="496"/>
        <v>3.8958861041666673</v>
      </c>
      <c r="GY449" s="114" t="s">
        <v>43</v>
      </c>
      <c r="GZ449" s="114" t="s">
        <v>87</v>
      </c>
      <c r="HA449" s="109">
        <v>980</v>
      </c>
      <c r="HB449" s="109">
        <v>700</v>
      </c>
      <c r="HC449" s="105">
        <v>450</v>
      </c>
      <c r="HD449" s="105">
        <v>60</v>
      </c>
      <c r="HE449" s="105">
        <v>600</v>
      </c>
      <c r="HF449" s="105">
        <f t="shared" si="503"/>
        <v>10</v>
      </c>
      <c r="HG449" s="105">
        <v>5</v>
      </c>
      <c r="HH449" s="109">
        <f t="shared" si="497"/>
        <v>50</v>
      </c>
      <c r="HI449" s="105">
        <v>1100</v>
      </c>
      <c r="HJ449" s="109">
        <f t="shared" si="498"/>
        <v>55000</v>
      </c>
      <c r="HK449" s="105"/>
      <c r="HL449" s="105"/>
      <c r="HM449" s="109">
        <v>2</v>
      </c>
      <c r="HN449" s="105">
        <f t="shared" si="499"/>
        <v>360000</v>
      </c>
      <c r="HO449" s="118">
        <f>(IF(GY449="carton box",HI449/HD449,HJ449/HN449))</f>
        <v>0.15277777777777779</v>
      </c>
      <c r="HP449" s="118">
        <v>160</v>
      </c>
      <c r="HQ449" s="114">
        <v>0</v>
      </c>
      <c r="HR449" s="118">
        <v>0</v>
      </c>
      <c r="HS449" s="118">
        <v>0</v>
      </c>
      <c r="HT449" s="118">
        <f t="shared" si="500"/>
        <v>0</v>
      </c>
      <c r="HU449" s="118"/>
      <c r="HV449" s="118">
        <f t="shared" si="501"/>
        <v>0.15277777777777779</v>
      </c>
      <c r="HW449" s="118"/>
      <c r="HX449" s="118">
        <v>5016</v>
      </c>
      <c r="HY449" s="118">
        <v>1976</v>
      </c>
      <c r="HZ449" s="118">
        <v>2280</v>
      </c>
      <c r="IA449" s="118">
        <f t="shared" si="504"/>
        <v>5</v>
      </c>
      <c r="IB449" s="118">
        <f t="shared" si="505"/>
        <v>2</v>
      </c>
      <c r="IC449" s="118">
        <f t="shared" si="506"/>
        <v>5</v>
      </c>
      <c r="ID449" s="108">
        <v>1</v>
      </c>
      <c r="IE449" s="111">
        <f>PRODUCT(IA449:ID449)-8</f>
        <v>42</v>
      </c>
      <c r="IF449" s="118">
        <v>500</v>
      </c>
      <c r="IG449" s="109">
        <f>IF449/(IE449*HD449)</f>
        <v>0.1984126984126984</v>
      </c>
      <c r="IH449" s="62"/>
    </row>
    <row r="450" spans="1:251">
      <c r="A450">
        <v>407</v>
      </c>
      <c r="B450" t="s">
        <v>468</v>
      </c>
      <c r="C450" s="114" t="s">
        <v>1810</v>
      </c>
      <c r="D450" s="28" t="s">
        <v>1267</v>
      </c>
      <c r="E450" s="28" t="s">
        <v>1268</v>
      </c>
      <c r="F450" s="5" t="s">
        <v>2182</v>
      </c>
      <c r="G450" s="27" t="s">
        <v>90</v>
      </c>
      <c r="I450" s="27" t="s">
        <v>226</v>
      </c>
      <c r="J450" s="28">
        <v>21590</v>
      </c>
      <c r="K450" s="27" t="s">
        <v>397</v>
      </c>
      <c r="L450" s="114"/>
      <c r="M450" s="114"/>
      <c r="N450" s="115"/>
      <c r="O450" s="115"/>
      <c r="P450" s="115"/>
      <c r="Q450" s="13" t="s">
        <v>1768</v>
      </c>
      <c r="R450" s="13" t="s">
        <v>1778</v>
      </c>
      <c r="V450" s="319"/>
      <c r="W450" s="241"/>
      <c r="X450" s="241"/>
      <c r="Y450" s="241"/>
      <c r="Z450" s="241"/>
      <c r="AA450" s="115" t="s">
        <v>469</v>
      </c>
      <c r="AB450" s="201">
        <v>110.86</v>
      </c>
      <c r="AC450" s="114">
        <v>20</v>
      </c>
      <c r="AD450" s="115" t="s">
        <v>297</v>
      </c>
      <c r="AE450" s="119">
        <f t="shared" si="468"/>
        <v>112.46289999999999</v>
      </c>
      <c r="AF450" s="247">
        <f>DU450</f>
        <v>3.5497311024691354</v>
      </c>
      <c r="AG450" s="119">
        <f t="shared" si="469"/>
        <v>22.899176954732511</v>
      </c>
      <c r="AH450" s="247">
        <f t="shared" si="470"/>
        <v>8.3000000000000007</v>
      </c>
      <c r="AI450" s="247">
        <f t="shared" si="471"/>
        <v>0.10375000000000001</v>
      </c>
      <c r="AJ450" s="247">
        <f t="shared" si="472"/>
        <v>0.45798353909465023</v>
      </c>
      <c r="AK450" s="247">
        <f t="shared" si="473"/>
        <v>1.6920259619341564</v>
      </c>
      <c r="AL450" s="247">
        <f t="shared" si="474"/>
        <v>14.889828465020576</v>
      </c>
      <c r="AM450" s="247">
        <f t="shared" si="475"/>
        <v>2.48</v>
      </c>
      <c r="AN450" s="247">
        <f t="shared" si="476"/>
        <v>3.1399999999999997</v>
      </c>
      <c r="AO450" s="247">
        <f t="shared" si="477"/>
        <v>0</v>
      </c>
      <c r="AP450" s="247"/>
      <c r="AQ450" s="106">
        <f t="shared" si="478"/>
        <v>169.97539602325099</v>
      </c>
      <c r="AR450" s="106">
        <f t="shared" si="479"/>
        <v>0</v>
      </c>
      <c r="AS450" s="106">
        <f t="shared" si="480"/>
        <v>0</v>
      </c>
      <c r="AT450" s="106">
        <v>0</v>
      </c>
      <c r="AU450" s="119">
        <f>0.02</f>
        <v>0.02</v>
      </c>
      <c r="AV450" s="106">
        <f t="shared" si="481"/>
        <v>169.995396023251</v>
      </c>
      <c r="AW450" s="114">
        <v>1.0149999999999999</v>
      </c>
      <c r="AX450" s="114">
        <v>1.012</v>
      </c>
      <c r="AY450" s="120">
        <v>1</v>
      </c>
      <c r="AZ450" s="118">
        <f t="shared" si="482"/>
        <v>2.9999999999998916E-3</v>
      </c>
      <c r="BA450" s="109">
        <f t="shared" si="483"/>
        <v>112.46289999999999</v>
      </c>
      <c r="BB450" s="109"/>
      <c r="BC450" s="109"/>
      <c r="BD450" s="109"/>
      <c r="BE450" s="109"/>
      <c r="BF450" s="109"/>
      <c r="BG450" s="109"/>
      <c r="BH450" s="109"/>
      <c r="BI450" s="109"/>
      <c r="BJ450" s="109"/>
      <c r="BK450" s="109"/>
      <c r="BL450" s="109"/>
      <c r="BM450" s="109"/>
      <c r="BN450" s="109"/>
      <c r="BO450" s="109"/>
      <c r="BP450" s="109"/>
      <c r="BQ450" s="109"/>
      <c r="BR450" s="109"/>
      <c r="BS450" s="109"/>
      <c r="BT450" s="109"/>
      <c r="BU450" s="109"/>
      <c r="BV450" s="109"/>
      <c r="BW450" s="109"/>
      <c r="BX450" s="109"/>
      <c r="BY450" s="109"/>
      <c r="BZ450" s="109"/>
      <c r="CA450" s="109"/>
      <c r="CB450" s="109"/>
      <c r="CC450" s="109"/>
      <c r="CD450" s="114"/>
      <c r="CE450" s="109">
        <v>0</v>
      </c>
      <c r="CF450" s="109">
        <v>0</v>
      </c>
      <c r="CG450" s="109">
        <v>0</v>
      </c>
      <c r="CH450" s="105">
        <v>0</v>
      </c>
      <c r="CI450" s="114" t="s">
        <v>1811</v>
      </c>
      <c r="CJ450" s="114" t="s">
        <v>1812</v>
      </c>
      <c r="CK450" s="105">
        <v>4</v>
      </c>
      <c r="CL450" s="105">
        <f>1-0.41</f>
        <v>0.59000000000000008</v>
      </c>
      <c r="CM450" s="105">
        <f t="shared" si="485"/>
        <v>2.3600000000000003</v>
      </c>
      <c r="CN450" s="114" t="s">
        <v>1813</v>
      </c>
      <c r="CO450" s="114" t="s">
        <v>1814</v>
      </c>
      <c r="CP450" s="105">
        <v>1</v>
      </c>
      <c r="CQ450" s="105">
        <v>5.94</v>
      </c>
      <c r="CR450" s="105">
        <f t="shared" si="486"/>
        <v>5.94</v>
      </c>
      <c r="CS450" s="114"/>
      <c r="CT450" s="114"/>
      <c r="CU450" s="114"/>
      <c r="CV450" s="114"/>
      <c r="CW450" s="114"/>
      <c r="CX450" s="114"/>
      <c r="CY450" s="114"/>
      <c r="CZ450" s="114"/>
      <c r="DA450" s="114"/>
      <c r="DB450" s="114"/>
      <c r="DC450" s="114"/>
      <c r="DD450" s="114"/>
      <c r="DE450" s="114"/>
      <c r="DF450" s="114"/>
      <c r="DG450" s="114"/>
      <c r="DH450" s="114"/>
      <c r="DI450" s="114"/>
      <c r="DJ450" s="114"/>
      <c r="DK450" s="114"/>
      <c r="DL450" s="114"/>
      <c r="DM450" s="109">
        <f t="shared" si="488"/>
        <v>8.3000000000000007</v>
      </c>
      <c r="DN450" s="110">
        <v>1.2500000000000001E-2</v>
      </c>
      <c r="DO450" s="109">
        <f t="shared" si="489"/>
        <v>0.10375000000000001</v>
      </c>
      <c r="DP450" s="109">
        <f t="shared" si="490"/>
        <v>8.4037500000000005</v>
      </c>
      <c r="DQ450" s="109" t="s">
        <v>1815</v>
      </c>
      <c r="DR450" s="109" t="s">
        <v>296</v>
      </c>
      <c r="DS450" s="109">
        <v>1</v>
      </c>
      <c r="DT450" s="109">
        <v>3.5497311024691354</v>
      </c>
      <c r="DU450" s="109">
        <f>DS450*DT450</f>
        <v>3.5497311024691354</v>
      </c>
      <c r="DV450" s="109"/>
      <c r="DW450" s="109"/>
      <c r="DX450" s="109"/>
      <c r="DY450" s="109"/>
      <c r="DZ450" s="109"/>
      <c r="EA450" s="109"/>
      <c r="EB450" s="109"/>
      <c r="EC450" s="109"/>
      <c r="ED450" s="109"/>
      <c r="EE450" s="109"/>
      <c r="EF450" s="105">
        <v>650</v>
      </c>
      <c r="EG450" s="105">
        <v>6500</v>
      </c>
      <c r="EH450" s="105">
        <v>7.5</v>
      </c>
      <c r="EI450" s="120">
        <v>0.9</v>
      </c>
      <c r="EJ450" s="105">
        <v>1</v>
      </c>
      <c r="EK450" s="105">
        <v>80</v>
      </c>
      <c r="EL450" s="111">
        <f t="shared" si="491"/>
        <v>303.75</v>
      </c>
      <c r="EM450" s="114"/>
      <c r="EN450" s="114"/>
      <c r="EO450" s="118"/>
      <c r="EP450" s="114"/>
      <c r="EQ450" s="114"/>
      <c r="ER450" s="114"/>
      <c r="ES450" s="114"/>
      <c r="ET450" s="114"/>
      <c r="EU450" s="109">
        <f t="shared" ref="EU450:EU458" si="507">EG450/EL450+EM450+EX450+EP450+EQ450+ER450+EO450</f>
        <v>22.899176954732511</v>
      </c>
      <c r="EV450" s="114"/>
      <c r="EW450" s="114"/>
      <c r="EX450" s="114">
        <v>1.5</v>
      </c>
      <c r="EY450" s="114"/>
      <c r="EZ450" s="114"/>
      <c r="FA450" s="114"/>
      <c r="FB450" s="114"/>
      <c r="FC450" s="114"/>
      <c r="FD450" s="114"/>
      <c r="FE450" s="114"/>
      <c r="FF450" s="114"/>
      <c r="FG450" s="114"/>
      <c r="FH450" s="114"/>
      <c r="FI450" s="114"/>
      <c r="FJ450" s="114"/>
      <c r="FK450" s="114"/>
      <c r="FL450" s="114"/>
      <c r="FM450" s="114"/>
      <c r="FN450" s="114"/>
      <c r="FO450" s="114"/>
      <c r="FP450" s="114"/>
      <c r="FQ450" s="114"/>
      <c r="FR450" s="114"/>
      <c r="FS450" s="114"/>
      <c r="FT450" s="114"/>
      <c r="FU450" s="114"/>
      <c r="FV450" s="114"/>
      <c r="FW450" s="114"/>
      <c r="FX450" s="114"/>
      <c r="FY450" s="114"/>
      <c r="FZ450" s="114"/>
      <c r="GA450" s="114"/>
      <c r="GB450" s="114"/>
      <c r="GC450" s="114"/>
      <c r="GD450" s="114"/>
      <c r="GE450" s="114"/>
      <c r="GF450" s="114"/>
      <c r="GG450" s="114"/>
      <c r="GH450" s="114"/>
      <c r="GI450" s="114"/>
      <c r="GJ450" s="114"/>
      <c r="GK450" s="114"/>
      <c r="GL450" s="114"/>
      <c r="GM450" s="114"/>
      <c r="GN450" s="114"/>
      <c r="GO450" s="114"/>
      <c r="GP450" s="114"/>
      <c r="GQ450" s="114"/>
      <c r="GR450" s="120">
        <v>0.11</v>
      </c>
      <c r="GS450" s="118">
        <f t="shared" si="493"/>
        <v>14.889828465020576</v>
      </c>
      <c r="GT450" s="125">
        <v>1.2500000000000001E-2</v>
      </c>
      <c r="GU450" s="118">
        <f t="shared" si="494"/>
        <v>1.6920259619341564</v>
      </c>
      <c r="GV450" s="120">
        <v>0.02</v>
      </c>
      <c r="GW450" s="118">
        <f t="shared" si="495"/>
        <v>0.45798353909465023</v>
      </c>
      <c r="GX450" s="118">
        <f t="shared" si="496"/>
        <v>17.039837966049383</v>
      </c>
      <c r="GY450" s="114" t="s">
        <v>130</v>
      </c>
      <c r="GZ450" s="114" t="s">
        <v>130</v>
      </c>
      <c r="HA450" s="118">
        <v>1100</v>
      </c>
      <c r="HB450" s="118">
        <v>1000</v>
      </c>
      <c r="HC450" s="105">
        <v>1800</v>
      </c>
      <c r="HD450" s="105">
        <v>56</v>
      </c>
      <c r="HE450" s="105">
        <v>1000</v>
      </c>
      <c r="HF450" s="118">
        <f t="shared" si="503"/>
        <v>18</v>
      </c>
      <c r="HG450" s="105">
        <v>5</v>
      </c>
      <c r="HH450" s="118">
        <f t="shared" si="497"/>
        <v>90</v>
      </c>
      <c r="HI450" s="105">
        <v>16500</v>
      </c>
      <c r="HJ450" s="118">
        <f t="shared" si="498"/>
        <v>1485000</v>
      </c>
      <c r="HK450" s="114"/>
      <c r="HL450" s="114"/>
      <c r="HM450" s="118">
        <v>2</v>
      </c>
      <c r="HN450" s="126">
        <f t="shared" si="499"/>
        <v>600000</v>
      </c>
      <c r="HO450" s="124">
        <f>ROUNDUP((IF(GY450="carton box",HI450/HD450,HJ450/HN450)),2)</f>
        <v>2.48</v>
      </c>
      <c r="HP450" s="118">
        <v>160</v>
      </c>
      <c r="HQ450" s="114">
        <v>0</v>
      </c>
      <c r="HR450" s="118">
        <v>0</v>
      </c>
      <c r="HS450" s="118">
        <v>0</v>
      </c>
      <c r="HT450" s="118">
        <f t="shared" si="500"/>
        <v>0</v>
      </c>
      <c r="HU450" s="118"/>
      <c r="HV450" s="118">
        <f t="shared" si="501"/>
        <v>2.48</v>
      </c>
      <c r="HW450" s="118"/>
      <c r="HX450" s="118">
        <v>4200</v>
      </c>
      <c r="HY450" s="118">
        <v>1900</v>
      </c>
      <c r="HZ450" s="118">
        <v>1975</v>
      </c>
      <c r="IA450" s="118">
        <f t="shared" si="504"/>
        <v>3</v>
      </c>
      <c r="IB450" s="118">
        <f t="shared" si="505"/>
        <v>1</v>
      </c>
      <c r="IC450" s="118">
        <f t="shared" si="506"/>
        <v>1</v>
      </c>
      <c r="ID450" s="108">
        <v>0.95</v>
      </c>
      <c r="IE450" s="111">
        <f>PRODUCT(IA450:ID450)</f>
        <v>2.8499999999999996</v>
      </c>
      <c r="IF450" s="118">
        <v>500</v>
      </c>
      <c r="IG450" s="109">
        <f>ROUNDUP(IF450/(IE450*HD450),2)</f>
        <v>3.1399999999999997</v>
      </c>
      <c r="IH450" s="62"/>
    </row>
    <row r="451" spans="1:251">
      <c r="A451">
        <v>409</v>
      </c>
      <c r="B451" t="s">
        <v>468</v>
      </c>
      <c r="C451" s="114" t="s">
        <v>1817</v>
      </c>
      <c r="D451" s="28" t="s">
        <v>642</v>
      </c>
      <c r="E451" s="28" t="s">
        <v>643</v>
      </c>
      <c r="F451" s="5" t="s">
        <v>2182</v>
      </c>
      <c r="G451" s="27" t="s">
        <v>90</v>
      </c>
      <c r="I451" s="27" t="s">
        <v>226</v>
      </c>
      <c r="J451" s="28">
        <v>21590</v>
      </c>
      <c r="K451" s="27" t="s">
        <v>397</v>
      </c>
      <c r="L451" s="240">
        <v>20089</v>
      </c>
      <c r="M451" s="114" t="s">
        <v>226</v>
      </c>
      <c r="N451" s="115"/>
      <c r="O451" s="115"/>
      <c r="P451" s="115"/>
      <c r="Q451" s="13" t="s">
        <v>1786</v>
      </c>
      <c r="R451" s="13" t="s">
        <v>1769</v>
      </c>
      <c r="V451" s="319"/>
      <c r="W451" s="241" t="s">
        <v>1795</v>
      </c>
      <c r="X451" s="241"/>
      <c r="Y451" s="241"/>
      <c r="Z451" s="241"/>
      <c r="AA451" s="115" t="s">
        <v>1816</v>
      </c>
      <c r="AB451" s="121">
        <v>113.96</v>
      </c>
      <c r="AC451" s="114">
        <v>20</v>
      </c>
      <c r="AD451" s="115" t="s">
        <v>462</v>
      </c>
      <c r="AE451" s="119">
        <f t="shared" si="468"/>
        <v>7.5874568</v>
      </c>
      <c r="AF451" s="106"/>
      <c r="AG451" s="119">
        <f t="shared" si="469"/>
        <v>4.0123456790123457</v>
      </c>
      <c r="AH451" s="106">
        <f t="shared" si="470"/>
        <v>0</v>
      </c>
      <c r="AI451" s="106">
        <f t="shared" si="471"/>
        <v>0</v>
      </c>
      <c r="AJ451" s="106">
        <f t="shared" si="472"/>
        <v>8.0246913580246923E-2</v>
      </c>
      <c r="AK451" s="106">
        <f t="shared" si="473"/>
        <v>0.17399703718518519</v>
      </c>
      <c r="AL451" s="106">
        <f t="shared" si="474"/>
        <v>1.4499753098765433</v>
      </c>
      <c r="AM451" s="106">
        <f t="shared" si="475"/>
        <v>7.0416666666666669E-2</v>
      </c>
      <c r="AN451" s="106">
        <f t="shared" si="476"/>
        <v>0.55000000000000004</v>
      </c>
      <c r="AO451" s="106">
        <f t="shared" si="477"/>
        <v>0</v>
      </c>
      <c r="AP451" s="106"/>
      <c r="AQ451" s="106">
        <f t="shared" si="478"/>
        <v>13.924438406320988</v>
      </c>
      <c r="AR451" s="106">
        <f t="shared" si="479"/>
        <v>0.11599802479012347</v>
      </c>
      <c r="AS451" s="106">
        <f t="shared" si="480"/>
        <v>0</v>
      </c>
      <c r="AT451" s="106">
        <v>0</v>
      </c>
      <c r="AU451" s="119">
        <v>0</v>
      </c>
      <c r="AV451" s="106">
        <f t="shared" si="481"/>
        <v>14.040436431111111</v>
      </c>
      <c r="AW451" s="124">
        <v>6.658E-2</v>
      </c>
      <c r="AX451" s="124">
        <v>6.658E-2</v>
      </c>
      <c r="AY451" s="120">
        <v>0</v>
      </c>
      <c r="AZ451" s="118">
        <f t="shared" si="482"/>
        <v>0</v>
      </c>
      <c r="BA451" s="118">
        <f t="shared" si="483"/>
        <v>7.5874568</v>
      </c>
      <c r="BB451" s="118"/>
      <c r="BC451" s="118"/>
      <c r="BD451" s="118"/>
      <c r="BE451" s="118"/>
      <c r="BF451" s="118"/>
      <c r="BG451" s="118"/>
      <c r="BH451" s="118"/>
      <c r="BI451" s="118"/>
      <c r="BJ451" s="118"/>
      <c r="BK451" s="118"/>
      <c r="BL451" s="118"/>
      <c r="BM451" s="118"/>
      <c r="BN451" s="118"/>
      <c r="BO451" s="118"/>
      <c r="BP451" s="118"/>
      <c r="BQ451" s="118"/>
      <c r="BR451" s="118"/>
      <c r="BS451" s="118"/>
      <c r="BT451" s="118"/>
      <c r="BU451" s="118"/>
      <c r="BV451" s="118"/>
      <c r="BW451" s="118"/>
      <c r="BX451" s="118"/>
      <c r="BY451" s="118"/>
      <c r="BZ451" s="118"/>
      <c r="CA451" s="118"/>
      <c r="CB451" s="118"/>
      <c r="CC451" s="118"/>
      <c r="CD451" s="114"/>
      <c r="CE451" s="109">
        <v>0</v>
      </c>
      <c r="CF451" s="109">
        <v>0</v>
      </c>
      <c r="CG451" s="109">
        <v>0</v>
      </c>
      <c r="CH451" s="105">
        <f t="shared" ref="CH451:CH463" si="508">CF451*CG451</f>
        <v>0</v>
      </c>
      <c r="CI451" s="139"/>
      <c r="CJ451" s="105"/>
      <c r="CK451" s="105">
        <v>0</v>
      </c>
      <c r="CL451" s="105">
        <v>0</v>
      </c>
      <c r="CM451" s="105">
        <f t="shared" si="485"/>
        <v>0</v>
      </c>
      <c r="CN451" s="139"/>
      <c r="CO451" s="105"/>
      <c r="CP451" s="105">
        <v>0</v>
      </c>
      <c r="CQ451" s="105">
        <v>0</v>
      </c>
      <c r="CR451" s="105">
        <f t="shared" si="486"/>
        <v>0</v>
      </c>
      <c r="CS451" s="105"/>
      <c r="CT451" s="105"/>
      <c r="CU451" s="105">
        <v>0</v>
      </c>
      <c r="CV451" s="105">
        <v>0</v>
      </c>
      <c r="CW451" s="105">
        <f>CU451*CV451</f>
        <v>0</v>
      </c>
      <c r="CX451" s="105"/>
      <c r="CY451" s="105"/>
      <c r="CZ451" s="105"/>
      <c r="DA451" s="105"/>
      <c r="DB451" s="105"/>
      <c r="DC451" s="105"/>
      <c r="DD451" s="105"/>
      <c r="DE451" s="105"/>
      <c r="DF451" s="105"/>
      <c r="DG451" s="105"/>
      <c r="DH451" s="105"/>
      <c r="DI451" s="105"/>
      <c r="DJ451" s="105"/>
      <c r="DK451" s="105"/>
      <c r="DL451" s="105"/>
      <c r="DM451" s="109">
        <f t="shared" si="488"/>
        <v>0</v>
      </c>
      <c r="DN451" s="248">
        <v>2.5000000000000001E-2</v>
      </c>
      <c r="DO451" s="109">
        <f t="shared" si="489"/>
        <v>0</v>
      </c>
      <c r="DP451" s="109">
        <f t="shared" si="490"/>
        <v>0</v>
      </c>
      <c r="DQ451" s="114"/>
      <c r="DR451" s="114"/>
      <c r="DS451" s="114"/>
      <c r="DT451" s="114"/>
      <c r="DU451" s="114"/>
      <c r="DV451" s="114"/>
      <c r="DW451" s="114"/>
      <c r="DX451" s="114"/>
      <c r="DY451" s="114"/>
      <c r="DZ451" s="114"/>
      <c r="EA451" s="114"/>
      <c r="EB451" s="114"/>
      <c r="EC451" s="114"/>
      <c r="ED451" s="114"/>
      <c r="EE451" s="114"/>
      <c r="EF451" s="105">
        <v>150</v>
      </c>
      <c r="EG451" s="105">
        <v>1950</v>
      </c>
      <c r="EH451" s="105">
        <v>7.5</v>
      </c>
      <c r="EI451" s="120">
        <v>0.9</v>
      </c>
      <c r="EJ451" s="105">
        <v>1</v>
      </c>
      <c r="EK451" s="105">
        <v>50</v>
      </c>
      <c r="EL451" s="111">
        <f t="shared" si="491"/>
        <v>486</v>
      </c>
      <c r="EM451" s="114"/>
      <c r="EN451" s="114"/>
      <c r="EO451" s="114"/>
      <c r="EP451" s="114"/>
      <c r="EQ451" s="114"/>
      <c r="ER451" s="114"/>
      <c r="ES451" s="114"/>
      <c r="ET451" s="114"/>
      <c r="EU451" s="109">
        <f t="shared" si="507"/>
        <v>4.0123456790123457</v>
      </c>
      <c r="EV451" s="114"/>
      <c r="EW451" s="114"/>
      <c r="EX451" s="114"/>
      <c r="EY451" s="114"/>
      <c r="EZ451" s="114"/>
      <c r="FA451" s="114"/>
      <c r="FB451" s="114"/>
      <c r="FC451" s="114"/>
      <c r="FD451" s="114"/>
      <c r="FE451" s="114"/>
      <c r="FF451" s="114"/>
      <c r="FG451" s="114"/>
      <c r="FH451" s="114"/>
      <c r="FI451" s="114"/>
      <c r="FJ451" s="114"/>
      <c r="FK451" s="114"/>
      <c r="FL451" s="114"/>
      <c r="FM451" s="114"/>
      <c r="FN451" s="114"/>
      <c r="FO451" s="114"/>
      <c r="FP451" s="114"/>
      <c r="FQ451" s="114"/>
      <c r="FR451" s="114"/>
      <c r="FS451" s="114"/>
      <c r="FT451" s="114"/>
      <c r="FU451" s="114"/>
      <c r="FV451" s="114"/>
      <c r="FW451" s="114"/>
      <c r="FX451" s="114"/>
      <c r="FY451" s="114"/>
      <c r="FZ451" s="114"/>
      <c r="GA451" s="114"/>
      <c r="GB451" s="114"/>
      <c r="GC451" s="114"/>
      <c r="GD451" s="114"/>
      <c r="GE451" s="114"/>
      <c r="GF451" s="114"/>
      <c r="GG451" s="114"/>
      <c r="GH451" s="114"/>
      <c r="GI451" s="114"/>
      <c r="GJ451" s="114"/>
      <c r="GK451" s="114"/>
      <c r="GL451" s="114"/>
      <c r="GM451" s="114"/>
      <c r="GN451" s="114"/>
      <c r="GO451" s="114"/>
      <c r="GP451" s="114"/>
      <c r="GQ451" s="114"/>
      <c r="GR451" s="242">
        <v>0.125</v>
      </c>
      <c r="GS451" s="118">
        <f t="shared" si="493"/>
        <v>1.4499753098765433</v>
      </c>
      <c r="GT451" s="242">
        <v>1.4999999999999999E-2</v>
      </c>
      <c r="GU451" s="118">
        <f t="shared" si="494"/>
        <v>0.17399703718518519</v>
      </c>
      <c r="GV451" s="120">
        <v>0.02</v>
      </c>
      <c r="GW451" s="118">
        <f t="shared" si="495"/>
        <v>8.0246913580246923E-2</v>
      </c>
      <c r="GX451" s="118">
        <f t="shared" si="496"/>
        <v>1.7042192606419753</v>
      </c>
      <c r="GY451" s="114" t="s">
        <v>130</v>
      </c>
      <c r="GZ451" s="114" t="s">
        <v>130</v>
      </c>
      <c r="HA451" s="118">
        <v>650</v>
      </c>
      <c r="HB451" s="118">
        <v>450</v>
      </c>
      <c r="HC451" s="105">
        <v>330</v>
      </c>
      <c r="HD451" s="105">
        <v>80</v>
      </c>
      <c r="HE451" s="105">
        <v>1000</v>
      </c>
      <c r="HF451" s="118">
        <f t="shared" si="503"/>
        <v>13</v>
      </c>
      <c r="HG451" s="105">
        <v>5</v>
      </c>
      <c r="HH451" s="118">
        <f t="shared" si="497"/>
        <v>65</v>
      </c>
      <c r="HI451" s="105">
        <v>650</v>
      </c>
      <c r="HJ451" s="118">
        <f t="shared" si="498"/>
        <v>42250</v>
      </c>
      <c r="HK451" s="114"/>
      <c r="HL451" s="114"/>
      <c r="HM451" s="118">
        <v>2</v>
      </c>
      <c r="HN451" s="126">
        <f t="shared" si="499"/>
        <v>600000</v>
      </c>
      <c r="HO451" s="118">
        <f>(IF(GY451="carton box",HI451/HD451,HJ451/HN451))</f>
        <v>7.0416666666666669E-2</v>
      </c>
      <c r="HP451" s="118">
        <v>160</v>
      </c>
      <c r="HQ451" s="114">
        <v>0</v>
      </c>
      <c r="HR451" s="118">
        <v>0</v>
      </c>
      <c r="HS451" s="118">
        <v>0</v>
      </c>
      <c r="HT451" s="118">
        <f t="shared" si="500"/>
        <v>0</v>
      </c>
      <c r="HU451" s="118"/>
      <c r="HV451" s="118">
        <f t="shared" si="501"/>
        <v>7.0416666666666669E-2</v>
      </c>
      <c r="HW451" s="118"/>
      <c r="HX451" s="118">
        <v>4200</v>
      </c>
      <c r="HY451" s="118">
        <v>1900</v>
      </c>
      <c r="HZ451" s="118">
        <v>1975</v>
      </c>
      <c r="IA451" s="118">
        <f t="shared" si="504"/>
        <v>6</v>
      </c>
      <c r="IB451" s="118">
        <f t="shared" si="505"/>
        <v>4</v>
      </c>
      <c r="IC451" s="118">
        <f t="shared" si="506"/>
        <v>5</v>
      </c>
      <c r="ID451" s="108">
        <v>0.95</v>
      </c>
      <c r="IE451" s="111">
        <f>PRODUCT(IA451:ID451)</f>
        <v>114</v>
      </c>
      <c r="IF451" s="118">
        <v>5000</v>
      </c>
      <c r="IG451" s="109">
        <f>ROUNDUP(IF451/(IE451*HD451),2)</f>
        <v>0.55000000000000004</v>
      </c>
      <c r="IH451" s="62"/>
      <c r="II451" s="9">
        <v>0.01</v>
      </c>
      <c r="IJ451" s="4">
        <f>II451*(BA451+EU451)</f>
        <v>0.11599802479012347</v>
      </c>
    </row>
    <row r="452" spans="1:251">
      <c r="A452">
        <v>410</v>
      </c>
      <c r="B452" t="s">
        <v>468</v>
      </c>
      <c r="C452" s="114" t="s">
        <v>1820</v>
      </c>
      <c r="D452" s="28" t="s">
        <v>644</v>
      </c>
      <c r="E452" s="28" t="s">
        <v>645</v>
      </c>
      <c r="F452" s="5" t="s">
        <v>2182</v>
      </c>
      <c r="G452" s="27" t="s">
        <v>90</v>
      </c>
      <c r="I452" s="27" t="s">
        <v>226</v>
      </c>
      <c r="J452" s="28">
        <v>21590</v>
      </c>
      <c r="K452" s="27" t="s">
        <v>397</v>
      </c>
      <c r="L452" s="240">
        <v>20089</v>
      </c>
      <c r="M452" s="114" t="s">
        <v>226</v>
      </c>
      <c r="N452" s="278"/>
      <c r="O452" s="278"/>
      <c r="P452" s="278"/>
      <c r="Q452" s="13" t="s">
        <v>1818</v>
      </c>
      <c r="R452" s="13" t="s">
        <v>1769</v>
      </c>
      <c r="V452" s="319"/>
      <c r="W452" s="241" t="s">
        <v>1795</v>
      </c>
      <c r="X452" s="241"/>
      <c r="Y452" s="241"/>
      <c r="Z452" s="241"/>
      <c r="AA452" s="115" t="s">
        <v>469</v>
      </c>
      <c r="AB452" s="121">
        <v>95.35</v>
      </c>
      <c r="AC452" s="114">
        <v>20</v>
      </c>
      <c r="AD452" s="115" t="s">
        <v>1819</v>
      </c>
      <c r="AE452" s="119">
        <f t="shared" si="468"/>
        <v>0.16341159999999999</v>
      </c>
      <c r="AF452" s="106"/>
      <c r="AG452" s="119">
        <f t="shared" si="469"/>
        <v>0.235570987654321</v>
      </c>
      <c r="AH452" s="106">
        <f t="shared" si="470"/>
        <v>0</v>
      </c>
      <c r="AI452" s="106">
        <f t="shared" si="471"/>
        <v>0</v>
      </c>
      <c r="AJ452" s="106">
        <f t="shared" si="472"/>
        <v>4.7114197530864202E-3</v>
      </c>
      <c r="AK452" s="106">
        <f t="shared" si="473"/>
        <v>5.9847388148148144E-3</v>
      </c>
      <c r="AL452" s="106">
        <f t="shared" si="474"/>
        <v>4.9872823456790123E-2</v>
      </c>
      <c r="AM452" s="106">
        <f t="shared" si="475"/>
        <v>9.0277777777777769E-3</v>
      </c>
      <c r="AN452" s="106">
        <f t="shared" si="476"/>
        <v>0.02</v>
      </c>
      <c r="AO452" s="106">
        <f t="shared" si="477"/>
        <v>0</v>
      </c>
      <c r="AP452" s="106"/>
      <c r="AQ452" s="106">
        <f t="shared" si="478"/>
        <v>0.48857934745679016</v>
      </c>
      <c r="AR452" s="106">
        <f t="shared" si="479"/>
        <v>0</v>
      </c>
      <c r="AS452" s="106">
        <f t="shared" si="480"/>
        <v>0</v>
      </c>
      <c r="AT452" s="106">
        <v>0</v>
      </c>
      <c r="AU452" s="119">
        <v>0</v>
      </c>
      <c r="AV452" s="106">
        <f t="shared" si="481"/>
        <v>0.48857934745679016</v>
      </c>
      <c r="AW452" s="249">
        <v>1.9759999999999999E-3</v>
      </c>
      <c r="AX452" s="249">
        <v>7.2599999999999997E-4</v>
      </c>
      <c r="AY452" s="120">
        <v>1</v>
      </c>
      <c r="AZ452" s="118">
        <f t="shared" si="482"/>
        <v>1.2499999999999998E-3</v>
      </c>
      <c r="BA452" s="118">
        <f t="shared" si="483"/>
        <v>0.16341159999999999</v>
      </c>
      <c r="BB452" s="118"/>
      <c r="BC452" s="118"/>
      <c r="BD452" s="118"/>
      <c r="BE452" s="118"/>
      <c r="BF452" s="118"/>
      <c r="BG452" s="118"/>
      <c r="BH452" s="118"/>
      <c r="BI452" s="118"/>
      <c r="BJ452" s="118"/>
      <c r="BK452" s="118"/>
      <c r="BL452" s="118"/>
      <c r="BM452" s="118"/>
      <c r="BN452" s="118"/>
      <c r="BO452" s="118"/>
      <c r="BP452" s="118"/>
      <c r="BQ452" s="118"/>
      <c r="BR452" s="118"/>
      <c r="BS452" s="118"/>
      <c r="BT452" s="118"/>
      <c r="BU452" s="118"/>
      <c r="BV452" s="118"/>
      <c r="BW452" s="118"/>
      <c r="BX452" s="118"/>
      <c r="BY452" s="118"/>
      <c r="BZ452" s="118"/>
      <c r="CA452" s="118"/>
      <c r="CB452" s="118"/>
      <c r="CC452" s="118"/>
      <c r="CD452" s="114"/>
      <c r="CE452" s="118">
        <v>0</v>
      </c>
      <c r="CF452" s="118">
        <v>0</v>
      </c>
      <c r="CG452" s="118">
        <v>0</v>
      </c>
      <c r="CH452" s="114">
        <f t="shared" si="508"/>
        <v>0</v>
      </c>
      <c r="CI452" s="115"/>
      <c r="CJ452" s="114"/>
      <c r="CK452" s="114">
        <v>0</v>
      </c>
      <c r="CL452" s="114">
        <v>0</v>
      </c>
      <c r="CM452" s="114">
        <f t="shared" si="485"/>
        <v>0</v>
      </c>
      <c r="CN452" s="115"/>
      <c r="CO452" s="114"/>
      <c r="CP452" s="114">
        <v>0</v>
      </c>
      <c r="CQ452" s="114">
        <v>0</v>
      </c>
      <c r="CR452" s="114">
        <f t="shared" si="486"/>
        <v>0</v>
      </c>
      <c r="CS452" s="114"/>
      <c r="CT452" s="114"/>
      <c r="CU452" s="114">
        <v>0</v>
      </c>
      <c r="CV452" s="114">
        <v>0</v>
      </c>
      <c r="CW452" s="114">
        <f>CU452*CV452</f>
        <v>0</v>
      </c>
      <c r="CX452" s="114"/>
      <c r="CY452" s="114"/>
      <c r="CZ452" s="114"/>
      <c r="DA452" s="114"/>
      <c r="DB452" s="114"/>
      <c r="DC452" s="114"/>
      <c r="DD452" s="114"/>
      <c r="DE452" s="114"/>
      <c r="DF452" s="114"/>
      <c r="DG452" s="114"/>
      <c r="DH452" s="114"/>
      <c r="DI452" s="114"/>
      <c r="DJ452" s="114"/>
      <c r="DK452" s="114"/>
      <c r="DL452" s="114"/>
      <c r="DM452" s="118">
        <f t="shared" si="488"/>
        <v>0</v>
      </c>
      <c r="DN452" s="125">
        <v>1.2500000000000001E-2</v>
      </c>
      <c r="DO452" s="118">
        <f t="shared" si="489"/>
        <v>0</v>
      </c>
      <c r="DP452" s="118">
        <f t="shared" si="490"/>
        <v>0</v>
      </c>
      <c r="DQ452" s="114"/>
      <c r="DR452" s="114"/>
      <c r="DS452" s="114"/>
      <c r="DT452" s="114"/>
      <c r="DU452" s="114"/>
      <c r="DV452" s="114"/>
      <c r="DW452" s="114"/>
      <c r="DX452" s="114"/>
      <c r="DY452" s="114"/>
      <c r="DZ452" s="114"/>
      <c r="EA452" s="114"/>
      <c r="EB452" s="114"/>
      <c r="EC452" s="114"/>
      <c r="ED452" s="114"/>
      <c r="EE452" s="114"/>
      <c r="EF452" s="105">
        <v>60</v>
      </c>
      <c r="EG452" s="105">
        <v>1443</v>
      </c>
      <c r="EH452" s="105">
        <v>7.5</v>
      </c>
      <c r="EI452" s="120">
        <v>0.9</v>
      </c>
      <c r="EJ452" s="105">
        <v>16</v>
      </c>
      <c r="EK452" s="105">
        <v>50</v>
      </c>
      <c r="EL452" s="111">
        <f t="shared" si="491"/>
        <v>7776</v>
      </c>
      <c r="EM452" s="114"/>
      <c r="EN452" s="114"/>
      <c r="EO452" s="114"/>
      <c r="EP452" s="114"/>
      <c r="EQ452" s="114"/>
      <c r="ER452" s="114"/>
      <c r="ES452" s="114"/>
      <c r="ET452" s="114"/>
      <c r="EU452" s="109">
        <f t="shared" si="507"/>
        <v>0.235570987654321</v>
      </c>
      <c r="EV452" s="114"/>
      <c r="EW452" s="114"/>
      <c r="EX452" s="114">
        <v>0.05</v>
      </c>
      <c r="EY452" s="114"/>
      <c r="EZ452" s="114"/>
      <c r="FA452" s="114"/>
      <c r="FB452" s="114"/>
      <c r="FC452" s="114"/>
      <c r="FD452" s="114"/>
      <c r="FE452" s="114"/>
      <c r="FF452" s="114"/>
      <c r="FG452" s="114"/>
      <c r="FH452" s="114"/>
      <c r="FI452" s="114"/>
      <c r="FJ452" s="114"/>
      <c r="FK452" s="114"/>
      <c r="FL452" s="114"/>
      <c r="FM452" s="114"/>
      <c r="FN452" s="114"/>
      <c r="FO452" s="114"/>
      <c r="FP452" s="114"/>
      <c r="FQ452" s="114"/>
      <c r="FR452" s="114"/>
      <c r="FS452" s="114"/>
      <c r="FT452" s="114"/>
      <c r="FU452" s="114"/>
      <c r="FV452" s="114"/>
      <c r="FW452" s="114"/>
      <c r="FX452" s="114"/>
      <c r="FY452" s="114"/>
      <c r="FZ452" s="114"/>
      <c r="GA452" s="114"/>
      <c r="GB452" s="114"/>
      <c r="GC452" s="114"/>
      <c r="GD452" s="114"/>
      <c r="GE452" s="114"/>
      <c r="GF452" s="114"/>
      <c r="GG452" s="114"/>
      <c r="GH452" s="114"/>
      <c r="GI452" s="114"/>
      <c r="GJ452" s="114"/>
      <c r="GK452" s="114"/>
      <c r="GL452" s="114"/>
      <c r="GM452" s="114"/>
      <c r="GN452" s="114"/>
      <c r="GO452" s="114"/>
      <c r="GP452" s="114"/>
      <c r="GQ452" s="114"/>
      <c r="GR452" s="242">
        <v>0.125</v>
      </c>
      <c r="GS452" s="118">
        <f t="shared" si="493"/>
        <v>4.9872823456790123E-2</v>
      </c>
      <c r="GT452" s="242">
        <v>1.4999999999999999E-2</v>
      </c>
      <c r="GU452" s="118">
        <f t="shared" si="494"/>
        <v>5.9847388148148144E-3</v>
      </c>
      <c r="GV452" s="120">
        <v>0.02</v>
      </c>
      <c r="GW452" s="118">
        <f t="shared" si="495"/>
        <v>4.7114197530864202E-3</v>
      </c>
      <c r="GX452" s="118">
        <f t="shared" si="496"/>
        <v>6.056898202469136E-2</v>
      </c>
      <c r="GY452" s="114" t="s">
        <v>130</v>
      </c>
      <c r="GZ452" s="114" t="s">
        <v>130</v>
      </c>
      <c r="HA452" s="118">
        <v>650</v>
      </c>
      <c r="HB452" s="118">
        <v>450</v>
      </c>
      <c r="HC452" s="105">
        <v>330</v>
      </c>
      <c r="HD452" s="105">
        <v>3000</v>
      </c>
      <c r="HE452" s="105">
        <v>600</v>
      </c>
      <c r="HF452" s="118">
        <f t="shared" si="503"/>
        <v>1</v>
      </c>
      <c r="HG452" s="105">
        <v>5</v>
      </c>
      <c r="HH452" s="118">
        <f t="shared" si="497"/>
        <v>5</v>
      </c>
      <c r="HI452" s="105">
        <v>650</v>
      </c>
      <c r="HJ452" s="118">
        <f t="shared" si="498"/>
        <v>3250</v>
      </c>
      <c r="HK452" s="114"/>
      <c r="HL452" s="114"/>
      <c r="HM452" s="118">
        <v>2</v>
      </c>
      <c r="HN452" s="126">
        <f t="shared" si="499"/>
        <v>360000</v>
      </c>
      <c r="HO452" s="118">
        <f>(IF(GY452="carton box",HI452/HD452,HJ452/HN452))</f>
        <v>9.0277777777777769E-3</v>
      </c>
      <c r="HP452" s="118">
        <v>160</v>
      </c>
      <c r="HQ452" s="114">
        <v>0</v>
      </c>
      <c r="HR452" s="118">
        <v>0</v>
      </c>
      <c r="HS452" s="118">
        <v>0</v>
      </c>
      <c r="HT452" s="118">
        <f t="shared" si="500"/>
        <v>0</v>
      </c>
      <c r="HU452" s="118"/>
      <c r="HV452" s="118">
        <f t="shared" si="501"/>
        <v>9.0277777777777769E-3</v>
      </c>
      <c r="HW452" s="118"/>
      <c r="HX452" s="118">
        <v>4200</v>
      </c>
      <c r="HY452" s="118">
        <v>1900</v>
      </c>
      <c r="HZ452" s="118">
        <v>1975</v>
      </c>
      <c r="IA452" s="118">
        <f t="shared" si="504"/>
        <v>6</v>
      </c>
      <c r="IB452" s="118">
        <f t="shared" si="505"/>
        <v>4</v>
      </c>
      <c r="IC452" s="118">
        <f t="shared" si="506"/>
        <v>5</v>
      </c>
      <c r="ID452" s="108">
        <v>0.95</v>
      </c>
      <c r="IE452" s="111">
        <f>PRODUCT(IA452:ID452)</f>
        <v>114</v>
      </c>
      <c r="IF452" s="118">
        <v>5000</v>
      </c>
      <c r="IG452" s="109">
        <f>ROUNDUP(IF452/(IE452*HD452),2)</f>
        <v>0.02</v>
      </c>
      <c r="IH452" s="62"/>
    </row>
    <row r="453" spans="1:251">
      <c r="A453">
        <v>411</v>
      </c>
      <c r="B453" t="s">
        <v>468</v>
      </c>
      <c r="C453" s="114" t="s">
        <v>1821</v>
      </c>
      <c r="D453" s="28" t="s">
        <v>646</v>
      </c>
      <c r="E453" s="28" t="s">
        <v>647</v>
      </c>
      <c r="F453" s="5" t="s">
        <v>2182</v>
      </c>
      <c r="G453" s="27" t="s">
        <v>90</v>
      </c>
      <c r="I453" s="27" t="s">
        <v>226</v>
      </c>
      <c r="J453" s="28">
        <v>21590</v>
      </c>
      <c r="K453" s="27" t="s">
        <v>397</v>
      </c>
      <c r="L453" s="240">
        <v>20089</v>
      </c>
      <c r="M453" s="114" t="s">
        <v>226</v>
      </c>
      <c r="N453" s="278"/>
      <c r="O453" s="278"/>
      <c r="P453" s="278"/>
      <c r="Q453" s="13" t="s">
        <v>1818</v>
      </c>
      <c r="R453" s="13" t="s">
        <v>1769</v>
      </c>
      <c r="V453" s="319"/>
      <c r="W453" s="241" t="s">
        <v>1795</v>
      </c>
      <c r="X453" s="241"/>
      <c r="Y453" s="241"/>
      <c r="Z453" s="241"/>
      <c r="AA453" s="115" t="s">
        <v>469</v>
      </c>
      <c r="AB453" s="121">
        <v>95.35</v>
      </c>
      <c r="AC453" s="114">
        <v>20</v>
      </c>
      <c r="AD453" s="115" t="s">
        <v>1819</v>
      </c>
      <c r="AE453" s="119">
        <f t="shared" si="468"/>
        <v>0.16341159999999999</v>
      </c>
      <c r="AF453" s="106"/>
      <c r="AG453" s="119">
        <f t="shared" si="469"/>
        <v>0.235570987654321</v>
      </c>
      <c r="AH453" s="106">
        <f t="shared" si="470"/>
        <v>0</v>
      </c>
      <c r="AI453" s="106">
        <f t="shared" si="471"/>
        <v>0</v>
      </c>
      <c r="AJ453" s="106">
        <f t="shared" si="472"/>
        <v>4.7114197530864202E-3</v>
      </c>
      <c r="AK453" s="106">
        <f t="shared" si="473"/>
        <v>5.9847388148148144E-3</v>
      </c>
      <c r="AL453" s="106">
        <f t="shared" si="474"/>
        <v>4.9872823456790123E-2</v>
      </c>
      <c r="AM453" s="106">
        <f t="shared" si="475"/>
        <v>9.0277777777777769E-3</v>
      </c>
      <c r="AN453" s="106">
        <f t="shared" si="476"/>
        <v>0.02</v>
      </c>
      <c r="AO453" s="106">
        <f t="shared" si="477"/>
        <v>0</v>
      </c>
      <c r="AP453" s="106"/>
      <c r="AQ453" s="106">
        <f t="shared" si="478"/>
        <v>0.48857934745679016</v>
      </c>
      <c r="AR453" s="106">
        <f t="shared" si="479"/>
        <v>0</v>
      </c>
      <c r="AS453" s="106">
        <f t="shared" si="480"/>
        <v>0</v>
      </c>
      <c r="AT453" s="106">
        <v>0</v>
      </c>
      <c r="AU453" s="119">
        <v>0</v>
      </c>
      <c r="AV453" s="106">
        <f t="shared" si="481"/>
        <v>0.48857934745679016</v>
      </c>
      <c r="AW453" s="249">
        <v>1.9759999999999999E-3</v>
      </c>
      <c r="AX453" s="249">
        <v>7.2599999999999997E-4</v>
      </c>
      <c r="AY453" s="120">
        <v>1</v>
      </c>
      <c r="AZ453" s="118">
        <f t="shared" si="482"/>
        <v>1.2499999999999998E-3</v>
      </c>
      <c r="BA453" s="118">
        <f t="shared" si="483"/>
        <v>0.16341159999999999</v>
      </c>
      <c r="BB453" s="118"/>
      <c r="BC453" s="118"/>
      <c r="BD453" s="118"/>
      <c r="BE453" s="118"/>
      <c r="BF453" s="118"/>
      <c r="BG453" s="118"/>
      <c r="BH453" s="118"/>
      <c r="BI453" s="118"/>
      <c r="BJ453" s="118"/>
      <c r="BK453" s="118"/>
      <c r="BL453" s="118"/>
      <c r="BM453" s="118"/>
      <c r="BN453" s="118"/>
      <c r="BO453" s="118"/>
      <c r="BP453" s="118"/>
      <c r="BQ453" s="118"/>
      <c r="BR453" s="118"/>
      <c r="BS453" s="118"/>
      <c r="BT453" s="118"/>
      <c r="BU453" s="118"/>
      <c r="BV453" s="118"/>
      <c r="BW453" s="118"/>
      <c r="BX453" s="118"/>
      <c r="BY453" s="118"/>
      <c r="BZ453" s="118"/>
      <c r="CA453" s="118"/>
      <c r="CB453" s="118"/>
      <c r="CC453" s="118"/>
      <c r="CD453" s="114"/>
      <c r="CE453" s="118">
        <v>0</v>
      </c>
      <c r="CF453" s="118">
        <v>0</v>
      </c>
      <c r="CG453" s="118">
        <v>0</v>
      </c>
      <c r="CH453" s="114">
        <f t="shared" si="508"/>
        <v>0</v>
      </c>
      <c r="CI453" s="115"/>
      <c r="CJ453" s="114"/>
      <c r="CK453" s="114">
        <v>0</v>
      </c>
      <c r="CL453" s="114">
        <v>0</v>
      </c>
      <c r="CM453" s="114">
        <f t="shared" si="485"/>
        <v>0</v>
      </c>
      <c r="CN453" s="115"/>
      <c r="CO453" s="114"/>
      <c r="CP453" s="114">
        <v>0</v>
      </c>
      <c r="CQ453" s="114">
        <v>0</v>
      </c>
      <c r="CR453" s="114">
        <f t="shared" si="486"/>
        <v>0</v>
      </c>
      <c r="CS453" s="114"/>
      <c r="CT453" s="114"/>
      <c r="CU453" s="114">
        <v>0</v>
      </c>
      <c r="CV453" s="114">
        <v>0</v>
      </c>
      <c r="CW453" s="114">
        <f>CU453*CV453</f>
        <v>0</v>
      </c>
      <c r="CX453" s="114"/>
      <c r="CY453" s="114"/>
      <c r="CZ453" s="114"/>
      <c r="DA453" s="114"/>
      <c r="DB453" s="114"/>
      <c r="DC453" s="114"/>
      <c r="DD453" s="114"/>
      <c r="DE453" s="114"/>
      <c r="DF453" s="114"/>
      <c r="DG453" s="114"/>
      <c r="DH453" s="114"/>
      <c r="DI453" s="114"/>
      <c r="DJ453" s="114"/>
      <c r="DK453" s="114"/>
      <c r="DL453" s="114"/>
      <c r="DM453" s="118">
        <f t="shared" si="488"/>
        <v>0</v>
      </c>
      <c r="DN453" s="125">
        <v>1.2500000000000001E-2</v>
      </c>
      <c r="DO453" s="118">
        <f t="shared" si="489"/>
        <v>0</v>
      </c>
      <c r="DP453" s="118">
        <f t="shared" si="490"/>
        <v>0</v>
      </c>
      <c r="DQ453" s="114"/>
      <c r="DR453" s="114"/>
      <c r="DS453" s="114"/>
      <c r="DT453" s="114"/>
      <c r="DU453" s="114"/>
      <c r="DV453" s="114"/>
      <c r="DW453" s="114"/>
      <c r="DX453" s="114"/>
      <c r="DY453" s="114"/>
      <c r="DZ453" s="114"/>
      <c r="EA453" s="114"/>
      <c r="EB453" s="114"/>
      <c r="EC453" s="114"/>
      <c r="ED453" s="114"/>
      <c r="EE453" s="114"/>
      <c r="EF453" s="105">
        <v>60</v>
      </c>
      <c r="EG453" s="105">
        <v>1443</v>
      </c>
      <c r="EH453" s="105">
        <v>7.5</v>
      </c>
      <c r="EI453" s="120">
        <v>0.9</v>
      </c>
      <c r="EJ453" s="105">
        <v>16</v>
      </c>
      <c r="EK453" s="105">
        <v>50</v>
      </c>
      <c r="EL453" s="111">
        <f t="shared" si="491"/>
        <v>7776</v>
      </c>
      <c r="EM453" s="114"/>
      <c r="EN453" s="114"/>
      <c r="EO453" s="114"/>
      <c r="EP453" s="114"/>
      <c r="EQ453" s="114"/>
      <c r="ER453" s="114"/>
      <c r="ES453" s="114"/>
      <c r="ET453" s="114"/>
      <c r="EU453" s="109">
        <f t="shared" si="507"/>
        <v>0.235570987654321</v>
      </c>
      <c r="EV453" s="114"/>
      <c r="EW453" s="114"/>
      <c r="EX453" s="114">
        <v>0.05</v>
      </c>
      <c r="EY453" s="114"/>
      <c r="EZ453" s="114"/>
      <c r="FA453" s="114"/>
      <c r="FB453" s="114"/>
      <c r="FC453" s="114"/>
      <c r="FD453" s="114"/>
      <c r="FE453" s="114"/>
      <c r="FF453" s="114"/>
      <c r="FG453" s="114"/>
      <c r="FH453" s="114"/>
      <c r="FI453" s="114"/>
      <c r="FJ453" s="114"/>
      <c r="FK453" s="114"/>
      <c r="FL453" s="114"/>
      <c r="FM453" s="114"/>
      <c r="FN453" s="114"/>
      <c r="FO453" s="114"/>
      <c r="FP453" s="114"/>
      <c r="FQ453" s="114"/>
      <c r="FR453" s="114"/>
      <c r="FS453" s="114"/>
      <c r="FT453" s="114"/>
      <c r="FU453" s="114"/>
      <c r="FV453" s="114"/>
      <c r="FW453" s="114"/>
      <c r="FX453" s="114"/>
      <c r="FY453" s="114"/>
      <c r="FZ453" s="114"/>
      <c r="GA453" s="114"/>
      <c r="GB453" s="114"/>
      <c r="GC453" s="114"/>
      <c r="GD453" s="114"/>
      <c r="GE453" s="114"/>
      <c r="GF453" s="114"/>
      <c r="GG453" s="114"/>
      <c r="GH453" s="114"/>
      <c r="GI453" s="114"/>
      <c r="GJ453" s="114"/>
      <c r="GK453" s="114"/>
      <c r="GL453" s="114"/>
      <c r="GM453" s="114"/>
      <c r="GN453" s="114"/>
      <c r="GO453" s="114"/>
      <c r="GP453" s="114"/>
      <c r="GQ453" s="114"/>
      <c r="GR453" s="242">
        <v>0.125</v>
      </c>
      <c r="GS453" s="118">
        <f t="shared" si="493"/>
        <v>4.9872823456790123E-2</v>
      </c>
      <c r="GT453" s="242">
        <v>1.4999999999999999E-2</v>
      </c>
      <c r="GU453" s="118">
        <f t="shared" si="494"/>
        <v>5.9847388148148144E-3</v>
      </c>
      <c r="GV453" s="120">
        <v>0.02</v>
      </c>
      <c r="GW453" s="118">
        <f t="shared" si="495"/>
        <v>4.7114197530864202E-3</v>
      </c>
      <c r="GX453" s="118">
        <f t="shared" si="496"/>
        <v>6.056898202469136E-2</v>
      </c>
      <c r="GY453" s="114" t="s">
        <v>130</v>
      </c>
      <c r="GZ453" s="114" t="s">
        <v>130</v>
      </c>
      <c r="HA453" s="118">
        <v>650</v>
      </c>
      <c r="HB453" s="118">
        <v>450</v>
      </c>
      <c r="HC453" s="105">
        <v>330</v>
      </c>
      <c r="HD453" s="105">
        <v>3000</v>
      </c>
      <c r="HE453" s="105">
        <v>600</v>
      </c>
      <c r="HF453" s="118">
        <f t="shared" si="503"/>
        <v>1</v>
      </c>
      <c r="HG453" s="105">
        <v>5</v>
      </c>
      <c r="HH453" s="118">
        <f t="shared" si="497"/>
        <v>5</v>
      </c>
      <c r="HI453" s="105">
        <v>650</v>
      </c>
      <c r="HJ453" s="118">
        <f t="shared" si="498"/>
        <v>3250</v>
      </c>
      <c r="HK453" s="114"/>
      <c r="HL453" s="114"/>
      <c r="HM453" s="118">
        <v>2</v>
      </c>
      <c r="HN453" s="126">
        <f t="shared" si="499"/>
        <v>360000</v>
      </c>
      <c r="HO453" s="118">
        <f>(IF(GY453="carton box",HI453/HD453,HJ453/HN453))</f>
        <v>9.0277777777777769E-3</v>
      </c>
      <c r="HP453" s="118">
        <v>160</v>
      </c>
      <c r="HQ453" s="114">
        <v>0</v>
      </c>
      <c r="HR453" s="118">
        <v>0</v>
      </c>
      <c r="HS453" s="118">
        <v>0</v>
      </c>
      <c r="HT453" s="118">
        <f t="shared" si="500"/>
        <v>0</v>
      </c>
      <c r="HU453" s="118"/>
      <c r="HV453" s="118">
        <f t="shared" si="501"/>
        <v>9.0277777777777769E-3</v>
      </c>
      <c r="HW453" s="118"/>
      <c r="HX453" s="118">
        <v>4200</v>
      </c>
      <c r="HY453" s="118">
        <v>1900</v>
      </c>
      <c r="HZ453" s="118">
        <v>1975</v>
      </c>
      <c r="IA453" s="118">
        <f t="shared" si="504"/>
        <v>6</v>
      </c>
      <c r="IB453" s="118">
        <f t="shared" si="505"/>
        <v>4</v>
      </c>
      <c r="IC453" s="118">
        <f t="shared" si="506"/>
        <v>5</v>
      </c>
      <c r="ID453" s="108">
        <v>0.95</v>
      </c>
      <c r="IE453" s="111">
        <f>PRODUCT(IA453:ID453)</f>
        <v>114</v>
      </c>
      <c r="IF453" s="118">
        <v>5000</v>
      </c>
      <c r="IG453" s="109">
        <f>ROUNDUP(IF453/(IE453*HD453),2)</f>
        <v>0.02</v>
      </c>
      <c r="IH453" s="62"/>
    </row>
    <row r="454" spans="1:251">
      <c r="A454">
        <v>412</v>
      </c>
      <c r="B454" t="s">
        <v>468</v>
      </c>
      <c r="C454" s="114" t="s">
        <v>1822</v>
      </c>
      <c r="D454" s="28" t="s">
        <v>648</v>
      </c>
      <c r="E454" s="28" t="s">
        <v>649</v>
      </c>
      <c r="F454" s="5" t="s">
        <v>2182</v>
      </c>
      <c r="G454" s="27" t="s">
        <v>90</v>
      </c>
      <c r="I454" s="27" t="s">
        <v>226</v>
      </c>
      <c r="J454" s="28">
        <v>21691</v>
      </c>
      <c r="K454" s="27" t="s">
        <v>404</v>
      </c>
      <c r="L454" s="240">
        <v>21401</v>
      </c>
      <c r="M454" s="114" t="s">
        <v>226</v>
      </c>
      <c r="N454" s="278"/>
      <c r="O454" s="278"/>
      <c r="P454" s="278"/>
      <c r="Q454" s="13" t="s">
        <v>1786</v>
      </c>
      <c r="R454" s="13" t="s">
        <v>1769</v>
      </c>
      <c r="V454" s="319"/>
      <c r="W454" s="241" t="s">
        <v>1783</v>
      </c>
      <c r="X454" s="241"/>
      <c r="Y454" s="241"/>
      <c r="Z454" s="241"/>
      <c r="AA454" s="115" t="s">
        <v>1823</v>
      </c>
      <c r="AB454" s="121">
        <v>93.78</v>
      </c>
      <c r="AC454" s="114">
        <f>AB454-3</f>
        <v>90.78</v>
      </c>
      <c r="AD454" s="115" t="s">
        <v>285</v>
      </c>
      <c r="AE454" s="119">
        <f t="shared" si="468"/>
        <v>19.808579999999999</v>
      </c>
      <c r="AF454" s="106"/>
      <c r="AG454" s="119">
        <f t="shared" si="469"/>
        <v>10.690789473684212</v>
      </c>
      <c r="AH454" s="106">
        <f t="shared" si="470"/>
        <v>0</v>
      </c>
      <c r="AI454" s="106">
        <f t="shared" si="471"/>
        <v>0</v>
      </c>
      <c r="AJ454" s="106">
        <f t="shared" si="472"/>
        <v>0.21381578947368426</v>
      </c>
      <c r="AK454" s="106">
        <f t="shared" si="473"/>
        <v>0.38124211842105266</v>
      </c>
      <c r="AL454" s="106">
        <f t="shared" si="474"/>
        <v>3.3549306421052631</v>
      </c>
      <c r="AM454" s="106">
        <f t="shared" si="475"/>
        <v>0.58333333333333337</v>
      </c>
      <c r="AN454" s="106">
        <f t="shared" si="476"/>
        <v>0.5</v>
      </c>
      <c r="AO454" s="106">
        <f t="shared" si="477"/>
        <v>0</v>
      </c>
      <c r="AP454" s="106"/>
      <c r="AQ454" s="106">
        <f t="shared" si="478"/>
        <v>35.532691357017548</v>
      </c>
      <c r="AR454" s="106">
        <f t="shared" si="479"/>
        <v>0</v>
      </c>
      <c r="AS454" s="106">
        <f t="shared" si="480"/>
        <v>0</v>
      </c>
      <c r="AT454" s="106">
        <v>0</v>
      </c>
      <c r="AU454" s="119">
        <f>35.53-35.55</f>
        <v>-1.9999999999996021E-2</v>
      </c>
      <c r="AV454" s="106">
        <f t="shared" si="481"/>
        <v>35.512691357017552</v>
      </c>
      <c r="AW454" s="124">
        <v>0.218</v>
      </c>
      <c r="AX454" s="124">
        <v>0.21099999999999999</v>
      </c>
      <c r="AY454" s="120">
        <v>1</v>
      </c>
      <c r="AZ454" s="118">
        <f t="shared" si="482"/>
        <v>7.0000000000000062E-3</v>
      </c>
      <c r="BA454" s="118">
        <f t="shared" si="483"/>
        <v>19.808579999999999</v>
      </c>
      <c r="BB454" s="118"/>
      <c r="BC454" s="118"/>
      <c r="BD454" s="118"/>
      <c r="BE454" s="118"/>
      <c r="BF454" s="118"/>
      <c r="BG454" s="118"/>
      <c r="BH454" s="118"/>
      <c r="BI454" s="118"/>
      <c r="BJ454" s="118"/>
      <c r="BK454" s="118"/>
      <c r="BL454" s="118"/>
      <c r="BM454" s="118"/>
      <c r="BN454" s="118"/>
      <c r="BO454" s="118"/>
      <c r="BP454" s="118"/>
      <c r="BQ454" s="118"/>
      <c r="BR454" s="118"/>
      <c r="BS454" s="118"/>
      <c r="BT454" s="118"/>
      <c r="BU454" s="118"/>
      <c r="BV454" s="118"/>
      <c r="BW454" s="118"/>
      <c r="BX454" s="118"/>
      <c r="BY454" s="118"/>
      <c r="BZ454" s="118"/>
      <c r="CA454" s="118"/>
      <c r="CB454" s="118"/>
      <c r="CC454" s="118"/>
      <c r="CD454" s="114"/>
      <c r="CE454" s="118">
        <v>0</v>
      </c>
      <c r="CF454" s="118">
        <v>0</v>
      </c>
      <c r="CG454" s="118">
        <v>0</v>
      </c>
      <c r="CH454" s="114">
        <f t="shared" si="508"/>
        <v>0</v>
      </c>
      <c r="CI454" s="115"/>
      <c r="CJ454" s="114"/>
      <c r="CK454" s="114">
        <v>0</v>
      </c>
      <c r="CL454" s="114">
        <v>0</v>
      </c>
      <c r="CM454" s="114">
        <f t="shared" si="485"/>
        <v>0</v>
      </c>
      <c r="CN454" s="115"/>
      <c r="CO454" s="114"/>
      <c r="CP454" s="114">
        <v>0</v>
      </c>
      <c r="CQ454" s="114">
        <v>0</v>
      </c>
      <c r="CR454" s="114">
        <f t="shared" si="486"/>
        <v>0</v>
      </c>
      <c r="CS454" s="114"/>
      <c r="CT454" s="114"/>
      <c r="CU454" s="114">
        <v>0</v>
      </c>
      <c r="CV454" s="114">
        <v>0</v>
      </c>
      <c r="CW454" s="114">
        <f>CU454*CV454</f>
        <v>0</v>
      </c>
      <c r="CX454" s="114"/>
      <c r="CY454" s="114"/>
      <c r="CZ454" s="114"/>
      <c r="DA454" s="114"/>
      <c r="DB454" s="114"/>
      <c r="DC454" s="114"/>
      <c r="DD454" s="114"/>
      <c r="DE454" s="114"/>
      <c r="DF454" s="114"/>
      <c r="DG454" s="114"/>
      <c r="DH454" s="114"/>
      <c r="DI454" s="114"/>
      <c r="DJ454" s="114"/>
      <c r="DK454" s="114"/>
      <c r="DL454" s="114"/>
      <c r="DM454" s="118">
        <f t="shared" si="488"/>
        <v>0</v>
      </c>
      <c r="DN454" s="125">
        <v>1.2500000000000001E-2</v>
      </c>
      <c r="DO454" s="118">
        <f t="shared" si="489"/>
        <v>0</v>
      </c>
      <c r="DP454" s="118">
        <f t="shared" si="490"/>
        <v>0</v>
      </c>
      <c r="DQ454" s="114"/>
      <c r="DR454" s="114"/>
      <c r="DS454" s="114"/>
      <c r="DT454" s="114"/>
      <c r="DU454" s="114"/>
      <c r="DV454" s="114"/>
      <c r="DW454" s="114"/>
      <c r="DX454" s="114"/>
      <c r="DY454" s="114"/>
      <c r="DZ454" s="114"/>
      <c r="EA454" s="114"/>
      <c r="EB454" s="114"/>
      <c r="EC454" s="114"/>
      <c r="ED454" s="114"/>
      <c r="EE454" s="114"/>
      <c r="EF454" s="105">
        <v>780</v>
      </c>
      <c r="EG454" s="105">
        <v>7800</v>
      </c>
      <c r="EH454" s="105">
        <v>8</v>
      </c>
      <c r="EI454" s="120">
        <v>0.95</v>
      </c>
      <c r="EJ454" s="105">
        <v>2</v>
      </c>
      <c r="EK454" s="105">
        <v>75</v>
      </c>
      <c r="EL454" s="111">
        <f t="shared" si="491"/>
        <v>729.59999999999991</v>
      </c>
      <c r="EM454" s="114"/>
      <c r="EN454" s="114"/>
      <c r="EO454" s="114"/>
      <c r="EP454" s="114"/>
      <c r="EQ454" s="114"/>
      <c r="ER454" s="114"/>
      <c r="ES454" s="114"/>
      <c r="ET454" s="114"/>
      <c r="EU454" s="109">
        <f t="shared" si="507"/>
        <v>10.690789473684212</v>
      </c>
      <c r="EV454" s="114"/>
      <c r="EW454" s="114"/>
      <c r="EX454" s="114"/>
      <c r="EY454" s="114"/>
      <c r="EZ454" s="114"/>
      <c r="FA454" s="114"/>
      <c r="FB454" s="114"/>
      <c r="FC454" s="114"/>
      <c r="FD454" s="114"/>
      <c r="FE454" s="114"/>
      <c r="FF454" s="114"/>
      <c r="FG454" s="114"/>
      <c r="FH454" s="114"/>
      <c r="FI454" s="114"/>
      <c r="FJ454" s="114"/>
      <c r="FK454" s="114"/>
      <c r="FL454" s="114"/>
      <c r="FM454" s="114"/>
      <c r="FN454" s="114"/>
      <c r="FO454" s="114"/>
      <c r="FP454" s="114"/>
      <c r="FQ454" s="114"/>
      <c r="FR454" s="114"/>
      <c r="FS454" s="114"/>
      <c r="FT454" s="114"/>
      <c r="FU454" s="114"/>
      <c r="FV454" s="114"/>
      <c r="FW454" s="114"/>
      <c r="FX454" s="114"/>
      <c r="FY454" s="114"/>
      <c r="FZ454" s="114"/>
      <c r="GA454" s="114"/>
      <c r="GB454" s="114"/>
      <c r="GC454" s="114"/>
      <c r="GD454" s="114"/>
      <c r="GE454" s="114"/>
      <c r="GF454" s="114"/>
      <c r="GG454" s="114"/>
      <c r="GH454" s="114"/>
      <c r="GI454" s="114"/>
      <c r="GJ454" s="114"/>
      <c r="GK454" s="114"/>
      <c r="GL454" s="114"/>
      <c r="GM454" s="114"/>
      <c r="GN454" s="114"/>
      <c r="GO454" s="114"/>
      <c r="GP454" s="114"/>
      <c r="GQ454" s="114"/>
      <c r="GR454" s="120">
        <v>0.11</v>
      </c>
      <c r="GS454" s="118">
        <f t="shared" si="493"/>
        <v>3.3549306421052631</v>
      </c>
      <c r="GT454" s="125">
        <v>1.2500000000000001E-2</v>
      </c>
      <c r="GU454" s="118">
        <f t="shared" si="494"/>
        <v>0.38124211842105266</v>
      </c>
      <c r="GV454" s="120">
        <v>0.02</v>
      </c>
      <c r="GW454" s="118">
        <f t="shared" si="495"/>
        <v>0.21381578947368426</v>
      </c>
      <c r="GX454" s="118">
        <f t="shared" si="496"/>
        <v>3.94998855</v>
      </c>
      <c r="GY454" s="114" t="s">
        <v>130</v>
      </c>
      <c r="GZ454" s="114" t="s">
        <v>130</v>
      </c>
      <c r="HA454" s="118">
        <v>1350</v>
      </c>
      <c r="HB454" s="118">
        <v>950</v>
      </c>
      <c r="HC454" s="105">
        <v>1950</v>
      </c>
      <c r="HD454" s="105">
        <v>200</v>
      </c>
      <c r="HE454" s="105">
        <v>1400</v>
      </c>
      <c r="HF454" s="118">
        <f t="shared" si="503"/>
        <v>7</v>
      </c>
      <c r="HG454" s="105">
        <v>5</v>
      </c>
      <c r="HH454" s="118">
        <f t="shared" si="497"/>
        <v>35</v>
      </c>
      <c r="HI454" s="105">
        <v>21000</v>
      </c>
      <c r="HJ454" s="118">
        <f t="shared" si="498"/>
        <v>735000</v>
      </c>
      <c r="HK454" s="114"/>
      <c r="HL454" s="114"/>
      <c r="HM454" s="118">
        <v>3</v>
      </c>
      <c r="HN454" s="126">
        <f t="shared" si="499"/>
        <v>1260000</v>
      </c>
      <c r="HO454" s="118">
        <f>(IF(GY454="carton box",HI454/HD454,HJ454/HN454))</f>
        <v>0.58333333333333337</v>
      </c>
      <c r="HP454" s="118">
        <v>160</v>
      </c>
      <c r="HQ454" s="114">
        <v>0</v>
      </c>
      <c r="HR454" s="118">
        <v>0</v>
      </c>
      <c r="HS454" s="118">
        <v>0</v>
      </c>
      <c r="HT454" s="118">
        <f t="shared" si="500"/>
        <v>0</v>
      </c>
      <c r="HU454" s="118"/>
      <c r="HV454" s="118">
        <f t="shared" si="501"/>
        <v>0.58333333333333337</v>
      </c>
      <c r="HW454" s="118"/>
      <c r="HX454" s="118">
        <v>5016</v>
      </c>
      <c r="HY454" s="118">
        <v>1976</v>
      </c>
      <c r="HZ454" s="118">
        <v>2280</v>
      </c>
      <c r="IA454" s="118">
        <f t="shared" si="504"/>
        <v>3</v>
      </c>
      <c r="IB454" s="118">
        <f t="shared" si="505"/>
        <v>2</v>
      </c>
      <c r="IC454" s="118">
        <f t="shared" si="506"/>
        <v>1</v>
      </c>
      <c r="ID454" s="108">
        <v>1</v>
      </c>
      <c r="IE454" s="111">
        <f>PRODUCT(IA454:ID454)-1</f>
        <v>5</v>
      </c>
      <c r="IF454" s="118">
        <v>500</v>
      </c>
      <c r="IG454" s="109">
        <f>ROUNDUP(IF454/(IE454*HD454),2)</f>
        <v>0.5</v>
      </c>
      <c r="IH454" s="62"/>
    </row>
    <row r="455" spans="1:251" ht="27">
      <c r="A455">
        <v>413</v>
      </c>
      <c r="B455" t="s">
        <v>468</v>
      </c>
      <c r="C455" s="114" t="s">
        <v>1824</v>
      </c>
      <c r="D455" s="28" t="s">
        <v>650</v>
      </c>
      <c r="E455" s="28" t="s">
        <v>651</v>
      </c>
      <c r="F455" s="5" t="s">
        <v>2182</v>
      </c>
      <c r="G455" s="27" t="s">
        <v>90</v>
      </c>
      <c r="I455" s="27" t="s">
        <v>226</v>
      </c>
      <c r="J455" s="28">
        <v>21691</v>
      </c>
      <c r="K455" s="27" t="s">
        <v>404</v>
      </c>
      <c r="L455" s="115">
        <v>21401</v>
      </c>
      <c r="M455" s="114" t="s">
        <v>226</v>
      </c>
      <c r="N455" s="280"/>
      <c r="O455" s="280"/>
      <c r="P455" s="280"/>
      <c r="Q455" s="13" t="s">
        <v>1786</v>
      </c>
      <c r="R455" s="13" t="s">
        <v>1769</v>
      </c>
      <c r="V455" s="319"/>
      <c r="W455" s="241" t="s">
        <v>1825</v>
      </c>
      <c r="X455" s="241"/>
      <c r="Y455" s="241"/>
      <c r="Z455" s="241"/>
      <c r="AA455" s="115" t="s">
        <v>1826</v>
      </c>
      <c r="AB455" s="121">
        <v>93.78</v>
      </c>
      <c r="AC455" s="114">
        <f>AB455-3</f>
        <v>90.78</v>
      </c>
      <c r="AD455" s="115" t="s">
        <v>285</v>
      </c>
      <c r="AE455" s="119">
        <f t="shared" si="468"/>
        <v>20.6526</v>
      </c>
      <c r="AF455" s="106"/>
      <c r="AG455" s="119">
        <f t="shared" si="469"/>
        <v>10.690789473684212</v>
      </c>
      <c r="AH455" s="106">
        <f t="shared" si="470"/>
        <v>0</v>
      </c>
      <c r="AI455" s="106">
        <f t="shared" si="471"/>
        <v>0</v>
      </c>
      <c r="AJ455" s="106">
        <f t="shared" si="472"/>
        <v>0.21381578947368426</v>
      </c>
      <c r="AK455" s="106">
        <f t="shared" si="473"/>
        <v>0.39179236842105269</v>
      </c>
      <c r="AL455" s="106">
        <f t="shared" si="474"/>
        <v>3.4477728421052634</v>
      </c>
      <c r="AM455" s="106">
        <f t="shared" si="475"/>
        <v>0.58333333333333337</v>
      </c>
      <c r="AN455" s="106">
        <f t="shared" si="476"/>
        <v>0.5</v>
      </c>
      <c r="AO455" s="106">
        <f t="shared" si="477"/>
        <v>0</v>
      </c>
      <c r="AP455" s="106"/>
      <c r="AQ455" s="106">
        <f t="shared" si="478"/>
        <v>36.480103807017549</v>
      </c>
      <c r="AR455" s="106">
        <f t="shared" si="479"/>
        <v>0</v>
      </c>
      <c r="AS455" s="106">
        <f t="shared" si="480"/>
        <v>0</v>
      </c>
      <c r="AT455" s="106">
        <v>0</v>
      </c>
      <c r="AU455" s="119"/>
      <c r="AV455" s="106">
        <f t="shared" si="481"/>
        <v>36.480103807017549</v>
      </c>
      <c r="AW455" s="114">
        <v>0.22700000000000001</v>
      </c>
      <c r="AX455" s="124">
        <v>0.22</v>
      </c>
      <c r="AY455" s="120">
        <v>1</v>
      </c>
      <c r="AZ455" s="118">
        <f t="shared" si="482"/>
        <v>7.0000000000000062E-3</v>
      </c>
      <c r="BA455" s="118">
        <f t="shared" si="483"/>
        <v>20.6526</v>
      </c>
      <c r="BB455" s="118"/>
      <c r="BC455" s="118"/>
      <c r="BD455" s="118"/>
      <c r="BE455" s="118"/>
      <c r="BF455" s="118"/>
      <c r="BG455" s="118"/>
      <c r="BH455" s="118"/>
      <c r="BI455" s="118"/>
      <c r="BJ455" s="118"/>
      <c r="BK455" s="118"/>
      <c r="BL455" s="118"/>
      <c r="BM455" s="118"/>
      <c r="BN455" s="118"/>
      <c r="BO455" s="118"/>
      <c r="BP455" s="118"/>
      <c r="BQ455" s="118"/>
      <c r="BR455" s="118"/>
      <c r="BS455" s="118"/>
      <c r="BT455" s="118"/>
      <c r="BU455" s="118"/>
      <c r="BV455" s="118"/>
      <c r="BW455" s="118"/>
      <c r="BX455" s="118"/>
      <c r="BY455" s="118"/>
      <c r="BZ455" s="118"/>
      <c r="CA455" s="118"/>
      <c r="CB455" s="118"/>
      <c r="CC455" s="118"/>
      <c r="CD455" s="114"/>
      <c r="CE455" s="118">
        <v>0</v>
      </c>
      <c r="CF455" s="118">
        <v>0</v>
      </c>
      <c r="CG455" s="118">
        <v>0</v>
      </c>
      <c r="CH455" s="114">
        <f t="shared" si="508"/>
        <v>0</v>
      </c>
      <c r="CI455" s="115"/>
      <c r="CJ455" s="114"/>
      <c r="CK455" s="114">
        <v>0</v>
      </c>
      <c r="CL455" s="114">
        <v>0</v>
      </c>
      <c r="CM455" s="114">
        <f t="shared" si="485"/>
        <v>0</v>
      </c>
      <c r="CN455" s="115"/>
      <c r="CO455" s="114"/>
      <c r="CP455" s="114">
        <v>0</v>
      </c>
      <c r="CQ455" s="114">
        <v>0</v>
      </c>
      <c r="CR455" s="114">
        <f t="shared" si="486"/>
        <v>0</v>
      </c>
      <c r="CS455" s="114"/>
      <c r="CT455" s="114"/>
      <c r="CU455" s="114">
        <v>0</v>
      </c>
      <c r="CV455" s="114">
        <v>0</v>
      </c>
      <c r="CW455" s="114">
        <f>CU455*CV455</f>
        <v>0</v>
      </c>
      <c r="CX455" s="114"/>
      <c r="CY455" s="114"/>
      <c r="CZ455" s="114"/>
      <c r="DA455" s="114"/>
      <c r="DB455" s="114"/>
      <c r="DC455" s="114"/>
      <c r="DD455" s="114"/>
      <c r="DE455" s="114"/>
      <c r="DF455" s="114"/>
      <c r="DG455" s="114"/>
      <c r="DH455" s="114"/>
      <c r="DI455" s="114"/>
      <c r="DJ455" s="114"/>
      <c r="DK455" s="114"/>
      <c r="DL455" s="114"/>
      <c r="DM455" s="118">
        <f t="shared" si="488"/>
        <v>0</v>
      </c>
      <c r="DN455" s="125">
        <v>1.2500000000000001E-2</v>
      </c>
      <c r="DO455" s="118">
        <f t="shared" si="489"/>
        <v>0</v>
      </c>
      <c r="DP455" s="118">
        <f t="shared" si="490"/>
        <v>0</v>
      </c>
      <c r="DQ455" s="114"/>
      <c r="DR455" s="114"/>
      <c r="DS455" s="114"/>
      <c r="DT455" s="114"/>
      <c r="DU455" s="114"/>
      <c r="DV455" s="114"/>
      <c r="DW455" s="114"/>
      <c r="DX455" s="114"/>
      <c r="DY455" s="114"/>
      <c r="DZ455" s="114"/>
      <c r="EA455" s="114"/>
      <c r="EB455" s="114"/>
      <c r="EC455" s="114"/>
      <c r="ED455" s="114"/>
      <c r="EE455" s="114"/>
      <c r="EF455" s="105">
        <v>780</v>
      </c>
      <c r="EG455" s="105">
        <v>7800</v>
      </c>
      <c r="EH455" s="105">
        <v>8</v>
      </c>
      <c r="EI455" s="120">
        <v>0.95</v>
      </c>
      <c r="EJ455" s="105">
        <v>2</v>
      </c>
      <c r="EK455" s="105">
        <v>75</v>
      </c>
      <c r="EL455" s="111">
        <f t="shared" si="491"/>
        <v>729.59999999999991</v>
      </c>
      <c r="EM455" s="114"/>
      <c r="EN455" s="114"/>
      <c r="EO455" s="114"/>
      <c r="EP455" s="114"/>
      <c r="EQ455" s="114"/>
      <c r="ER455" s="114"/>
      <c r="ES455" s="114"/>
      <c r="ET455" s="114"/>
      <c r="EU455" s="109">
        <f t="shared" si="507"/>
        <v>10.690789473684212</v>
      </c>
      <c r="EV455" s="114"/>
      <c r="EW455" s="114"/>
      <c r="EX455" s="114"/>
      <c r="EY455" s="114"/>
      <c r="EZ455" s="114"/>
      <c r="FA455" s="114"/>
      <c r="FB455" s="114"/>
      <c r="FC455" s="114"/>
      <c r="FD455" s="114"/>
      <c r="FE455" s="114"/>
      <c r="FF455" s="114"/>
      <c r="FG455" s="114"/>
      <c r="FH455" s="114"/>
      <c r="FI455" s="114"/>
      <c r="FJ455" s="114"/>
      <c r="FK455" s="114"/>
      <c r="FL455" s="114"/>
      <c r="FM455" s="114"/>
      <c r="FN455" s="114"/>
      <c r="FO455" s="114"/>
      <c r="FP455" s="114"/>
      <c r="FQ455" s="114"/>
      <c r="FR455" s="114"/>
      <c r="FS455" s="114"/>
      <c r="FT455" s="114"/>
      <c r="FU455" s="114"/>
      <c r="FV455" s="114"/>
      <c r="FW455" s="114"/>
      <c r="FX455" s="114"/>
      <c r="FY455" s="114"/>
      <c r="FZ455" s="114"/>
      <c r="GA455" s="114"/>
      <c r="GB455" s="114"/>
      <c r="GC455" s="114"/>
      <c r="GD455" s="114"/>
      <c r="GE455" s="114"/>
      <c r="GF455" s="114"/>
      <c r="GG455" s="114"/>
      <c r="GH455" s="114"/>
      <c r="GI455" s="114"/>
      <c r="GJ455" s="114"/>
      <c r="GK455" s="114"/>
      <c r="GL455" s="114"/>
      <c r="GM455" s="114"/>
      <c r="GN455" s="114"/>
      <c r="GO455" s="114"/>
      <c r="GP455" s="114"/>
      <c r="GQ455" s="114"/>
      <c r="GR455" s="120">
        <v>0.11</v>
      </c>
      <c r="GS455" s="118">
        <f t="shared" si="493"/>
        <v>3.4477728421052634</v>
      </c>
      <c r="GT455" s="125">
        <v>1.2500000000000001E-2</v>
      </c>
      <c r="GU455" s="118">
        <f t="shared" si="494"/>
        <v>0.39179236842105269</v>
      </c>
      <c r="GV455" s="120">
        <v>0.02</v>
      </c>
      <c r="GW455" s="118">
        <f t="shared" si="495"/>
        <v>0.21381578947368426</v>
      </c>
      <c r="GX455" s="118">
        <f t="shared" si="496"/>
        <v>4.0533809999999999</v>
      </c>
      <c r="GY455" s="114" t="s">
        <v>130</v>
      </c>
      <c r="GZ455" s="114" t="s">
        <v>130</v>
      </c>
      <c r="HA455" s="118">
        <v>1350</v>
      </c>
      <c r="HB455" s="118">
        <v>950</v>
      </c>
      <c r="HC455" s="105">
        <v>1950</v>
      </c>
      <c r="HD455" s="105">
        <v>200</v>
      </c>
      <c r="HE455" s="105">
        <v>1400</v>
      </c>
      <c r="HF455" s="118">
        <f t="shared" si="503"/>
        <v>7</v>
      </c>
      <c r="HG455" s="105">
        <v>5</v>
      </c>
      <c r="HH455" s="118">
        <f t="shared" si="497"/>
        <v>35</v>
      </c>
      <c r="HI455" s="105">
        <v>21000</v>
      </c>
      <c r="HJ455" s="118">
        <f t="shared" si="498"/>
        <v>735000</v>
      </c>
      <c r="HK455" s="114"/>
      <c r="HL455" s="114"/>
      <c r="HM455" s="118">
        <v>3</v>
      </c>
      <c r="HN455" s="126">
        <f t="shared" si="499"/>
        <v>1260000</v>
      </c>
      <c r="HO455" s="118">
        <f>(IF(GY455="carton box",HI455/HD455,HJ455/HN455))</f>
        <v>0.58333333333333337</v>
      </c>
      <c r="HP455" s="118">
        <v>160</v>
      </c>
      <c r="HQ455" s="114">
        <v>0</v>
      </c>
      <c r="HR455" s="118">
        <v>0</v>
      </c>
      <c r="HS455" s="118">
        <v>0</v>
      </c>
      <c r="HT455" s="118">
        <f t="shared" si="500"/>
        <v>0</v>
      </c>
      <c r="HU455" s="118"/>
      <c r="HV455" s="118">
        <f t="shared" si="501"/>
        <v>0.58333333333333337</v>
      </c>
      <c r="HW455" s="118"/>
      <c r="HX455" s="118">
        <v>5016</v>
      </c>
      <c r="HY455" s="118">
        <v>1976</v>
      </c>
      <c r="HZ455" s="118">
        <v>2280</v>
      </c>
      <c r="IA455" s="118">
        <f t="shared" si="504"/>
        <v>3</v>
      </c>
      <c r="IB455" s="118">
        <f t="shared" si="505"/>
        <v>2</v>
      </c>
      <c r="IC455" s="118">
        <f t="shared" si="506"/>
        <v>1</v>
      </c>
      <c r="ID455" s="108">
        <v>1</v>
      </c>
      <c r="IE455" s="111">
        <f>PRODUCT(IA455:ID455)-1</f>
        <v>5</v>
      </c>
      <c r="IF455" s="118">
        <v>500</v>
      </c>
      <c r="IG455" s="109">
        <f>IF455/(IE455*HD455)</f>
        <v>0.5</v>
      </c>
      <c r="IH455" s="62"/>
    </row>
    <row r="456" spans="1:251" ht="27">
      <c r="A456">
        <v>414</v>
      </c>
      <c r="B456" t="s">
        <v>468</v>
      </c>
      <c r="C456" t="s">
        <v>1827</v>
      </c>
      <c r="D456" s="28" t="s">
        <v>652</v>
      </c>
      <c r="E456" s="28" t="s">
        <v>653</v>
      </c>
      <c r="F456" s="5" t="s">
        <v>2182</v>
      </c>
      <c r="G456" s="27" t="s">
        <v>90</v>
      </c>
      <c r="I456" s="27" t="s">
        <v>226</v>
      </c>
      <c r="J456" s="28">
        <v>21590</v>
      </c>
      <c r="K456" s="27" t="s">
        <v>397</v>
      </c>
      <c r="L456" s="379"/>
      <c r="N456" s="374"/>
      <c r="O456" s="374"/>
      <c r="P456" s="374"/>
      <c r="Q456" s="13" t="s">
        <v>1768</v>
      </c>
      <c r="R456" s="13" t="s">
        <v>1778</v>
      </c>
      <c r="W456" s="383" t="s">
        <v>1825</v>
      </c>
      <c r="X456" s="383"/>
      <c r="Y456" s="383"/>
      <c r="Z456" s="383"/>
      <c r="AA456" s="13" t="s">
        <v>469</v>
      </c>
      <c r="AB456" s="66">
        <v>107.45</v>
      </c>
      <c r="AC456">
        <v>20</v>
      </c>
      <c r="AD456" s="13" t="s">
        <v>24</v>
      </c>
      <c r="AE456" s="7">
        <f t="shared" si="468"/>
        <v>46.955649999999999</v>
      </c>
      <c r="AF456" s="42"/>
      <c r="AG456" s="7">
        <f t="shared" si="469"/>
        <v>12.096296296296297</v>
      </c>
      <c r="AH456" s="42">
        <f t="shared" si="470"/>
        <v>23.220000000000002</v>
      </c>
      <c r="AI456" s="42">
        <f t="shared" si="471"/>
        <v>0.29025000000000006</v>
      </c>
      <c r="AJ456" s="42">
        <f t="shared" si="472"/>
        <v>0.24192592592592593</v>
      </c>
      <c r="AK456" s="42">
        <f t="shared" si="473"/>
        <v>0.73814932870370376</v>
      </c>
      <c r="AL456" s="42">
        <f t="shared" si="474"/>
        <v>6.4957140925925927</v>
      </c>
      <c r="AM456" s="42">
        <f t="shared" si="475"/>
        <v>1.03</v>
      </c>
      <c r="AN456" s="42">
        <f t="shared" si="476"/>
        <v>0.97465886939571145</v>
      </c>
      <c r="AO456" s="42">
        <f t="shared" si="477"/>
        <v>0</v>
      </c>
      <c r="AP456" s="42"/>
      <c r="AQ456" s="42">
        <f t="shared" si="478"/>
        <v>92.042644512914222</v>
      </c>
      <c r="AR456" s="42">
        <f t="shared" si="479"/>
        <v>0</v>
      </c>
      <c r="AS456" s="42">
        <f t="shared" si="480"/>
        <v>0</v>
      </c>
      <c r="AT456" s="42">
        <v>0</v>
      </c>
      <c r="AU456" s="7">
        <f>92.33-92.04</f>
        <v>0.28999999999999204</v>
      </c>
      <c r="AV456" s="42">
        <f t="shared" si="481"/>
        <v>92.332644512914214</v>
      </c>
      <c r="AW456">
        <v>0.437</v>
      </c>
      <c r="AX456">
        <v>0.437</v>
      </c>
      <c r="AY456" s="8">
        <v>0</v>
      </c>
      <c r="AZ456" s="4">
        <f t="shared" si="482"/>
        <v>0</v>
      </c>
      <c r="BA456" s="4">
        <f t="shared" si="483"/>
        <v>46.955649999999999</v>
      </c>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E456" s="4">
        <v>0</v>
      </c>
      <c r="CF456" s="4">
        <v>1</v>
      </c>
      <c r="CG456">
        <v>23.220000000000002</v>
      </c>
      <c r="CH456">
        <f t="shared" si="508"/>
        <v>23.220000000000002</v>
      </c>
      <c r="DM456" s="62">
        <f t="shared" si="488"/>
        <v>23.220000000000002</v>
      </c>
      <c r="DN456" s="9">
        <v>1.2500000000000001E-2</v>
      </c>
      <c r="DO456" s="4">
        <f t="shared" si="489"/>
        <v>0.29025000000000006</v>
      </c>
      <c r="DP456" s="4">
        <f t="shared" si="490"/>
        <v>23.510250000000003</v>
      </c>
      <c r="EF456" s="59">
        <v>450</v>
      </c>
      <c r="EG456" s="59">
        <v>4500</v>
      </c>
      <c r="EH456" s="59">
        <v>7.5</v>
      </c>
      <c r="EI456" s="8">
        <v>0.9</v>
      </c>
      <c r="EJ456" s="59">
        <v>1</v>
      </c>
      <c r="EK456" s="59">
        <v>61</v>
      </c>
      <c r="EL456" s="65">
        <f t="shared" si="491"/>
        <v>398.36065573770492</v>
      </c>
      <c r="EU456" s="62">
        <f t="shared" si="507"/>
        <v>12.096296296296297</v>
      </c>
      <c r="EX456" s="4">
        <v>0.8</v>
      </c>
      <c r="GR456" s="8">
        <v>0.11</v>
      </c>
      <c r="GS456" s="4">
        <f t="shared" si="493"/>
        <v>6.4957140925925927</v>
      </c>
      <c r="GT456" s="9">
        <v>1.2500000000000001E-2</v>
      </c>
      <c r="GU456" s="4">
        <f t="shared" si="494"/>
        <v>0.73814932870370376</v>
      </c>
      <c r="GV456" s="8">
        <v>0.02</v>
      </c>
      <c r="GW456" s="4">
        <f t="shared" si="495"/>
        <v>0.24192592592592593</v>
      </c>
      <c r="GX456" s="4">
        <f t="shared" si="496"/>
        <v>7.4757893472222232</v>
      </c>
      <c r="GY456" t="s">
        <v>130</v>
      </c>
      <c r="GZ456" t="s">
        <v>130</v>
      </c>
      <c r="HA456" s="4">
        <v>810</v>
      </c>
      <c r="HB456" s="4">
        <v>568</v>
      </c>
      <c r="HC456" s="59">
        <v>425</v>
      </c>
      <c r="HD456" s="59">
        <v>9</v>
      </c>
      <c r="HE456" s="59">
        <v>1000</v>
      </c>
      <c r="HF456" s="4">
        <f t="shared" si="503"/>
        <v>112</v>
      </c>
      <c r="HG456" s="59">
        <v>5</v>
      </c>
      <c r="HH456" s="4">
        <f t="shared" si="497"/>
        <v>560</v>
      </c>
      <c r="HI456" s="59">
        <v>1100</v>
      </c>
      <c r="HJ456" s="4">
        <f t="shared" si="498"/>
        <v>616000</v>
      </c>
      <c r="HM456" s="4">
        <v>2</v>
      </c>
      <c r="HN456" s="10">
        <f t="shared" si="499"/>
        <v>600000</v>
      </c>
      <c r="HO456" s="4">
        <f>ROUNDUP((IF(GY456="carton box",HI456/HD456,HJ456/HN456)),2)</f>
        <v>1.03</v>
      </c>
      <c r="HP456" s="4">
        <v>160</v>
      </c>
      <c r="HQ456">
        <v>0</v>
      </c>
      <c r="HR456" s="4">
        <v>0</v>
      </c>
      <c r="HS456" s="4">
        <v>0</v>
      </c>
      <c r="HT456" s="4">
        <f t="shared" si="500"/>
        <v>0</v>
      </c>
      <c r="HU456" s="4"/>
      <c r="HV456" s="4">
        <f t="shared" si="501"/>
        <v>1.03</v>
      </c>
      <c r="HW456" s="4"/>
      <c r="HX456" s="4">
        <v>4200</v>
      </c>
      <c r="HY456" s="4">
        <v>1900</v>
      </c>
      <c r="HZ456" s="4">
        <v>1975</v>
      </c>
      <c r="IA456" s="4">
        <f t="shared" si="504"/>
        <v>5</v>
      </c>
      <c r="IB456" s="4">
        <f t="shared" si="505"/>
        <v>3</v>
      </c>
      <c r="IC456" s="4">
        <f t="shared" si="506"/>
        <v>4</v>
      </c>
      <c r="ID456" s="61">
        <v>0.95</v>
      </c>
      <c r="IE456" s="65">
        <f>PRODUCT(IA456:ID456)</f>
        <v>57</v>
      </c>
      <c r="IF456" s="4">
        <v>500</v>
      </c>
      <c r="IG456" s="62">
        <f>IF456/(IE456*HD456)</f>
        <v>0.97465886939571145</v>
      </c>
      <c r="IH456" s="62"/>
    </row>
    <row r="457" spans="1:251">
      <c r="A457">
        <v>416</v>
      </c>
      <c r="B457" t="s">
        <v>468</v>
      </c>
      <c r="C457" t="s">
        <v>1828</v>
      </c>
      <c r="D457" s="28" t="s">
        <v>1269</v>
      </c>
      <c r="E457" s="28" t="s">
        <v>1270</v>
      </c>
      <c r="F457" s="5" t="s">
        <v>2182</v>
      </c>
      <c r="G457" s="27" t="s">
        <v>90</v>
      </c>
      <c r="I457" s="27" t="s">
        <v>226</v>
      </c>
      <c r="J457" s="28">
        <v>21691</v>
      </c>
      <c r="K457" s="27" t="s">
        <v>404</v>
      </c>
      <c r="L457" s="379">
        <v>21401</v>
      </c>
      <c r="M457" s="239" t="s">
        <v>226</v>
      </c>
      <c r="N457" s="334"/>
      <c r="O457" s="334"/>
      <c r="P457" s="334"/>
      <c r="Q457" s="13" t="s">
        <v>1768</v>
      </c>
      <c r="R457" s="13" t="s">
        <v>1769</v>
      </c>
      <c r="W457" s="383" t="s">
        <v>1771</v>
      </c>
      <c r="X457" s="383"/>
      <c r="Y457" s="383"/>
      <c r="Z457" s="383"/>
      <c r="AA457" s="13" t="s">
        <v>1829</v>
      </c>
      <c r="AB457" s="57">
        <v>99.5</v>
      </c>
      <c r="AC457">
        <v>20</v>
      </c>
      <c r="AE457" s="7">
        <f t="shared" si="468"/>
        <v>145.6875</v>
      </c>
      <c r="AF457" s="42"/>
      <c r="AG457" s="7">
        <f t="shared" si="469"/>
        <v>17.817982456140353</v>
      </c>
      <c r="AH457" s="42">
        <f t="shared" si="470"/>
        <v>0</v>
      </c>
      <c r="AI457" s="42">
        <f t="shared" si="471"/>
        <v>0</v>
      </c>
      <c r="AJ457" s="42">
        <f t="shared" si="472"/>
        <v>0.35635964912280704</v>
      </c>
      <c r="AK457" s="42">
        <f t="shared" si="473"/>
        <v>2.0438185307017545</v>
      </c>
      <c r="AL457" s="42">
        <f t="shared" si="474"/>
        <v>17.98560307017544</v>
      </c>
      <c r="AM457" s="42">
        <f t="shared" si="475"/>
        <v>2.074074074074074</v>
      </c>
      <c r="AN457" s="42">
        <f t="shared" si="476"/>
        <v>1.8518518518518519</v>
      </c>
      <c r="AO457" s="42">
        <f t="shared" si="477"/>
        <v>0</v>
      </c>
      <c r="AP457" s="42"/>
      <c r="AQ457" s="42">
        <f t="shared" si="478"/>
        <v>187.81718963206626</v>
      </c>
      <c r="AR457" s="42">
        <f t="shared" si="479"/>
        <v>0</v>
      </c>
      <c r="AS457" s="42">
        <f t="shared" si="480"/>
        <v>0</v>
      </c>
      <c r="AT457" s="42">
        <v>0</v>
      </c>
      <c r="AU457" s="7">
        <v>0</v>
      </c>
      <c r="AV457" s="42">
        <f t="shared" si="481"/>
        <v>187.81718963206626</v>
      </c>
      <c r="AW457">
        <v>1.4650000000000001</v>
      </c>
      <c r="AX457">
        <v>1.4610000000000001</v>
      </c>
      <c r="AY457" s="8">
        <v>1</v>
      </c>
      <c r="AZ457" s="4">
        <f t="shared" si="482"/>
        <v>4.0000000000000036E-3</v>
      </c>
      <c r="BA457" s="4">
        <f t="shared" si="483"/>
        <v>145.6875</v>
      </c>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E457" s="4">
        <v>0</v>
      </c>
      <c r="CF457" s="4">
        <v>0</v>
      </c>
      <c r="CG457" s="4">
        <v>0</v>
      </c>
      <c r="CH457">
        <f t="shared" si="508"/>
        <v>0</v>
      </c>
      <c r="CI457" s="13"/>
      <c r="CK457">
        <v>0</v>
      </c>
      <c r="CL457">
        <v>0</v>
      </c>
      <c r="CM457">
        <f t="shared" ref="CM457:CM463" si="509">CK457*CL457</f>
        <v>0</v>
      </c>
      <c r="CN457" s="13"/>
      <c r="CP457">
        <v>0</v>
      </c>
      <c r="CQ457">
        <v>0</v>
      </c>
      <c r="CR457">
        <f t="shared" ref="CR457:CR463" si="510">CP457*CQ457</f>
        <v>0</v>
      </c>
      <c r="CU457">
        <v>0</v>
      </c>
      <c r="CV457">
        <v>0</v>
      </c>
      <c r="CW457">
        <f t="shared" ref="CW457:CW463" si="511">CU457*CV457</f>
        <v>0</v>
      </c>
      <c r="DM457" s="4">
        <f t="shared" si="488"/>
        <v>0</v>
      </c>
      <c r="DN457" s="9">
        <v>1.2500000000000001E-2</v>
      </c>
      <c r="DO457" s="4">
        <f t="shared" si="489"/>
        <v>0</v>
      </c>
      <c r="DP457" s="4">
        <f t="shared" si="490"/>
        <v>0</v>
      </c>
      <c r="EF457" s="59">
        <v>650</v>
      </c>
      <c r="EG457" s="59">
        <v>6500</v>
      </c>
      <c r="EH457" s="59">
        <v>8</v>
      </c>
      <c r="EI457" s="8">
        <v>0.95</v>
      </c>
      <c r="EJ457" s="59">
        <v>1</v>
      </c>
      <c r="EK457" s="59">
        <v>75</v>
      </c>
      <c r="EL457" s="65">
        <f t="shared" si="491"/>
        <v>364.79999999999995</v>
      </c>
      <c r="EU457" s="62">
        <f t="shared" si="507"/>
        <v>17.817982456140353</v>
      </c>
      <c r="GR457" s="8">
        <v>0.11</v>
      </c>
      <c r="GS457" s="4">
        <f t="shared" si="493"/>
        <v>17.98560307017544</v>
      </c>
      <c r="GT457" s="9">
        <v>1.2500000000000001E-2</v>
      </c>
      <c r="GU457" s="4">
        <f t="shared" si="494"/>
        <v>2.0438185307017545</v>
      </c>
      <c r="GV457" s="8">
        <v>0.02</v>
      </c>
      <c r="GW457" s="4">
        <f t="shared" si="495"/>
        <v>0.35635964912280704</v>
      </c>
      <c r="GX457" s="4">
        <f t="shared" si="496"/>
        <v>20.385781250000001</v>
      </c>
      <c r="GY457" t="s">
        <v>130</v>
      </c>
      <c r="GZ457" t="s">
        <v>130</v>
      </c>
      <c r="HA457" s="4">
        <v>1350</v>
      </c>
      <c r="HB457" s="4">
        <v>950</v>
      </c>
      <c r="HC457" s="59">
        <v>1800</v>
      </c>
      <c r="HD457" s="59">
        <v>54</v>
      </c>
      <c r="HE457" s="59">
        <v>1500</v>
      </c>
      <c r="HF457" s="4">
        <f t="shared" si="503"/>
        <v>28</v>
      </c>
      <c r="HG457" s="59">
        <v>5</v>
      </c>
      <c r="HH457" s="4">
        <f t="shared" si="497"/>
        <v>140</v>
      </c>
      <c r="HI457" s="59">
        <v>20000</v>
      </c>
      <c r="HJ457" s="4">
        <f t="shared" si="498"/>
        <v>2800000</v>
      </c>
      <c r="HM457" s="4">
        <v>3</v>
      </c>
      <c r="HN457" s="10">
        <f t="shared" si="499"/>
        <v>1350000</v>
      </c>
      <c r="HO457" s="4">
        <f>(IF(GY457="carton box",HI457/HD457,HJ457/HN457))</f>
        <v>2.074074074074074</v>
      </c>
      <c r="HP457" s="4">
        <v>160</v>
      </c>
      <c r="HQ457">
        <v>0</v>
      </c>
      <c r="HR457" s="4">
        <v>0</v>
      </c>
      <c r="HS457" s="4">
        <v>0</v>
      </c>
      <c r="HT457" s="4">
        <f t="shared" si="500"/>
        <v>0</v>
      </c>
      <c r="HU457" s="4"/>
      <c r="HV457" s="4">
        <f t="shared" si="501"/>
        <v>2.074074074074074</v>
      </c>
      <c r="HW457" s="4"/>
      <c r="HX457" s="4">
        <v>5016</v>
      </c>
      <c r="HY457" s="4">
        <v>1976</v>
      </c>
      <c r="HZ457" s="4">
        <v>2280</v>
      </c>
      <c r="IA457" s="4">
        <f t="shared" si="504"/>
        <v>3</v>
      </c>
      <c r="IB457" s="4">
        <f t="shared" si="505"/>
        <v>2</v>
      </c>
      <c r="IC457" s="4">
        <f t="shared" si="506"/>
        <v>1</v>
      </c>
      <c r="ID457" s="61">
        <v>1</v>
      </c>
      <c r="IE457" s="65">
        <f>PRODUCT(IA457:ID457)-1</f>
        <v>5</v>
      </c>
      <c r="IF457" s="4">
        <v>500</v>
      </c>
      <c r="IG457" s="62">
        <f>IF457/(IE457*HD457)</f>
        <v>1.8518518518518519</v>
      </c>
      <c r="IH457" s="62"/>
    </row>
    <row r="458" spans="1:251" ht="27">
      <c r="A458">
        <v>422</v>
      </c>
      <c r="B458" t="s">
        <v>468</v>
      </c>
      <c r="C458" s="282" t="s">
        <v>1946</v>
      </c>
      <c r="D458" s="28" t="s">
        <v>1275</v>
      </c>
      <c r="E458" s="28" t="s">
        <v>1276</v>
      </c>
      <c r="F458" s="5" t="s">
        <v>2182</v>
      </c>
      <c r="G458" s="27" t="s">
        <v>90</v>
      </c>
      <c r="I458" s="27" t="s">
        <v>226</v>
      </c>
      <c r="J458" s="28">
        <v>21590</v>
      </c>
      <c r="K458" s="27" t="s">
        <v>397</v>
      </c>
      <c r="L458" s="114"/>
      <c r="M458" s="114"/>
      <c r="N458" s="115"/>
      <c r="O458" s="115"/>
      <c r="P458" s="115"/>
      <c r="Q458" s="13" t="s">
        <v>1035</v>
      </c>
      <c r="R458" s="13" t="s">
        <v>1778</v>
      </c>
      <c r="V458" s="319"/>
      <c r="W458" s="241" t="s">
        <v>1944</v>
      </c>
      <c r="X458" s="241"/>
      <c r="Y458" s="241"/>
      <c r="Z458" s="241"/>
      <c r="AA458" s="115" t="s">
        <v>1945</v>
      </c>
      <c r="AB458" s="121">
        <v>228.5</v>
      </c>
      <c r="AC458" s="114">
        <v>20</v>
      </c>
      <c r="AD458" s="115" t="s">
        <v>297</v>
      </c>
      <c r="AE458" s="119">
        <f t="shared" si="468"/>
        <v>3.4517500000000001</v>
      </c>
      <c r="AF458" s="119"/>
      <c r="AG458" s="119">
        <f t="shared" si="469"/>
        <v>1.8518518518518519</v>
      </c>
      <c r="AH458" s="119">
        <f t="shared" si="470"/>
        <v>0</v>
      </c>
      <c r="AI458" s="119">
        <f t="shared" si="471"/>
        <v>0</v>
      </c>
      <c r="AJ458" s="119">
        <f t="shared" si="472"/>
        <v>3.7037037037037035E-2</v>
      </c>
      <c r="AK458" s="119">
        <f t="shared" si="473"/>
        <v>6.6295023148148155E-2</v>
      </c>
      <c r="AL458" s="119">
        <f t="shared" si="474"/>
        <v>0.58339620370370371</v>
      </c>
      <c r="AM458" s="119">
        <f t="shared" si="475"/>
        <v>0.03</v>
      </c>
      <c r="AN458" s="119">
        <f t="shared" si="476"/>
        <v>0.03</v>
      </c>
      <c r="AO458" s="119">
        <f t="shared" si="477"/>
        <v>0</v>
      </c>
      <c r="AP458" s="119"/>
      <c r="AQ458" s="119">
        <f t="shared" si="478"/>
        <v>6.0503301157407421</v>
      </c>
      <c r="AR458" s="119">
        <f>IJ457</f>
        <v>0</v>
      </c>
      <c r="AS458" s="119">
        <f t="shared" si="480"/>
        <v>0</v>
      </c>
      <c r="AT458" s="119">
        <v>0</v>
      </c>
      <c r="AU458" s="119">
        <f>6.06-6.05</f>
        <v>9.9999999999997868E-3</v>
      </c>
      <c r="AV458" s="119">
        <f t="shared" si="481"/>
        <v>6.0603301157407419</v>
      </c>
      <c r="AW458" s="124">
        <v>1.55E-2</v>
      </c>
      <c r="AX458" s="114">
        <v>1.0999999999999999E-2</v>
      </c>
      <c r="AY458" s="120">
        <v>1</v>
      </c>
      <c r="AZ458" s="118">
        <f t="shared" si="482"/>
        <v>4.5000000000000005E-3</v>
      </c>
      <c r="BA458" s="118">
        <f t="shared" si="483"/>
        <v>3.4517500000000001</v>
      </c>
      <c r="BB458" s="118"/>
      <c r="BC458" s="118"/>
      <c r="BD458" s="118"/>
      <c r="BE458" s="118"/>
      <c r="BF458" s="118"/>
      <c r="BG458" s="118"/>
      <c r="BH458" s="118"/>
      <c r="BI458" s="118"/>
      <c r="BJ458" s="118"/>
      <c r="BK458" s="118"/>
      <c r="BL458" s="118"/>
      <c r="BM458" s="118"/>
      <c r="BN458" s="118"/>
      <c r="BO458" s="118"/>
      <c r="BP458" s="118"/>
      <c r="BQ458" s="118"/>
      <c r="BR458" s="118"/>
      <c r="BS458" s="118"/>
      <c r="BT458" s="118"/>
      <c r="BU458" s="118"/>
      <c r="BV458" s="118"/>
      <c r="BW458" s="118"/>
      <c r="BX458" s="118"/>
      <c r="BY458" s="118"/>
      <c r="BZ458" s="118"/>
      <c r="CA458" s="118"/>
      <c r="CB458" s="118"/>
      <c r="CC458" s="118"/>
      <c r="CD458" s="114"/>
      <c r="CE458" s="118">
        <v>0</v>
      </c>
      <c r="CF458" s="118">
        <v>0</v>
      </c>
      <c r="CG458" s="118">
        <v>0</v>
      </c>
      <c r="CH458" s="114">
        <f t="shared" si="508"/>
        <v>0</v>
      </c>
      <c r="CI458" s="115"/>
      <c r="CJ458" s="114"/>
      <c r="CK458" s="114">
        <v>0</v>
      </c>
      <c r="CL458" s="114">
        <v>0</v>
      </c>
      <c r="CM458" s="114">
        <f t="shared" si="509"/>
        <v>0</v>
      </c>
      <c r="CN458" s="115"/>
      <c r="CO458" s="114"/>
      <c r="CP458" s="114">
        <v>0</v>
      </c>
      <c r="CQ458" s="114">
        <v>0</v>
      </c>
      <c r="CR458" s="114">
        <f t="shared" si="510"/>
        <v>0</v>
      </c>
      <c r="CS458" s="114"/>
      <c r="CT458" s="114"/>
      <c r="CU458" s="114">
        <v>0</v>
      </c>
      <c r="CV458" s="114">
        <v>0</v>
      </c>
      <c r="CW458" s="114">
        <f t="shared" si="511"/>
        <v>0</v>
      </c>
      <c r="CX458" s="114"/>
      <c r="CY458" s="114"/>
      <c r="CZ458" s="114"/>
      <c r="DA458" s="114"/>
      <c r="DB458" s="114"/>
      <c r="DC458" s="114"/>
      <c r="DD458" s="114"/>
      <c r="DE458" s="114"/>
      <c r="DF458" s="114"/>
      <c r="DG458" s="114"/>
      <c r="DH458" s="114"/>
      <c r="DI458" s="114"/>
      <c r="DJ458" s="114"/>
      <c r="DK458" s="114"/>
      <c r="DL458" s="114"/>
      <c r="DM458" s="118">
        <f t="shared" si="488"/>
        <v>0</v>
      </c>
      <c r="DN458" s="125">
        <v>1.2500000000000001E-2</v>
      </c>
      <c r="DO458" s="118">
        <f t="shared" si="489"/>
        <v>0</v>
      </c>
      <c r="DP458" s="118">
        <f t="shared" si="490"/>
        <v>0</v>
      </c>
      <c r="DQ458" s="114"/>
      <c r="DR458" s="114"/>
      <c r="DS458" s="114"/>
      <c r="DT458" s="114"/>
      <c r="DU458" s="114"/>
      <c r="DV458" s="114"/>
      <c r="DW458" s="114"/>
      <c r="DX458" s="114"/>
      <c r="DY458" s="114"/>
      <c r="DZ458" s="114"/>
      <c r="EA458" s="114"/>
      <c r="EB458" s="114"/>
      <c r="EC458" s="114"/>
      <c r="ED458" s="114"/>
      <c r="EE458" s="114"/>
      <c r="EF458" s="114">
        <v>150</v>
      </c>
      <c r="EG458" s="114">
        <v>1500</v>
      </c>
      <c r="EH458" s="114">
        <v>7.5</v>
      </c>
      <c r="EI458" s="120">
        <v>0.9</v>
      </c>
      <c r="EJ458" s="114">
        <v>2</v>
      </c>
      <c r="EK458" s="114">
        <v>60</v>
      </c>
      <c r="EL458" s="126">
        <f t="shared" si="491"/>
        <v>810</v>
      </c>
      <c r="EM458" s="114"/>
      <c r="EN458" s="114"/>
      <c r="EO458" s="114"/>
      <c r="EP458" s="114"/>
      <c r="EQ458" s="114"/>
      <c r="ER458" s="114"/>
      <c r="ES458" s="114"/>
      <c r="ET458" s="114"/>
      <c r="EU458" s="118">
        <f t="shared" si="507"/>
        <v>1.8518518518518519</v>
      </c>
      <c r="EV458" s="114"/>
      <c r="EW458" s="114"/>
      <c r="EX458" s="114"/>
      <c r="EY458" s="114"/>
      <c r="EZ458" s="114"/>
      <c r="FA458" s="114"/>
      <c r="FB458" s="114"/>
      <c r="FC458" s="114"/>
      <c r="FD458" s="114"/>
      <c r="FE458" s="114"/>
      <c r="FF458" s="114"/>
      <c r="FG458" s="114"/>
      <c r="FH458" s="114"/>
      <c r="FI458" s="114"/>
      <c r="FJ458" s="114"/>
      <c r="FK458" s="114"/>
      <c r="FL458" s="114"/>
      <c r="FM458" s="114"/>
      <c r="FN458" s="114"/>
      <c r="FO458" s="114"/>
      <c r="FP458" s="114"/>
      <c r="FQ458" s="114"/>
      <c r="FR458" s="114"/>
      <c r="FS458" s="114"/>
      <c r="FT458" s="114"/>
      <c r="FU458" s="114"/>
      <c r="FV458" s="114"/>
      <c r="FW458" s="114"/>
      <c r="FX458" s="114"/>
      <c r="FY458" s="114"/>
      <c r="FZ458" s="114"/>
      <c r="GA458" s="114"/>
      <c r="GB458" s="114"/>
      <c r="GC458" s="114"/>
      <c r="GD458" s="114"/>
      <c r="GE458" s="114"/>
      <c r="GF458" s="114"/>
      <c r="GG458" s="114"/>
      <c r="GH458" s="114"/>
      <c r="GI458" s="114"/>
      <c r="GJ458" s="114"/>
      <c r="GK458" s="114"/>
      <c r="GL458" s="114"/>
      <c r="GM458" s="114"/>
      <c r="GN458" s="114"/>
      <c r="GO458" s="114"/>
      <c r="GP458" s="114"/>
      <c r="GQ458" s="114"/>
      <c r="GR458" s="120">
        <v>0.11</v>
      </c>
      <c r="GS458" s="118">
        <f t="shared" si="493"/>
        <v>0.58339620370370371</v>
      </c>
      <c r="GT458" s="125">
        <v>1.2500000000000001E-2</v>
      </c>
      <c r="GU458" s="118">
        <f t="shared" si="494"/>
        <v>6.6295023148148155E-2</v>
      </c>
      <c r="GV458" s="120">
        <v>0.02</v>
      </c>
      <c r="GW458" s="118">
        <f t="shared" si="495"/>
        <v>3.7037037037037035E-2</v>
      </c>
      <c r="GX458" s="118">
        <f t="shared" si="496"/>
        <v>0.68672826388888897</v>
      </c>
      <c r="GY458" s="114" t="s">
        <v>130</v>
      </c>
      <c r="GZ458" s="114" t="s">
        <v>130</v>
      </c>
      <c r="HA458" s="118">
        <v>650</v>
      </c>
      <c r="HB458" s="118">
        <v>450</v>
      </c>
      <c r="HC458" s="114">
        <v>330</v>
      </c>
      <c r="HD458" s="114">
        <v>200</v>
      </c>
      <c r="HE458" s="114">
        <v>200</v>
      </c>
      <c r="HF458" s="118">
        <f t="shared" si="503"/>
        <v>1</v>
      </c>
      <c r="HG458" s="114">
        <v>5</v>
      </c>
      <c r="HH458" s="118">
        <f t="shared" si="497"/>
        <v>5</v>
      </c>
      <c r="HI458" s="114">
        <v>650</v>
      </c>
      <c r="HJ458" s="118">
        <f t="shared" si="498"/>
        <v>3250</v>
      </c>
      <c r="HK458" s="114"/>
      <c r="HL458" s="114"/>
      <c r="HM458" s="118">
        <v>2</v>
      </c>
      <c r="HN458" s="126">
        <f t="shared" si="499"/>
        <v>120000</v>
      </c>
      <c r="HO458" s="118">
        <f>ROUNDUP((IF(GY458="carton box",HI458/HD458,HJ458/HN458)),2)</f>
        <v>0.03</v>
      </c>
      <c r="HP458" s="118">
        <v>160</v>
      </c>
      <c r="HQ458" s="114">
        <v>0</v>
      </c>
      <c r="HR458" s="118">
        <v>0</v>
      </c>
      <c r="HS458" s="118">
        <v>0</v>
      </c>
      <c r="HT458" s="118">
        <f t="shared" si="500"/>
        <v>0</v>
      </c>
      <c r="HU458" s="118"/>
      <c r="HV458" s="118">
        <f t="shared" si="501"/>
        <v>0.03</v>
      </c>
      <c r="HW458" s="118"/>
      <c r="HX458" s="118">
        <v>4200</v>
      </c>
      <c r="HY458" s="118">
        <v>1900</v>
      </c>
      <c r="HZ458" s="118">
        <v>1975</v>
      </c>
      <c r="IA458" s="118">
        <f t="shared" si="504"/>
        <v>6</v>
      </c>
      <c r="IB458" s="118">
        <f t="shared" si="505"/>
        <v>4</v>
      </c>
      <c r="IC458" s="118">
        <f t="shared" si="506"/>
        <v>5</v>
      </c>
      <c r="ID458" s="120">
        <v>0.95</v>
      </c>
      <c r="IE458" s="126">
        <f t="shared" ref="IE458:IE463" si="512">PRODUCT(IA458:ID458)</f>
        <v>114</v>
      </c>
      <c r="IF458" s="118">
        <v>500</v>
      </c>
      <c r="IG458" s="118">
        <f>ROUNDUP(IF458/(IE458*HD458),2)</f>
        <v>0.03</v>
      </c>
      <c r="IH458" s="4"/>
    </row>
    <row r="459" spans="1:251">
      <c r="A459">
        <v>423</v>
      </c>
      <c r="B459" t="s">
        <v>468</v>
      </c>
      <c r="C459" s="114" t="s">
        <v>1949</v>
      </c>
      <c r="D459" s="28" t="s">
        <v>1277</v>
      </c>
      <c r="E459" s="28" t="s">
        <v>657</v>
      </c>
      <c r="F459" s="5" t="s">
        <v>2182</v>
      </c>
      <c r="G459" s="27" t="s">
        <v>90</v>
      </c>
      <c r="I459" s="27" t="s">
        <v>226</v>
      </c>
      <c r="J459" s="28">
        <v>21590</v>
      </c>
      <c r="K459" s="27" t="s">
        <v>397</v>
      </c>
      <c r="L459" s="114"/>
      <c r="M459" s="114"/>
      <c r="N459" s="115"/>
      <c r="O459" s="115"/>
      <c r="P459" s="115"/>
      <c r="Q459" s="13" t="s">
        <v>1768</v>
      </c>
      <c r="R459" s="13" t="s">
        <v>1769</v>
      </c>
      <c r="V459" s="319"/>
      <c r="W459" s="241"/>
      <c r="X459" s="241"/>
      <c r="Y459" s="241"/>
      <c r="Z459" s="241"/>
      <c r="AA459" s="115" t="s">
        <v>1945</v>
      </c>
      <c r="AB459" s="121">
        <v>190.5</v>
      </c>
      <c r="AC459" s="114">
        <v>20</v>
      </c>
      <c r="AD459" s="115" t="s">
        <v>1948</v>
      </c>
      <c r="AE459" s="119">
        <f t="shared" si="468"/>
        <v>3.75</v>
      </c>
      <c r="AF459" s="106"/>
      <c r="AG459" s="119">
        <f t="shared" si="469"/>
        <v>1.49</v>
      </c>
      <c r="AH459" s="106">
        <f t="shared" si="470"/>
        <v>0</v>
      </c>
      <c r="AI459" s="106">
        <f t="shared" si="471"/>
        <v>0</v>
      </c>
      <c r="AJ459" s="106">
        <f t="shared" si="472"/>
        <v>0.03</v>
      </c>
      <c r="AK459" s="106">
        <f t="shared" si="473"/>
        <v>6.9999999999999993E-2</v>
      </c>
      <c r="AL459" s="106">
        <f t="shared" si="474"/>
        <v>0.57999999999999996</v>
      </c>
      <c r="AM459" s="106">
        <f t="shared" si="475"/>
        <v>0.01</v>
      </c>
      <c r="AN459" s="106">
        <f t="shared" si="476"/>
        <v>0.01</v>
      </c>
      <c r="AO459" s="106">
        <f t="shared" si="477"/>
        <v>0</v>
      </c>
      <c r="AP459" s="106"/>
      <c r="AQ459" s="106">
        <f t="shared" si="478"/>
        <v>5.94</v>
      </c>
      <c r="AR459" s="106">
        <f>IJ459</f>
        <v>0</v>
      </c>
      <c r="AS459" s="106">
        <f t="shared" si="480"/>
        <v>0</v>
      </c>
      <c r="AT459" s="106">
        <v>0</v>
      </c>
      <c r="AU459" s="106">
        <v>0</v>
      </c>
      <c r="AV459" s="106">
        <f t="shared" si="481"/>
        <v>5.94</v>
      </c>
      <c r="AW459" s="138">
        <v>0.02</v>
      </c>
      <c r="AX459" s="105">
        <v>1.7000000000000001E-2</v>
      </c>
      <c r="AY459" s="108">
        <v>1</v>
      </c>
      <c r="AZ459" s="109">
        <f t="shared" si="482"/>
        <v>2.9999999999999992E-3</v>
      </c>
      <c r="BA459" s="109">
        <f t="shared" si="483"/>
        <v>3.75</v>
      </c>
      <c r="BB459" s="109"/>
      <c r="BC459" s="109"/>
      <c r="BD459" s="109"/>
      <c r="BE459" s="109"/>
      <c r="BF459" s="109"/>
      <c r="BG459" s="109"/>
      <c r="BH459" s="109"/>
      <c r="BI459" s="109"/>
      <c r="BJ459" s="109"/>
      <c r="BK459" s="109"/>
      <c r="BL459" s="109"/>
      <c r="BM459" s="109"/>
      <c r="BN459" s="109"/>
      <c r="BO459" s="109"/>
      <c r="BP459" s="109"/>
      <c r="BQ459" s="109"/>
      <c r="BR459" s="109"/>
      <c r="BS459" s="109"/>
      <c r="BT459" s="109"/>
      <c r="BU459" s="109"/>
      <c r="BV459" s="109"/>
      <c r="BW459" s="109"/>
      <c r="BX459" s="109"/>
      <c r="BY459" s="109"/>
      <c r="BZ459" s="109"/>
      <c r="CA459" s="109"/>
      <c r="CB459" s="109"/>
      <c r="CC459" s="109"/>
      <c r="CD459" s="105"/>
      <c r="CE459" s="109">
        <v>0</v>
      </c>
      <c r="CF459" s="109">
        <v>0</v>
      </c>
      <c r="CG459" s="109">
        <v>0</v>
      </c>
      <c r="CH459" s="105">
        <f t="shared" si="508"/>
        <v>0</v>
      </c>
      <c r="CI459" s="139"/>
      <c r="CJ459" s="105"/>
      <c r="CK459" s="105">
        <v>0</v>
      </c>
      <c r="CL459" s="105">
        <v>0</v>
      </c>
      <c r="CM459" s="105">
        <f t="shared" si="509"/>
        <v>0</v>
      </c>
      <c r="CN459" s="139"/>
      <c r="CO459" s="105"/>
      <c r="CP459" s="105">
        <v>0</v>
      </c>
      <c r="CQ459" s="105">
        <v>0</v>
      </c>
      <c r="CR459" s="105">
        <f t="shared" si="510"/>
        <v>0</v>
      </c>
      <c r="CS459" s="105"/>
      <c r="CT459" s="105"/>
      <c r="CU459" s="105">
        <v>0</v>
      </c>
      <c r="CV459" s="105">
        <v>0</v>
      </c>
      <c r="CW459" s="105">
        <f t="shared" si="511"/>
        <v>0</v>
      </c>
      <c r="CX459" s="105"/>
      <c r="CY459" s="105"/>
      <c r="CZ459" s="105"/>
      <c r="DA459" s="105"/>
      <c r="DB459" s="105"/>
      <c r="DC459" s="105"/>
      <c r="DD459" s="105"/>
      <c r="DE459" s="105"/>
      <c r="DF459" s="105"/>
      <c r="DG459" s="105"/>
      <c r="DH459" s="105"/>
      <c r="DI459" s="105"/>
      <c r="DJ459" s="105"/>
      <c r="DK459" s="105"/>
      <c r="DL459" s="105"/>
      <c r="DM459" s="109">
        <f t="shared" si="488"/>
        <v>0</v>
      </c>
      <c r="DN459" s="110">
        <v>1.2500000000000001E-2</v>
      </c>
      <c r="DO459" s="109">
        <f t="shared" si="489"/>
        <v>0</v>
      </c>
      <c r="DP459" s="109">
        <f t="shared" si="490"/>
        <v>0</v>
      </c>
      <c r="DQ459" s="105"/>
      <c r="DR459" s="105"/>
      <c r="DS459" s="105"/>
      <c r="DT459" s="105"/>
      <c r="DU459" s="105"/>
      <c r="DV459" s="105"/>
      <c r="DW459" s="105"/>
      <c r="DX459" s="105"/>
      <c r="DY459" s="105"/>
      <c r="DZ459" s="105"/>
      <c r="EA459" s="105"/>
      <c r="EB459" s="105"/>
      <c r="EC459" s="105"/>
      <c r="ED459" s="105"/>
      <c r="EE459" s="105"/>
      <c r="EF459" s="105">
        <v>60</v>
      </c>
      <c r="EG459" s="105">
        <v>600</v>
      </c>
      <c r="EH459" s="105">
        <v>7.5</v>
      </c>
      <c r="EI459" s="108">
        <v>0.9</v>
      </c>
      <c r="EJ459" s="105">
        <v>1</v>
      </c>
      <c r="EK459" s="105">
        <v>60</v>
      </c>
      <c r="EL459" s="111">
        <f t="shared" si="491"/>
        <v>405</v>
      </c>
      <c r="EM459" s="105"/>
      <c r="EN459" s="105"/>
      <c r="EO459" s="105"/>
      <c r="EP459" s="105"/>
      <c r="EQ459" s="105"/>
      <c r="ER459" s="105"/>
      <c r="ES459" s="105"/>
      <c r="ET459" s="105"/>
      <c r="EU459" s="109">
        <f>ROUNDUP((EG459/EL459+EM459+EX459+EP459+EQ459+ER459+EO459),2)</f>
        <v>1.49</v>
      </c>
      <c r="EV459" s="105"/>
      <c r="EW459" s="105"/>
      <c r="EX459" s="105"/>
      <c r="EY459" s="105"/>
      <c r="EZ459" s="105"/>
      <c r="FA459" s="105"/>
      <c r="FB459" s="105"/>
      <c r="FC459" s="105"/>
      <c r="FD459" s="105"/>
      <c r="FE459" s="105"/>
      <c r="FF459" s="105"/>
      <c r="FG459" s="105"/>
      <c r="FH459" s="105"/>
      <c r="FI459" s="105"/>
      <c r="FJ459" s="105"/>
      <c r="FK459" s="105"/>
      <c r="FL459" s="105"/>
      <c r="FM459" s="105"/>
      <c r="FN459" s="105"/>
      <c r="FO459" s="105"/>
      <c r="FP459" s="105"/>
      <c r="FQ459" s="105"/>
      <c r="FR459" s="105"/>
      <c r="FS459" s="105"/>
      <c r="FT459" s="105"/>
      <c r="FU459" s="105"/>
      <c r="FV459" s="105"/>
      <c r="FW459" s="105"/>
      <c r="FX459" s="105"/>
      <c r="FY459" s="105"/>
      <c r="FZ459" s="105"/>
      <c r="GA459" s="105"/>
      <c r="GB459" s="105"/>
      <c r="GC459" s="105"/>
      <c r="GD459" s="105"/>
      <c r="GE459" s="105"/>
      <c r="GF459" s="105"/>
      <c r="GG459" s="105"/>
      <c r="GH459" s="105"/>
      <c r="GI459" s="105"/>
      <c r="GJ459" s="105"/>
      <c r="GK459" s="105"/>
      <c r="GL459" s="105"/>
      <c r="GM459" s="105"/>
      <c r="GN459" s="105"/>
      <c r="GO459" s="105"/>
      <c r="GP459" s="105"/>
      <c r="GQ459" s="105"/>
      <c r="GR459" s="108">
        <v>0.11</v>
      </c>
      <c r="GS459" s="109">
        <f>ROUNDUP(GR459*(BA459+EU459),2)</f>
        <v>0.57999999999999996</v>
      </c>
      <c r="GT459" s="110">
        <v>1.2500000000000001E-2</v>
      </c>
      <c r="GU459" s="109">
        <f>ROUNDUP(GT459*(EU459+BA459),2)</f>
        <v>6.9999999999999993E-2</v>
      </c>
      <c r="GV459" s="108">
        <v>0.02</v>
      </c>
      <c r="GW459" s="109">
        <f>ROUNDUP(GV459*(EU459-EP459-EQ459),2)</f>
        <v>0.03</v>
      </c>
      <c r="GX459" s="109">
        <f t="shared" si="496"/>
        <v>0.67999999999999994</v>
      </c>
      <c r="GY459" s="105" t="s">
        <v>130</v>
      </c>
      <c r="GZ459" s="105" t="s">
        <v>130</v>
      </c>
      <c r="HA459" s="109">
        <v>650</v>
      </c>
      <c r="HB459" s="109">
        <v>450</v>
      </c>
      <c r="HC459" s="105">
        <v>330</v>
      </c>
      <c r="HD459" s="105">
        <v>800</v>
      </c>
      <c r="HE459" s="105">
        <v>800</v>
      </c>
      <c r="HF459" s="109">
        <f t="shared" si="503"/>
        <v>1</v>
      </c>
      <c r="HG459" s="105">
        <v>5</v>
      </c>
      <c r="HH459" s="109">
        <f t="shared" si="497"/>
        <v>5</v>
      </c>
      <c r="HI459" s="105">
        <v>650</v>
      </c>
      <c r="HJ459" s="109">
        <f t="shared" si="498"/>
        <v>3250</v>
      </c>
      <c r="HK459" s="105"/>
      <c r="HL459" s="105"/>
      <c r="HM459" s="109">
        <v>2</v>
      </c>
      <c r="HN459" s="111">
        <f t="shared" si="499"/>
        <v>480000</v>
      </c>
      <c r="HO459" s="109">
        <f>ROUNDUP((IF(GY459="carton box",HI459/HD459,HJ459/HN459)),2)</f>
        <v>0.01</v>
      </c>
      <c r="HP459" s="109">
        <v>160</v>
      </c>
      <c r="HQ459" s="105">
        <v>0</v>
      </c>
      <c r="HR459" s="109">
        <v>0</v>
      </c>
      <c r="HS459" s="109">
        <v>0</v>
      </c>
      <c r="HT459" s="109">
        <f t="shared" si="500"/>
        <v>0</v>
      </c>
      <c r="HU459" s="109"/>
      <c r="HV459" s="109">
        <f t="shared" si="501"/>
        <v>0.01</v>
      </c>
      <c r="HW459" s="109"/>
      <c r="HX459" s="109">
        <v>4200</v>
      </c>
      <c r="HY459" s="109">
        <v>1900</v>
      </c>
      <c r="HZ459" s="109">
        <v>1975</v>
      </c>
      <c r="IA459" s="109">
        <f t="shared" si="504"/>
        <v>6</v>
      </c>
      <c r="IB459" s="109">
        <f t="shared" si="505"/>
        <v>4</v>
      </c>
      <c r="IC459" s="109">
        <f t="shared" si="506"/>
        <v>5</v>
      </c>
      <c r="ID459" s="108">
        <v>0.95</v>
      </c>
      <c r="IE459" s="111">
        <f t="shared" si="512"/>
        <v>114</v>
      </c>
      <c r="IF459" s="109">
        <v>500</v>
      </c>
      <c r="IG459" s="109">
        <f>ROUNDUP(IF459/(IE459*HD459),2)</f>
        <v>0.01</v>
      </c>
      <c r="IH459" s="109"/>
      <c r="II459" s="108">
        <v>0</v>
      </c>
      <c r="IJ459" s="109">
        <f>ROUNDUP(II459*(BA459+EU459),2)</f>
        <v>0</v>
      </c>
    </row>
    <row r="460" spans="1:251" ht="27">
      <c r="A460" s="277">
        <v>425</v>
      </c>
      <c r="B460" s="264" t="s">
        <v>468</v>
      </c>
      <c r="C460" s="265" t="s">
        <v>1951</v>
      </c>
      <c r="D460" s="266" t="s">
        <v>1280</v>
      </c>
      <c r="E460" s="266" t="s">
        <v>1281</v>
      </c>
      <c r="F460" s="5" t="s">
        <v>2182</v>
      </c>
      <c r="G460" s="266" t="s">
        <v>90</v>
      </c>
      <c r="H460" s="264"/>
      <c r="I460" s="266" t="s">
        <v>226</v>
      </c>
      <c r="J460" s="266">
        <v>21590</v>
      </c>
      <c r="K460" s="266" t="s">
        <v>397</v>
      </c>
      <c r="L460" s="267">
        <v>20089</v>
      </c>
      <c r="M460" s="267" t="s">
        <v>226</v>
      </c>
      <c r="N460" s="268"/>
      <c r="O460" s="268"/>
      <c r="P460" s="268"/>
      <c r="Q460" s="264" t="s">
        <v>1768</v>
      </c>
      <c r="R460" s="264" t="s">
        <v>1769</v>
      </c>
      <c r="S460" s="264"/>
      <c r="T460" s="264"/>
      <c r="U460" s="264"/>
      <c r="V460" s="320"/>
      <c r="W460" s="269" t="s">
        <v>1952</v>
      </c>
      <c r="X460" s="269"/>
      <c r="Y460" s="269"/>
      <c r="Z460" s="269"/>
      <c r="AA460" s="267" t="s">
        <v>1950</v>
      </c>
      <c r="AB460" s="350">
        <v>155.26</v>
      </c>
      <c r="AC460" s="270">
        <v>20</v>
      </c>
      <c r="AD460" s="267" t="s">
        <v>280</v>
      </c>
      <c r="AE460" s="271">
        <f t="shared" si="468"/>
        <v>45.956959999999995</v>
      </c>
      <c r="AF460" s="271"/>
      <c r="AG460" s="271">
        <f t="shared" si="469"/>
        <v>11.299999999999999</v>
      </c>
      <c r="AH460" s="271">
        <f t="shared" si="470"/>
        <v>4.5</v>
      </c>
      <c r="AI460" s="271">
        <f t="shared" si="471"/>
        <v>5.6250000000000001E-2</v>
      </c>
      <c r="AJ460" s="271">
        <f t="shared" si="472"/>
        <v>0.22599999999999998</v>
      </c>
      <c r="AK460" s="271">
        <f t="shared" si="473"/>
        <v>0.7157119999999999</v>
      </c>
      <c r="AL460" s="271">
        <f t="shared" si="474"/>
        <v>6.2982655999999988</v>
      </c>
      <c r="AM460" s="271">
        <f t="shared" si="475"/>
        <v>2.6683333333333334</v>
      </c>
      <c r="AN460" s="271">
        <f t="shared" si="476"/>
        <v>0.44</v>
      </c>
      <c r="AO460" s="271">
        <f t="shared" si="477"/>
        <v>0</v>
      </c>
      <c r="AP460" s="271"/>
      <c r="AQ460" s="271">
        <f t="shared" si="478"/>
        <v>72.161520933333321</v>
      </c>
      <c r="AR460" s="271">
        <f>IJ460</f>
        <v>0</v>
      </c>
      <c r="AS460" s="271">
        <f t="shared" si="480"/>
        <v>0</v>
      </c>
      <c r="AT460" s="271">
        <v>0</v>
      </c>
      <c r="AU460" s="271">
        <f>72.21-72.16</f>
        <v>4.9999999999997158E-2</v>
      </c>
      <c r="AV460" s="271">
        <f t="shared" si="481"/>
        <v>72.211520933333318</v>
      </c>
      <c r="AW460" s="272">
        <v>0.29599999999999999</v>
      </c>
      <c r="AX460" s="272">
        <v>0.29599999999999999</v>
      </c>
      <c r="AY460" s="273">
        <v>0</v>
      </c>
      <c r="AZ460" s="274">
        <f t="shared" si="482"/>
        <v>0</v>
      </c>
      <c r="BA460" s="274">
        <f t="shared" si="483"/>
        <v>45.956959999999995</v>
      </c>
      <c r="BB460" s="274"/>
      <c r="BC460" s="274"/>
      <c r="BD460" s="274"/>
      <c r="BE460" s="274"/>
      <c r="BF460" s="274"/>
      <c r="BG460" s="274"/>
      <c r="BH460" s="274"/>
      <c r="BI460" s="274"/>
      <c r="BJ460" s="274"/>
      <c r="BK460" s="274"/>
      <c r="BL460" s="274"/>
      <c r="BM460" s="274"/>
      <c r="BN460" s="274"/>
      <c r="BO460" s="274"/>
      <c r="BP460" s="274"/>
      <c r="BQ460" s="274"/>
      <c r="BR460" s="274"/>
      <c r="BS460" s="274"/>
      <c r="BT460" s="274"/>
      <c r="BU460" s="274"/>
      <c r="BV460" s="274"/>
      <c r="BW460" s="274"/>
      <c r="BX460" s="274"/>
      <c r="BY460" s="274"/>
      <c r="BZ460" s="274"/>
      <c r="CA460" s="274"/>
      <c r="CB460" s="274"/>
      <c r="CC460" s="274"/>
      <c r="CD460" s="272"/>
      <c r="CE460" s="274">
        <v>0</v>
      </c>
      <c r="CF460" s="274">
        <v>2</v>
      </c>
      <c r="CG460" s="272">
        <v>2.25</v>
      </c>
      <c r="CH460" s="272">
        <f t="shared" si="508"/>
        <v>4.5</v>
      </c>
      <c r="CI460" s="272"/>
      <c r="CJ460" s="272"/>
      <c r="CK460" s="272">
        <v>0</v>
      </c>
      <c r="CL460" s="272">
        <v>0</v>
      </c>
      <c r="CM460" s="272">
        <f t="shared" si="509"/>
        <v>0</v>
      </c>
      <c r="CN460" s="272"/>
      <c r="CO460" s="272"/>
      <c r="CP460" s="272">
        <v>0</v>
      </c>
      <c r="CQ460" s="272">
        <v>0</v>
      </c>
      <c r="CR460" s="272">
        <f t="shared" si="510"/>
        <v>0</v>
      </c>
      <c r="CS460" s="272"/>
      <c r="CT460" s="272"/>
      <c r="CU460" s="272">
        <v>0</v>
      </c>
      <c r="CV460" s="272">
        <v>0</v>
      </c>
      <c r="CW460" s="272">
        <f t="shared" si="511"/>
        <v>0</v>
      </c>
      <c r="CX460" s="272"/>
      <c r="CY460" s="272"/>
      <c r="CZ460" s="272"/>
      <c r="DA460" s="272"/>
      <c r="DB460" s="272"/>
      <c r="DC460" s="272"/>
      <c r="DD460" s="272"/>
      <c r="DE460" s="272"/>
      <c r="DF460" s="272"/>
      <c r="DG460" s="272"/>
      <c r="DH460" s="272"/>
      <c r="DI460" s="272"/>
      <c r="DJ460" s="272"/>
      <c r="DK460" s="272"/>
      <c r="DL460" s="272"/>
      <c r="DM460" s="274">
        <f t="shared" si="488"/>
        <v>4.5</v>
      </c>
      <c r="DN460" s="275">
        <v>1.2500000000000001E-2</v>
      </c>
      <c r="DO460" s="274">
        <f t="shared" si="489"/>
        <v>5.6250000000000001E-2</v>
      </c>
      <c r="DP460" s="274">
        <f t="shared" si="490"/>
        <v>4.5562500000000004</v>
      </c>
      <c r="DQ460" s="272"/>
      <c r="DR460" s="272"/>
      <c r="DS460" s="272"/>
      <c r="DT460" s="272"/>
      <c r="DU460" s="272"/>
      <c r="DV460" s="272"/>
      <c r="DW460" s="272"/>
      <c r="DX460" s="272"/>
      <c r="DY460" s="272"/>
      <c r="DZ460" s="272"/>
      <c r="EA460" s="272"/>
      <c r="EB460" s="272"/>
      <c r="EC460" s="272"/>
      <c r="ED460" s="272"/>
      <c r="EE460" s="272"/>
      <c r="EF460" s="272">
        <v>450</v>
      </c>
      <c r="EG460" s="272">
        <v>4500</v>
      </c>
      <c r="EH460" s="272">
        <v>7.5</v>
      </c>
      <c r="EI460" s="273">
        <v>0.9</v>
      </c>
      <c r="EJ460" s="272">
        <v>1</v>
      </c>
      <c r="EK460" s="272">
        <v>61</v>
      </c>
      <c r="EL460" s="276">
        <f t="shared" si="491"/>
        <v>398.36065573770492</v>
      </c>
      <c r="EM460" s="272"/>
      <c r="EN460" s="272"/>
      <c r="EO460" s="272"/>
      <c r="EP460" s="272"/>
      <c r="EQ460" s="272"/>
      <c r="ER460" s="272"/>
      <c r="ES460" s="272"/>
      <c r="ET460" s="272"/>
      <c r="EU460" s="274">
        <f>ROUNDUP((EG460/EL460+EM460+EX460+EP460+EQ460+ER460+EO460),2)</f>
        <v>11.299999999999999</v>
      </c>
      <c r="EV460" s="272"/>
      <c r="EW460" s="272"/>
      <c r="EX460" s="272"/>
      <c r="EY460" s="272"/>
      <c r="EZ460" s="272"/>
      <c r="FA460" s="272"/>
      <c r="FB460" s="272"/>
      <c r="FC460" s="272"/>
      <c r="FD460" s="272"/>
      <c r="FE460" s="272"/>
      <c r="FF460" s="272"/>
      <c r="FG460" s="272"/>
      <c r="FH460" s="272"/>
      <c r="FI460" s="272"/>
      <c r="FJ460" s="272"/>
      <c r="FK460" s="272"/>
      <c r="FL460" s="272"/>
      <c r="FM460" s="272"/>
      <c r="FN460" s="272"/>
      <c r="FO460" s="272"/>
      <c r="FP460" s="272"/>
      <c r="FQ460" s="272"/>
      <c r="FR460" s="272"/>
      <c r="FS460" s="272"/>
      <c r="FT460" s="272"/>
      <c r="FU460" s="272"/>
      <c r="FV460" s="272"/>
      <c r="FW460" s="272"/>
      <c r="FX460" s="272"/>
      <c r="FY460" s="272"/>
      <c r="FZ460" s="272"/>
      <c r="GA460" s="272"/>
      <c r="GB460" s="272"/>
      <c r="GC460" s="272"/>
      <c r="GD460" s="272"/>
      <c r="GE460" s="272"/>
      <c r="GF460" s="272"/>
      <c r="GG460" s="272"/>
      <c r="GH460" s="272"/>
      <c r="GI460" s="272"/>
      <c r="GJ460" s="272"/>
      <c r="GK460" s="272"/>
      <c r="GL460" s="272"/>
      <c r="GM460" s="272"/>
      <c r="GN460" s="272"/>
      <c r="GO460" s="272"/>
      <c r="GP460" s="272"/>
      <c r="GQ460" s="272"/>
      <c r="GR460" s="273">
        <v>0.11</v>
      </c>
      <c r="GS460" s="274">
        <f>GR460*(BA460+EU460)</f>
        <v>6.2982655999999988</v>
      </c>
      <c r="GT460" s="275">
        <v>1.2500000000000001E-2</v>
      </c>
      <c r="GU460" s="274">
        <f>GT460*(EU460+BA460)</f>
        <v>0.7157119999999999</v>
      </c>
      <c r="GV460" s="273">
        <v>0.02</v>
      </c>
      <c r="GW460" s="274">
        <f>GV460*(EU460-EP460-EQ460)</f>
        <v>0.22599999999999998</v>
      </c>
      <c r="GX460" s="274">
        <f t="shared" si="496"/>
        <v>7.2399775999999987</v>
      </c>
      <c r="GY460" s="272" t="s">
        <v>130</v>
      </c>
      <c r="GZ460" s="272" t="s">
        <v>130</v>
      </c>
      <c r="HA460" s="274">
        <v>810</v>
      </c>
      <c r="HB460" s="274">
        <v>568</v>
      </c>
      <c r="HC460" s="272">
        <v>425</v>
      </c>
      <c r="HD460" s="272">
        <v>20</v>
      </c>
      <c r="HE460" s="272">
        <v>500</v>
      </c>
      <c r="HF460" s="274">
        <f t="shared" si="503"/>
        <v>25</v>
      </c>
      <c r="HG460" s="272">
        <v>5</v>
      </c>
      <c r="HH460" s="274">
        <f t="shared" si="497"/>
        <v>125</v>
      </c>
      <c r="HI460" s="272">
        <v>1100</v>
      </c>
      <c r="HJ460" s="274">
        <f t="shared" si="498"/>
        <v>137500</v>
      </c>
      <c r="HK460" s="272"/>
      <c r="HL460" s="272"/>
      <c r="HM460" s="274">
        <v>2</v>
      </c>
      <c r="HN460" s="276">
        <f t="shared" si="499"/>
        <v>300000</v>
      </c>
      <c r="HO460" s="274">
        <f>(IF(GY460="carton box",HI460/HD460,HJ460/HN460))</f>
        <v>0.45833333333333331</v>
      </c>
      <c r="HP460" s="274">
        <v>160</v>
      </c>
      <c r="HQ460" s="272">
        <v>0</v>
      </c>
      <c r="HR460" s="274">
        <v>2.21</v>
      </c>
      <c r="HS460" s="274">
        <v>1</v>
      </c>
      <c r="HT460" s="274">
        <f t="shared" si="500"/>
        <v>2.21</v>
      </c>
      <c r="HU460" s="274"/>
      <c r="HV460" s="274">
        <f t="shared" si="501"/>
        <v>2.6683333333333334</v>
      </c>
      <c r="HW460" s="274"/>
      <c r="HX460" s="274">
        <v>4200</v>
      </c>
      <c r="HY460" s="274">
        <v>1900</v>
      </c>
      <c r="HZ460" s="274">
        <v>1975</v>
      </c>
      <c r="IA460" s="274">
        <f t="shared" si="504"/>
        <v>5</v>
      </c>
      <c r="IB460" s="274">
        <f t="shared" si="505"/>
        <v>3</v>
      </c>
      <c r="IC460" s="274">
        <f t="shared" si="506"/>
        <v>4</v>
      </c>
      <c r="ID460" s="273">
        <v>0.95</v>
      </c>
      <c r="IE460" s="276">
        <f t="shared" si="512"/>
        <v>57</v>
      </c>
      <c r="IF460" s="274">
        <v>500</v>
      </c>
      <c r="IG460" s="274">
        <f>ROUNDUP(IF460/(IE460*HD460),2)</f>
        <v>0.44</v>
      </c>
      <c r="IH460" s="274"/>
      <c r="II460" s="267"/>
      <c r="IJ460" s="267"/>
      <c r="IK460" s="264"/>
      <c r="IL460" s="264"/>
      <c r="IM460" s="264"/>
      <c r="IN460" s="264"/>
      <c r="IO460" s="264"/>
      <c r="IP460" s="264"/>
      <c r="IQ460" s="264"/>
    </row>
    <row r="461" spans="1:251">
      <c r="A461">
        <v>427</v>
      </c>
      <c r="B461" t="s">
        <v>468</v>
      </c>
      <c r="C461" s="114" t="s">
        <v>1954</v>
      </c>
      <c r="D461" s="28" t="s">
        <v>1282</v>
      </c>
      <c r="E461" s="28" t="s">
        <v>1283</v>
      </c>
      <c r="F461" s="5" t="s">
        <v>2182</v>
      </c>
      <c r="G461" s="27" t="s">
        <v>90</v>
      </c>
      <c r="I461" s="27" t="s">
        <v>226</v>
      </c>
      <c r="J461" s="28">
        <v>21590</v>
      </c>
      <c r="K461" s="27" t="s">
        <v>397</v>
      </c>
      <c r="L461" s="240">
        <v>20089</v>
      </c>
      <c r="M461" s="114" t="s">
        <v>226</v>
      </c>
      <c r="N461" s="278"/>
      <c r="O461" s="278"/>
      <c r="P461" s="278"/>
      <c r="Q461" s="13" t="s">
        <v>1768</v>
      </c>
      <c r="R461" s="13" t="s">
        <v>1769</v>
      </c>
      <c r="V461" s="319"/>
      <c r="W461" s="241" t="s">
        <v>1795</v>
      </c>
      <c r="X461" s="241"/>
      <c r="Y461" s="241"/>
      <c r="Z461" s="241"/>
      <c r="AA461" s="115" t="s">
        <v>1953</v>
      </c>
      <c r="AB461" s="121">
        <v>95.51</v>
      </c>
      <c r="AC461" s="114">
        <v>20</v>
      </c>
      <c r="AD461" s="115" t="s">
        <v>280</v>
      </c>
      <c r="AE461" s="119">
        <f t="shared" si="468"/>
        <v>73.351680000000002</v>
      </c>
      <c r="AF461" s="119"/>
      <c r="AG461" s="119">
        <f t="shared" si="469"/>
        <v>12.777777777777779</v>
      </c>
      <c r="AH461" s="119">
        <f t="shared" si="470"/>
        <v>0</v>
      </c>
      <c r="AI461" s="119">
        <f t="shared" si="471"/>
        <v>0</v>
      </c>
      <c r="AJ461" s="119">
        <f t="shared" si="472"/>
        <v>0.25555555555555559</v>
      </c>
      <c r="AK461" s="119">
        <f t="shared" si="473"/>
        <v>1.0766182222222225</v>
      </c>
      <c r="AL461" s="119">
        <f t="shared" si="474"/>
        <v>9.4742403555555565</v>
      </c>
      <c r="AM461" s="119">
        <f t="shared" si="475"/>
        <v>4</v>
      </c>
      <c r="AN461" s="119">
        <f t="shared" si="476"/>
        <v>2.3809523809523809</v>
      </c>
      <c r="AO461" s="119">
        <f t="shared" si="477"/>
        <v>0</v>
      </c>
      <c r="AP461" s="119"/>
      <c r="AQ461" s="119">
        <f t="shared" si="478"/>
        <v>103.3168242920635</v>
      </c>
      <c r="AR461" s="119">
        <f>IJ461</f>
        <v>0</v>
      </c>
      <c r="AS461" s="119">
        <f t="shared" si="480"/>
        <v>0</v>
      </c>
      <c r="AT461" s="119">
        <v>0</v>
      </c>
      <c r="AU461" s="119">
        <v>0</v>
      </c>
      <c r="AV461" s="119">
        <f t="shared" si="481"/>
        <v>103.3168242920635</v>
      </c>
      <c r="AW461" s="114">
        <v>0.76800000000000002</v>
      </c>
      <c r="AX461" s="114">
        <v>0.76800000000000002</v>
      </c>
      <c r="AY461" s="120">
        <v>0</v>
      </c>
      <c r="AZ461" s="118">
        <f t="shared" si="482"/>
        <v>0</v>
      </c>
      <c r="BA461" s="118">
        <f t="shared" si="483"/>
        <v>73.351680000000002</v>
      </c>
      <c r="BB461" s="118"/>
      <c r="BC461" s="118"/>
      <c r="BD461" s="118"/>
      <c r="BE461" s="118"/>
      <c r="BF461" s="118"/>
      <c r="BG461" s="118"/>
      <c r="BH461" s="118"/>
      <c r="BI461" s="118"/>
      <c r="BJ461" s="118"/>
      <c r="BK461" s="118"/>
      <c r="BL461" s="118"/>
      <c r="BM461" s="118"/>
      <c r="BN461" s="118"/>
      <c r="BO461" s="118"/>
      <c r="BP461" s="118"/>
      <c r="BQ461" s="118"/>
      <c r="BR461" s="118"/>
      <c r="BS461" s="118"/>
      <c r="BT461" s="118"/>
      <c r="BU461" s="118"/>
      <c r="BV461" s="118"/>
      <c r="BW461" s="118"/>
      <c r="BX461" s="118"/>
      <c r="BY461" s="118"/>
      <c r="BZ461" s="118"/>
      <c r="CA461" s="118"/>
      <c r="CB461" s="118"/>
      <c r="CC461" s="118"/>
      <c r="CD461" s="114"/>
      <c r="CE461" s="118">
        <v>0</v>
      </c>
      <c r="CF461" s="118">
        <v>0</v>
      </c>
      <c r="CG461" s="118">
        <v>0</v>
      </c>
      <c r="CH461" s="114">
        <f t="shared" si="508"/>
        <v>0</v>
      </c>
      <c r="CI461" s="115"/>
      <c r="CJ461" s="114"/>
      <c r="CK461" s="114">
        <v>0</v>
      </c>
      <c r="CL461" s="114">
        <v>0</v>
      </c>
      <c r="CM461" s="114">
        <f t="shared" si="509"/>
        <v>0</v>
      </c>
      <c r="CN461" s="115"/>
      <c r="CO461" s="114"/>
      <c r="CP461" s="114">
        <v>0</v>
      </c>
      <c r="CQ461" s="114">
        <v>0</v>
      </c>
      <c r="CR461" s="114">
        <f t="shared" si="510"/>
        <v>0</v>
      </c>
      <c r="CS461" s="114"/>
      <c r="CT461" s="114"/>
      <c r="CU461" s="114">
        <v>0</v>
      </c>
      <c r="CV461" s="114">
        <v>0</v>
      </c>
      <c r="CW461" s="114">
        <f t="shared" si="511"/>
        <v>0</v>
      </c>
      <c r="CX461" s="114"/>
      <c r="CY461" s="114"/>
      <c r="CZ461" s="114"/>
      <c r="DA461" s="114"/>
      <c r="DB461" s="114"/>
      <c r="DC461" s="114"/>
      <c r="DD461" s="114"/>
      <c r="DE461" s="114"/>
      <c r="DF461" s="114"/>
      <c r="DG461" s="114"/>
      <c r="DH461" s="114"/>
      <c r="DI461" s="114"/>
      <c r="DJ461" s="114"/>
      <c r="DK461" s="114"/>
      <c r="DL461" s="114"/>
      <c r="DM461" s="118">
        <f t="shared" si="488"/>
        <v>0</v>
      </c>
      <c r="DN461" s="125">
        <v>1.2500000000000001E-2</v>
      </c>
      <c r="DO461" s="118">
        <f t="shared" si="489"/>
        <v>0</v>
      </c>
      <c r="DP461" s="118">
        <f t="shared" si="490"/>
        <v>0</v>
      </c>
      <c r="DQ461" s="114"/>
      <c r="DR461" s="114"/>
      <c r="DS461" s="114"/>
      <c r="DT461" s="114"/>
      <c r="DU461" s="114"/>
      <c r="DV461" s="114"/>
      <c r="DW461" s="114"/>
      <c r="DX461" s="114"/>
      <c r="DY461" s="114"/>
      <c r="DZ461" s="114"/>
      <c r="EA461" s="114"/>
      <c r="EB461" s="114"/>
      <c r="EC461" s="114"/>
      <c r="ED461" s="114"/>
      <c r="EE461" s="114"/>
      <c r="EF461" s="114">
        <v>450</v>
      </c>
      <c r="EG461" s="114">
        <v>4500</v>
      </c>
      <c r="EH461" s="114">
        <v>7.5</v>
      </c>
      <c r="EI461" s="120">
        <v>0.9</v>
      </c>
      <c r="EJ461" s="114">
        <v>1</v>
      </c>
      <c r="EK461" s="114">
        <v>69</v>
      </c>
      <c r="EL461" s="126">
        <f t="shared" si="491"/>
        <v>352.17391304347825</v>
      </c>
      <c r="EM461" s="114"/>
      <c r="EN461" s="114"/>
      <c r="EO461" s="114"/>
      <c r="EP461" s="114"/>
      <c r="EQ461" s="114"/>
      <c r="ER461" s="114"/>
      <c r="ES461" s="114"/>
      <c r="ET461" s="114"/>
      <c r="EU461" s="118">
        <f>EG461/EL461+EM461+EX461+EP461+EQ461+ER461+EO461</f>
        <v>12.777777777777779</v>
      </c>
      <c r="EV461" s="114"/>
      <c r="EW461" s="114"/>
      <c r="EX461" s="114"/>
      <c r="EY461" s="114"/>
      <c r="EZ461" s="114"/>
      <c r="FA461" s="114"/>
      <c r="FB461" s="114"/>
      <c r="FC461" s="114"/>
      <c r="FD461" s="114"/>
      <c r="FE461" s="114"/>
      <c r="FF461" s="114"/>
      <c r="FG461" s="114"/>
      <c r="FH461" s="114"/>
      <c r="FI461" s="114"/>
      <c r="FJ461" s="114"/>
      <c r="FK461" s="114"/>
      <c r="FL461" s="114"/>
      <c r="FM461" s="114"/>
      <c r="FN461" s="114"/>
      <c r="FO461" s="114"/>
      <c r="FP461" s="114"/>
      <c r="FQ461" s="114"/>
      <c r="FR461" s="114"/>
      <c r="FS461" s="114"/>
      <c r="FT461" s="114"/>
      <c r="FU461" s="114"/>
      <c r="FV461" s="114"/>
      <c r="FW461" s="114"/>
      <c r="FX461" s="114"/>
      <c r="FY461" s="114"/>
      <c r="FZ461" s="114"/>
      <c r="GA461" s="114"/>
      <c r="GB461" s="114"/>
      <c r="GC461" s="114"/>
      <c r="GD461" s="114"/>
      <c r="GE461" s="114"/>
      <c r="GF461" s="114"/>
      <c r="GG461" s="114"/>
      <c r="GH461" s="114"/>
      <c r="GI461" s="114"/>
      <c r="GJ461" s="114"/>
      <c r="GK461" s="114"/>
      <c r="GL461" s="114"/>
      <c r="GM461" s="114"/>
      <c r="GN461" s="114"/>
      <c r="GO461" s="114"/>
      <c r="GP461" s="114"/>
      <c r="GQ461" s="114"/>
      <c r="GR461" s="120">
        <v>0.11</v>
      </c>
      <c r="GS461" s="118">
        <f>GR461*(BA461+EU461)</f>
        <v>9.4742403555555565</v>
      </c>
      <c r="GT461" s="125">
        <v>1.2500000000000001E-2</v>
      </c>
      <c r="GU461" s="118">
        <f>GT461*(EU461+BA461)</f>
        <v>1.0766182222222225</v>
      </c>
      <c r="GV461" s="120">
        <v>0.02</v>
      </c>
      <c r="GW461" s="118">
        <f>GV461*(EU461-EP461-EQ461)</f>
        <v>0.25555555555555559</v>
      </c>
      <c r="GX461" s="118">
        <f t="shared" si="496"/>
        <v>10.806414133333336</v>
      </c>
      <c r="GY461" s="114" t="s">
        <v>130</v>
      </c>
      <c r="GZ461" s="114" t="s">
        <v>130</v>
      </c>
      <c r="HA461" s="118">
        <v>0</v>
      </c>
      <c r="HB461" s="118">
        <v>0</v>
      </c>
      <c r="HC461" s="114">
        <v>0</v>
      </c>
      <c r="HD461" s="114">
        <v>21</v>
      </c>
      <c r="HE461" s="114">
        <v>500</v>
      </c>
      <c r="HF461" s="118">
        <f t="shared" si="503"/>
        <v>24</v>
      </c>
      <c r="HG461" s="114">
        <v>5</v>
      </c>
      <c r="HH461" s="118">
        <f t="shared" si="497"/>
        <v>120</v>
      </c>
      <c r="HI461" s="114">
        <v>15000</v>
      </c>
      <c r="HJ461" s="118">
        <f t="shared" si="498"/>
        <v>1800000</v>
      </c>
      <c r="HK461" s="114"/>
      <c r="HL461" s="114"/>
      <c r="HM461" s="118">
        <v>3</v>
      </c>
      <c r="HN461" s="126">
        <f t="shared" si="499"/>
        <v>450000</v>
      </c>
      <c r="HO461" s="118">
        <f>ROUNDUP((IF(GY461="carton box",HI461/HD461,HJ461/HN461)),2)</f>
        <v>4</v>
      </c>
      <c r="HP461" s="118">
        <v>160</v>
      </c>
      <c r="HQ461" s="114">
        <v>0</v>
      </c>
      <c r="HR461" s="118">
        <v>0</v>
      </c>
      <c r="HS461" s="118">
        <v>0</v>
      </c>
      <c r="HT461" s="118">
        <f t="shared" si="500"/>
        <v>0</v>
      </c>
      <c r="HU461" s="118"/>
      <c r="HV461" s="118">
        <f t="shared" si="501"/>
        <v>4</v>
      </c>
      <c r="HW461" s="118"/>
      <c r="HX461" s="118">
        <v>0</v>
      </c>
      <c r="HY461" s="118">
        <v>0</v>
      </c>
      <c r="HZ461" s="118">
        <v>0</v>
      </c>
      <c r="IA461" s="118">
        <v>10</v>
      </c>
      <c r="IB461" s="118">
        <v>1</v>
      </c>
      <c r="IC461" s="118">
        <v>1</v>
      </c>
      <c r="ID461" s="120">
        <v>1</v>
      </c>
      <c r="IE461" s="126">
        <f t="shared" si="512"/>
        <v>10</v>
      </c>
      <c r="IF461" s="118">
        <v>500</v>
      </c>
      <c r="IG461" s="118">
        <f>IF461/(IE461*HD461)</f>
        <v>2.3809523809523809</v>
      </c>
      <c r="IH461" s="4"/>
    </row>
    <row r="462" spans="1:251">
      <c r="A462">
        <v>428</v>
      </c>
      <c r="B462" t="s">
        <v>468</v>
      </c>
      <c r="C462" s="114" t="s">
        <v>1955</v>
      </c>
      <c r="D462" s="28" t="s">
        <v>1284</v>
      </c>
      <c r="E462" s="28" t="s">
        <v>1285</v>
      </c>
      <c r="F462" s="5" t="s">
        <v>2182</v>
      </c>
      <c r="G462" s="27" t="s">
        <v>90</v>
      </c>
      <c r="I462" s="27" t="s">
        <v>226</v>
      </c>
      <c r="J462" s="28">
        <v>21590</v>
      </c>
      <c r="K462" s="27" t="s">
        <v>397</v>
      </c>
      <c r="L462" s="379">
        <v>20089</v>
      </c>
      <c r="M462" t="s">
        <v>226</v>
      </c>
      <c r="N462" s="334"/>
      <c r="O462" s="334"/>
      <c r="P462" s="334"/>
      <c r="Q462" s="13" t="s">
        <v>1768</v>
      </c>
      <c r="R462" s="13" t="s">
        <v>1769</v>
      </c>
      <c r="W462" s="383" t="s">
        <v>1795</v>
      </c>
      <c r="X462" s="383"/>
      <c r="Y462" s="383"/>
      <c r="Z462" s="383"/>
      <c r="AA462" s="13" t="s">
        <v>469</v>
      </c>
      <c r="AB462" s="66">
        <v>130.72</v>
      </c>
      <c r="AC462">
        <v>20</v>
      </c>
      <c r="AD462" s="13" t="s">
        <v>280</v>
      </c>
      <c r="AE462" s="7">
        <f t="shared" si="468"/>
        <v>30.951359999999998</v>
      </c>
      <c r="AF462" s="42"/>
      <c r="AG462" s="7">
        <f t="shared" si="469"/>
        <v>7.19753086419753</v>
      </c>
      <c r="AH462" s="42">
        <f t="shared" si="470"/>
        <v>0</v>
      </c>
      <c r="AI462" s="42">
        <f t="shared" si="471"/>
        <v>0</v>
      </c>
      <c r="AJ462" s="42">
        <f t="shared" si="472"/>
        <v>0.14395061728395062</v>
      </c>
      <c r="AK462" s="42">
        <f t="shared" si="473"/>
        <v>0.47686113580246908</v>
      </c>
      <c r="AL462" s="42">
        <f t="shared" si="474"/>
        <v>4.1963779950617282</v>
      </c>
      <c r="AM462" s="42">
        <f t="shared" si="475"/>
        <v>0.88888888888888884</v>
      </c>
      <c r="AN462" s="42">
        <f t="shared" si="476"/>
        <v>0.47000000000000003</v>
      </c>
      <c r="AO462" s="42">
        <f t="shared" si="477"/>
        <v>0</v>
      </c>
      <c r="AP462" s="42"/>
      <c r="AQ462" s="42">
        <f t="shared" si="478"/>
        <v>44.324969501234555</v>
      </c>
      <c r="AR462" s="42">
        <f>IJ462</f>
        <v>0</v>
      </c>
      <c r="AS462" s="42">
        <f t="shared" si="480"/>
        <v>0</v>
      </c>
      <c r="AT462" s="42">
        <v>0</v>
      </c>
      <c r="AU462" s="42">
        <v>0</v>
      </c>
      <c r="AV462" s="42">
        <f t="shared" si="481"/>
        <v>44.324969501234555</v>
      </c>
      <c r="AW462" s="59">
        <v>0.23799999999999999</v>
      </c>
      <c r="AX462" s="69">
        <v>0.23</v>
      </c>
      <c r="AY462" s="61">
        <v>1</v>
      </c>
      <c r="AZ462" s="62">
        <f t="shared" si="482"/>
        <v>7.9999999999999793E-3</v>
      </c>
      <c r="BA462" s="62">
        <f t="shared" si="483"/>
        <v>30.951359999999998</v>
      </c>
      <c r="BB462" s="62"/>
      <c r="BC462" s="62"/>
      <c r="BD462" s="62"/>
      <c r="BE462" s="62"/>
      <c r="BF462" s="62"/>
      <c r="BG462" s="62"/>
      <c r="BH462" s="62"/>
      <c r="BI462" s="62"/>
      <c r="BJ462" s="62"/>
      <c r="BK462" s="62"/>
      <c r="BL462" s="62"/>
      <c r="BM462" s="62"/>
      <c r="BN462" s="62"/>
      <c r="BO462" s="62"/>
      <c r="BP462" s="62"/>
      <c r="BQ462" s="62"/>
      <c r="BR462" s="62"/>
      <c r="BS462" s="62"/>
      <c r="BT462" s="62"/>
      <c r="BU462" s="62"/>
      <c r="BV462" s="62"/>
      <c r="BW462" s="62"/>
      <c r="BX462" s="62"/>
      <c r="BY462" s="62"/>
      <c r="BZ462" s="62"/>
      <c r="CA462" s="62"/>
      <c r="CB462" s="62"/>
      <c r="CC462" s="62"/>
      <c r="CD462" s="59"/>
      <c r="CE462" s="62">
        <v>0</v>
      </c>
      <c r="CF462" s="62">
        <v>0</v>
      </c>
      <c r="CG462" s="62">
        <v>0</v>
      </c>
      <c r="CH462" s="59">
        <f t="shared" si="508"/>
        <v>0</v>
      </c>
      <c r="CI462" s="80"/>
      <c r="CJ462" s="59"/>
      <c r="CK462" s="59">
        <v>0</v>
      </c>
      <c r="CL462" s="59">
        <v>0</v>
      </c>
      <c r="CM462" s="59">
        <f t="shared" si="509"/>
        <v>0</v>
      </c>
      <c r="CN462" s="80"/>
      <c r="CO462" s="59"/>
      <c r="CP462" s="59">
        <v>0</v>
      </c>
      <c r="CQ462" s="59">
        <v>0</v>
      </c>
      <c r="CR462" s="59">
        <f t="shared" si="510"/>
        <v>0</v>
      </c>
      <c r="CS462" s="59"/>
      <c r="CT462" s="59"/>
      <c r="CU462" s="59">
        <v>0</v>
      </c>
      <c r="CV462" s="59">
        <v>0</v>
      </c>
      <c r="CW462" s="59">
        <f t="shared" si="511"/>
        <v>0</v>
      </c>
      <c r="CX462" s="59"/>
      <c r="CY462" s="59"/>
      <c r="CZ462" s="59"/>
      <c r="DA462" s="59"/>
      <c r="DB462" s="59"/>
      <c r="DC462" s="59"/>
      <c r="DD462" s="59"/>
      <c r="DE462" s="59"/>
      <c r="DF462" s="59"/>
      <c r="DG462" s="59"/>
      <c r="DH462" s="59"/>
      <c r="DI462" s="59"/>
      <c r="DJ462" s="59"/>
      <c r="DK462" s="59"/>
      <c r="DL462" s="59"/>
      <c r="DM462" s="62">
        <f t="shared" si="488"/>
        <v>0</v>
      </c>
      <c r="DN462" s="64">
        <v>1.2500000000000001E-2</v>
      </c>
      <c r="DO462" s="62">
        <f t="shared" si="489"/>
        <v>0</v>
      </c>
      <c r="DP462" s="62">
        <f t="shared" si="490"/>
        <v>0</v>
      </c>
      <c r="DQ462" s="59"/>
      <c r="DR462" s="59"/>
      <c r="DS462" s="59"/>
      <c r="DT462" s="59"/>
      <c r="DU462" s="59"/>
      <c r="DV462" s="59"/>
      <c r="DW462" s="59"/>
      <c r="DX462" s="59"/>
      <c r="DY462" s="59"/>
      <c r="DZ462" s="59"/>
      <c r="EA462" s="59"/>
      <c r="EB462" s="59"/>
      <c r="EC462" s="59"/>
      <c r="ED462" s="59"/>
      <c r="EE462" s="59"/>
      <c r="EF462" s="59">
        <v>660</v>
      </c>
      <c r="EG462" s="59">
        <v>6600</v>
      </c>
      <c r="EH462" s="59">
        <v>7.5</v>
      </c>
      <c r="EI462" s="61">
        <v>0.9</v>
      </c>
      <c r="EJ462" s="59">
        <v>2</v>
      </c>
      <c r="EK462" s="59">
        <v>53</v>
      </c>
      <c r="EL462" s="65">
        <f t="shared" si="491"/>
        <v>916.98113207547181</v>
      </c>
      <c r="EM462" s="59"/>
      <c r="EN462" s="59"/>
      <c r="EO462" s="59"/>
      <c r="EP462" s="59"/>
      <c r="EQ462" s="59"/>
      <c r="ER462" s="59"/>
      <c r="ES462" s="59"/>
      <c r="ET462" s="59"/>
      <c r="EU462" s="62">
        <f>EG462/EL462+EM462+EX462+EP462+EQ462+ER462+EO462</f>
        <v>7.19753086419753</v>
      </c>
      <c r="EV462" s="59"/>
      <c r="EW462" s="59"/>
      <c r="EX462" s="59"/>
      <c r="EY462" s="59"/>
      <c r="EZ462" s="59"/>
      <c r="FA462" s="59"/>
      <c r="FB462" s="59"/>
      <c r="FC462" s="59"/>
      <c r="FD462" s="59"/>
      <c r="FE462" s="59"/>
      <c r="FF462" s="59"/>
      <c r="FG462" s="59"/>
      <c r="FH462" s="59"/>
      <c r="FI462" s="59"/>
      <c r="FJ462" s="59"/>
      <c r="FK462" s="59"/>
      <c r="FL462" s="59"/>
      <c r="FM462" s="59"/>
      <c r="FN462" s="59"/>
      <c r="FO462" s="59"/>
      <c r="FP462" s="59"/>
      <c r="FQ462" s="59"/>
      <c r="FR462" s="59"/>
      <c r="FS462" s="59"/>
      <c r="FT462" s="59"/>
      <c r="FU462" s="59"/>
      <c r="FV462" s="59"/>
      <c r="FW462" s="59"/>
      <c r="FX462" s="59"/>
      <c r="FY462" s="59"/>
      <c r="FZ462" s="59"/>
      <c r="GA462" s="59"/>
      <c r="GB462" s="59"/>
      <c r="GC462" s="59"/>
      <c r="GD462" s="59"/>
      <c r="GE462" s="59"/>
      <c r="GF462" s="59"/>
      <c r="GG462" s="59"/>
      <c r="GH462" s="59"/>
      <c r="GI462" s="59"/>
      <c r="GJ462" s="59"/>
      <c r="GK462" s="59"/>
      <c r="GL462" s="59"/>
      <c r="GM462" s="59"/>
      <c r="GN462" s="59"/>
      <c r="GO462" s="59"/>
      <c r="GP462" s="59"/>
      <c r="GQ462" s="59"/>
      <c r="GR462" s="61">
        <v>0.11</v>
      </c>
      <c r="GS462" s="62">
        <f>GR462*(BA462+EU462)</f>
        <v>4.1963779950617282</v>
      </c>
      <c r="GT462" s="64">
        <v>1.2500000000000001E-2</v>
      </c>
      <c r="GU462" s="62">
        <f>GT462*(EU462+BA462)</f>
        <v>0.47686113580246908</v>
      </c>
      <c r="GV462" s="61">
        <v>0.02</v>
      </c>
      <c r="GW462" s="62">
        <f>GV462*(EU462-EP462-EQ462)</f>
        <v>0.14395061728395062</v>
      </c>
      <c r="GX462" s="62">
        <f t="shared" si="496"/>
        <v>4.8171897481481478</v>
      </c>
      <c r="GY462" s="59" t="s">
        <v>130</v>
      </c>
      <c r="GZ462" s="59" t="s">
        <v>130</v>
      </c>
      <c r="HA462" s="62">
        <v>0</v>
      </c>
      <c r="HB462" s="62">
        <v>0</v>
      </c>
      <c r="HC462" s="59">
        <v>0</v>
      </c>
      <c r="HD462" s="59">
        <v>108</v>
      </c>
      <c r="HE462" s="59">
        <v>500</v>
      </c>
      <c r="HF462" s="62">
        <f t="shared" si="503"/>
        <v>5</v>
      </c>
      <c r="HG462" s="59">
        <v>5</v>
      </c>
      <c r="HH462" s="62">
        <f t="shared" si="497"/>
        <v>25</v>
      </c>
      <c r="HI462" s="59">
        <v>16000</v>
      </c>
      <c r="HJ462" s="62">
        <f t="shared" si="498"/>
        <v>400000</v>
      </c>
      <c r="HK462" s="59"/>
      <c r="HL462" s="59"/>
      <c r="HM462" s="62">
        <v>3</v>
      </c>
      <c r="HN462" s="65">
        <f t="shared" si="499"/>
        <v>450000</v>
      </c>
      <c r="HO462" s="62">
        <f>(IF(GY462="carton box",HI462/HD462,HJ462/HN462))</f>
        <v>0.88888888888888884</v>
      </c>
      <c r="HP462" s="62">
        <v>160</v>
      </c>
      <c r="HQ462" s="59">
        <v>0</v>
      </c>
      <c r="HR462" s="62">
        <v>0</v>
      </c>
      <c r="HS462" s="62">
        <v>0</v>
      </c>
      <c r="HT462" s="62">
        <f t="shared" si="500"/>
        <v>0</v>
      </c>
      <c r="HU462" s="62"/>
      <c r="HV462" s="62">
        <f t="shared" si="501"/>
        <v>0.88888888888888884</v>
      </c>
      <c r="HW462" s="62"/>
      <c r="HX462" s="62">
        <v>0</v>
      </c>
      <c r="HY462" s="62">
        <v>0</v>
      </c>
      <c r="HZ462" s="62">
        <v>0</v>
      </c>
      <c r="IA462" s="62">
        <v>10</v>
      </c>
      <c r="IB462" s="62">
        <v>1</v>
      </c>
      <c r="IC462" s="62">
        <v>1</v>
      </c>
      <c r="ID462" s="61">
        <v>1</v>
      </c>
      <c r="IE462" s="65">
        <f t="shared" si="512"/>
        <v>10</v>
      </c>
      <c r="IF462" s="62">
        <v>500</v>
      </c>
      <c r="IG462" s="62">
        <f>IF(ISERROR(ROUNDUP(IF462/(IE462*HD462),2)),0,(ROUNDUP(IF462/(IE462*HD462),2)))</f>
        <v>0.47000000000000003</v>
      </c>
      <c r="IH462" s="62"/>
    </row>
    <row r="463" spans="1:251">
      <c r="A463">
        <v>429</v>
      </c>
      <c r="B463" s="114" t="s">
        <v>468</v>
      </c>
      <c r="C463" s="114" t="s">
        <v>1956</v>
      </c>
      <c r="D463" s="28" t="s">
        <v>1286</v>
      </c>
      <c r="E463" s="28" t="s">
        <v>1287</v>
      </c>
      <c r="F463" s="5" t="s">
        <v>2182</v>
      </c>
      <c r="G463" s="27" t="s">
        <v>90</v>
      </c>
      <c r="I463" s="27" t="s">
        <v>226</v>
      </c>
      <c r="J463" s="28">
        <v>21590</v>
      </c>
      <c r="K463" s="27" t="s">
        <v>397</v>
      </c>
      <c r="L463" s="240">
        <v>20089</v>
      </c>
      <c r="M463" s="114" t="s">
        <v>226</v>
      </c>
      <c r="N463" s="278"/>
      <c r="O463" s="278"/>
      <c r="P463" s="278"/>
      <c r="Q463" s="13" t="s">
        <v>1768</v>
      </c>
      <c r="R463" s="13" t="s">
        <v>1769</v>
      </c>
      <c r="V463" s="319"/>
      <c r="W463" s="241" t="s">
        <v>1795</v>
      </c>
      <c r="X463" s="241"/>
      <c r="Y463" s="241"/>
      <c r="Z463" s="241"/>
      <c r="AA463" s="115" t="s">
        <v>469</v>
      </c>
      <c r="AB463" s="121">
        <v>130.72</v>
      </c>
      <c r="AC463" s="114">
        <v>20</v>
      </c>
      <c r="AD463" s="115" t="s">
        <v>280</v>
      </c>
      <c r="AE463" s="119">
        <f t="shared" si="468"/>
        <v>31.212799999999998</v>
      </c>
      <c r="AF463" s="106"/>
      <c r="AG463" s="119">
        <f t="shared" si="469"/>
        <v>7.19753086419753</v>
      </c>
      <c r="AH463" s="106">
        <f t="shared" si="470"/>
        <v>0</v>
      </c>
      <c r="AI463" s="106">
        <f t="shared" si="471"/>
        <v>0</v>
      </c>
      <c r="AJ463" s="106">
        <f t="shared" si="472"/>
        <v>0.14395061728395062</v>
      </c>
      <c r="AK463" s="106">
        <f t="shared" si="473"/>
        <v>0.48012913580246908</v>
      </c>
      <c r="AL463" s="106">
        <f t="shared" si="474"/>
        <v>4.2251363950617282</v>
      </c>
      <c r="AM463" s="106">
        <f t="shared" si="475"/>
        <v>0.88888888888888884</v>
      </c>
      <c r="AN463" s="106">
        <f t="shared" si="476"/>
        <v>0.46296296296296297</v>
      </c>
      <c r="AO463" s="106">
        <f t="shared" si="477"/>
        <v>0</v>
      </c>
      <c r="AP463" s="106"/>
      <c r="AQ463" s="106">
        <f t="shared" si="478"/>
        <v>44.611398864197525</v>
      </c>
      <c r="AR463" s="106">
        <f>IJ463</f>
        <v>0</v>
      </c>
      <c r="AS463" s="106">
        <f t="shared" si="480"/>
        <v>0</v>
      </c>
      <c r="AT463" s="106">
        <v>0</v>
      </c>
      <c r="AU463" s="106">
        <v>0</v>
      </c>
      <c r="AV463" s="106">
        <f t="shared" si="481"/>
        <v>44.611398864197525</v>
      </c>
      <c r="AW463" s="124">
        <v>0.24</v>
      </c>
      <c r="AX463" s="114">
        <v>0.23200000000000001</v>
      </c>
      <c r="AY463" s="120">
        <v>1</v>
      </c>
      <c r="AZ463" s="118">
        <f t="shared" si="482"/>
        <v>7.9999999999999793E-3</v>
      </c>
      <c r="BA463" s="118">
        <f t="shared" si="483"/>
        <v>31.212799999999998</v>
      </c>
      <c r="BB463" s="118"/>
      <c r="BC463" s="118"/>
      <c r="BD463" s="118"/>
      <c r="BE463" s="118"/>
      <c r="BF463" s="118"/>
      <c r="BG463" s="118"/>
      <c r="BH463" s="118"/>
      <c r="BI463" s="118"/>
      <c r="BJ463" s="118"/>
      <c r="BK463" s="118"/>
      <c r="BL463" s="118"/>
      <c r="BM463" s="118"/>
      <c r="BN463" s="118"/>
      <c r="BO463" s="118"/>
      <c r="BP463" s="118"/>
      <c r="BQ463" s="118"/>
      <c r="BR463" s="118"/>
      <c r="BS463" s="118"/>
      <c r="BT463" s="118"/>
      <c r="BU463" s="118"/>
      <c r="BV463" s="118"/>
      <c r="BW463" s="118"/>
      <c r="BX463" s="118"/>
      <c r="BY463" s="118"/>
      <c r="BZ463" s="118"/>
      <c r="CA463" s="118"/>
      <c r="CB463" s="118"/>
      <c r="CC463" s="118"/>
      <c r="CD463" s="114"/>
      <c r="CE463" s="118">
        <v>0</v>
      </c>
      <c r="CF463" s="118">
        <v>0</v>
      </c>
      <c r="CG463" s="118">
        <v>0</v>
      </c>
      <c r="CH463" s="114">
        <f t="shared" si="508"/>
        <v>0</v>
      </c>
      <c r="CI463" s="115"/>
      <c r="CJ463" s="114"/>
      <c r="CK463" s="114">
        <v>0</v>
      </c>
      <c r="CL463" s="114">
        <v>0</v>
      </c>
      <c r="CM463" s="114">
        <f t="shared" si="509"/>
        <v>0</v>
      </c>
      <c r="CN463" s="115"/>
      <c r="CO463" s="114"/>
      <c r="CP463" s="114">
        <v>0</v>
      </c>
      <c r="CQ463" s="114">
        <v>0</v>
      </c>
      <c r="CR463" s="114">
        <f t="shared" si="510"/>
        <v>0</v>
      </c>
      <c r="CS463" s="114"/>
      <c r="CT463" s="114"/>
      <c r="CU463" s="114">
        <v>0</v>
      </c>
      <c r="CV463" s="114">
        <v>0</v>
      </c>
      <c r="CW463" s="114">
        <f t="shared" si="511"/>
        <v>0</v>
      </c>
      <c r="CX463" s="114"/>
      <c r="CY463" s="114"/>
      <c r="CZ463" s="114"/>
      <c r="DA463" s="114"/>
      <c r="DB463" s="114"/>
      <c r="DC463" s="114"/>
      <c r="DD463" s="114"/>
      <c r="DE463" s="114"/>
      <c r="DF463" s="114"/>
      <c r="DG463" s="114"/>
      <c r="DH463" s="114"/>
      <c r="DI463" s="114"/>
      <c r="DJ463" s="114"/>
      <c r="DK463" s="114"/>
      <c r="DL463" s="114"/>
      <c r="DM463" s="118">
        <f t="shared" si="488"/>
        <v>0</v>
      </c>
      <c r="DN463" s="125">
        <v>1.2500000000000001E-2</v>
      </c>
      <c r="DO463" s="118">
        <f t="shared" si="489"/>
        <v>0</v>
      </c>
      <c r="DP463" s="118">
        <f t="shared" si="490"/>
        <v>0</v>
      </c>
      <c r="DQ463" s="114"/>
      <c r="DR463" s="114"/>
      <c r="DS463" s="114"/>
      <c r="DT463" s="114"/>
      <c r="DU463" s="114"/>
      <c r="DV463" s="114"/>
      <c r="DW463" s="114"/>
      <c r="DX463" s="114"/>
      <c r="DY463" s="114"/>
      <c r="DZ463" s="114"/>
      <c r="EA463" s="114"/>
      <c r="EB463" s="114"/>
      <c r="EC463" s="114"/>
      <c r="ED463" s="114"/>
      <c r="EE463" s="114"/>
      <c r="EF463" s="105">
        <v>660</v>
      </c>
      <c r="EG463" s="105">
        <v>6600</v>
      </c>
      <c r="EH463" s="105">
        <v>7.5</v>
      </c>
      <c r="EI463" s="120">
        <v>0.9</v>
      </c>
      <c r="EJ463" s="105">
        <v>2</v>
      </c>
      <c r="EK463" s="105">
        <v>53</v>
      </c>
      <c r="EL463" s="111">
        <f t="shared" si="491"/>
        <v>916.98113207547181</v>
      </c>
      <c r="EM463" s="114"/>
      <c r="EN463" s="114"/>
      <c r="EO463" s="114"/>
      <c r="EP463" s="114"/>
      <c r="EQ463" s="114"/>
      <c r="ER463" s="114"/>
      <c r="ES463" s="114"/>
      <c r="ET463" s="114"/>
      <c r="EU463" s="109">
        <f>EG463/EL463+EM463+EX463+EP463+EQ463+ER463+EO463</f>
        <v>7.19753086419753</v>
      </c>
      <c r="EV463" s="114"/>
      <c r="EW463" s="114"/>
      <c r="EX463" s="114"/>
      <c r="EY463" s="114"/>
      <c r="EZ463" s="114"/>
      <c r="FA463" s="114"/>
      <c r="FB463" s="114"/>
      <c r="FC463" s="114"/>
      <c r="FD463" s="114"/>
      <c r="FE463" s="114"/>
      <c r="FF463" s="114"/>
      <c r="FG463" s="114"/>
      <c r="FH463" s="114"/>
      <c r="FI463" s="114"/>
      <c r="FJ463" s="114"/>
      <c r="FK463" s="114"/>
      <c r="FL463" s="114"/>
      <c r="FM463" s="114"/>
      <c r="FN463" s="114"/>
      <c r="FO463" s="114"/>
      <c r="FP463" s="114"/>
      <c r="FQ463" s="114"/>
      <c r="FR463" s="114"/>
      <c r="FS463" s="114"/>
      <c r="FT463" s="114"/>
      <c r="FU463" s="114"/>
      <c r="FV463" s="114"/>
      <c r="FW463" s="114"/>
      <c r="FX463" s="114"/>
      <c r="FY463" s="114"/>
      <c r="FZ463" s="114"/>
      <c r="GA463" s="114"/>
      <c r="GB463" s="114"/>
      <c r="GC463" s="114"/>
      <c r="GD463" s="114"/>
      <c r="GE463" s="114"/>
      <c r="GF463" s="114"/>
      <c r="GG463" s="114"/>
      <c r="GH463" s="114"/>
      <c r="GI463" s="114"/>
      <c r="GJ463" s="114"/>
      <c r="GK463" s="114"/>
      <c r="GL463" s="114"/>
      <c r="GM463" s="114"/>
      <c r="GN463" s="114"/>
      <c r="GO463" s="114"/>
      <c r="GP463" s="114"/>
      <c r="GQ463" s="114"/>
      <c r="GR463" s="120">
        <v>0.11</v>
      </c>
      <c r="GS463" s="118">
        <f>GR463*(BA463+EU463)</f>
        <v>4.2251363950617282</v>
      </c>
      <c r="GT463" s="125">
        <v>1.2500000000000001E-2</v>
      </c>
      <c r="GU463" s="118">
        <f>GT463*(EU463+BA463)</f>
        <v>0.48012913580246908</v>
      </c>
      <c r="GV463" s="120">
        <v>0.02</v>
      </c>
      <c r="GW463" s="118">
        <f>GV463*(EU463-EP463-EQ463)</f>
        <v>0.14395061728395062</v>
      </c>
      <c r="GX463" s="118">
        <f t="shared" si="496"/>
        <v>4.8492161481481482</v>
      </c>
      <c r="GY463" s="114" t="s">
        <v>130</v>
      </c>
      <c r="GZ463" s="114" t="s">
        <v>130</v>
      </c>
      <c r="HA463" s="118">
        <v>0</v>
      </c>
      <c r="HB463" s="118">
        <v>0</v>
      </c>
      <c r="HC463" s="105">
        <v>0</v>
      </c>
      <c r="HD463" s="105">
        <v>108</v>
      </c>
      <c r="HE463" s="105">
        <v>500</v>
      </c>
      <c r="HF463" s="118">
        <f t="shared" si="503"/>
        <v>5</v>
      </c>
      <c r="HG463" s="105">
        <v>5</v>
      </c>
      <c r="HH463" s="118">
        <f t="shared" si="497"/>
        <v>25</v>
      </c>
      <c r="HI463" s="105">
        <v>16000</v>
      </c>
      <c r="HJ463" s="118">
        <f t="shared" si="498"/>
        <v>400000</v>
      </c>
      <c r="HK463" s="114"/>
      <c r="HL463" s="114"/>
      <c r="HM463" s="118">
        <v>3</v>
      </c>
      <c r="HN463" s="126">
        <f t="shared" si="499"/>
        <v>450000</v>
      </c>
      <c r="HO463" s="109">
        <f>(IF(GY463="carton box",HI463/HD463,HJ463/HN463))</f>
        <v>0.88888888888888884</v>
      </c>
      <c r="HP463" s="109">
        <v>160</v>
      </c>
      <c r="HQ463" s="105">
        <v>0</v>
      </c>
      <c r="HR463" s="109">
        <v>0</v>
      </c>
      <c r="HS463" s="109">
        <v>0</v>
      </c>
      <c r="HT463" s="109">
        <f t="shared" si="500"/>
        <v>0</v>
      </c>
      <c r="HU463" s="109"/>
      <c r="HV463" s="109">
        <f t="shared" si="501"/>
        <v>0.88888888888888884</v>
      </c>
      <c r="HW463" s="109"/>
      <c r="HX463" s="118">
        <v>0</v>
      </c>
      <c r="HY463" s="118">
        <v>0</v>
      </c>
      <c r="HZ463" s="118">
        <v>0</v>
      </c>
      <c r="IA463" s="118">
        <v>10</v>
      </c>
      <c r="IB463" s="118">
        <v>1</v>
      </c>
      <c r="IC463" s="118">
        <v>1</v>
      </c>
      <c r="ID463" s="108">
        <v>1</v>
      </c>
      <c r="IE463" s="111">
        <f t="shared" si="512"/>
        <v>10</v>
      </c>
      <c r="IF463" s="118">
        <v>500</v>
      </c>
      <c r="IG463" s="118">
        <f>IF463/(IE463*HD463)</f>
        <v>0.46296296296296297</v>
      </c>
      <c r="IH463" s="4"/>
    </row>
    <row r="464" spans="1:251">
      <c r="A464">
        <v>430</v>
      </c>
      <c r="B464" t="s">
        <v>468</v>
      </c>
      <c r="C464" t="s">
        <v>567</v>
      </c>
      <c r="D464" s="28" t="s">
        <v>1288</v>
      </c>
      <c r="E464" s="28" t="s">
        <v>339</v>
      </c>
      <c r="F464" s="28"/>
      <c r="G464" s="27" t="s">
        <v>90</v>
      </c>
      <c r="I464" s="27" t="s">
        <v>226</v>
      </c>
      <c r="J464" s="28">
        <v>21590</v>
      </c>
      <c r="K464" s="27" t="s">
        <v>397</v>
      </c>
      <c r="N464" s="13" t="s">
        <v>1764</v>
      </c>
      <c r="O464" s="13" t="s">
        <v>1763</v>
      </c>
      <c r="P464" s="332">
        <v>43104</v>
      </c>
      <c r="W464" s="13" t="s">
        <v>439</v>
      </c>
    </row>
    <row r="465" spans="1:244">
      <c r="A465">
        <v>431</v>
      </c>
      <c r="B465" t="s">
        <v>468</v>
      </c>
      <c r="C465" s="114" t="s">
        <v>1957</v>
      </c>
      <c r="D465" s="28" t="s">
        <v>1289</v>
      </c>
      <c r="E465" s="28" t="s">
        <v>1290</v>
      </c>
      <c r="F465" s="5" t="s">
        <v>2182</v>
      </c>
      <c r="G465" s="27" t="s">
        <v>90</v>
      </c>
      <c r="I465" s="27" t="s">
        <v>226</v>
      </c>
      <c r="J465" s="28">
        <v>21590</v>
      </c>
      <c r="K465" s="27" t="s">
        <v>397</v>
      </c>
      <c r="L465" s="240">
        <v>20089</v>
      </c>
      <c r="M465" s="114" t="s">
        <v>226</v>
      </c>
      <c r="N465" s="278"/>
      <c r="O465" s="278"/>
      <c r="P465" s="278"/>
      <c r="Q465" s="13" t="s">
        <v>1768</v>
      </c>
      <c r="R465" s="13" t="s">
        <v>1769</v>
      </c>
      <c r="V465" s="319"/>
      <c r="W465" s="241" t="s">
        <v>1795</v>
      </c>
      <c r="X465" s="241"/>
      <c r="Y465" s="241"/>
      <c r="Z465" s="241"/>
      <c r="AA465" s="115" t="s">
        <v>1950</v>
      </c>
      <c r="AB465" s="121">
        <v>155.26</v>
      </c>
      <c r="AC465" s="114">
        <v>20</v>
      </c>
      <c r="AD465" s="115" t="s">
        <v>280</v>
      </c>
      <c r="AE465" s="119">
        <f t="shared" ref="AE465:AE499" si="513">BA465</f>
        <v>54.03047999999999</v>
      </c>
      <c r="AF465" s="106"/>
      <c r="AG465" s="119">
        <f t="shared" ref="AG465:AG499" si="514">EU465</f>
        <v>4.0740740740740744</v>
      </c>
      <c r="AH465" s="106">
        <f t="shared" ref="AH465:AH504" si="515">DM465</f>
        <v>0</v>
      </c>
      <c r="AI465" s="106">
        <f t="shared" ref="AI465:AI504" si="516">DO465</f>
        <v>0</v>
      </c>
      <c r="AJ465" s="106">
        <f t="shared" ref="AJ465:AJ504" si="517">GW465</f>
        <v>8.1481481481481488E-2</v>
      </c>
      <c r="AK465" s="106">
        <f t="shared" ref="AK465:AK504" si="518">GU465</f>
        <v>0.72630692592592583</v>
      </c>
      <c r="AL465" s="106">
        <f t="shared" ref="AL465:AL504" si="519">GS465</f>
        <v>6.3915009481481473</v>
      </c>
      <c r="AM465" s="106">
        <f t="shared" ref="AM465:AM504" si="520">HV465</f>
        <v>2.3111111111111109</v>
      </c>
      <c r="AN465" s="106">
        <f t="shared" ref="AN465:AN504" si="521">IG465</f>
        <v>1.25</v>
      </c>
      <c r="AO465" s="106">
        <f t="shared" ref="AO465:AO504" si="522">EY465</f>
        <v>0</v>
      </c>
      <c r="AP465" s="106"/>
      <c r="AQ465" s="106">
        <f t="shared" ref="AQ465:AQ504" si="523">SUM(AE465:AO465)</f>
        <v>68.86495454074074</v>
      </c>
      <c r="AR465" s="106">
        <f t="shared" ref="AR465:AR504" si="524">IJ465</f>
        <v>0</v>
      </c>
      <c r="AS465" s="106">
        <f t="shared" ref="AS465:AS504" si="525">EO465</f>
        <v>0</v>
      </c>
      <c r="AT465" s="106">
        <v>0</v>
      </c>
      <c r="AU465" s="106">
        <v>0</v>
      </c>
      <c r="AV465" s="106">
        <f t="shared" ref="AV465:AV504" si="526">AQ465+AT465+AU465+AR465+AS465</f>
        <v>68.86495454074074</v>
      </c>
      <c r="AW465" s="114">
        <v>0.34799999999999998</v>
      </c>
      <c r="AX465" s="114">
        <v>0.34799999999999998</v>
      </c>
      <c r="AY465" s="120">
        <v>0</v>
      </c>
      <c r="AZ465" s="118">
        <f t="shared" ref="AZ465:AZ499" si="527">(AW465-AX465)*AY465</f>
        <v>0</v>
      </c>
      <c r="BA465" s="118">
        <f t="shared" ref="BA465:BA499" si="528">AW465*AB465-AZ465*AC465</f>
        <v>54.03047999999999</v>
      </c>
      <c r="BB465" s="118"/>
      <c r="BC465" s="118"/>
      <c r="BD465" s="118"/>
      <c r="BE465" s="118"/>
      <c r="BF465" s="118"/>
      <c r="BG465" s="118"/>
      <c r="BH465" s="118"/>
      <c r="BI465" s="118"/>
      <c r="BJ465" s="118"/>
      <c r="BK465" s="118"/>
      <c r="BL465" s="118"/>
      <c r="BM465" s="118"/>
      <c r="BN465" s="118"/>
      <c r="BO465" s="118"/>
      <c r="BP465" s="118"/>
      <c r="BQ465" s="118"/>
      <c r="BR465" s="118"/>
      <c r="BS465" s="118"/>
      <c r="BT465" s="118"/>
      <c r="BU465" s="118"/>
      <c r="BV465" s="118"/>
      <c r="BW465" s="118"/>
      <c r="BX465" s="118"/>
      <c r="BY465" s="118"/>
      <c r="BZ465" s="118"/>
      <c r="CA465" s="118"/>
      <c r="CB465" s="118"/>
      <c r="CC465" s="118"/>
      <c r="CD465" s="114"/>
      <c r="CE465" s="118">
        <v>0</v>
      </c>
      <c r="CF465" s="118">
        <v>0</v>
      </c>
      <c r="CG465" s="118">
        <v>0</v>
      </c>
      <c r="CH465" s="114">
        <f t="shared" ref="CH465:CH501" si="529">CF465*CG465</f>
        <v>0</v>
      </c>
      <c r="CI465" s="115"/>
      <c r="CJ465" s="114"/>
      <c r="CK465" s="114">
        <v>0</v>
      </c>
      <c r="CL465" s="114">
        <v>0</v>
      </c>
      <c r="CM465" s="114">
        <f>CK465*CL465</f>
        <v>0</v>
      </c>
      <c r="CN465" s="115"/>
      <c r="CO465" s="114"/>
      <c r="CP465" s="114">
        <v>0</v>
      </c>
      <c r="CQ465" s="114">
        <v>0</v>
      </c>
      <c r="CR465" s="114">
        <f>CP465*CQ465</f>
        <v>0</v>
      </c>
      <c r="CS465" s="114"/>
      <c r="CT465" s="114"/>
      <c r="CU465" s="114">
        <v>0</v>
      </c>
      <c r="CV465" s="114">
        <v>0</v>
      </c>
      <c r="CW465" s="114">
        <f>CU465*CV465</f>
        <v>0</v>
      </c>
      <c r="CX465" s="114"/>
      <c r="CY465" s="114"/>
      <c r="CZ465" s="114"/>
      <c r="DA465" s="114"/>
      <c r="DB465" s="114"/>
      <c r="DC465" s="114"/>
      <c r="DD465" s="114"/>
      <c r="DE465" s="114"/>
      <c r="DF465" s="114"/>
      <c r="DG465" s="114"/>
      <c r="DH465" s="114"/>
      <c r="DI465" s="114"/>
      <c r="DJ465" s="114"/>
      <c r="DK465" s="114"/>
      <c r="DL465" s="114"/>
      <c r="DM465" s="118">
        <f t="shared" ref="DM465:DM503" si="530">CH465+CM465+CR465+CW465+DB465+DG465+DL465</f>
        <v>0</v>
      </c>
      <c r="DN465" s="125">
        <v>1.2500000000000001E-2</v>
      </c>
      <c r="DO465" s="118">
        <f t="shared" ref="DO465:DO479" si="531">DM465*DN465</f>
        <v>0</v>
      </c>
      <c r="DP465" s="118">
        <f t="shared" ref="DP465:DP503" si="532">DM465+DO465</f>
        <v>0</v>
      </c>
      <c r="DQ465" s="114"/>
      <c r="DR465" s="114"/>
      <c r="DS465" s="114"/>
      <c r="DT465" s="114"/>
      <c r="DU465" s="114"/>
      <c r="DV465" s="114"/>
      <c r="DW465" s="114"/>
      <c r="DX465" s="114"/>
      <c r="DY465" s="114"/>
      <c r="DZ465" s="114"/>
      <c r="EA465" s="114"/>
      <c r="EB465" s="114"/>
      <c r="EC465" s="114"/>
      <c r="ED465" s="114"/>
      <c r="EE465" s="114"/>
      <c r="EF465" s="105">
        <v>450</v>
      </c>
      <c r="EG465" s="105">
        <v>4500</v>
      </c>
      <c r="EH465" s="105">
        <v>7.5</v>
      </c>
      <c r="EI465" s="120">
        <v>0.9</v>
      </c>
      <c r="EJ465" s="105">
        <v>2</v>
      </c>
      <c r="EK465" s="105">
        <v>44</v>
      </c>
      <c r="EL465" s="111">
        <f t="shared" ref="EL465:EL504" si="533">3600/EK465*EH465*EJ465*EI465</f>
        <v>1104.5454545454545</v>
      </c>
      <c r="EM465" s="114"/>
      <c r="EN465" s="114"/>
      <c r="EO465" s="114"/>
      <c r="EP465" s="114"/>
      <c r="EQ465" s="114"/>
      <c r="ER465" s="114"/>
      <c r="ES465" s="114"/>
      <c r="ET465" s="114"/>
      <c r="EU465" s="109">
        <f t="shared" ref="EU465:EU479" si="534">EG465/EL465+EM465+EX465+EP465+EQ465+ER465+EO465</f>
        <v>4.0740740740740744</v>
      </c>
      <c r="EV465" s="114"/>
      <c r="EW465" s="114"/>
      <c r="EX465" s="114"/>
      <c r="EY465" s="114"/>
      <c r="EZ465" s="114"/>
      <c r="FA465" s="114"/>
      <c r="FB465" s="114"/>
      <c r="FC465" s="114"/>
      <c r="FD465" s="114"/>
      <c r="FE465" s="114"/>
      <c r="FF465" s="114"/>
      <c r="FG465" s="114"/>
      <c r="FH465" s="114"/>
      <c r="FI465" s="114"/>
      <c r="FJ465" s="114"/>
      <c r="FK465" s="114"/>
      <c r="FL465" s="114"/>
      <c r="FM465" s="114"/>
      <c r="FN465" s="114"/>
      <c r="FO465" s="114"/>
      <c r="FP465" s="114"/>
      <c r="FQ465" s="114"/>
      <c r="FR465" s="114"/>
      <c r="FS465" s="114"/>
      <c r="FT465" s="114"/>
      <c r="FU465" s="114"/>
      <c r="FV465" s="114"/>
      <c r="FW465" s="114"/>
      <c r="FX465" s="114"/>
      <c r="FY465" s="114"/>
      <c r="FZ465" s="114"/>
      <c r="GA465" s="114"/>
      <c r="GB465" s="114"/>
      <c r="GC465" s="114"/>
      <c r="GD465" s="114"/>
      <c r="GE465" s="114"/>
      <c r="GF465" s="114"/>
      <c r="GG465" s="114"/>
      <c r="GH465" s="114"/>
      <c r="GI465" s="114"/>
      <c r="GJ465" s="114"/>
      <c r="GK465" s="114"/>
      <c r="GL465" s="114"/>
      <c r="GM465" s="114"/>
      <c r="GN465" s="114"/>
      <c r="GO465" s="114"/>
      <c r="GP465" s="114"/>
      <c r="GQ465" s="114"/>
      <c r="GR465" s="120">
        <v>0.11</v>
      </c>
      <c r="GS465" s="118">
        <f t="shared" ref="GS465:GS479" si="535">GR465*(BA465+EU465)</f>
        <v>6.3915009481481473</v>
      </c>
      <c r="GT465" s="125">
        <v>1.2500000000000001E-2</v>
      </c>
      <c r="GU465" s="118">
        <f t="shared" ref="GU465:GU479" si="536">GT465*(EU465+BA465)</f>
        <v>0.72630692592592583</v>
      </c>
      <c r="GV465" s="120">
        <v>0.02</v>
      </c>
      <c r="GW465" s="118">
        <f t="shared" ref="GW465:GW479" si="537">GV465*(EU465-EP465-EQ465)</f>
        <v>8.1481481481481488E-2</v>
      </c>
      <c r="GX465" s="118">
        <f t="shared" ref="GX465:GX504" si="538">GS465+GU465+GW465</f>
        <v>7.1992893555555542</v>
      </c>
      <c r="GY465" s="114" t="s">
        <v>130</v>
      </c>
      <c r="GZ465" s="114" t="s">
        <v>130</v>
      </c>
      <c r="HA465" s="118">
        <v>0</v>
      </c>
      <c r="HB465" s="118">
        <v>0</v>
      </c>
      <c r="HC465" s="105">
        <v>0</v>
      </c>
      <c r="HD465" s="105">
        <v>40</v>
      </c>
      <c r="HE465" s="105">
        <v>500</v>
      </c>
      <c r="HF465" s="118">
        <f t="shared" ref="HF465:HF504" si="539">ROUNDUP(HE465/HD465,0)</f>
        <v>13</v>
      </c>
      <c r="HG465" s="105">
        <v>5</v>
      </c>
      <c r="HH465" s="118">
        <f t="shared" ref="HH465:HH504" si="540">HF465*HG465</f>
        <v>65</v>
      </c>
      <c r="HI465" s="105">
        <v>16000</v>
      </c>
      <c r="HJ465" s="118">
        <f t="shared" ref="HJ465:HJ504" si="541">HH465*HI465</f>
        <v>1040000</v>
      </c>
      <c r="HK465" s="114"/>
      <c r="HL465" s="114"/>
      <c r="HM465" s="118">
        <v>3</v>
      </c>
      <c r="HN465" s="126">
        <f t="shared" ref="HN465:HN504" si="542">HM465*12*25*HE465</f>
        <v>450000</v>
      </c>
      <c r="HO465" s="109">
        <f t="shared" ref="HO465:HO479" si="543">(IF(GY465="carton box",HI465/HD465,HJ465/HN465))</f>
        <v>2.3111111111111109</v>
      </c>
      <c r="HP465" s="109">
        <v>160</v>
      </c>
      <c r="HQ465" s="105">
        <v>0</v>
      </c>
      <c r="HR465" s="109">
        <v>0</v>
      </c>
      <c r="HS465" s="109">
        <v>0</v>
      </c>
      <c r="HT465" s="109">
        <f t="shared" ref="HT465:HT504" si="544">IF(ISERROR(HR465/HS465),0,HR465/HS465)</f>
        <v>0</v>
      </c>
      <c r="HU465" s="109"/>
      <c r="HV465" s="109">
        <f t="shared" ref="HV465:HV504" si="545">HO465+HT465</f>
        <v>2.3111111111111109</v>
      </c>
      <c r="HW465" s="109"/>
      <c r="HX465" s="118">
        <v>0</v>
      </c>
      <c r="HY465" s="118">
        <v>0</v>
      </c>
      <c r="HZ465" s="118">
        <v>0</v>
      </c>
      <c r="IA465" s="118">
        <v>10</v>
      </c>
      <c r="IB465" s="118">
        <v>1</v>
      </c>
      <c r="IC465" s="118">
        <v>1</v>
      </c>
      <c r="ID465" s="108">
        <v>1</v>
      </c>
      <c r="IE465" s="111">
        <f t="shared" ref="IE465:IE475" si="546">PRODUCT(IA465:ID465)</f>
        <v>10</v>
      </c>
      <c r="IF465" s="118">
        <v>500</v>
      </c>
      <c r="IG465" s="118">
        <f>IF465/(IE465*HD465)</f>
        <v>1.25</v>
      </c>
      <c r="IH465" s="4"/>
    </row>
    <row r="466" spans="1:244">
      <c r="A466">
        <v>432</v>
      </c>
      <c r="B466" t="s">
        <v>468</v>
      </c>
      <c r="C466" t="s">
        <v>1958</v>
      </c>
      <c r="D466" s="28" t="s">
        <v>1291</v>
      </c>
      <c r="E466" s="28" t="s">
        <v>1292</v>
      </c>
      <c r="F466" s="5" t="s">
        <v>2182</v>
      </c>
      <c r="G466" s="27" t="s">
        <v>90</v>
      </c>
      <c r="I466" s="27" t="s">
        <v>226</v>
      </c>
      <c r="J466" s="28">
        <v>21590</v>
      </c>
      <c r="K466" s="27" t="s">
        <v>397</v>
      </c>
      <c r="L466" s="379">
        <v>20089</v>
      </c>
      <c r="M466" t="s">
        <v>226</v>
      </c>
      <c r="N466" s="334"/>
      <c r="O466" s="334"/>
      <c r="P466" s="334"/>
      <c r="Q466" s="13" t="s">
        <v>1768</v>
      </c>
      <c r="R466" s="13" t="s">
        <v>1769</v>
      </c>
      <c r="W466" s="383" t="s">
        <v>1795</v>
      </c>
      <c r="X466" s="383"/>
      <c r="Y466" s="383"/>
      <c r="Z466" s="383"/>
      <c r="AA466" s="13" t="s">
        <v>1950</v>
      </c>
      <c r="AB466" s="66">
        <v>155.26</v>
      </c>
      <c r="AC466">
        <v>20</v>
      </c>
      <c r="AD466" s="13" t="s">
        <v>280</v>
      </c>
      <c r="AE466" s="7">
        <f t="shared" si="513"/>
        <v>51.856839999999998</v>
      </c>
      <c r="AF466" s="42"/>
      <c r="AG466" s="7">
        <f t="shared" si="514"/>
        <v>4.0740740740740744</v>
      </c>
      <c r="AH466" s="42">
        <f t="shared" si="515"/>
        <v>0</v>
      </c>
      <c r="AI466" s="42">
        <f t="shared" si="516"/>
        <v>0</v>
      </c>
      <c r="AJ466" s="42">
        <f t="shared" si="517"/>
        <v>8.1481481481481488E-2</v>
      </c>
      <c r="AK466" s="42">
        <f t="shared" si="518"/>
        <v>0.69913642592592595</v>
      </c>
      <c r="AL466" s="42">
        <f t="shared" si="519"/>
        <v>6.1524005481481483</v>
      </c>
      <c r="AM466" s="42">
        <f t="shared" si="520"/>
        <v>2.3111111111111109</v>
      </c>
      <c r="AN466" s="42">
        <f t="shared" si="521"/>
        <v>1.25</v>
      </c>
      <c r="AO466" s="42">
        <f t="shared" si="522"/>
        <v>0</v>
      </c>
      <c r="AP466" s="42"/>
      <c r="AQ466" s="42">
        <f t="shared" si="523"/>
        <v>66.425043640740753</v>
      </c>
      <c r="AR466" s="42">
        <f t="shared" si="524"/>
        <v>0</v>
      </c>
      <c r="AS466" s="42">
        <f t="shared" si="525"/>
        <v>0</v>
      </c>
      <c r="AT466" s="42">
        <v>0</v>
      </c>
      <c r="AU466" s="42">
        <v>0</v>
      </c>
      <c r="AV466" s="42">
        <f t="shared" si="526"/>
        <v>66.425043640740753</v>
      </c>
      <c r="AW466">
        <v>0.33400000000000002</v>
      </c>
      <c r="AX466">
        <v>0.33400000000000002</v>
      </c>
      <c r="AY466" s="8">
        <v>0</v>
      </c>
      <c r="AZ466" s="4">
        <f t="shared" si="527"/>
        <v>0</v>
      </c>
      <c r="BA466" s="4">
        <f t="shared" si="528"/>
        <v>51.856839999999998</v>
      </c>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E466" s="4">
        <v>0</v>
      </c>
      <c r="CF466" s="4">
        <v>0</v>
      </c>
      <c r="CG466" s="4">
        <v>0</v>
      </c>
      <c r="CH466">
        <f t="shared" si="529"/>
        <v>0</v>
      </c>
      <c r="CI466" s="13"/>
      <c r="CK466">
        <v>0</v>
      </c>
      <c r="CL466">
        <v>0</v>
      </c>
      <c r="CM466">
        <f>CK466*CL466</f>
        <v>0</v>
      </c>
      <c r="CN466" s="13"/>
      <c r="CP466">
        <v>0</v>
      </c>
      <c r="CQ466">
        <v>0</v>
      </c>
      <c r="CR466">
        <f>CP466*CQ466</f>
        <v>0</v>
      </c>
      <c r="CU466">
        <v>0</v>
      </c>
      <c r="CV466">
        <v>0</v>
      </c>
      <c r="CW466">
        <f>CU466*CV466</f>
        <v>0</v>
      </c>
      <c r="DM466" s="4">
        <f t="shared" si="530"/>
        <v>0</v>
      </c>
      <c r="DN466" s="9">
        <v>1.2500000000000001E-2</v>
      </c>
      <c r="DO466" s="4">
        <f t="shared" si="531"/>
        <v>0</v>
      </c>
      <c r="DP466" s="4">
        <f t="shared" si="532"/>
        <v>0</v>
      </c>
      <c r="EF466" s="59">
        <v>450</v>
      </c>
      <c r="EG466" s="59">
        <v>4500</v>
      </c>
      <c r="EH466" s="59">
        <v>7.5</v>
      </c>
      <c r="EI466" s="8">
        <v>0.9</v>
      </c>
      <c r="EJ466" s="59">
        <v>2</v>
      </c>
      <c r="EK466" s="59">
        <v>44</v>
      </c>
      <c r="EL466" s="65">
        <f t="shared" si="533"/>
        <v>1104.5454545454545</v>
      </c>
      <c r="EU466" s="62">
        <f t="shared" si="534"/>
        <v>4.0740740740740744</v>
      </c>
      <c r="GR466" s="8">
        <v>0.11</v>
      </c>
      <c r="GS466" s="4">
        <f t="shared" si="535"/>
        <v>6.1524005481481483</v>
      </c>
      <c r="GT466" s="9">
        <v>1.2500000000000001E-2</v>
      </c>
      <c r="GU466" s="4">
        <f t="shared" si="536"/>
        <v>0.69913642592592595</v>
      </c>
      <c r="GV466" s="8">
        <v>0.02</v>
      </c>
      <c r="GW466" s="4">
        <f t="shared" si="537"/>
        <v>8.1481481481481488E-2</v>
      </c>
      <c r="GX466" s="4">
        <f t="shared" si="538"/>
        <v>6.9330184555555556</v>
      </c>
      <c r="GY466" t="s">
        <v>130</v>
      </c>
      <c r="GZ466" t="s">
        <v>130</v>
      </c>
      <c r="HA466" s="4">
        <v>0</v>
      </c>
      <c r="HB466" s="4">
        <v>0</v>
      </c>
      <c r="HC466" s="59">
        <v>0</v>
      </c>
      <c r="HD466" s="59">
        <v>40</v>
      </c>
      <c r="HE466" s="59">
        <v>500</v>
      </c>
      <c r="HF466" s="4">
        <f t="shared" si="539"/>
        <v>13</v>
      </c>
      <c r="HG466" s="59">
        <v>5</v>
      </c>
      <c r="HH466" s="4">
        <f t="shared" si="540"/>
        <v>65</v>
      </c>
      <c r="HI466" s="59">
        <v>16000</v>
      </c>
      <c r="HJ466" s="4">
        <f t="shared" si="541"/>
        <v>1040000</v>
      </c>
      <c r="HM466" s="4">
        <v>3</v>
      </c>
      <c r="HN466" s="10">
        <f t="shared" si="542"/>
        <v>450000</v>
      </c>
      <c r="HO466" s="62">
        <f t="shared" si="543"/>
        <v>2.3111111111111109</v>
      </c>
      <c r="HP466" s="62">
        <v>160</v>
      </c>
      <c r="HQ466" s="59">
        <v>0</v>
      </c>
      <c r="HR466" s="62">
        <v>0</v>
      </c>
      <c r="HS466" s="62">
        <v>0</v>
      </c>
      <c r="HT466" s="62">
        <f t="shared" si="544"/>
        <v>0</v>
      </c>
      <c r="HU466" s="62"/>
      <c r="HV466" s="62">
        <f t="shared" si="545"/>
        <v>2.3111111111111109</v>
      </c>
      <c r="HW466" s="62"/>
      <c r="HX466" s="4">
        <v>0</v>
      </c>
      <c r="HY466" s="4">
        <v>0</v>
      </c>
      <c r="HZ466" s="4">
        <v>0</v>
      </c>
      <c r="IA466" s="4">
        <v>10</v>
      </c>
      <c r="IB466" s="4">
        <v>1</v>
      </c>
      <c r="IC466" s="4">
        <v>1</v>
      </c>
      <c r="ID466" s="61">
        <v>1</v>
      </c>
      <c r="IE466" s="65">
        <f t="shared" si="546"/>
        <v>10</v>
      </c>
      <c r="IF466" s="4">
        <v>500</v>
      </c>
      <c r="IG466" s="4">
        <f>IF466/(IE466*HD466)</f>
        <v>1.25</v>
      </c>
      <c r="IH466" s="4"/>
    </row>
    <row r="467" spans="1:244">
      <c r="A467">
        <v>433</v>
      </c>
      <c r="B467" t="s">
        <v>468</v>
      </c>
      <c r="C467" s="114" t="s">
        <v>1959</v>
      </c>
      <c r="D467" s="28" t="s">
        <v>1293</v>
      </c>
      <c r="E467" s="28" t="s">
        <v>1294</v>
      </c>
      <c r="F467" s="5" t="s">
        <v>2182</v>
      </c>
      <c r="G467" s="27" t="s">
        <v>90</v>
      </c>
      <c r="I467" s="27" t="s">
        <v>226</v>
      </c>
      <c r="J467" s="28">
        <v>21590</v>
      </c>
      <c r="K467" s="27" t="s">
        <v>397</v>
      </c>
      <c r="L467" s="240">
        <v>20089</v>
      </c>
      <c r="M467" s="114" t="s">
        <v>226</v>
      </c>
      <c r="N467" s="278"/>
      <c r="O467" s="278"/>
      <c r="P467" s="278"/>
      <c r="Q467" s="13" t="s">
        <v>1768</v>
      </c>
      <c r="R467" s="13" t="s">
        <v>1769</v>
      </c>
      <c r="V467" s="319"/>
      <c r="W467" s="241" t="s">
        <v>1795</v>
      </c>
      <c r="X467" s="241"/>
      <c r="Y467" s="241"/>
      <c r="Z467" s="241"/>
      <c r="AA467" s="115" t="s">
        <v>469</v>
      </c>
      <c r="AB467" s="121">
        <v>100.81</v>
      </c>
      <c r="AC467" s="114">
        <v>20</v>
      </c>
      <c r="AD467" s="115" t="s">
        <v>280</v>
      </c>
      <c r="AE467" s="119">
        <f t="shared" si="513"/>
        <v>2.2178200000000001</v>
      </c>
      <c r="AF467" s="106"/>
      <c r="AG467" s="119">
        <f t="shared" si="514"/>
        <v>1.2037037037037037</v>
      </c>
      <c r="AH467" s="106">
        <f t="shared" si="515"/>
        <v>0</v>
      </c>
      <c r="AI467" s="106">
        <f t="shared" si="516"/>
        <v>0</v>
      </c>
      <c r="AJ467" s="106">
        <f t="shared" si="517"/>
        <v>2.4074074074074074E-2</v>
      </c>
      <c r="AK467" s="106">
        <f t="shared" si="518"/>
        <v>4.2769046296296298E-2</v>
      </c>
      <c r="AL467" s="106">
        <f t="shared" si="519"/>
        <v>0.37636760740740743</v>
      </c>
      <c r="AM467" s="106">
        <f t="shared" si="520"/>
        <v>2.1666666666666667E-2</v>
      </c>
      <c r="AN467" s="106">
        <f t="shared" si="521"/>
        <v>0.02</v>
      </c>
      <c r="AO467" s="106">
        <f t="shared" si="522"/>
        <v>0</v>
      </c>
      <c r="AP467" s="106"/>
      <c r="AQ467" s="106">
        <f t="shared" si="523"/>
        <v>3.9064010981481485</v>
      </c>
      <c r="AR467" s="106">
        <f t="shared" si="524"/>
        <v>0</v>
      </c>
      <c r="AS467" s="106">
        <f t="shared" si="525"/>
        <v>0</v>
      </c>
      <c r="AT467" s="106">
        <v>0</v>
      </c>
      <c r="AU467" s="106">
        <v>0</v>
      </c>
      <c r="AV467" s="106">
        <f t="shared" si="526"/>
        <v>3.9064010981481485</v>
      </c>
      <c r="AW467" s="114">
        <v>2.1999999999999999E-2</v>
      </c>
      <c r="AX467" s="114">
        <v>2.1999999999999999E-2</v>
      </c>
      <c r="AY467" s="120">
        <v>0</v>
      </c>
      <c r="AZ467" s="118">
        <f t="shared" si="527"/>
        <v>0</v>
      </c>
      <c r="BA467" s="118">
        <f t="shared" si="528"/>
        <v>2.2178200000000001</v>
      </c>
      <c r="BB467" s="118"/>
      <c r="BC467" s="118"/>
      <c r="BD467" s="118"/>
      <c r="BE467" s="118"/>
      <c r="BF467" s="118"/>
      <c r="BG467" s="118"/>
      <c r="BH467" s="118"/>
      <c r="BI467" s="118"/>
      <c r="BJ467" s="118"/>
      <c r="BK467" s="118"/>
      <c r="BL467" s="118"/>
      <c r="BM467" s="118"/>
      <c r="BN467" s="118"/>
      <c r="BO467" s="118"/>
      <c r="BP467" s="118"/>
      <c r="BQ467" s="118"/>
      <c r="BR467" s="118"/>
      <c r="BS467" s="118"/>
      <c r="BT467" s="118"/>
      <c r="BU467" s="118"/>
      <c r="BV467" s="118"/>
      <c r="BW467" s="118"/>
      <c r="BX467" s="118"/>
      <c r="BY467" s="118"/>
      <c r="BZ467" s="118"/>
      <c r="CA467" s="118"/>
      <c r="CB467" s="118"/>
      <c r="CC467" s="118"/>
      <c r="CD467" s="114"/>
      <c r="CE467" s="118">
        <v>0</v>
      </c>
      <c r="CF467" s="118">
        <v>0</v>
      </c>
      <c r="CG467" s="118">
        <v>0</v>
      </c>
      <c r="CH467" s="114">
        <f t="shared" si="529"/>
        <v>0</v>
      </c>
      <c r="CI467" s="115"/>
      <c r="CJ467" s="114"/>
      <c r="CK467" s="114">
        <v>0</v>
      </c>
      <c r="CL467" s="114">
        <v>0</v>
      </c>
      <c r="CM467" s="114">
        <f>CK467*CL467</f>
        <v>0</v>
      </c>
      <c r="CN467" s="115"/>
      <c r="CO467" s="114"/>
      <c r="CP467" s="114">
        <v>0</v>
      </c>
      <c r="CQ467" s="114">
        <v>0</v>
      </c>
      <c r="CR467" s="114">
        <f>CP467*CQ467</f>
        <v>0</v>
      </c>
      <c r="CS467" s="114"/>
      <c r="CT467" s="114"/>
      <c r="CU467" s="114">
        <v>0</v>
      </c>
      <c r="CV467" s="114">
        <v>0</v>
      </c>
      <c r="CW467" s="114">
        <f>CU467*CV467</f>
        <v>0</v>
      </c>
      <c r="CX467" s="114"/>
      <c r="CY467" s="114"/>
      <c r="CZ467" s="114"/>
      <c r="DA467" s="114"/>
      <c r="DB467" s="114"/>
      <c r="DC467" s="114"/>
      <c r="DD467" s="114"/>
      <c r="DE467" s="114"/>
      <c r="DF467" s="114"/>
      <c r="DG467" s="114"/>
      <c r="DH467" s="114"/>
      <c r="DI467" s="114"/>
      <c r="DJ467" s="114"/>
      <c r="DK467" s="114"/>
      <c r="DL467" s="114"/>
      <c r="DM467" s="118">
        <f t="shared" si="530"/>
        <v>0</v>
      </c>
      <c r="DN467" s="125">
        <v>1.2500000000000001E-2</v>
      </c>
      <c r="DO467" s="118">
        <f t="shared" si="531"/>
        <v>0</v>
      </c>
      <c r="DP467" s="118">
        <f t="shared" si="532"/>
        <v>0</v>
      </c>
      <c r="DQ467" s="114"/>
      <c r="DR467" s="114"/>
      <c r="DS467" s="114"/>
      <c r="DT467" s="114"/>
      <c r="DU467" s="114"/>
      <c r="DV467" s="114"/>
      <c r="DW467" s="114"/>
      <c r="DX467" s="114"/>
      <c r="DY467" s="114"/>
      <c r="DZ467" s="114"/>
      <c r="EA467" s="114"/>
      <c r="EB467" s="114"/>
      <c r="EC467" s="114"/>
      <c r="ED467" s="114"/>
      <c r="EE467" s="114"/>
      <c r="EF467" s="105">
        <v>130</v>
      </c>
      <c r="EG467" s="105">
        <v>1300</v>
      </c>
      <c r="EH467" s="105">
        <v>7.5</v>
      </c>
      <c r="EI467" s="120">
        <v>0.9</v>
      </c>
      <c r="EJ467" s="105">
        <v>2</v>
      </c>
      <c r="EK467" s="105">
        <v>45</v>
      </c>
      <c r="EL467" s="111">
        <f t="shared" si="533"/>
        <v>1080</v>
      </c>
      <c r="EM467" s="114"/>
      <c r="EN467" s="114"/>
      <c r="EO467" s="114"/>
      <c r="EP467" s="114"/>
      <c r="EQ467" s="114"/>
      <c r="ER467" s="114"/>
      <c r="ES467" s="114"/>
      <c r="ET467" s="114"/>
      <c r="EU467" s="109">
        <f t="shared" si="534"/>
        <v>1.2037037037037037</v>
      </c>
      <c r="EV467" s="114"/>
      <c r="EW467" s="114"/>
      <c r="EX467" s="114"/>
      <c r="EY467" s="114"/>
      <c r="EZ467" s="114"/>
      <c r="FA467" s="114"/>
      <c r="FB467" s="114"/>
      <c r="FC467" s="114"/>
      <c r="FD467" s="114"/>
      <c r="FE467" s="114"/>
      <c r="FF467" s="114"/>
      <c r="FG467" s="114"/>
      <c r="FH467" s="114"/>
      <c r="FI467" s="114"/>
      <c r="FJ467" s="114"/>
      <c r="FK467" s="114"/>
      <c r="FL467" s="114"/>
      <c r="FM467" s="114"/>
      <c r="FN467" s="114"/>
      <c r="FO467" s="114"/>
      <c r="FP467" s="114"/>
      <c r="FQ467" s="114"/>
      <c r="FR467" s="114"/>
      <c r="FS467" s="114"/>
      <c r="FT467" s="114"/>
      <c r="FU467" s="114"/>
      <c r="FV467" s="114"/>
      <c r="FW467" s="114"/>
      <c r="FX467" s="114"/>
      <c r="FY467" s="114"/>
      <c r="FZ467" s="114"/>
      <c r="GA467" s="114"/>
      <c r="GB467" s="114"/>
      <c r="GC467" s="114"/>
      <c r="GD467" s="114"/>
      <c r="GE467" s="114"/>
      <c r="GF467" s="114"/>
      <c r="GG467" s="114"/>
      <c r="GH467" s="114"/>
      <c r="GI467" s="114"/>
      <c r="GJ467" s="114"/>
      <c r="GK467" s="114"/>
      <c r="GL467" s="114"/>
      <c r="GM467" s="114"/>
      <c r="GN467" s="114"/>
      <c r="GO467" s="114"/>
      <c r="GP467" s="114"/>
      <c r="GQ467" s="114"/>
      <c r="GR467" s="120">
        <v>0.11</v>
      </c>
      <c r="GS467" s="118">
        <f t="shared" si="535"/>
        <v>0.37636760740740743</v>
      </c>
      <c r="GT467" s="125">
        <v>1.2500000000000001E-2</v>
      </c>
      <c r="GU467" s="118">
        <f t="shared" si="536"/>
        <v>4.2769046296296298E-2</v>
      </c>
      <c r="GV467" s="120">
        <v>0.02</v>
      </c>
      <c r="GW467" s="118">
        <f t="shared" si="537"/>
        <v>2.4074074074074074E-2</v>
      </c>
      <c r="GX467" s="118">
        <f t="shared" si="538"/>
        <v>0.44321072777777781</v>
      </c>
      <c r="GY467" s="114" t="s">
        <v>130</v>
      </c>
      <c r="GZ467" s="114" t="s">
        <v>130</v>
      </c>
      <c r="HA467" s="118">
        <v>650</v>
      </c>
      <c r="HB467" s="118">
        <v>450</v>
      </c>
      <c r="HC467" s="105">
        <v>330</v>
      </c>
      <c r="HD467" s="105">
        <v>300</v>
      </c>
      <c r="HE467" s="105">
        <v>500</v>
      </c>
      <c r="HF467" s="118">
        <f t="shared" si="539"/>
        <v>2</v>
      </c>
      <c r="HG467" s="105">
        <v>5</v>
      </c>
      <c r="HH467" s="118">
        <f t="shared" si="540"/>
        <v>10</v>
      </c>
      <c r="HI467" s="105">
        <v>650</v>
      </c>
      <c r="HJ467" s="118">
        <f t="shared" si="541"/>
        <v>6500</v>
      </c>
      <c r="HK467" s="114"/>
      <c r="HL467" s="114"/>
      <c r="HM467" s="118">
        <v>2</v>
      </c>
      <c r="HN467" s="126">
        <f t="shared" si="542"/>
        <v>300000</v>
      </c>
      <c r="HO467" s="109">
        <f t="shared" si="543"/>
        <v>2.1666666666666667E-2</v>
      </c>
      <c r="HP467" s="109">
        <v>160</v>
      </c>
      <c r="HQ467" s="105">
        <v>0</v>
      </c>
      <c r="HR467" s="109">
        <v>0</v>
      </c>
      <c r="HS467" s="109">
        <v>0</v>
      </c>
      <c r="HT467" s="109">
        <f t="shared" si="544"/>
        <v>0</v>
      </c>
      <c r="HU467" s="109"/>
      <c r="HV467" s="109">
        <f t="shared" si="545"/>
        <v>2.1666666666666667E-2</v>
      </c>
      <c r="HW467" s="109"/>
      <c r="HX467" s="118">
        <v>4200</v>
      </c>
      <c r="HY467" s="118">
        <v>1900</v>
      </c>
      <c r="HZ467" s="118">
        <v>1975</v>
      </c>
      <c r="IA467" s="118">
        <f t="shared" ref="IA467:IA504" si="547">ROUNDDOWN(HX467/HA467,0)</f>
        <v>6</v>
      </c>
      <c r="IB467" s="118">
        <f t="shared" ref="IB467:IB504" si="548">ROUNDDOWN(HY467/HB467,0)</f>
        <v>4</v>
      </c>
      <c r="IC467" s="118">
        <f t="shared" ref="IC467:IC504" si="549">ROUNDDOWN(HZ467/HC467,0)</f>
        <v>5</v>
      </c>
      <c r="ID467" s="108">
        <v>0.95</v>
      </c>
      <c r="IE467" s="111">
        <f t="shared" si="546"/>
        <v>114</v>
      </c>
      <c r="IF467" s="118">
        <v>500</v>
      </c>
      <c r="IG467" s="109">
        <f t="shared" ref="IG467:IG475" si="550">ROUNDUP(IF467/(IE467*HD467),2)</f>
        <v>0.02</v>
      </c>
      <c r="IH467" s="62"/>
    </row>
    <row r="468" spans="1:244" ht="40.5">
      <c r="A468">
        <v>434</v>
      </c>
      <c r="B468" t="s">
        <v>468</v>
      </c>
      <c r="C468" s="187" t="s">
        <v>1960</v>
      </c>
      <c r="D468" s="28" t="s">
        <v>1295</v>
      </c>
      <c r="E468" s="28" t="s">
        <v>1296</v>
      </c>
      <c r="F468" s="5" t="s">
        <v>2182</v>
      </c>
      <c r="G468" s="27" t="s">
        <v>90</v>
      </c>
      <c r="I468" s="27" t="s">
        <v>226</v>
      </c>
      <c r="J468" s="28">
        <v>21590</v>
      </c>
      <c r="K468" s="27" t="s">
        <v>397</v>
      </c>
      <c r="L468" s="13">
        <v>20089</v>
      </c>
      <c r="M468" t="s">
        <v>226</v>
      </c>
      <c r="N468" s="374"/>
      <c r="O468" s="374"/>
      <c r="P468" s="374"/>
      <c r="Q468" s="13" t="s">
        <v>1768</v>
      </c>
      <c r="R468" s="13" t="s">
        <v>1769</v>
      </c>
      <c r="W468" s="383" t="s">
        <v>1961</v>
      </c>
      <c r="X468" s="383"/>
      <c r="Y468" s="383"/>
      <c r="Z468" s="383"/>
      <c r="AA468" s="13" t="s">
        <v>1962</v>
      </c>
      <c r="AB468" s="66">
        <v>199.34</v>
      </c>
      <c r="AC468">
        <v>20</v>
      </c>
      <c r="AD468" s="13" t="s">
        <v>280</v>
      </c>
      <c r="AE468" s="7">
        <f t="shared" si="513"/>
        <v>148.90698</v>
      </c>
      <c r="AF468" s="42"/>
      <c r="AG468" s="7">
        <f t="shared" si="514"/>
        <v>9.0740740740740726</v>
      </c>
      <c r="AH468" s="42">
        <f t="shared" si="515"/>
        <v>6</v>
      </c>
      <c r="AI468" s="42">
        <f t="shared" si="516"/>
        <v>7.5000000000000011E-2</v>
      </c>
      <c r="AJ468" s="42">
        <f t="shared" si="517"/>
        <v>0.18148148148148147</v>
      </c>
      <c r="AK468" s="42">
        <f t="shared" si="518"/>
        <v>1.9747631759259261</v>
      </c>
      <c r="AL468" s="42">
        <f t="shared" si="519"/>
        <v>17.37791594814815</v>
      </c>
      <c r="AM468" s="42">
        <f t="shared" si="520"/>
        <v>2.8466666666666667</v>
      </c>
      <c r="AN468" s="42">
        <f t="shared" si="521"/>
        <v>0.55000000000000004</v>
      </c>
      <c r="AO468" s="42">
        <f t="shared" si="522"/>
        <v>0</v>
      </c>
      <c r="AP468" s="42"/>
      <c r="AQ468" s="42">
        <f t="shared" si="523"/>
        <v>186.98688134629629</v>
      </c>
      <c r="AR468" s="42">
        <f t="shared" si="524"/>
        <v>0</v>
      </c>
      <c r="AS468" s="42">
        <f t="shared" si="525"/>
        <v>0</v>
      </c>
      <c r="AT468" s="42">
        <v>0</v>
      </c>
      <c r="AU468" s="42">
        <f>187.06-186.99</f>
        <v>6.9999999999993179E-2</v>
      </c>
      <c r="AV468" s="42">
        <f t="shared" si="526"/>
        <v>187.05688134629628</v>
      </c>
      <c r="AW468">
        <v>0.747</v>
      </c>
      <c r="AX468">
        <v>0.747</v>
      </c>
      <c r="AY468" s="8">
        <v>0</v>
      </c>
      <c r="AZ468" s="4">
        <f t="shared" si="527"/>
        <v>0</v>
      </c>
      <c r="BA468" s="4">
        <f t="shared" si="528"/>
        <v>148.90698</v>
      </c>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E468" s="4">
        <v>0</v>
      </c>
      <c r="CF468" s="4">
        <v>4</v>
      </c>
      <c r="CG468" s="4">
        <v>1.5</v>
      </c>
      <c r="CH468" s="4">
        <f t="shared" si="529"/>
        <v>6</v>
      </c>
      <c r="DM468" s="4">
        <f t="shared" si="530"/>
        <v>6</v>
      </c>
      <c r="DN468" s="9">
        <v>1.2500000000000001E-2</v>
      </c>
      <c r="DO468" s="4">
        <f t="shared" si="531"/>
        <v>7.5000000000000011E-2</v>
      </c>
      <c r="DP468" s="4">
        <f t="shared" si="532"/>
        <v>6.0750000000000002</v>
      </c>
      <c r="EF468" s="59">
        <v>350</v>
      </c>
      <c r="EG468" s="59">
        <v>3500</v>
      </c>
      <c r="EH468" s="59">
        <v>7.5</v>
      </c>
      <c r="EI468" s="8">
        <v>0.9</v>
      </c>
      <c r="EJ468" s="59">
        <v>1</v>
      </c>
      <c r="EK468" s="59">
        <v>63</v>
      </c>
      <c r="EL468" s="65">
        <f t="shared" si="533"/>
        <v>385.71428571428578</v>
      </c>
      <c r="EU468" s="62">
        <f t="shared" si="534"/>
        <v>9.0740740740740726</v>
      </c>
      <c r="GR468" s="8">
        <v>0.11</v>
      </c>
      <c r="GS468" s="4">
        <f t="shared" si="535"/>
        <v>17.37791594814815</v>
      </c>
      <c r="GT468" s="9">
        <v>1.2500000000000001E-2</v>
      </c>
      <c r="GU468" s="4">
        <f t="shared" si="536"/>
        <v>1.9747631759259261</v>
      </c>
      <c r="GV468" s="8">
        <v>0.02</v>
      </c>
      <c r="GW468" s="4">
        <f t="shared" si="537"/>
        <v>0.18148148148148147</v>
      </c>
      <c r="GX468" s="4">
        <f t="shared" si="538"/>
        <v>19.534160605555556</v>
      </c>
      <c r="GY468" t="s">
        <v>130</v>
      </c>
      <c r="GZ468" t="s">
        <v>130</v>
      </c>
      <c r="HA468" s="4">
        <v>810</v>
      </c>
      <c r="HB468" s="4">
        <v>568</v>
      </c>
      <c r="HC468" s="59">
        <v>425</v>
      </c>
      <c r="HD468" s="59">
        <v>16</v>
      </c>
      <c r="HE468" s="59">
        <v>500</v>
      </c>
      <c r="HF468" s="4">
        <f t="shared" si="539"/>
        <v>32</v>
      </c>
      <c r="HG468" s="59">
        <v>5</v>
      </c>
      <c r="HH468" s="4">
        <f t="shared" si="540"/>
        <v>160</v>
      </c>
      <c r="HI468" s="59">
        <v>1100</v>
      </c>
      <c r="HJ468" s="4">
        <f t="shared" si="541"/>
        <v>176000</v>
      </c>
      <c r="HM468" s="4">
        <v>2</v>
      </c>
      <c r="HN468" s="10">
        <f t="shared" si="542"/>
        <v>300000</v>
      </c>
      <c r="HO468" s="62">
        <f t="shared" si="543"/>
        <v>0.58666666666666667</v>
      </c>
      <c r="HP468" s="62">
        <v>160</v>
      </c>
      <c r="HQ468" s="59">
        <v>0</v>
      </c>
      <c r="HR468" s="62">
        <v>2.2599999999999998</v>
      </c>
      <c r="HS468" s="62">
        <v>1</v>
      </c>
      <c r="HT468" s="62">
        <f t="shared" si="544"/>
        <v>2.2599999999999998</v>
      </c>
      <c r="HU468" s="62"/>
      <c r="HV468" s="62">
        <f t="shared" si="545"/>
        <v>2.8466666666666667</v>
      </c>
      <c r="HW468" s="62"/>
      <c r="HX468" s="4">
        <v>4200</v>
      </c>
      <c r="HY468" s="4">
        <v>1900</v>
      </c>
      <c r="HZ468" s="4">
        <v>1975</v>
      </c>
      <c r="IA468" s="4">
        <f t="shared" si="547"/>
        <v>5</v>
      </c>
      <c r="IB468" s="4">
        <f t="shared" si="548"/>
        <v>3</v>
      </c>
      <c r="IC468" s="4">
        <f t="shared" si="549"/>
        <v>4</v>
      </c>
      <c r="ID468" s="61">
        <v>0.95</v>
      </c>
      <c r="IE468" s="65">
        <f t="shared" si="546"/>
        <v>57</v>
      </c>
      <c r="IF468" s="4">
        <v>500</v>
      </c>
      <c r="IG468" s="62">
        <f t="shared" si="550"/>
        <v>0.55000000000000004</v>
      </c>
      <c r="IH468" s="62"/>
    </row>
    <row r="469" spans="1:244">
      <c r="A469">
        <v>435</v>
      </c>
      <c r="B469" t="s">
        <v>468</v>
      </c>
      <c r="C469" s="114" t="s">
        <v>1963</v>
      </c>
      <c r="D469" s="28" t="s">
        <v>1297</v>
      </c>
      <c r="E469" s="28" t="s">
        <v>1298</v>
      </c>
      <c r="F469" s="5" t="s">
        <v>2182</v>
      </c>
      <c r="G469" s="27" t="s">
        <v>90</v>
      </c>
      <c r="I469" s="27" t="s">
        <v>226</v>
      </c>
      <c r="J469" s="28">
        <v>21590</v>
      </c>
      <c r="K469" s="27" t="s">
        <v>397</v>
      </c>
      <c r="L469" s="240">
        <v>20089</v>
      </c>
      <c r="M469" s="114" t="s">
        <v>226</v>
      </c>
      <c r="N469" s="278"/>
      <c r="O469" s="278"/>
      <c r="P469" s="278"/>
      <c r="Q469" s="13" t="s">
        <v>1768</v>
      </c>
      <c r="R469" s="13" t="s">
        <v>1769</v>
      </c>
      <c r="V469" s="319"/>
      <c r="W469" s="238" t="s">
        <v>1795</v>
      </c>
      <c r="X469" s="238"/>
      <c r="Y469" s="238"/>
      <c r="Z469" s="238"/>
      <c r="AA469" s="115" t="s">
        <v>469</v>
      </c>
      <c r="AB469" s="121">
        <v>111.8</v>
      </c>
      <c r="AC469" s="114">
        <v>20</v>
      </c>
      <c r="AD469" s="115" t="s">
        <v>280</v>
      </c>
      <c r="AE469" s="119">
        <f t="shared" si="513"/>
        <v>18.6706</v>
      </c>
      <c r="AF469" s="106"/>
      <c r="AG469" s="119">
        <f t="shared" si="514"/>
        <v>11.851851851851851</v>
      </c>
      <c r="AH469" s="106">
        <f t="shared" si="515"/>
        <v>0</v>
      </c>
      <c r="AI469" s="106">
        <f t="shared" si="516"/>
        <v>0</v>
      </c>
      <c r="AJ469" s="106">
        <f t="shared" si="517"/>
        <v>0.23703703703703702</v>
      </c>
      <c r="AK469" s="106">
        <f t="shared" si="518"/>
        <v>0.38153064814814819</v>
      </c>
      <c r="AL469" s="106">
        <f t="shared" si="519"/>
        <v>3.3574697037037038</v>
      </c>
      <c r="AM469" s="106">
        <f t="shared" si="520"/>
        <v>0.31166666666666665</v>
      </c>
      <c r="AN469" s="106">
        <f t="shared" si="521"/>
        <v>0.3</v>
      </c>
      <c r="AO469" s="106">
        <f t="shared" si="522"/>
        <v>0</v>
      </c>
      <c r="AP469" s="106"/>
      <c r="AQ469" s="106">
        <f t="shared" si="523"/>
        <v>35.11015590740741</v>
      </c>
      <c r="AR469" s="106">
        <f t="shared" si="524"/>
        <v>0</v>
      </c>
      <c r="AS469" s="106">
        <f t="shared" si="525"/>
        <v>0</v>
      </c>
      <c r="AT469" s="106">
        <v>0</v>
      </c>
      <c r="AU469" s="106">
        <v>0</v>
      </c>
      <c r="AV469" s="106">
        <f t="shared" si="526"/>
        <v>35.11015590740741</v>
      </c>
      <c r="AW469" s="114">
        <v>0.16700000000000001</v>
      </c>
      <c r="AX469" s="114">
        <v>0.16700000000000001</v>
      </c>
      <c r="AY469" s="120">
        <v>0</v>
      </c>
      <c r="AZ469" s="118">
        <f t="shared" si="527"/>
        <v>0</v>
      </c>
      <c r="BA469" s="118">
        <f t="shared" si="528"/>
        <v>18.6706</v>
      </c>
      <c r="BB469" s="118"/>
      <c r="BC469" s="118"/>
      <c r="BD469" s="118"/>
      <c r="BE469" s="118"/>
      <c r="BF469" s="118"/>
      <c r="BG469" s="118"/>
      <c r="BH469" s="118"/>
      <c r="BI469" s="118"/>
      <c r="BJ469" s="118"/>
      <c r="BK469" s="118"/>
      <c r="BL469" s="118"/>
      <c r="BM469" s="118"/>
      <c r="BN469" s="118"/>
      <c r="BO469" s="118"/>
      <c r="BP469" s="118"/>
      <c r="BQ469" s="118"/>
      <c r="BR469" s="118"/>
      <c r="BS469" s="118"/>
      <c r="BT469" s="118"/>
      <c r="BU469" s="118"/>
      <c r="BV469" s="118"/>
      <c r="BW469" s="118"/>
      <c r="BX469" s="118"/>
      <c r="BY469" s="118"/>
      <c r="BZ469" s="118"/>
      <c r="CA469" s="118"/>
      <c r="CB469" s="118"/>
      <c r="CC469" s="118"/>
      <c r="CD469" s="114"/>
      <c r="CE469" s="118">
        <v>0</v>
      </c>
      <c r="CF469" s="118">
        <v>0</v>
      </c>
      <c r="CG469" s="118">
        <v>0</v>
      </c>
      <c r="CH469" s="114">
        <f t="shared" si="529"/>
        <v>0</v>
      </c>
      <c r="CI469" s="115"/>
      <c r="CJ469" s="114"/>
      <c r="CK469" s="114">
        <v>0</v>
      </c>
      <c r="CL469" s="114">
        <v>0</v>
      </c>
      <c r="CM469" s="114">
        <f>CK469*CL469</f>
        <v>0</v>
      </c>
      <c r="CN469" s="115"/>
      <c r="CO469" s="114"/>
      <c r="CP469" s="114">
        <v>0</v>
      </c>
      <c r="CQ469" s="114">
        <v>0</v>
      </c>
      <c r="CR469" s="114">
        <f>CP469*CQ469</f>
        <v>0</v>
      </c>
      <c r="CS469" s="114"/>
      <c r="CT469" s="114"/>
      <c r="CU469" s="114">
        <v>0</v>
      </c>
      <c r="CV469" s="114">
        <v>0</v>
      </c>
      <c r="CW469" s="114">
        <f>CU469*CV469</f>
        <v>0</v>
      </c>
      <c r="CX469" s="114"/>
      <c r="CY469" s="114"/>
      <c r="CZ469" s="114"/>
      <c r="DA469" s="114"/>
      <c r="DB469" s="114"/>
      <c r="DC469" s="114"/>
      <c r="DD469" s="114"/>
      <c r="DE469" s="114"/>
      <c r="DF469" s="114"/>
      <c r="DG469" s="114"/>
      <c r="DH469" s="114"/>
      <c r="DI469" s="114"/>
      <c r="DJ469" s="114"/>
      <c r="DK469" s="114"/>
      <c r="DL469" s="114"/>
      <c r="DM469" s="118">
        <f t="shared" si="530"/>
        <v>0</v>
      </c>
      <c r="DN469" s="125">
        <v>1.2500000000000001E-2</v>
      </c>
      <c r="DO469" s="118">
        <f t="shared" si="531"/>
        <v>0</v>
      </c>
      <c r="DP469" s="118">
        <f t="shared" si="532"/>
        <v>0</v>
      </c>
      <c r="DQ469" s="114"/>
      <c r="DR469" s="114"/>
      <c r="DS469" s="114"/>
      <c r="DT469" s="114"/>
      <c r="DU469" s="114"/>
      <c r="DV469" s="114"/>
      <c r="DW469" s="114"/>
      <c r="DX469" s="114"/>
      <c r="DY469" s="114"/>
      <c r="DZ469" s="114"/>
      <c r="EA469" s="114"/>
      <c r="EB469" s="114"/>
      <c r="EC469" s="114"/>
      <c r="ED469" s="114"/>
      <c r="EE469" s="114"/>
      <c r="EF469" s="105">
        <v>450</v>
      </c>
      <c r="EG469" s="105">
        <v>4500</v>
      </c>
      <c r="EH469" s="105">
        <v>7.5</v>
      </c>
      <c r="EI469" s="120">
        <v>0.9</v>
      </c>
      <c r="EJ469" s="105">
        <v>1</v>
      </c>
      <c r="EK469" s="105">
        <v>64</v>
      </c>
      <c r="EL469" s="111">
        <f t="shared" si="533"/>
        <v>379.6875</v>
      </c>
      <c r="EM469" s="114"/>
      <c r="EN469" s="114"/>
      <c r="EO469" s="114"/>
      <c r="EP469" s="114"/>
      <c r="EQ469" s="114"/>
      <c r="ER469" s="114"/>
      <c r="ES469" s="114"/>
      <c r="ET469" s="114"/>
      <c r="EU469" s="109">
        <f t="shared" si="534"/>
        <v>11.851851851851851</v>
      </c>
      <c r="EV469" s="114"/>
      <c r="EW469" s="114"/>
      <c r="EX469" s="114"/>
      <c r="EY469" s="114"/>
      <c r="EZ469" s="114"/>
      <c r="FA469" s="114"/>
      <c r="FB469" s="114"/>
      <c r="FC469" s="114"/>
      <c r="FD469" s="114"/>
      <c r="FE469" s="114"/>
      <c r="FF469" s="114"/>
      <c r="FG469" s="114"/>
      <c r="FH469" s="114"/>
      <c r="FI469" s="114"/>
      <c r="FJ469" s="114"/>
      <c r="FK469" s="114"/>
      <c r="FL469" s="114"/>
      <c r="FM469" s="114"/>
      <c r="FN469" s="114"/>
      <c r="FO469" s="114"/>
      <c r="FP469" s="114"/>
      <c r="FQ469" s="114"/>
      <c r="FR469" s="114"/>
      <c r="FS469" s="114"/>
      <c r="FT469" s="114"/>
      <c r="FU469" s="114"/>
      <c r="FV469" s="114"/>
      <c r="FW469" s="114"/>
      <c r="FX469" s="114"/>
      <c r="FY469" s="114"/>
      <c r="FZ469" s="114"/>
      <c r="GA469" s="114"/>
      <c r="GB469" s="114"/>
      <c r="GC469" s="114"/>
      <c r="GD469" s="114"/>
      <c r="GE469" s="114"/>
      <c r="GF469" s="114"/>
      <c r="GG469" s="114"/>
      <c r="GH469" s="114"/>
      <c r="GI469" s="114"/>
      <c r="GJ469" s="114"/>
      <c r="GK469" s="114"/>
      <c r="GL469" s="114"/>
      <c r="GM469" s="114"/>
      <c r="GN469" s="114"/>
      <c r="GO469" s="114"/>
      <c r="GP469" s="114"/>
      <c r="GQ469" s="114"/>
      <c r="GR469" s="120">
        <v>0.11</v>
      </c>
      <c r="GS469" s="118">
        <f t="shared" si="535"/>
        <v>3.3574697037037038</v>
      </c>
      <c r="GT469" s="125">
        <v>1.2500000000000001E-2</v>
      </c>
      <c r="GU469" s="118">
        <f t="shared" si="536"/>
        <v>0.38153064814814819</v>
      </c>
      <c r="GV469" s="120">
        <v>0.02</v>
      </c>
      <c r="GW469" s="118">
        <f t="shared" si="537"/>
        <v>0.23703703703703702</v>
      </c>
      <c r="GX469" s="118">
        <f t="shared" si="538"/>
        <v>3.9760373888888889</v>
      </c>
      <c r="GY469" s="114" t="s">
        <v>130</v>
      </c>
      <c r="GZ469" s="114" t="s">
        <v>130</v>
      </c>
      <c r="HA469" s="118">
        <v>810</v>
      </c>
      <c r="HB469" s="118">
        <v>568</v>
      </c>
      <c r="HC469" s="105">
        <v>425</v>
      </c>
      <c r="HD469" s="105">
        <v>30</v>
      </c>
      <c r="HE469" s="105">
        <v>500</v>
      </c>
      <c r="HF469" s="118">
        <f t="shared" si="539"/>
        <v>17</v>
      </c>
      <c r="HG469" s="105">
        <v>5</v>
      </c>
      <c r="HH469" s="118">
        <f t="shared" si="540"/>
        <v>85</v>
      </c>
      <c r="HI469" s="105">
        <v>1100</v>
      </c>
      <c r="HJ469" s="118">
        <f t="shared" si="541"/>
        <v>93500</v>
      </c>
      <c r="HK469" s="114"/>
      <c r="HL469" s="114"/>
      <c r="HM469" s="118">
        <v>2</v>
      </c>
      <c r="HN469" s="126">
        <f t="shared" si="542"/>
        <v>300000</v>
      </c>
      <c r="HO469" s="109">
        <f t="shared" si="543"/>
        <v>0.31166666666666665</v>
      </c>
      <c r="HP469" s="109">
        <v>160</v>
      </c>
      <c r="HQ469" s="105">
        <v>0</v>
      </c>
      <c r="HR469" s="109">
        <v>0</v>
      </c>
      <c r="HS469" s="109">
        <v>0</v>
      </c>
      <c r="HT469" s="109">
        <f t="shared" si="544"/>
        <v>0</v>
      </c>
      <c r="HU469" s="109"/>
      <c r="HV469" s="109">
        <f t="shared" si="545"/>
        <v>0.31166666666666665</v>
      </c>
      <c r="HW469" s="109"/>
      <c r="HX469" s="118">
        <v>4200</v>
      </c>
      <c r="HY469" s="118">
        <v>1900</v>
      </c>
      <c r="HZ469" s="118">
        <v>1975</v>
      </c>
      <c r="IA469" s="118">
        <f t="shared" si="547"/>
        <v>5</v>
      </c>
      <c r="IB469" s="118">
        <f t="shared" si="548"/>
        <v>3</v>
      </c>
      <c r="IC469" s="118">
        <f t="shared" si="549"/>
        <v>4</v>
      </c>
      <c r="ID469" s="108">
        <v>0.95</v>
      </c>
      <c r="IE469" s="111">
        <f t="shared" si="546"/>
        <v>57</v>
      </c>
      <c r="IF469" s="118">
        <v>500</v>
      </c>
      <c r="IG469" s="109">
        <f t="shared" si="550"/>
        <v>0.3</v>
      </c>
      <c r="IH469" s="62"/>
    </row>
    <row r="470" spans="1:244">
      <c r="A470">
        <v>436</v>
      </c>
      <c r="B470" t="s">
        <v>468</v>
      </c>
      <c r="C470" t="s">
        <v>1964</v>
      </c>
      <c r="D470" s="28" t="s">
        <v>1299</v>
      </c>
      <c r="E470" s="28" t="s">
        <v>1300</v>
      </c>
      <c r="F470" s="5" t="s">
        <v>2182</v>
      </c>
      <c r="G470" s="27" t="s">
        <v>90</v>
      </c>
      <c r="I470" s="27" t="s">
        <v>226</v>
      </c>
      <c r="J470" s="28">
        <v>21590</v>
      </c>
      <c r="K470" s="27" t="s">
        <v>397</v>
      </c>
      <c r="L470" s="379">
        <v>20089</v>
      </c>
      <c r="M470" t="s">
        <v>226</v>
      </c>
      <c r="Q470" s="13" t="s">
        <v>1768</v>
      </c>
      <c r="R470" s="13" t="s">
        <v>1769</v>
      </c>
      <c r="W470" s="239" t="s">
        <v>1795</v>
      </c>
      <c r="X470" s="239"/>
      <c r="Y470" s="239"/>
      <c r="Z470" s="239"/>
      <c r="AA470" s="13" t="s">
        <v>469</v>
      </c>
      <c r="AB470" s="66">
        <v>111.8</v>
      </c>
      <c r="AC470">
        <v>20</v>
      </c>
      <c r="AD470" s="13" t="s">
        <v>280</v>
      </c>
      <c r="AE470" s="7">
        <f t="shared" si="513"/>
        <v>48.5212</v>
      </c>
      <c r="AF470" s="42"/>
      <c r="AG470" s="7">
        <f t="shared" si="514"/>
        <v>11.296296296296296</v>
      </c>
      <c r="AH470" s="42">
        <f t="shared" si="515"/>
        <v>0</v>
      </c>
      <c r="AI470" s="42">
        <f t="shared" si="516"/>
        <v>0</v>
      </c>
      <c r="AJ470" s="42">
        <f t="shared" si="517"/>
        <v>0.22592592592592592</v>
      </c>
      <c r="AK470" s="42">
        <f t="shared" si="518"/>
        <v>0.74771870370370375</v>
      </c>
      <c r="AL470" s="42">
        <f t="shared" si="519"/>
        <v>6.5799245925925929</v>
      </c>
      <c r="AM470" s="42">
        <f t="shared" si="520"/>
        <v>0.77</v>
      </c>
      <c r="AN470" s="42">
        <f t="shared" si="521"/>
        <v>0.74</v>
      </c>
      <c r="AO470" s="42">
        <f t="shared" si="522"/>
        <v>0</v>
      </c>
      <c r="AP470" s="42"/>
      <c r="AQ470" s="42">
        <f t="shared" si="523"/>
        <v>68.881065518518511</v>
      </c>
      <c r="AR470" s="42">
        <f t="shared" si="524"/>
        <v>0</v>
      </c>
      <c r="AS470" s="42">
        <f t="shared" si="525"/>
        <v>0</v>
      </c>
      <c r="AT470" s="42">
        <v>0</v>
      </c>
      <c r="AU470" s="42">
        <v>0</v>
      </c>
      <c r="AV470" s="42">
        <f t="shared" si="526"/>
        <v>68.881065518518511</v>
      </c>
      <c r="AW470">
        <v>0.434</v>
      </c>
      <c r="AX470">
        <v>0.434</v>
      </c>
      <c r="AY470" s="8">
        <v>0</v>
      </c>
      <c r="AZ470" s="4">
        <f t="shared" si="527"/>
        <v>0</v>
      </c>
      <c r="BA470" s="4">
        <f t="shared" si="528"/>
        <v>48.5212</v>
      </c>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E470" s="4">
        <v>0</v>
      </c>
      <c r="CF470" s="4">
        <v>0</v>
      </c>
      <c r="CG470" s="4">
        <v>0</v>
      </c>
      <c r="CH470">
        <f t="shared" si="529"/>
        <v>0</v>
      </c>
      <c r="CI470" s="13"/>
      <c r="CK470">
        <v>0</v>
      </c>
      <c r="CL470">
        <v>0</v>
      </c>
      <c r="CM470">
        <f>CK470*CL470</f>
        <v>0</v>
      </c>
      <c r="CN470" s="13"/>
      <c r="CP470">
        <v>0</v>
      </c>
      <c r="CQ470">
        <v>0</v>
      </c>
      <c r="CR470">
        <f>CP470*CQ470</f>
        <v>0</v>
      </c>
      <c r="CU470">
        <v>0</v>
      </c>
      <c r="CV470">
        <v>0</v>
      </c>
      <c r="CW470">
        <f>CU470*CV470</f>
        <v>0</v>
      </c>
      <c r="DM470" s="4">
        <f t="shared" si="530"/>
        <v>0</v>
      </c>
      <c r="DN470" s="9">
        <v>1.2500000000000001E-2</v>
      </c>
      <c r="DO470" s="4">
        <f t="shared" si="531"/>
        <v>0</v>
      </c>
      <c r="DP470" s="4">
        <f t="shared" si="532"/>
        <v>0</v>
      </c>
      <c r="EF470" s="59">
        <v>450</v>
      </c>
      <c r="EG470" s="59">
        <v>4500</v>
      </c>
      <c r="EH470" s="59">
        <v>7.5</v>
      </c>
      <c r="EI470" s="8">
        <v>0.9</v>
      </c>
      <c r="EJ470" s="59">
        <v>1</v>
      </c>
      <c r="EK470" s="59">
        <v>61</v>
      </c>
      <c r="EL470" s="65">
        <f t="shared" si="533"/>
        <v>398.36065573770492</v>
      </c>
      <c r="EU470" s="62">
        <f t="shared" si="534"/>
        <v>11.296296296296296</v>
      </c>
      <c r="GR470" s="8">
        <v>0.11</v>
      </c>
      <c r="GS470" s="4">
        <f t="shared" si="535"/>
        <v>6.5799245925925929</v>
      </c>
      <c r="GT470" s="9">
        <v>1.2500000000000001E-2</v>
      </c>
      <c r="GU470" s="4">
        <f t="shared" si="536"/>
        <v>0.74771870370370375</v>
      </c>
      <c r="GV470" s="8">
        <v>0.02</v>
      </c>
      <c r="GW470" s="4">
        <f t="shared" si="537"/>
        <v>0.22592592592592592</v>
      </c>
      <c r="GX470" s="4">
        <f t="shared" si="538"/>
        <v>7.5535692222222233</v>
      </c>
      <c r="GY470" t="s">
        <v>130</v>
      </c>
      <c r="GZ470" t="s">
        <v>130</v>
      </c>
      <c r="HA470" s="4">
        <v>810</v>
      </c>
      <c r="HB470" s="4">
        <v>568</v>
      </c>
      <c r="HC470" s="59">
        <v>425</v>
      </c>
      <c r="HD470" s="59">
        <v>12</v>
      </c>
      <c r="HE470" s="59">
        <v>500</v>
      </c>
      <c r="HF470" s="4">
        <f t="shared" si="539"/>
        <v>42</v>
      </c>
      <c r="HG470" s="59">
        <v>5</v>
      </c>
      <c r="HH470" s="4">
        <f t="shared" si="540"/>
        <v>210</v>
      </c>
      <c r="HI470" s="59">
        <v>1100</v>
      </c>
      <c r="HJ470" s="4">
        <f t="shared" si="541"/>
        <v>231000</v>
      </c>
      <c r="HM470" s="4">
        <v>2</v>
      </c>
      <c r="HN470" s="10">
        <f t="shared" si="542"/>
        <v>300000</v>
      </c>
      <c r="HO470" s="62">
        <f t="shared" si="543"/>
        <v>0.77</v>
      </c>
      <c r="HP470" s="62">
        <v>160</v>
      </c>
      <c r="HQ470" s="59">
        <v>0</v>
      </c>
      <c r="HR470" s="62">
        <v>0</v>
      </c>
      <c r="HS470" s="62">
        <v>0</v>
      </c>
      <c r="HT470" s="62">
        <f t="shared" si="544"/>
        <v>0</v>
      </c>
      <c r="HU470" s="62"/>
      <c r="HV470" s="62">
        <f t="shared" si="545"/>
        <v>0.77</v>
      </c>
      <c r="HW470" s="62"/>
      <c r="HX470" s="4">
        <v>4200</v>
      </c>
      <c r="HY470" s="4">
        <v>1900</v>
      </c>
      <c r="HZ470" s="4">
        <v>1975</v>
      </c>
      <c r="IA470" s="4">
        <f t="shared" si="547"/>
        <v>5</v>
      </c>
      <c r="IB470" s="4">
        <f t="shared" si="548"/>
        <v>3</v>
      </c>
      <c r="IC470" s="4">
        <f t="shared" si="549"/>
        <v>4</v>
      </c>
      <c r="ID470" s="61">
        <v>0.95</v>
      </c>
      <c r="IE470" s="65">
        <f t="shared" si="546"/>
        <v>57</v>
      </c>
      <c r="IF470" s="4">
        <v>500</v>
      </c>
      <c r="IG470" s="62">
        <f t="shared" si="550"/>
        <v>0.74</v>
      </c>
      <c r="IH470" s="62"/>
    </row>
    <row r="471" spans="1:244">
      <c r="A471">
        <v>437</v>
      </c>
      <c r="B471" t="s">
        <v>468</v>
      </c>
      <c r="C471" s="278" t="s">
        <v>1965</v>
      </c>
      <c r="D471" s="28" t="s">
        <v>1301</v>
      </c>
      <c r="E471" s="28" t="s">
        <v>1302</v>
      </c>
      <c r="F471" s="5" t="s">
        <v>2182</v>
      </c>
      <c r="G471" s="27" t="s">
        <v>90</v>
      </c>
      <c r="I471" s="27" t="s">
        <v>226</v>
      </c>
      <c r="J471" s="28">
        <v>21590</v>
      </c>
      <c r="K471" s="27" t="s">
        <v>397</v>
      </c>
      <c r="L471" s="240">
        <v>20089</v>
      </c>
      <c r="M471" s="114" t="s">
        <v>226</v>
      </c>
      <c r="N471" s="115"/>
      <c r="O471" s="115"/>
      <c r="P471" s="115"/>
      <c r="Q471" s="13" t="s">
        <v>1768</v>
      </c>
      <c r="R471" s="13" t="s">
        <v>1769</v>
      </c>
      <c r="V471" s="319"/>
      <c r="W471" s="238" t="s">
        <v>1795</v>
      </c>
      <c r="X471" s="238"/>
      <c r="Y471" s="238"/>
      <c r="Z471" s="238"/>
      <c r="AA471" s="115" t="s">
        <v>469</v>
      </c>
      <c r="AB471" s="121">
        <v>111.8</v>
      </c>
      <c r="AC471" s="114">
        <v>20</v>
      </c>
      <c r="AD471" s="115" t="s">
        <v>280</v>
      </c>
      <c r="AE471" s="119">
        <f t="shared" si="513"/>
        <v>70.769400000000005</v>
      </c>
      <c r="AF471" s="106"/>
      <c r="AG471" s="119">
        <f t="shared" si="514"/>
        <v>10.925925925925924</v>
      </c>
      <c r="AH471" s="106">
        <f t="shared" si="515"/>
        <v>0</v>
      </c>
      <c r="AI471" s="106">
        <f t="shared" si="516"/>
        <v>0</v>
      </c>
      <c r="AJ471" s="106">
        <f t="shared" si="517"/>
        <v>0.21851851851851847</v>
      </c>
      <c r="AK471" s="106">
        <f t="shared" si="518"/>
        <v>1.0211915740740742</v>
      </c>
      <c r="AL471" s="106">
        <f t="shared" si="519"/>
        <v>8.9864858518518513</v>
      </c>
      <c r="AM471" s="106">
        <f t="shared" si="520"/>
        <v>1.155</v>
      </c>
      <c r="AN471" s="106">
        <f t="shared" si="521"/>
        <v>1.1000000000000001</v>
      </c>
      <c r="AO471" s="106">
        <f t="shared" si="522"/>
        <v>0</v>
      </c>
      <c r="AP471" s="106"/>
      <c r="AQ471" s="106">
        <f t="shared" si="523"/>
        <v>94.176521870370379</v>
      </c>
      <c r="AR471" s="106">
        <f t="shared" si="524"/>
        <v>0</v>
      </c>
      <c r="AS471" s="106">
        <f t="shared" si="525"/>
        <v>0</v>
      </c>
      <c r="AT471" s="106">
        <v>0</v>
      </c>
      <c r="AU471" s="106">
        <v>0</v>
      </c>
      <c r="AV471" s="106">
        <f t="shared" si="526"/>
        <v>94.176521870370379</v>
      </c>
      <c r="AW471" s="114">
        <v>0.63300000000000001</v>
      </c>
      <c r="AX471" s="114">
        <v>0.63300000000000001</v>
      </c>
      <c r="AY471" s="120">
        <v>0</v>
      </c>
      <c r="AZ471" s="118">
        <f t="shared" si="527"/>
        <v>0</v>
      </c>
      <c r="BA471" s="118">
        <f t="shared" si="528"/>
        <v>70.769400000000005</v>
      </c>
      <c r="BB471" s="118"/>
      <c r="BC471" s="118"/>
      <c r="BD471" s="118"/>
      <c r="BE471" s="118"/>
      <c r="BF471" s="118"/>
      <c r="BG471" s="118"/>
      <c r="BH471" s="118"/>
      <c r="BI471" s="118"/>
      <c r="BJ471" s="118"/>
      <c r="BK471" s="118"/>
      <c r="BL471" s="118"/>
      <c r="BM471" s="118"/>
      <c r="BN471" s="118"/>
      <c r="BO471" s="118"/>
      <c r="BP471" s="118"/>
      <c r="BQ471" s="118"/>
      <c r="BR471" s="118"/>
      <c r="BS471" s="118"/>
      <c r="BT471" s="118"/>
      <c r="BU471" s="118"/>
      <c r="BV471" s="118"/>
      <c r="BW471" s="118"/>
      <c r="BX471" s="118"/>
      <c r="BY471" s="118"/>
      <c r="BZ471" s="118"/>
      <c r="CA471" s="118"/>
      <c r="CB471" s="118"/>
      <c r="CC471" s="118"/>
      <c r="CD471" s="114"/>
      <c r="CE471" s="118">
        <v>0</v>
      </c>
      <c r="CF471" s="118">
        <v>0</v>
      </c>
      <c r="CG471" s="118">
        <v>0</v>
      </c>
      <c r="CH471" s="114">
        <f t="shared" si="529"/>
        <v>0</v>
      </c>
      <c r="CI471" s="115"/>
      <c r="CJ471" s="114"/>
      <c r="CK471" s="114">
        <v>0</v>
      </c>
      <c r="CL471" s="114">
        <v>0</v>
      </c>
      <c r="CM471" s="114">
        <f>CK471*CL471</f>
        <v>0</v>
      </c>
      <c r="CN471" s="115"/>
      <c r="CO471" s="114"/>
      <c r="CP471" s="114">
        <v>0</v>
      </c>
      <c r="CQ471" s="114">
        <v>0</v>
      </c>
      <c r="CR471" s="114">
        <f>CP471*CQ471</f>
        <v>0</v>
      </c>
      <c r="CS471" s="114"/>
      <c r="CT471" s="114"/>
      <c r="CU471" s="114">
        <v>0</v>
      </c>
      <c r="CV471" s="114">
        <v>0</v>
      </c>
      <c r="CW471" s="114">
        <f>CU471*CV471</f>
        <v>0</v>
      </c>
      <c r="CX471" s="114"/>
      <c r="CY471" s="114"/>
      <c r="CZ471" s="114"/>
      <c r="DA471" s="114"/>
      <c r="DB471" s="114"/>
      <c r="DC471" s="114"/>
      <c r="DD471" s="114"/>
      <c r="DE471" s="114"/>
      <c r="DF471" s="114"/>
      <c r="DG471" s="114"/>
      <c r="DH471" s="114"/>
      <c r="DI471" s="114"/>
      <c r="DJ471" s="114"/>
      <c r="DK471" s="114"/>
      <c r="DL471" s="114"/>
      <c r="DM471" s="118">
        <f t="shared" si="530"/>
        <v>0</v>
      </c>
      <c r="DN471" s="125">
        <v>1.2500000000000001E-2</v>
      </c>
      <c r="DO471" s="118">
        <f t="shared" si="531"/>
        <v>0</v>
      </c>
      <c r="DP471" s="118">
        <f t="shared" si="532"/>
        <v>0</v>
      </c>
      <c r="DQ471" s="114"/>
      <c r="DR471" s="114"/>
      <c r="DS471" s="114"/>
      <c r="DT471" s="114"/>
      <c r="DU471" s="114"/>
      <c r="DV471" s="114"/>
      <c r="DW471" s="114"/>
      <c r="DX471" s="114"/>
      <c r="DY471" s="114"/>
      <c r="DZ471" s="114"/>
      <c r="EA471" s="114"/>
      <c r="EB471" s="114"/>
      <c r="EC471" s="114"/>
      <c r="ED471" s="114"/>
      <c r="EE471" s="114"/>
      <c r="EF471" s="105">
        <v>450</v>
      </c>
      <c r="EG471" s="105">
        <v>4500</v>
      </c>
      <c r="EH471" s="105">
        <v>7.5</v>
      </c>
      <c r="EI471" s="120">
        <v>0.9</v>
      </c>
      <c r="EJ471" s="105">
        <v>1</v>
      </c>
      <c r="EK471" s="105">
        <v>59</v>
      </c>
      <c r="EL471" s="111">
        <f t="shared" si="533"/>
        <v>411.86440677966107</v>
      </c>
      <c r="EM471" s="114"/>
      <c r="EN471" s="114"/>
      <c r="EO471" s="114"/>
      <c r="EP471" s="114"/>
      <c r="EQ471" s="114"/>
      <c r="ER471" s="114"/>
      <c r="ES471" s="114"/>
      <c r="ET471" s="114"/>
      <c r="EU471" s="109">
        <f t="shared" si="534"/>
        <v>10.925925925925924</v>
      </c>
      <c r="EV471" s="114"/>
      <c r="EW471" s="114"/>
      <c r="EX471" s="114"/>
      <c r="EY471" s="114"/>
      <c r="EZ471" s="114"/>
      <c r="FA471" s="114"/>
      <c r="FB471" s="114"/>
      <c r="FC471" s="114"/>
      <c r="FD471" s="114"/>
      <c r="FE471" s="114"/>
      <c r="FF471" s="114"/>
      <c r="FG471" s="114"/>
      <c r="FH471" s="114"/>
      <c r="FI471" s="114"/>
      <c r="FJ471" s="114"/>
      <c r="FK471" s="114"/>
      <c r="FL471" s="114"/>
      <c r="FM471" s="114"/>
      <c r="FN471" s="114"/>
      <c r="FO471" s="114"/>
      <c r="FP471" s="114"/>
      <c r="FQ471" s="114"/>
      <c r="FR471" s="114"/>
      <c r="FS471" s="114"/>
      <c r="FT471" s="114"/>
      <c r="FU471" s="114"/>
      <c r="FV471" s="114"/>
      <c r="FW471" s="114"/>
      <c r="FX471" s="114"/>
      <c r="FY471" s="114"/>
      <c r="FZ471" s="114"/>
      <c r="GA471" s="114"/>
      <c r="GB471" s="114"/>
      <c r="GC471" s="114"/>
      <c r="GD471" s="114"/>
      <c r="GE471" s="114"/>
      <c r="GF471" s="114"/>
      <c r="GG471" s="114"/>
      <c r="GH471" s="114"/>
      <c r="GI471" s="114"/>
      <c r="GJ471" s="114"/>
      <c r="GK471" s="114"/>
      <c r="GL471" s="114"/>
      <c r="GM471" s="114"/>
      <c r="GN471" s="114"/>
      <c r="GO471" s="114"/>
      <c r="GP471" s="114"/>
      <c r="GQ471" s="114"/>
      <c r="GR471" s="120">
        <v>0.11</v>
      </c>
      <c r="GS471" s="118">
        <f t="shared" si="535"/>
        <v>8.9864858518518513</v>
      </c>
      <c r="GT471" s="125">
        <v>1.2500000000000001E-2</v>
      </c>
      <c r="GU471" s="118">
        <f t="shared" si="536"/>
        <v>1.0211915740740742</v>
      </c>
      <c r="GV471" s="120">
        <v>0.02</v>
      </c>
      <c r="GW471" s="118">
        <f t="shared" si="537"/>
        <v>0.21851851851851847</v>
      </c>
      <c r="GX471" s="118">
        <f t="shared" si="538"/>
        <v>10.226195944444443</v>
      </c>
      <c r="GY471" s="114" t="s">
        <v>130</v>
      </c>
      <c r="GZ471" s="114" t="s">
        <v>130</v>
      </c>
      <c r="HA471" s="118">
        <v>810</v>
      </c>
      <c r="HB471" s="118">
        <v>568</v>
      </c>
      <c r="HC471" s="105">
        <v>425</v>
      </c>
      <c r="HD471" s="105">
        <v>8</v>
      </c>
      <c r="HE471" s="105">
        <v>500</v>
      </c>
      <c r="HF471" s="118">
        <f t="shared" si="539"/>
        <v>63</v>
      </c>
      <c r="HG471" s="105">
        <v>5</v>
      </c>
      <c r="HH471" s="118">
        <f t="shared" si="540"/>
        <v>315</v>
      </c>
      <c r="HI471" s="105">
        <v>1100</v>
      </c>
      <c r="HJ471" s="118">
        <f t="shared" si="541"/>
        <v>346500</v>
      </c>
      <c r="HK471" s="114"/>
      <c r="HL471" s="114"/>
      <c r="HM471" s="118">
        <v>2</v>
      </c>
      <c r="HN471" s="126">
        <f t="shared" si="542"/>
        <v>300000</v>
      </c>
      <c r="HO471" s="109">
        <f t="shared" si="543"/>
        <v>1.155</v>
      </c>
      <c r="HP471" s="109">
        <v>160</v>
      </c>
      <c r="HQ471" s="105">
        <v>0</v>
      </c>
      <c r="HR471" s="109">
        <v>0</v>
      </c>
      <c r="HS471" s="109">
        <v>0</v>
      </c>
      <c r="HT471" s="109">
        <f t="shared" si="544"/>
        <v>0</v>
      </c>
      <c r="HU471" s="109"/>
      <c r="HV471" s="109">
        <f t="shared" si="545"/>
        <v>1.155</v>
      </c>
      <c r="HW471" s="109"/>
      <c r="HX471" s="118">
        <v>4200</v>
      </c>
      <c r="HY471" s="118">
        <v>1900</v>
      </c>
      <c r="HZ471" s="118">
        <v>1975</v>
      </c>
      <c r="IA471" s="118">
        <f t="shared" si="547"/>
        <v>5</v>
      </c>
      <c r="IB471" s="118">
        <f t="shared" si="548"/>
        <v>3</v>
      </c>
      <c r="IC471" s="118">
        <f t="shared" si="549"/>
        <v>4</v>
      </c>
      <c r="ID471" s="108">
        <v>0.95</v>
      </c>
      <c r="IE471" s="111">
        <f t="shared" si="546"/>
        <v>57</v>
      </c>
      <c r="IF471" s="118">
        <v>500</v>
      </c>
      <c r="IG471" s="109">
        <f t="shared" si="550"/>
        <v>1.1000000000000001</v>
      </c>
      <c r="IH471" s="62"/>
    </row>
    <row r="472" spans="1:244">
      <c r="A472">
        <v>438</v>
      </c>
      <c r="B472" t="s">
        <v>468</v>
      </c>
      <c r="C472" s="334" t="s">
        <v>1966</v>
      </c>
      <c r="D472" s="28" t="s">
        <v>1303</v>
      </c>
      <c r="E472" s="28" t="s">
        <v>1304</v>
      </c>
      <c r="F472" s="5" t="s">
        <v>2182</v>
      </c>
      <c r="G472" s="27" t="s">
        <v>90</v>
      </c>
      <c r="I472" s="27" t="s">
        <v>226</v>
      </c>
      <c r="J472" s="28">
        <v>21590</v>
      </c>
      <c r="K472" s="27" t="s">
        <v>397</v>
      </c>
      <c r="L472" s="379">
        <v>20089</v>
      </c>
      <c r="M472" t="s">
        <v>226</v>
      </c>
      <c r="Q472" s="13" t="s">
        <v>1768</v>
      </c>
      <c r="R472" s="13" t="s">
        <v>1769</v>
      </c>
      <c r="W472" s="239" t="s">
        <v>1795</v>
      </c>
      <c r="X472" s="239"/>
      <c r="Y472" s="239"/>
      <c r="Z472" s="239"/>
      <c r="AA472" s="13" t="s">
        <v>1950</v>
      </c>
      <c r="AB472" s="66">
        <v>155.26</v>
      </c>
      <c r="AC472">
        <v>20</v>
      </c>
      <c r="AD472" s="13" t="s">
        <v>280</v>
      </c>
      <c r="AE472" s="7">
        <f t="shared" si="513"/>
        <v>26.238939999999999</v>
      </c>
      <c r="AF472" s="42"/>
      <c r="AG472" s="7">
        <f t="shared" si="514"/>
        <v>7.4897119341563796</v>
      </c>
      <c r="AH472" s="42">
        <f t="shared" si="515"/>
        <v>0</v>
      </c>
      <c r="AI472" s="42">
        <f t="shared" si="516"/>
        <v>0</v>
      </c>
      <c r="AJ472" s="42">
        <f t="shared" si="517"/>
        <v>0.14979423868312761</v>
      </c>
      <c r="AK472" s="42">
        <f t="shared" si="518"/>
        <v>0.42160814917695477</v>
      </c>
      <c r="AL472" s="42">
        <f t="shared" si="519"/>
        <v>3.7101517127572019</v>
      </c>
      <c r="AM472" s="42">
        <f t="shared" si="520"/>
        <v>1.3516666666666666</v>
      </c>
      <c r="AN472" s="42">
        <f t="shared" si="521"/>
        <v>0.13</v>
      </c>
      <c r="AO472" s="42">
        <f t="shared" si="522"/>
        <v>0</v>
      </c>
      <c r="AP472" s="42"/>
      <c r="AQ472" s="42">
        <f t="shared" si="523"/>
        <v>39.491872701440336</v>
      </c>
      <c r="AR472" s="42">
        <f t="shared" si="524"/>
        <v>0</v>
      </c>
      <c r="AS472" s="42">
        <f t="shared" si="525"/>
        <v>0</v>
      </c>
      <c r="AT472" s="42">
        <v>0</v>
      </c>
      <c r="AU472" s="42">
        <v>0</v>
      </c>
      <c r="AV472" s="42">
        <f t="shared" si="526"/>
        <v>39.491872701440336</v>
      </c>
      <c r="AW472">
        <v>0.16900000000000001</v>
      </c>
      <c r="AX472">
        <v>0.16900000000000001</v>
      </c>
      <c r="AY472" s="8">
        <v>0</v>
      </c>
      <c r="AZ472" s="4">
        <f t="shared" si="527"/>
        <v>0</v>
      </c>
      <c r="BA472" s="4">
        <f t="shared" si="528"/>
        <v>26.238939999999999</v>
      </c>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E472" s="4">
        <v>0</v>
      </c>
      <c r="CF472" s="4">
        <v>0</v>
      </c>
      <c r="CG472" s="4">
        <v>0</v>
      </c>
      <c r="CH472">
        <f t="shared" si="529"/>
        <v>0</v>
      </c>
      <c r="CI472" s="13"/>
      <c r="CK472">
        <v>0</v>
      </c>
      <c r="CL472">
        <v>0</v>
      </c>
      <c r="CM472">
        <f>CK472*CL472</f>
        <v>0</v>
      </c>
      <c r="CN472" s="13"/>
      <c r="CP472">
        <v>0</v>
      </c>
      <c r="CQ472">
        <v>0</v>
      </c>
      <c r="CR472">
        <f>CP472*CQ472</f>
        <v>0</v>
      </c>
      <c r="CU472">
        <v>0</v>
      </c>
      <c r="CV472">
        <v>0</v>
      </c>
      <c r="CW472">
        <f>CU472*CV472</f>
        <v>0</v>
      </c>
      <c r="DM472" s="4">
        <f t="shared" si="530"/>
        <v>0</v>
      </c>
      <c r="DN472" s="9">
        <v>1.2500000000000001E-2</v>
      </c>
      <c r="DO472" s="4">
        <f t="shared" si="531"/>
        <v>0</v>
      </c>
      <c r="DP472" s="4">
        <f t="shared" si="532"/>
        <v>0</v>
      </c>
      <c r="EF472" s="59">
        <v>350</v>
      </c>
      <c r="EG472" s="59">
        <v>3500</v>
      </c>
      <c r="EH472" s="59">
        <v>7.5</v>
      </c>
      <c r="EI472" s="8">
        <v>0.9</v>
      </c>
      <c r="EJ472" s="59">
        <v>1</v>
      </c>
      <c r="EK472" s="59">
        <v>52</v>
      </c>
      <c r="EL472" s="65">
        <f t="shared" si="533"/>
        <v>467.30769230769226</v>
      </c>
      <c r="EU472" s="62">
        <f t="shared" si="534"/>
        <v>7.4897119341563796</v>
      </c>
      <c r="GR472" s="8">
        <v>0.11</v>
      </c>
      <c r="GS472" s="4">
        <f t="shared" si="535"/>
        <v>3.7101517127572019</v>
      </c>
      <c r="GT472" s="9">
        <v>1.2500000000000001E-2</v>
      </c>
      <c r="GU472" s="4">
        <f t="shared" si="536"/>
        <v>0.42160814917695477</v>
      </c>
      <c r="GV472" s="8">
        <v>0.02</v>
      </c>
      <c r="GW472" s="4">
        <f t="shared" si="537"/>
        <v>0.14979423868312761</v>
      </c>
      <c r="GX472" s="4">
        <f t="shared" si="538"/>
        <v>4.2815541006172841</v>
      </c>
      <c r="GY472" t="s">
        <v>130</v>
      </c>
      <c r="GZ472" t="s">
        <v>130</v>
      </c>
      <c r="HA472" s="4">
        <v>650</v>
      </c>
      <c r="HB472" s="4">
        <v>450</v>
      </c>
      <c r="HC472" s="59">
        <v>330</v>
      </c>
      <c r="HD472" s="59">
        <v>36</v>
      </c>
      <c r="HE472" s="59">
        <v>500</v>
      </c>
      <c r="HF472" s="4">
        <f t="shared" si="539"/>
        <v>14</v>
      </c>
      <c r="HG472" s="59">
        <v>5</v>
      </c>
      <c r="HH472" s="4">
        <f t="shared" si="540"/>
        <v>70</v>
      </c>
      <c r="HI472" s="59">
        <v>650</v>
      </c>
      <c r="HJ472" s="4">
        <f t="shared" si="541"/>
        <v>45500</v>
      </c>
      <c r="HM472" s="4">
        <v>2</v>
      </c>
      <c r="HN472" s="10">
        <f t="shared" si="542"/>
        <v>300000</v>
      </c>
      <c r="HO472" s="62">
        <f t="shared" si="543"/>
        <v>0.15166666666666667</v>
      </c>
      <c r="HP472" s="62">
        <v>160</v>
      </c>
      <c r="HQ472" s="59">
        <v>0</v>
      </c>
      <c r="HR472" s="62">
        <v>1.2</v>
      </c>
      <c r="HS472" s="62">
        <v>1</v>
      </c>
      <c r="HT472" s="62">
        <f t="shared" si="544"/>
        <v>1.2</v>
      </c>
      <c r="HU472" s="62"/>
      <c r="HV472" s="62">
        <f t="shared" si="545"/>
        <v>1.3516666666666666</v>
      </c>
      <c r="HW472" s="62"/>
      <c r="HX472" s="4">
        <v>4200</v>
      </c>
      <c r="HY472" s="4">
        <v>1900</v>
      </c>
      <c r="HZ472" s="4">
        <v>1975</v>
      </c>
      <c r="IA472" s="4">
        <f t="shared" si="547"/>
        <v>6</v>
      </c>
      <c r="IB472" s="4">
        <f t="shared" si="548"/>
        <v>4</v>
      </c>
      <c r="IC472" s="4">
        <f t="shared" si="549"/>
        <v>5</v>
      </c>
      <c r="ID472" s="61">
        <v>0.95</v>
      </c>
      <c r="IE472" s="65">
        <f t="shared" si="546"/>
        <v>114</v>
      </c>
      <c r="IF472" s="4">
        <v>500</v>
      </c>
      <c r="IG472" s="62">
        <f t="shared" si="550"/>
        <v>0.13</v>
      </c>
      <c r="IH472" s="62"/>
    </row>
    <row r="473" spans="1:244">
      <c r="A473">
        <v>441</v>
      </c>
      <c r="B473" t="s">
        <v>468</v>
      </c>
      <c r="C473" s="278" t="s">
        <v>1967</v>
      </c>
      <c r="D473" s="28" t="s">
        <v>1309</v>
      </c>
      <c r="E473" s="28" t="s">
        <v>128</v>
      </c>
      <c r="F473" s="5" t="s">
        <v>2182</v>
      </c>
      <c r="G473" s="27" t="s">
        <v>90</v>
      </c>
      <c r="I473" s="27" t="s">
        <v>226</v>
      </c>
      <c r="J473" s="28">
        <v>21590</v>
      </c>
      <c r="K473" s="27" t="s">
        <v>397</v>
      </c>
      <c r="L473" s="240">
        <v>20089</v>
      </c>
      <c r="M473" s="114" t="s">
        <v>226</v>
      </c>
      <c r="N473" s="115"/>
      <c r="O473" s="115"/>
      <c r="P473" s="115"/>
      <c r="Q473" s="13" t="s">
        <v>1768</v>
      </c>
      <c r="R473" s="13" t="s">
        <v>1769</v>
      </c>
      <c r="V473" s="319"/>
      <c r="W473" s="238" t="s">
        <v>1795</v>
      </c>
      <c r="X473" s="238"/>
      <c r="Y473" s="238"/>
      <c r="Z473" s="238"/>
      <c r="AA473" s="115" t="s">
        <v>1950</v>
      </c>
      <c r="AB473" s="121">
        <v>155.26</v>
      </c>
      <c r="AC473" s="114">
        <v>20</v>
      </c>
      <c r="AD473" s="115" t="s">
        <v>280</v>
      </c>
      <c r="AE473" s="119">
        <f t="shared" si="513"/>
        <v>13.973399999999998</v>
      </c>
      <c r="AF473" s="106"/>
      <c r="AG473" s="119">
        <f t="shared" si="514"/>
        <v>2.7777777777777777</v>
      </c>
      <c r="AH473" s="106">
        <f t="shared" si="515"/>
        <v>0</v>
      </c>
      <c r="AI473" s="106">
        <f t="shared" si="516"/>
        <v>0</v>
      </c>
      <c r="AJ473" s="106">
        <f t="shared" si="517"/>
        <v>5.5555555555555552E-2</v>
      </c>
      <c r="AK473" s="106">
        <f t="shared" si="518"/>
        <v>0.20938972222222221</v>
      </c>
      <c r="AL473" s="106">
        <f t="shared" si="519"/>
        <v>1.8426295555555554</v>
      </c>
      <c r="AM473" s="106">
        <f t="shared" si="520"/>
        <v>0.90833333333333344</v>
      </c>
      <c r="AN473" s="106">
        <f t="shared" si="521"/>
        <v>0.09</v>
      </c>
      <c r="AO473" s="106">
        <f t="shared" si="522"/>
        <v>0</v>
      </c>
      <c r="AP473" s="106"/>
      <c r="AQ473" s="106">
        <f t="shared" si="523"/>
        <v>19.857085944444446</v>
      </c>
      <c r="AR473" s="106">
        <f t="shared" si="524"/>
        <v>0</v>
      </c>
      <c r="AS473" s="106">
        <f t="shared" si="525"/>
        <v>0</v>
      </c>
      <c r="AT473" s="106">
        <v>0</v>
      </c>
      <c r="AU473" s="106">
        <v>0</v>
      </c>
      <c r="AV473" s="106">
        <f t="shared" si="526"/>
        <v>19.857085944444446</v>
      </c>
      <c r="AW473" s="124">
        <v>0.09</v>
      </c>
      <c r="AX473" s="124">
        <v>0.09</v>
      </c>
      <c r="AY473" s="120">
        <v>0</v>
      </c>
      <c r="AZ473" s="118">
        <f t="shared" si="527"/>
        <v>0</v>
      </c>
      <c r="BA473" s="118">
        <f t="shared" si="528"/>
        <v>13.973399999999998</v>
      </c>
      <c r="BB473" s="118"/>
      <c r="BC473" s="118"/>
      <c r="BD473" s="118"/>
      <c r="BE473" s="118"/>
      <c r="BF473" s="118"/>
      <c r="BG473" s="118"/>
      <c r="BH473" s="118"/>
      <c r="BI473" s="118"/>
      <c r="BJ473" s="118"/>
      <c r="BK473" s="118"/>
      <c r="BL473" s="118"/>
      <c r="BM473" s="118"/>
      <c r="BN473" s="118"/>
      <c r="BO473" s="118"/>
      <c r="BP473" s="118"/>
      <c r="BQ473" s="118"/>
      <c r="BR473" s="118"/>
      <c r="BS473" s="118"/>
      <c r="BT473" s="118"/>
      <c r="BU473" s="118"/>
      <c r="BV473" s="118"/>
      <c r="BW473" s="118"/>
      <c r="BX473" s="118"/>
      <c r="BY473" s="118"/>
      <c r="BZ473" s="118"/>
      <c r="CA473" s="118"/>
      <c r="CB473" s="118"/>
      <c r="CC473" s="118"/>
      <c r="CD473" s="114"/>
      <c r="CE473" s="118">
        <v>0</v>
      </c>
      <c r="CF473" s="118">
        <v>0</v>
      </c>
      <c r="CG473" s="118">
        <v>0</v>
      </c>
      <c r="CH473" s="114">
        <f t="shared" si="529"/>
        <v>0</v>
      </c>
      <c r="CI473" s="115"/>
      <c r="CJ473" s="114"/>
      <c r="CK473" s="114">
        <v>0</v>
      </c>
      <c r="CL473" s="114">
        <v>0</v>
      </c>
      <c r="CM473" s="114">
        <f>CK473*CL473</f>
        <v>0</v>
      </c>
      <c r="CN473" s="115"/>
      <c r="CO473" s="114"/>
      <c r="CP473" s="114">
        <v>0</v>
      </c>
      <c r="CQ473" s="114">
        <v>0</v>
      </c>
      <c r="CR473" s="114">
        <f>CP473*CQ473</f>
        <v>0</v>
      </c>
      <c r="CS473" s="114"/>
      <c r="CT473" s="114"/>
      <c r="CU473" s="114">
        <v>0</v>
      </c>
      <c r="CV473" s="114">
        <v>0</v>
      </c>
      <c r="CW473" s="114">
        <f>CU473*CV473</f>
        <v>0</v>
      </c>
      <c r="CX473" s="114"/>
      <c r="CY473" s="114"/>
      <c r="CZ473" s="114"/>
      <c r="DA473" s="114"/>
      <c r="DB473" s="114"/>
      <c r="DC473" s="114"/>
      <c r="DD473" s="114"/>
      <c r="DE473" s="114"/>
      <c r="DF473" s="114"/>
      <c r="DG473" s="114"/>
      <c r="DH473" s="114"/>
      <c r="DI473" s="114"/>
      <c r="DJ473" s="114"/>
      <c r="DK473" s="114"/>
      <c r="DL473" s="114"/>
      <c r="DM473" s="118">
        <f t="shared" si="530"/>
        <v>0</v>
      </c>
      <c r="DN473" s="125">
        <v>1.2500000000000001E-2</v>
      </c>
      <c r="DO473" s="118">
        <f t="shared" si="531"/>
        <v>0</v>
      </c>
      <c r="DP473" s="118">
        <f t="shared" si="532"/>
        <v>0</v>
      </c>
      <c r="DQ473" s="114"/>
      <c r="DR473" s="114"/>
      <c r="DS473" s="114"/>
      <c r="DT473" s="114"/>
      <c r="DU473" s="114"/>
      <c r="DV473" s="114"/>
      <c r="DW473" s="114"/>
      <c r="DX473" s="114"/>
      <c r="DY473" s="114"/>
      <c r="DZ473" s="114"/>
      <c r="EA473" s="114"/>
      <c r="EB473" s="114"/>
      <c r="EC473" s="114"/>
      <c r="ED473" s="114"/>
      <c r="EE473" s="114"/>
      <c r="EF473" s="105">
        <v>300</v>
      </c>
      <c r="EG473" s="105">
        <v>3000</v>
      </c>
      <c r="EH473" s="105">
        <v>7.5</v>
      </c>
      <c r="EI473" s="120">
        <v>0.9</v>
      </c>
      <c r="EJ473" s="105">
        <v>2</v>
      </c>
      <c r="EK473" s="105">
        <v>45</v>
      </c>
      <c r="EL473" s="111">
        <f t="shared" si="533"/>
        <v>1080</v>
      </c>
      <c r="EM473" s="114"/>
      <c r="EN473" s="114"/>
      <c r="EO473" s="114"/>
      <c r="EP473" s="114"/>
      <c r="EQ473" s="114"/>
      <c r="ER473" s="114"/>
      <c r="ES473" s="114"/>
      <c r="ET473" s="114"/>
      <c r="EU473" s="109">
        <f t="shared" si="534"/>
        <v>2.7777777777777777</v>
      </c>
      <c r="EV473" s="114"/>
      <c r="EW473" s="114"/>
      <c r="EX473" s="114"/>
      <c r="EY473" s="114"/>
      <c r="EZ473" s="114"/>
      <c r="FA473" s="114"/>
      <c r="FB473" s="114"/>
      <c r="FC473" s="114"/>
      <c r="FD473" s="114"/>
      <c r="FE473" s="114"/>
      <c r="FF473" s="114"/>
      <c r="FG473" s="114"/>
      <c r="FH473" s="114"/>
      <c r="FI473" s="114"/>
      <c r="FJ473" s="114"/>
      <c r="FK473" s="114"/>
      <c r="FL473" s="114"/>
      <c r="FM473" s="114"/>
      <c r="FN473" s="114"/>
      <c r="FO473" s="114"/>
      <c r="FP473" s="114"/>
      <c r="FQ473" s="114"/>
      <c r="FR473" s="114"/>
      <c r="FS473" s="114"/>
      <c r="FT473" s="114"/>
      <c r="FU473" s="114"/>
      <c r="FV473" s="114"/>
      <c r="FW473" s="114"/>
      <c r="FX473" s="114"/>
      <c r="FY473" s="114"/>
      <c r="FZ473" s="114"/>
      <c r="GA473" s="114"/>
      <c r="GB473" s="114"/>
      <c r="GC473" s="114"/>
      <c r="GD473" s="114"/>
      <c r="GE473" s="114"/>
      <c r="GF473" s="114"/>
      <c r="GG473" s="114"/>
      <c r="GH473" s="114"/>
      <c r="GI473" s="114"/>
      <c r="GJ473" s="114"/>
      <c r="GK473" s="114"/>
      <c r="GL473" s="114"/>
      <c r="GM473" s="114"/>
      <c r="GN473" s="114"/>
      <c r="GO473" s="114"/>
      <c r="GP473" s="114"/>
      <c r="GQ473" s="114"/>
      <c r="GR473" s="120">
        <v>0.11</v>
      </c>
      <c r="GS473" s="118">
        <f t="shared" si="535"/>
        <v>1.8426295555555554</v>
      </c>
      <c r="GT473" s="125">
        <v>1.2500000000000001E-2</v>
      </c>
      <c r="GU473" s="118">
        <f t="shared" si="536"/>
        <v>0.20938972222222221</v>
      </c>
      <c r="GV473" s="120">
        <v>0.02</v>
      </c>
      <c r="GW473" s="118">
        <f t="shared" si="537"/>
        <v>5.5555555555555552E-2</v>
      </c>
      <c r="GX473" s="118">
        <f t="shared" si="538"/>
        <v>2.1075748333333331</v>
      </c>
      <c r="GY473" s="114" t="s">
        <v>130</v>
      </c>
      <c r="GZ473" s="114" t="s">
        <v>130</v>
      </c>
      <c r="HA473" s="118">
        <v>650</v>
      </c>
      <c r="HB473" s="118">
        <v>450</v>
      </c>
      <c r="HC473" s="105">
        <v>330</v>
      </c>
      <c r="HD473" s="105">
        <v>54</v>
      </c>
      <c r="HE473" s="105">
        <v>500</v>
      </c>
      <c r="HF473" s="118">
        <f t="shared" si="539"/>
        <v>10</v>
      </c>
      <c r="HG473" s="105">
        <v>5</v>
      </c>
      <c r="HH473" s="118">
        <f t="shared" si="540"/>
        <v>50</v>
      </c>
      <c r="HI473" s="105">
        <v>650</v>
      </c>
      <c r="HJ473" s="118">
        <f t="shared" si="541"/>
        <v>32500</v>
      </c>
      <c r="HK473" s="114"/>
      <c r="HL473" s="114"/>
      <c r="HM473" s="118">
        <v>2</v>
      </c>
      <c r="HN473" s="126">
        <f t="shared" si="542"/>
        <v>300000</v>
      </c>
      <c r="HO473" s="109">
        <f t="shared" si="543"/>
        <v>0.10833333333333334</v>
      </c>
      <c r="HP473" s="109">
        <v>160</v>
      </c>
      <c r="HQ473" s="105">
        <v>0</v>
      </c>
      <c r="HR473" s="279">
        <v>0.8</v>
      </c>
      <c r="HS473" s="109">
        <v>1</v>
      </c>
      <c r="HT473" s="109">
        <f t="shared" si="544"/>
        <v>0.8</v>
      </c>
      <c r="HU473" s="109"/>
      <c r="HV473" s="109">
        <f t="shared" si="545"/>
        <v>0.90833333333333344</v>
      </c>
      <c r="HW473" s="109"/>
      <c r="HX473" s="118">
        <v>4200</v>
      </c>
      <c r="HY473" s="118">
        <v>1900</v>
      </c>
      <c r="HZ473" s="118">
        <v>1975</v>
      </c>
      <c r="IA473" s="118">
        <f t="shared" si="547"/>
        <v>6</v>
      </c>
      <c r="IB473" s="118">
        <f t="shared" si="548"/>
        <v>4</v>
      </c>
      <c r="IC473" s="118">
        <f t="shared" si="549"/>
        <v>5</v>
      </c>
      <c r="ID473" s="108">
        <v>0.95</v>
      </c>
      <c r="IE473" s="111">
        <f t="shared" si="546"/>
        <v>114</v>
      </c>
      <c r="IF473" s="118">
        <v>500</v>
      </c>
      <c r="IG473" s="109">
        <f t="shared" si="550"/>
        <v>0.09</v>
      </c>
      <c r="IH473" s="62"/>
    </row>
    <row r="474" spans="1:244" ht="27">
      <c r="A474">
        <v>442</v>
      </c>
      <c r="B474" t="s">
        <v>468</v>
      </c>
      <c r="C474" s="374" t="s">
        <v>1968</v>
      </c>
      <c r="D474" s="28" t="s">
        <v>1310</v>
      </c>
      <c r="E474" s="28" t="s">
        <v>170</v>
      </c>
      <c r="F474" s="5" t="s">
        <v>2182</v>
      </c>
      <c r="G474" s="27" t="s">
        <v>90</v>
      </c>
      <c r="I474" s="27" t="s">
        <v>226</v>
      </c>
      <c r="J474" s="28">
        <v>21590</v>
      </c>
      <c r="K474" s="27" t="s">
        <v>397</v>
      </c>
      <c r="L474" s="13">
        <v>20089</v>
      </c>
      <c r="M474" t="s">
        <v>226</v>
      </c>
      <c r="Q474" s="13" t="s">
        <v>1035</v>
      </c>
      <c r="R474" s="13" t="s">
        <v>1769</v>
      </c>
      <c r="W474" s="383" t="s">
        <v>1969</v>
      </c>
      <c r="X474" s="383"/>
      <c r="Y474" s="383"/>
      <c r="Z474" s="383"/>
      <c r="AA474" s="13" t="s">
        <v>1970</v>
      </c>
      <c r="AB474" s="66">
        <v>162.22999999999999</v>
      </c>
      <c r="AC474">
        <v>20</v>
      </c>
      <c r="AD474" s="13" t="s">
        <v>1796</v>
      </c>
      <c r="AE474" s="7">
        <f t="shared" si="513"/>
        <v>48.460553999999988</v>
      </c>
      <c r="AF474" s="7"/>
      <c r="AG474" s="7">
        <f t="shared" si="514"/>
        <v>15.745925925925924</v>
      </c>
      <c r="AH474" s="7">
        <f t="shared" si="515"/>
        <v>4</v>
      </c>
      <c r="AI474" s="7">
        <f t="shared" si="516"/>
        <v>0.1</v>
      </c>
      <c r="AJ474" s="7">
        <f t="shared" si="517"/>
        <v>0.31491851851851849</v>
      </c>
      <c r="AK474" s="7">
        <f t="shared" si="518"/>
        <v>0.96309719888888878</v>
      </c>
      <c r="AL474" s="7">
        <f t="shared" si="519"/>
        <v>8.0258099907407399</v>
      </c>
      <c r="AM474" s="7">
        <f t="shared" si="520"/>
        <v>1.2083333333333333</v>
      </c>
      <c r="AN474" s="7">
        <f t="shared" si="521"/>
        <v>2.44</v>
      </c>
      <c r="AO474" s="7">
        <f t="shared" si="522"/>
        <v>0</v>
      </c>
      <c r="AP474" s="7"/>
      <c r="AQ474" s="7">
        <f t="shared" si="523"/>
        <v>81.258638967407393</v>
      </c>
      <c r="AR474" s="7">
        <f t="shared" si="524"/>
        <v>0.64206479925925919</v>
      </c>
      <c r="AS474" s="7">
        <f t="shared" si="525"/>
        <v>0</v>
      </c>
      <c r="AT474" s="7">
        <v>0</v>
      </c>
      <c r="AU474" s="7">
        <f>82-81.9</f>
        <v>9.9999999999994316E-2</v>
      </c>
      <c r="AV474" s="7">
        <f t="shared" si="526"/>
        <v>82.000703766666646</v>
      </c>
      <c r="AW474" s="14">
        <v>0.29979999999999996</v>
      </c>
      <c r="AX474">
        <v>0.29099999999999998</v>
      </c>
      <c r="AY474" s="8">
        <v>1</v>
      </c>
      <c r="AZ474" s="4">
        <f t="shared" si="527"/>
        <v>8.7999999999999745E-3</v>
      </c>
      <c r="BA474" s="4">
        <f t="shared" si="528"/>
        <v>48.460553999999988</v>
      </c>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E474" s="4">
        <v>0</v>
      </c>
      <c r="CF474" s="4">
        <v>2</v>
      </c>
      <c r="CG474" s="4">
        <v>2</v>
      </c>
      <c r="CH474" s="4">
        <f t="shared" si="529"/>
        <v>4</v>
      </c>
      <c r="DM474" s="4">
        <f t="shared" si="530"/>
        <v>4</v>
      </c>
      <c r="DN474" s="9">
        <v>2.5000000000000001E-2</v>
      </c>
      <c r="DO474" s="4">
        <f t="shared" si="531"/>
        <v>0.1</v>
      </c>
      <c r="DP474" s="4">
        <f t="shared" si="532"/>
        <v>4.0999999999999996</v>
      </c>
      <c r="EF474">
        <v>350</v>
      </c>
      <c r="EG474">
        <v>3998</v>
      </c>
      <c r="EH474">
        <v>7.5</v>
      </c>
      <c r="EI474" s="8">
        <v>0.9</v>
      </c>
      <c r="EJ474">
        <v>1</v>
      </c>
      <c r="EK474">
        <v>87</v>
      </c>
      <c r="EL474" s="10">
        <f t="shared" si="533"/>
        <v>279.31034482758622</v>
      </c>
      <c r="ER474" s="4">
        <v>1.4320987654320987</v>
      </c>
      <c r="ES474" s="4"/>
      <c r="ET474" s="4"/>
      <c r="EU474" s="4">
        <f t="shared" si="534"/>
        <v>15.745925925925924</v>
      </c>
      <c r="GR474" s="36">
        <v>0.125</v>
      </c>
      <c r="GS474" s="4">
        <f t="shared" si="535"/>
        <v>8.0258099907407399</v>
      </c>
      <c r="GT474" s="9">
        <v>1.4999999999999999E-2</v>
      </c>
      <c r="GU474" s="4">
        <f t="shared" si="536"/>
        <v>0.96309719888888878</v>
      </c>
      <c r="GV474" s="8">
        <v>0.02</v>
      </c>
      <c r="GW474" s="4">
        <f t="shared" si="537"/>
        <v>0.31491851851851849</v>
      </c>
      <c r="GX474" s="4">
        <f t="shared" si="538"/>
        <v>9.3038257081481479</v>
      </c>
      <c r="GY474" t="s">
        <v>130</v>
      </c>
      <c r="GZ474" t="s">
        <v>130</v>
      </c>
      <c r="HA474" s="4">
        <v>1300</v>
      </c>
      <c r="HB474" s="4">
        <v>800</v>
      </c>
      <c r="HC474">
        <v>1800</v>
      </c>
      <c r="HD474">
        <v>72</v>
      </c>
      <c r="HE474">
        <v>800</v>
      </c>
      <c r="HF474" s="4">
        <f t="shared" si="539"/>
        <v>12</v>
      </c>
      <c r="HG474">
        <v>5</v>
      </c>
      <c r="HH474" s="4">
        <f t="shared" si="540"/>
        <v>60</v>
      </c>
      <c r="HI474">
        <v>14500</v>
      </c>
      <c r="HJ474" s="4">
        <f t="shared" si="541"/>
        <v>870000</v>
      </c>
      <c r="HM474" s="4">
        <v>3</v>
      </c>
      <c r="HN474" s="10">
        <f t="shared" si="542"/>
        <v>720000</v>
      </c>
      <c r="HO474" s="4">
        <f t="shared" si="543"/>
        <v>1.2083333333333333</v>
      </c>
      <c r="HP474" s="4">
        <v>160</v>
      </c>
      <c r="HQ474">
        <v>0</v>
      </c>
      <c r="HR474" s="4">
        <v>0</v>
      </c>
      <c r="HS474" s="4">
        <v>0</v>
      </c>
      <c r="HT474" s="4">
        <f t="shared" si="544"/>
        <v>0</v>
      </c>
      <c r="HU474" s="4"/>
      <c r="HV474" s="4">
        <f t="shared" si="545"/>
        <v>1.2083333333333333</v>
      </c>
      <c r="HW474" s="4"/>
      <c r="HX474" s="4">
        <v>4200</v>
      </c>
      <c r="HY474" s="4">
        <v>1900</v>
      </c>
      <c r="HZ474" s="4">
        <v>1975</v>
      </c>
      <c r="IA474" s="4">
        <f t="shared" si="547"/>
        <v>3</v>
      </c>
      <c r="IB474" s="4">
        <f t="shared" si="548"/>
        <v>2</v>
      </c>
      <c r="IC474" s="4">
        <f t="shared" si="549"/>
        <v>1</v>
      </c>
      <c r="ID474" s="8">
        <v>0.95</v>
      </c>
      <c r="IE474" s="10">
        <f t="shared" si="546"/>
        <v>5.6999999999999993</v>
      </c>
      <c r="IF474" s="4">
        <v>1000</v>
      </c>
      <c r="IG474" s="4">
        <f t="shared" si="550"/>
        <v>2.44</v>
      </c>
      <c r="IH474" s="4"/>
      <c r="II474" s="9">
        <v>0.01</v>
      </c>
      <c r="IJ474" s="4">
        <f>II474*(BA474+EU474)</f>
        <v>0.64206479925925919</v>
      </c>
    </row>
    <row r="475" spans="1:244">
      <c r="A475">
        <v>443</v>
      </c>
      <c r="B475" t="s">
        <v>468</v>
      </c>
      <c r="C475" s="278" t="s">
        <v>1971</v>
      </c>
      <c r="D475" s="28" t="s">
        <v>1311</v>
      </c>
      <c r="E475" s="28" t="s">
        <v>1312</v>
      </c>
      <c r="F475" s="5" t="s">
        <v>2182</v>
      </c>
      <c r="G475" s="27" t="s">
        <v>90</v>
      </c>
      <c r="I475" s="27" t="s">
        <v>226</v>
      </c>
      <c r="J475" s="28">
        <v>21590</v>
      </c>
      <c r="K475" s="27" t="s">
        <v>397</v>
      </c>
      <c r="L475" s="240">
        <v>20089</v>
      </c>
      <c r="M475" s="114" t="s">
        <v>226</v>
      </c>
      <c r="N475" s="115"/>
      <c r="O475" s="115"/>
      <c r="P475" s="115"/>
      <c r="Q475" s="13" t="s">
        <v>1035</v>
      </c>
      <c r="R475" s="13" t="s">
        <v>1769</v>
      </c>
      <c r="V475" s="319"/>
      <c r="W475" s="238" t="s">
        <v>1795</v>
      </c>
      <c r="X475" s="238"/>
      <c r="Y475" s="238"/>
      <c r="Z475" s="238"/>
      <c r="AA475" s="115" t="s">
        <v>469</v>
      </c>
      <c r="AB475" s="121">
        <v>114.71</v>
      </c>
      <c r="AC475" s="114">
        <v>20</v>
      </c>
      <c r="AD475" s="115" t="s">
        <v>1796</v>
      </c>
      <c r="AE475" s="119">
        <f t="shared" si="513"/>
        <v>1.6132949999999999</v>
      </c>
      <c r="AF475" s="119"/>
      <c r="AG475" s="119">
        <f t="shared" si="514"/>
        <v>1.2037037037037037</v>
      </c>
      <c r="AH475" s="119">
        <f t="shared" si="515"/>
        <v>0</v>
      </c>
      <c r="AI475" s="119">
        <f t="shared" si="516"/>
        <v>0</v>
      </c>
      <c r="AJ475" s="119">
        <f t="shared" si="517"/>
        <v>2.4074074074074074E-2</v>
      </c>
      <c r="AK475" s="119">
        <f t="shared" si="518"/>
        <v>4.225498055555555E-2</v>
      </c>
      <c r="AL475" s="119">
        <f t="shared" si="519"/>
        <v>0.35212483796296296</v>
      </c>
      <c r="AM475" s="119">
        <f t="shared" si="520"/>
        <v>2.7083333333333334E-2</v>
      </c>
      <c r="AN475" s="119">
        <f t="shared" si="521"/>
        <v>0.22</v>
      </c>
      <c r="AO475" s="119">
        <f t="shared" si="522"/>
        <v>0</v>
      </c>
      <c r="AP475" s="119"/>
      <c r="AQ475" s="119">
        <f t="shared" si="523"/>
        <v>3.4825359296296297</v>
      </c>
      <c r="AR475" s="119">
        <f t="shared" si="524"/>
        <v>2.8169987037037037E-2</v>
      </c>
      <c r="AS475" s="119">
        <f t="shared" si="525"/>
        <v>0</v>
      </c>
      <c r="AT475" s="119">
        <v>0</v>
      </c>
      <c r="AU475" s="106">
        <v>0</v>
      </c>
      <c r="AV475" s="119">
        <f t="shared" si="526"/>
        <v>3.5107059166666668</v>
      </c>
      <c r="AW475" s="114">
        <v>1.4500000000000001E-2</v>
      </c>
      <c r="AX475" s="249">
        <v>1.2E-2</v>
      </c>
      <c r="AY475" s="120">
        <v>1</v>
      </c>
      <c r="AZ475" s="118">
        <f t="shared" si="527"/>
        <v>2.5000000000000005E-3</v>
      </c>
      <c r="BA475" s="118">
        <f t="shared" si="528"/>
        <v>1.6132949999999999</v>
      </c>
      <c r="BB475" s="118"/>
      <c r="BC475" s="118"/>
      <c r="BD475" s="118"/>
      <c r="BE475" s="118"/>
      <c r="BF475" s="118"/>
      <c r="BG475" s="118"/>
      <c r="BH475" s="118"/>
      <c r="BI475" s="118"/>
      <c r="BJ475" s="118"/>
      <c r="BK475" s="118"/>
      <c r="BL475" s="118"/>
      <c r="BM475" s="118"/>
      <c r="BN475" s="118"/>
      <c r="BO475" s="118"/>
      <c r="BP475" s="118"/>
      <c r="BQ475" s="118"/>
      <c r="BR475" s="118"/>
      <c r="BS475" s="118"/>
      <c r="BT475" s="118"/>
      <c r="BU475" s="118"/>
      <c r="BV475" s="118"/>
      <c r="BW475" s="118"/>
      <c r="BX475" s="118"/>
      <c r="BY475" s="118"/>
      <c r="BZ475" s="118"/>
      <c r="CA475" s="118"/>
      <c r="CB475" s="118"/>
      <c r="CC475" s="118"/>
      <c r="CD475" s="114"/>
      <c r="CE475" s="118">
        <v>0</v>
      </c>
      <c r="CF475" s="118">
        <v>0</v>
      </c>
      <c r="CG475" s="118">
        <v>0</v>
      </c>
      <c r="CH475" s="114">
        <f t="shared" si="529"/>
        <v>0</v>
      </c>
      <c r="CI475" s="115"/>
      <c r="CJ475" s="114"/>
      <c r="CK475" s="114">
        <v>0</v>
      </c>
      <c r="CL475" s="114">
        <v>0</v>
      </c>
      <c r="CM475" s="114">
        <f>CK475*CL475</f>
        <v>0</v>
      </c>
      <c r="CN475" s="115"/>
      <c r="CO475" s="114"/>
      <c r="CP475" s="114">
        <v>0</v>
      </c>
      <c r="CQ475" s="114">
        <v>0</v>
      </c>
      <c r="CR475" s="114">
        <f>CP475*CQ475</f>
        <v>0</v>
      </c>
      <c r="CS475" s="114"/>
      <c r="CT475" s="114"/>
      <c r="CU475" s="114">
        <v>0</v>
      </c>
      <c r="CV475" s="114">
        <v>0</v>
      </c>
      <c r="CW475" s="114">
        <f>CU475*CV475</f>
        <v>0</v>
      </c>
      <c r="CX475" s="114"/>
      <c r="CY475" s="114"/>
      <c r="CZ475" s="114"/>
      <c r="DA475" s="114"/>
      <c r="DB475" s="114"/>
      <c r="DC475" s="114"/>
      <c r="DD475" s="114"/>
      <c r="DE475" s="114"/>
      <c r="DF475" s="114"/>
      <c r="DG475" s="114"/>
      <c r="DH475" s="114"/>
      <c r="DI475" s="114"/>
      <c r="DJ475" s="114"/>
      <c r="DK475" s="114"/>
      <c r="DL475" s="114"/>
      <c r="DM475" s="118">
        <f t="shared" si="530"/>
        <v>0</v>
      </c>
      <c r="DN475" s="125">
        <v>2.5000000000000001E-2</v>
      </c>
      <c r="DO475" s="118">
        <f t="shared" si="531"/>
        <v>0</v>
      </c>
      <c r="DP475" s="118">
        <f t="shared" si="532"/>
        <v>0</v>
      </c>
      <c r="DQ475" s="114"/>
      <c r="DR475" s="114"/>
      <c r="DS475" s="114"/>
      <c r="DT475" s="114"/>
      <c r="DU475" s="114"/>
      <c r="DV475" s="114"/>
      <c r="DW475" s="114"/>
      <c r="DX475" s="114"/>
      <c r="DY475" s="114"/>
      <c r="DZ475" s="114"/>
      <c r="EA475" s="114"/>
      <c r="EB475" s="114"/>
      <c r="EC475" s="114"/>
      <c r="ED475" s="114"/>
      <c r="EE475" s="114"/>
      <c r="EF475" s="105">
        <v>150</v>
      </c>
      <c r="EG475" s="105">
        <v>1950</v>
      </c>
      <c r="EH475" s="105">
        <v>7.5</v>
      </c>
      <c r="EI475" s="120">
        <v>0.9</v>
      </c>
      <c r="EJ475" s="105">
        <v>4</v>
      </c>
      <c r="EK475" s="105">
        <v>60</v>
      </c>
      <c r="EL475" s="111">
        <f t="shared" si="533"/>
        <v>1620</v>
      </c>
      <c r="EM475" s="114"/>
      <c r="EN475" s="114"/>
      <c r="EO475" s="114"/>
      <c r="EP475" s="114"/>
      <c r="EQ475" s="114"/>
      <c r="ER475" s="114"/>
      <c r="ES475" s="114"/>
      <c r="ET475" s="114"/>
      <c r="EU475" s="118">
        <f t="shared" si="534"/>
        <v>1.2037037037037037</v>
      </c>
      <c r="EV475" s="114"/>
      <c r="EW475" s="114"/>
      <c r="EX475" s="114"/>
      <c r="EY475" s="114"/>
      <c r="EZ475" s="114"/>
      <c r="FA475" s="114"/>
      <c r="FB475" s="114"/>
      <c r="FC475" s="114"/>
      <c r="FD475" s="114"/>
      <c r="FE475" s="114"/>
      <c r="FF475" s="114"/>
      <c r="FG475" s="114"/>
      <c r="FH475" s="114"/>
      <c r="FI475" s="114"/>
      <c r="FJ475" s="114"/>
      <c r="FK475" s="114"/>
      <c r="FL475" s="114"/>
      <c r="FM475" s="114"/>
      <c r="FN475" s="114"/>
      <c r="FO475" s="114"/>
      <c r="FP475" s="114"/>
      <c r="FQ475" s="114"/>
      <c r="FR475" s="114"/>
      <c r="FS475" s="114"/>
      <c r="FT475" s="114"/>
      <c r="FU475" s="114"/>
      <c r="FV475" s="114"/>
      <c r="FW475" s="114"/>
      <c r="FX475" s="114"/>
      <c r="FY475" s="114"/>
      <c r="FZ475" s="114"/>
      <c r="GA475" s="114"/>
      <c r="GB475" s="114"/>
      <c r="GC475" s="114"/>
      <c r="GD475" s="114"/>
      <c r="GE475" s="114"/>
      <c r="GF475" s="114"/>
      <c r="GG475" s="114"/>
      <c r="GH475" s="114"/>
      <c r="GI475" s="114"/>
      <c r="GJ475" s="114"/>
      <c r="GK475" s="114"/>
      <c r="GL475" s="114"/>
      <c r="GM475" s="114"/>
      <c r="GN475" s="114"/>
      <c r="GO475" s="114"/>
      <c r="GP475" s="114"/>
      <c r="GQ475" s="114"/>
      <c r="GR475" s="242">
        <v>0.125</v>
      </c>
      <c r="GS475" s="118">
        <f t="shared" si="535"/>
        <v>0.35212483796296296</v>
      </c>
      <c r="GT475" s="125">
        <v>1.4999999999999999E-2</v>
      </c>
      <c r="GU475" s="118">
        <f t="shared" si="536"/>
        <v>4.225498055555555E-2</v>
      </c>
      <c r="GV475" s="120">
        <v>0.02</v>
      </c>
      <c r="GW475" s="118">
        <f t="shared" si="537"/>
        <v>2.4074074074074074E-2</v>
      </c>
      <c r="GX475" s="118">
        <f t="shared" si="538"/>
        <v>0.41845389259259258</v>
      </c>
      <c r="GY475" s="114" t="s">
        <v>130</v>
      </c>
      <c r="GZ475" s="114" t="s">
        <v>130</v>
      </c>
      <c r="HA475" s="118">
        <v>650</v>
      </c>
      <c r="HB475" s="118">
        <v>450</v>
      </c>
      <c r="HC475" s="105">
        <v>330</v>
      </c>
      <c r="HD475" s="105">
        <v>200</v>
      </c>
      <c r="HE475" s="105">
        <v>600</v>
      </c>
      <c r="HF475" s="118">
        <f t="shared" si="539"/>
        <v>3</v>
      </c>
      <c r="HG475" s="105">
        <v>5</v>
      </c>
      <c r="HH475" s="118">
        <f t="shared" si="540"/>
        <v>15</v>
      </c>
      <c r="HI475" s="105">
        <v>650</v>
      </c>
      <c r="HJ475" s="118">
        <f t="shared" si="541"/>
        <v>9750</v>
      </c>
      <c r="HK475" s="114"/>
      <c r="HL475" s="114"/>
      <c r="HM475" s="118">
        <v>2</v>
      </c>
      <c r="HN475" s="126">
        <f t="shared" si="542"/>
        <v>360000</v>
      </c>
      <c r="HO475" s="109">
        <f t="shared" si="543"/>
        <v>2.7083333333333334E-2</v>
      </c>
      <c r="HP475" s="118">
        <v>160</v>
      </c>
      <c r="HQ475" s="114">
        <v>0</v>
      </c>
      <c r="HR475" s="118">
        <v>0</v>
      </c>
      <c r="HS475" s="118">
        <v>0</v>
      </c>
      <c r="HT475" s="118">
        <f t="shared" si="544"/>
        <v>0</v>
      </c>
      <c r="HU475" s="118"/>
      <c r="HV475" s="118">
        <f t="shared" si="545"/>
        <v>2.7083333333333334E-2</v>
      </c>
      <c r="HW475" s="118"/>
      <c r="HX475" s="118">
        <v>4200</v>
      </c>
      <c r="HY475" s="118">
        <v>1900</v>
      </c>
      <c r="HZ475" s="118">
        <v>1975</v>
      </c>
      <c r="IA475" s="118">
        <f t="shared" si="547"/>
        <v>6</v>
      </c>
      <c r="IB475" s="118">
        <f t="shared" si="548"/>
        <v>4</v>
      </c>
      <c r="IC475" s="118">
        <f t="shared" si="549"/>
        <v>5</v>
      </c>
      <c r="ID475" s="108">
        <v>0.95</v>
      </c>
      <c r="IE475" s="111">
        <f t="shared" si="546"/>
        <v>114</v>
      </c>
      <c r="IF475" s="118">
        <v>5000</v>
      </c>
      <c r="IG475" s="109">
        <f t="shared" si="550"/>
        <v>0.22</v>
      </c>
      <c r="IH475" s="62"/>
      <c r="II475" s="9">
        <v>0.01</v>
      </c>
      <c r="IJ475" s="4">
        <f>II475*(BA475+EU475)</f>
        <v>2.8169987037037037E-2</v>
      </c>
    </row>
    <row r="476" spans="1:244">
      <c r="A476">
        <v>444</v>
      </c>
      <c r="B476" t="s">
        <v>468</v>
      </c>
      <c r="C476" s="377" t="s">
        <v>1972</v>
      </c>
      <c r="D476" s="28" t="s">
        <v>1313</v>
      </c>
      <c r="E476" s="28" t="s">
        <v>1314</v>
      </c>
      <c r="F476" s="5" t="s">
        <v>2182</v>
      </c>
      <c r="G476" s="27" t="s">
        <v>90</v>
      </c>
      <c r="I476" s="27" t="s">
        <v>226</v>
      </c>
      <c r="J476" s="28">
        <v>21691</v>
      </c>
      <c r="K476" s="27" t="s">
        <v>404</v>
      </c>
      <c r="L476" s="379"/>
      <c r="Q476" s="13" t="s">
        <v>1782</v>
      </c>
      <c r="R476" s="13" t="s">
        <v>1836</v>
      </c>
      <c r="W476" s="239" t="s">
        <v>1976</v>
      </c>
      <c r="X476" s="239"/>
      <c r="Y476" s="239"/>
      <c r="Z476" s="239"/>
      <c r="AA476" s="13" t="s">
        <v>1974</v>
      </c>
      <c r="AB476" s="66">
        <v>101.39</v>
      </c>
      <c r="AC476">
        <v>20</v>
      </c>
      <c r="AD476" s="13" t="s">
        <v>935</v>
      </c>
      <c r="AE476" s="7">
        <f t="shared" si="513"/>
        <v>22.794139999999999</v>
      </c>
      <c r="AF476" s="7"/>
      <c r="AG476" s="7">
        <f t="shared" si="514"/>
        <v>11.165935672514621</v>
      </c>
      <c r="AH476" s="7">
        <f t="shared" si="515"/>
        <v>0</v>
      </c>
      <c r="AI476" s="7">
        <f t="shared" si="516"/>
        <v>0</v>
      </c>
      <c r="AJ476" s="7">
        <f t="shared" si="517"/>
        <v>0.22331871345029242</v>
      </c>
      <c r="AK476" s="7">
        <f t="shared" si="518"/>
        <v>0.42450094590643278</v>
      </c>
      <c r="AL476" s="7">
        <f t="shared" si="519"/>
        <v>3.7356083239766082</v>
      </c>
      <c r="AM476" s="7">
        <f t="shared" si="520"/>
        <v>2.1666666666666665</v>
      </c>
      <c r="AN476" s="7">
        <f t="shared" si="521"/>
        <v>1.25</v>
      </c>
      <c r="AO476" s="7">
        <f t="shared" si="522"/>
        <v>0</v>
      </c>
      <c r="AP476" s="7"/>
      <c r="AQ476" s="7">
        <f t="shared" si="523"/>
        <v>41.760170322514611</v>
      </c>
      <c r="AR476" s="7">
        <f t="shared" si="524"/>
        <v>0</v>
      </c>
      <c r="AS476" s="7">
        <f t="shared" si="525"/>
        <v>0</v>
      </c>
      <c r="AT476" s="7">
        <v>0</v>
      </c>
      <c r="AU476" s="42">
        <f>42.03-41.76</f>
        <v>0.27000000000000313</v>
      </c>
      <c r="AV476" s="7">
        <f t="shared" si="526"/>
        <v>42.030170322514614</v>
      </c>
      <c r="AW476">
        <v>0.22600000000000001</v>
      </c>
      <c r="AX476" s="14">
        <v>0.22</v>
      </c>
      <c r="AY476" s="8">
        <v>1</v>
      </c>
      <c r="AZ476" s="4">
        <f t="shared" si="527"/>
        <v>6.0000000000000053E-3</v>
      </c>
      <c r="BA476" s="4">
        <f t="shared" si="528"/>
        <v>22.794139999999999</v>
      </c>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E476" s="4">
        <v>0</v>
      </c>
      <c r="CF476" s="4">
        <v>0</v>
      </c>
      <c r="CG476" s="4">
        <v>0</v>
      </c>
      <c r="CH476">
        <f t="shared" si="529"/>
        <v>0</v>
      </c>
      <c r="CI476" s="13"/>
      <c r="CK476">
        <v>0</v>
      </c>
      <c r="CL476">
        <v>0</v>
      </c>
      <c r="CM476">
        <f>CK476*CL476</f>
        <v>0</v>
      </c>
      <c r="CN476" s="13"/>
      <c r="CP476">
        <v>0</v>
      </c>
      <c r="CQ476">
        <v>0</v>
      </c>
      <c r="CR476">
        <f>CP476*CQ476</f>
        <v>0</v>
      </c>
      <c r="CU476">
        <v>0</v>
      </c>
      <c r="CV476">
        <v>0</v>
      </c>
      <c r="CW476">
        <f>CU476*CV476</f>
        <v>0</v>
      </c>
      <c r="DM476" s="4">
        <f t="shared" si="530"/>
        <v>0</v>
      </c>
      <c r="DN476" s="9">
        <v>1.2500000000000001E-2</v>
      </c>
      <c r="DO476" s="4">
        <f t="shared" si="531"/>
        <v>0</v>
      </c>
      <c r="DP476" s="4">
        <f t="shared" si="532"/>
        <v>0</v>
      </c>
      <c r="EF476" s="59">
        <v>470</v>
      </c>
      <c r="EG476" s="59">
        <v>4700</v>
      </c>
      <c r="EH476" s="59">
        <v>8</v>
      </c>
      <c r="EI476" s="8">
        <v>0.95</v>
      </c>
      <c r="EJ476" s="59">
        <v>1</v>
      </c>
      <c r="EK476" s="59">
        <v>65</v>
      </c>
      <c r="EL476" s="65">
        <f t="shared" si="533"/>
        <v>420.92307692307691</v>
      </c>
      <c r="EU476" s="62">
        <f t="shared" si="534"/>
        <v>11.165935672514621</v>
      </c>
      <c r="GR476" s="8">
        <v>0.11</v>
      </c>
      <c r="GS476" s="4">
        <f t="shared" si="535"/>
        <v>3.7356083239766082</v>
      </c>
      <c r="GT476" s="9">
        <v>1.2500000000000001E-2</v>
      </c>
      <c r="GU476" s="4">
        <f t="shared" si="536"/>
        <v>0.42450094590643278</v>
      </c>
      <c r="GV476" s="8">
        <v>0.02</v>
      </c>
      <c r="GW476" s="4">
        <f t="shared" si="537"/>
        <v>0.22331871345029242</v>
      </c>
      <c r="GX476" s="4">
        <f t="shared" si="538"/>
        <v>4.3834279833333332</v>
      </c>
      <c r="GY476" t="s">
        <v>130</v>
      </c>
      <c r="GZ476" t="s">
        <v>130</v>
      </c>
      <c r="HA476" s="4">
        <v>1350</v>
      </c>
      <c r="HB476" s="4">
        <v>950</v>
      </c>
      <c r="HC476" s="59">
        <v>2400</v>
      </c>
      <c r="HD476" s="59">
        <v>80</v>
      </c>
      <c r="HE476" s="59">
        <v>150</v>
      </c>
      <c r="HF476" s="4">
        <f t="shared" si="539"/>
        <v>2</v>
      </c>
      <c r="HG476" s="59">
        <v>5</v>
      </c>
      <c r="HH476" s="4">
        <f t="shared" si="540"/>
        <v>10</v>
      </c>
      <c r="HI476" s="59">
        <v>19500</v>
      </c>
      <c r="HJ476" s="4">
        <f t="shared" si="541"/>
        <v>195000</v>
      </c>
      <c r="HM476" s="4">
        <v>2</v>
      </c>
      <c r="HN476" s="10">
        <f t="shared" si="542"/>
        <v>90000</v>
      </c>
      <c r="HO476" s="62">
        <f t="shared" si="543"/>
        <v>2.1666666666666665</v>
      </c>
      <c r="HP476" s="4">
        <v>160</v>
      </c>
      <c r="HQ476">
        <v>0</v>
      </c>
      <c r="HR476" s="4">
        <v>0</v>
      </c>
      <c r="HS476" s="4">
        <v>0</v>
      </c>
      <c r="HT476" s="4">
        <f t="shared" si="544"/>
        <v>0</v>
      </c>
      <c r="HU476" s="4"/>
      <c r="HV476" s="4">
        <f t="shared" si="545"/>
        <v>2.1666666666666665</v>
      </c>
      <c r="HW476" s="4"/>
      <c r="HX476" s="4">
        <v>5016</v>
      </c>
      <c r="HY476" s="4">
        <v>1976</v>
      </c>
      <c r="HZ476" s="4">
        <v>2280</v>
      </c>
      <c r="IA476" s="4">
        <f t="shared" si="547"/>
        <v>3</v>
      </c>
      <c r="IB476" s="4">
        <f t="shared" si="548"/>
        <v>2</v>
      </c>
      <c r="IC476" s="4">
        <f t="shared" si="549"/>
        <v>0</v>
      </c>
      <c r="ID476" s="61">
        <v>1</v>
      </c>
      <c r="IE476" s="65">
        <f>PRODUCT(IA476:ID476)+5</f>
        <v>5</v>
      </c>
      <c r="IF476" s="4">
        <v>500</v>
      </c>
      <c r="IG476" s="4">
        <f>IF476/(IE476*HD476)</f>
        <v>1.25</v>
      </c>
      <c r="IH476" s="4"/>
    </row>
    <row r="477" spans="1:244">
      <c r="A477">
        <v>446</v>
      </c>
      <c r="B477" s="334" t="s">
        <v>468</v>
      </c>
      <c r="C477" s="281" t="s">
        <v>1975</v>
      </c>
      <c r="D477" s="28" t="s">
        <v>1315</v>
      </c>
      <c r="E477" s="28" t="s">
        <v>170</v>
      </c>
      <c r="F477" s="5" t="s">
        <v>2182</v>
      </c>
      <c r="G477" s="27" t="s">
        <v>90</v>
      </c>
      <c r="I477" s="27" t="s">
        <v>226</v>
      </c>
      <c r="J477" s="28">
        <v>21691</v>
      </c>
      <c r="K477" s="27" t="s">
        <v>404</v>
      </c>
      <c r="L477" s="240"/>
      <c r="M477" s="114"/>
      <c r="N477" s="115"/>
      <c r="O477" s="115"/>
      <c r="P477" s="115"/>
      <c r="Q477" s="13" t="s">
        <v>1782</v>
      </c>
      <c r="R477" s="13" t="s">
        <v>1836</v>
      </c>
      <c r="V477" s="319"/>
      <c r="W477" s="238" t="s">
        <v>1976</v>
      </c>
      <c r="X477" s="238"/>
      <c r="Y477" s="238"/>
      <c r="Z477" s="238"/>
      <c r="AA477" s="115" t="s">
        <v>508</v>
      </c>
      <c r="AB477" s="121">
        <v>157.63999999999999</v>
      </c>
      <c r="AC477" s="114">
        <v>20</v>
      </c>
      <c r="AD477" s="115" t="s">
        <v>935</v>
      </c>
      <c r="AE477" s="119">
        <f t="shared" si="513"/>
        <v>61.990160000000003</v>
      </c>
      <c r="AF477" s="119"/>
      <c r="AG477" s="119">
        <f t="shared" si="514"/>
        <v>10.690789473684211</v>
      </c>
      <c r="AH477" s="119">
        <f t="shared" si="515"/>
        <v>5.12</v>
      </c>
      <c r="AI477" s="119">
        <f t="shared" si="516"/>
        <v>6.4000000000000001E-2</v>
      </c>
      <c r="AJ477" s="119">
        <f t="shared" si="517"/>
        <v>0.21381578947368421</v>
      </c>
      <c r="AK477" s="119">
        <f t="shared" si="518"/>
        <v>0.90851186842105269</v>
      </c>
      <c r="AL477" s="119">
        <f t="shared" si="519"/>
        <v>7.9949044421052626</v>
      </c>
      <c r="AM477" s="119">
        <f t="shared" si="520"/>
        <v>2.1666666666666665</v>
      </c>
      <c r="AN477" s="119">
        <f t="shared" si="521"/>
        <v>1.25</v>
      </c>
      <c r="AO477" s="119">
        <f t="shared" si="522"/>
        <v>0</v>
      </c>
      <c r="AP477" s="119"/>
      <c r="AQ477" s="119">
        <f t="shared" si="523"/>
        <v>90.398848240350887</v>
      </c>
      <c r="AR477" s="119">
        <f t="shared" si="524"/>
        <v>0</v>
      </c>
      <c r="AS477" s="119">
        <f t="shared" si="525"/>
        <v>0</v>
      </c>
      <c r="AT477" s="119">
        <v>0</v>
      </c>
      <c r="AU477" s="106">
        <f>90.67-90.4</f>
        <v>0.26999999999999602</v>
      </c>
      <c r="AV477" s="119">
        <f t="shared" si="526"/>
        <v>90.668848240350883</v>
      </c>
      <c r="AW477" s="114">
        <v>0.39400000000000002</v>
      </c>
      <c r="AX477" s="114">
        <v>0.38800000000000001</v>
      </c>
      <c r="AY477" s="120">
        <v>1</v>
      </c>
      <c r="AZ477" s="118">
        <f t="shared" si="527"/>
        <v>6.0000000000000053E-3</v>
      </c>
      <c r="BA477" s="118">
        <f t="shared" si="528"/>
        <v>61.990160000000003</v>
      </c>
      <c r="BB477" s="118"/>
      <c r="BC477" s="118"/>
      <c r="BD477" s="118"/>
      <c r="BE477" s="118"/>
      <c r="BF477" s="118"/>
      <c r="BG477" s="118"/>
      <c r="BH477" s="118"/>
      <c r="BI477" s="118"/>
      <c r="BJ477" s="118"/>
      <c r="BK477" s="118"/>
      <c r="BL477" s="118"/>
      <c r="BM477" s="118"/>
      <c r="BN477" s="118"/>
      <c r="BO477" s="118"/>
      <c r="BP477" s="118"/>
      <c r="BQ477" s="118"/>
      <c r="BR477" s="118"/>
      <c r="BS477" s="118"/>
      <c r="BT477" s="118"/>
      <c r="BU477" s="118"/>
      <c r="BV477" s="118"/>
      <c r="BW477" s="118"/>
      <c r="BX477" s="118"/>
      <c r="BY477" s="118"/>
      <c r="BZ477" s="118"/>
      <c r="CA477" s="118"/>
      <c r="CB477" s="118"/>
      <c r="CC477" s="118"/>
      <c r="CD477" s="114"/>
      <c r="CE477" s="118">
        <v>0</v>
      </c>
      <c r="CF477" s="118">
        <v>4</v>
      </c>
      <c r="CG477" s="118">
        <v>1.28</v>
      </c>
      <c r="CH477" s="114">
        <f t="shared" si="529"/>
        <v>5.12</v>
      </c>
      <c r="CI477" s="114"/>
      <c r="CJ477" s="114"/>
      <c r="CK477" s="114"/>
      <c r="CL477" s="114"/>
      <c r="CM477" s="114"/>
      <c r="CN477" s="114"/>
      <c r="CO477" s="114"/>
      <c r="CP477" s="114"/>
      <c r="CQ477" s="114"/>
      <c r="CR477" s="114"/>
      <c r="CS477" s="114"/>
      <c r="CT477" s="114"/>
      <c r="CU477" s="114"/>
      <c r="CV477" s="114"/>
      <c r="CW477" s="114"/>
      <c r="CX477" s="114"/>
      <c r="CY477" s="114"/>
      <c r="CZ477" s="114"/>
      <c r="DA477" s="114"/>
      <c r="DB477" s="114"/>
      <c r="DC477" s="114"/>
      <c r="DD477" s="114"/>
      <c r="DE477" s="114"/>
      <c r="DF477" s="114"/>
      <c r="DG477" s="114"/>
      <c r="DH477" s="114"/>
      <c r="DI477" s="114"/>
      <c r="DJ477" s="114"/>
      <c r="DK477" s="114"/>
      <c r="DL477" s="114"/>
      <c r="DM477" s="118">
        <f t="shared" si="530"/>
        <v>5.12</v>
      </c>
      <c r="DN477" s="125">
        <v>1.2500000000000001E-2</v>
      </c>
      <c r="DO477" s="118">
        <f t="shared" si="531"/>
        <v>6.4000000000000001E-2</v>
      </c>
      <c r="DP477" s="118">
        <f t="shared" si="532"/>
        <v>5.1840000000000002</v>
      </c>
      <c r="DQ477" s="114"/>
      <c r="DR477" s="114"/>
      <c r="DS477" s="114"/>
      <c r="DT477" s="114"/>
      <c r="DU477" s="114"/>
      <c r="DV477" s="114"/>
      <c r="DW477" s="114"/>
      <c r="DX477" s="114"/>
      <c r="DY477" s="114"/>
      <c r="DZ477" s="114"/>
      <c r="EA477" s="114"/>
      <c r="EB477" s="114"/>
      <c r="EC477" s="114"/>
      <c r="ED477" s="114"/>
      <c r="EE477" s="114"/>
      <c r="EF477" s="105">
        <v>450</v>
      </c>
      <c r="EG477" s="105">
        <v>4500</v>
      </c>
      <c r="EH477" s="105">
        <v>8</v>
      </c>
      <c r="EI477" s="120">
        <v>0.95</v>
      </c>
      <c r="EJ477" s="105">
        <v>1</v>
      </c>
      <c r="EK477" s="105">
        <v>65</v>
      </c>
      <c r="EL477" s="111">
        <f t="shared" si="533"/>
        <v>420.92307692307691</v>
      </c>
      <c r="EM477" s="114"/>
      <c r="EN477" s="114"/>
      <c r="EO477" s="114"/>
      <c r="EP477" s="114"/>
      <c r="EQ477" s="114"/>
      <c r="ER477" s="114"/>
      <c r="ES477" s="114"/>
      <c r="ET477" s="114"/>
      <c r="EU477" s="109">
        <f t="shared" si="534"/>
        <v>10.690789473684211</v>
      </c>
      <c r="EV477" s="114"/>
      <c r="EW477" s="114"/>
      <c r="EX477" s="114"/>
      <c r="EY477" s="114"/>
      <c r="EZ477" s="114"/>
      <c r="FA477" s="114"/>
      <c r="FB477" s="114"/>
      <c r="FC477" s="114"/>
      <c r="FD477" s="114"/>
      <c r="FE477" s="114"/>
      <c r="FF477" s="114"/>
      <c r="FG477" s="114"/>
      <c r="FH477" s="114"/>
      <c r="FI477" s="114"/>
      <c r="FJ477" s="114"/>
      <c r="FK477" s="114"/>
      <c r="FL477" s="114"/>
      <c r="FM477" s="114"/>
      <c r="FN477" s="114"/>
      <c r="FO477" s="114"/>
      <c r="FP477" s="114"/>
      <c r="FQ477" s="114"/>
      <c r="FR477" s="114"/>
      <c r="FS477" s="114"/>
      <c r="FT477" s="114"/>
      <c r="FU477" s="114"/>
      <c r="FV477" s="114"/>
      <c r="FW477" s="114"/>
      <c r="FX477" s="114"/>
      <c r="FY477" s="114"/>
      <c r="FZ477" s="114"/>
      <c r="GA477" s="114"/>
      <c r="GB477" s="114"/>
      <c r="GC477" s="114"/>
      <c r="GD477" s="114"/>
      <c r="GE477" s="114"/>
      <c r="GF477" s="114"/>
      <c r="GG477" s="114"/>
      <c r="GH477" s="114"/>
      <c r="GI477" s="114"/>
      <c r="GJ477" s="114"/>
      <c r="GK477" s="114"/>
      <c r="GL477" s="114"/>
      <c r="GM477" s="114"/>
      <c r="GN477" s="114"/>
      <c r="GO477" s="114"/>
      <c r="GP477" s="114"/>
      <c r="GQ477" s="114"/>
      <c r="GR477" s="120">
        <v>0.11</v>
      </c>
      <c r="GS477" s="118">
        <f t="shared" si="535"/>
        <v>7.9949044421052626</v>
      </c>
      <c r="GT477" s="125">
        <v>1.2500000000000001E-2</v>
      </c>
      <c r="GU477" s="118">
        <f t="shared" si="536"/>
        <v>0.90851186842105269</v>
      </c>
      <c r="GV477" s="120">
        <v>0.02</v>
      </c>
      <c r="GW477" s="118">
        <f t="shared" si="537"/>
        <v>0.21381578947368421</v>
      </c>
      <c r="GX477" s="118">
        <f t="shared" si="538"/>
        <v>9.1172321000000007</v>
      </c>
      <c r="GY477" s="114" t="s">
        <v>130</v>
      </c>
      <c r="GZ477" s="114" t="s">
        <v>130</v>
      </c>
      <c r="HA477" s="118">
        <v>1350</v>
      </c>
      <c r="HB477" s="118">
        <v>950</v>
      </c>
      <c r="HC477" s="105">
        <v>2400</v>
      </c>
      <c r="HD477" s="105">
        <v>80</v>
      </c>
      <c r="HE477" s="105">
        <v>150</v>
      </c>
      <c r="HF477" s="118">
        <f t="shared" si="539"/>
        <v>2</v>
      </c>
      <c r="HG477" s="105">
        <v>5</v>
      </c>
      <c r="HH477" s="118">
        <f t="shared" si="540"/>
        <v>10</v>
      </c>
      <c r="HI477" s="105">
        <v>19500</v>
      </c>
      <c r="HJ477" s="118">
        <f t="shared" si="541"/>
        <v>195000</v>
      </c>
      <c r="HK477" s="114"/>
      <c r="HL477" s="114"/>
      <c r="HM477" s="118">
        <v>2</v>
      </c>
      <c r="HN477" s="126">
        <f t="shared" si="542"/>
        <v>90000</v>
      </c>
      <c r="HO477" s="109">
        <f t="shared" si="543"/>
        <v>2.1666666666666665</v>
      </c>
      <c r="HP477" s="118">
        <v>160</v>
      </c>
      <c r="HQ477" s="114">
        <v>0</v>
      </c>
      <c r="HR477" s="118">
        <v>0</v>
      </c>
      <c r="HS477" s="118">
        <v>0</v>
      </c>
      <c r="HT477" s="118">
        <f t="shared" si="544"/>
        <v>0</v>
      </c>
      <c r="HU477" s="118"/>
      <c r="HV477" s="118">
        <f t="shared" si="545"/>
        <v>2.1666666666666665</v>
      </c>
      <c r="HW477" s="118"/>
      <c r="HX477" s="118">
        <v>5016</v>
      </c>
      <c r="HY477" s="118">
        <v>1976</v>
      </c>
      <c r="HZ477" s="118">
        <v>2280</v>
      </c>
      <c r="IA477" s="118">
        <f t="shared" si="547"/>
        <v>3</v>
      </c>
      <c r="IB477" s="118">
        <f t="shared" si="548"/>
        <v>2</v>
      </c>
      <c r="IC477" s="118">
        <f t="shared" si="549"/>
        <v>0</v>
      </c>
      <c r="ID477" s="108">
        <v>1</v>
      </c>
      <c r="IE477" s="111">
        <f>PRODUCT(IA477:ID477)+5</f>
        <v>5</v>
      </c>
      <c r="IF477" s="118">
        <v>500</v>
      </c>
      <c r="IG477" s="109">
        <f>IF477/(IE477*HD477)</f>
        <v>1.25</v>
      </c>
      <c r="IH477" s="62"/>
    </row>
    <row r="478" spans="1:244">
      <c r="A478">
        <v>448</v>
      </c>
      <c r="B478" t="s">
        <v>468</v>
      </c>
      <c r="C478" s="377" t="s">
        <v>1977</v>
      </c>
      <c r="D478" s="28" t="s">
        <v>1316</v>
      </c>
      <c r="E478" s="28" t="s">
        <v>685</v>
      </c>
      <c r="F478" s="5" t="s">
        <v>2182</v>
      </c>
      <c r="G478" s="27" t="s">
        <v>90</v>
      </c>
      <c r="I478" s="27" t="s">
        <v>226</v>
      </c>
      <c r="J478" s="28">
        <v>21691</v>
      </c>
      <c r="K478" s="27" t="s">
        <v>404</v>
      </c>
      <c r="L478" s="379"/>
      <c r="Q478" s="13" t="s">
        <v>1782</v>
      </c>
      <c r="R478" s="13" t="s">
        <v>1836</v>
      </c>
      <c r="W478" s="239" t="s">
        <v>1978</v>
      </c>
      <c r="X478" s="239"/>
      <c r="Y478" s="239"/>
      <c r="Z478" s="239"/>
      <c r="AA478" s="13" t="s">
        <v>508</v>
      </c>
      <c r="AB478" s="66">
        <v>157.63999999999999</v>
      </c>
      <c r="AC478">
        <v>20</v>
      </c>
      <c r="AD478" s="13" t="s">
        <v>935</v>
      </c>
      <c r="AE478" s="7">
        <f t="shared" si="513"/>
        <v>71.113279999999989</v>
      </c>
      <c r="AF478" s="7"/>
      <c r="AG478" s="7">
        <f t="shared" si="514"/>
        <v>16.630116959064328</v>
      </c>
      <c r="AH478" s="7">
        <f t="shared" si="515"/>
        <v>8.84</v>
      </c>
      <c r="AI478" s="7">
        <f t="shared" si="516"/>
        <v>0.1105</v>
      </c>
      <c r="AJ478" s="7">
        <f t="shared" si="517"/>
        <v>0.33260233918128657</v>
      </c>
      <c r="AK478" s="7">
        <f t="shared" si="518"/>
        <v>1.096792461988304</v>
      </c>
      <c r="AL478" s="7">
        <f t="shared" si="519"/>
        <v>9.6517736654970747</v>
      </c>
      <c r="AM478" s="7">
        <f t="shared" si="520"/>
        <v>2.4911111111111111</v>
      </c>
      <c r="AN478" s="7">
        <f t="shared" si="521"/>
        <v>0.66666666666666663</v>
      </c>
      <c r="AO478" s="7">
        <f t="shared" si="522"/>
        <v>0</v>
      </c>
      <c r="AP478" s="7"/>
      <c r="AQ478" s="7">
        <f t="shared" si="523"/>
        <v>110.93284320350877</v>
      </c>
      <c r="AR478" s="7">
        <f t="shared" si="524"/>
        <v>0</v>
      </c>
      <c r="AS478" s="7">
        <f t="shared" si="525"/>
        <v>0</v>
      </c>
      <c r="AT478" s="7">
        <v>0</v>
      </c>
      <c r="AU478" s="7">
        <f>111.25-110.93</f>
        <v>0.31999999999999318</v>
      </c>
      <c r="AV478" s="7">
        <f t="shared" si="526"/>
        <v>111.25284320350876</v>
      </c>
      <c r="AW478">
        <v>0.45200000000000001</v>
      </c>
      <c r="AX478">
        <v>0.44500000000000001</v>
      </c>
      <c r="AY478" s="8">
        <v>1</v>
      </c>
      <c r="AZ478" s="4">
        <f t="shared" si="527"/>
        <v>7.0000000000000062E-3</v>
      </c>
      <c r="BA478" s="4">
        <f t="shared" si="528"/>
        <v>71.113279999999989</v>
      </c>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E478" s="4">
        <v>0</v>
      </c>
      <c r="CF478" s="4">
        <v>0</v>
      </c>
      <c r="CG478" s="4">
        <v>0</v>
      </c>
      <c r="CH478">
        <f t="shared" si="529"/>
        <v>0</v>
      </c>
      <c r="CJ478" t="s">
        <v>1316</v>
      </c>
      <c r="CK478">
        <v>2</v>
      </c>
      <c r="CL478">
        <v>2.5499999999999998</v>
      </c>
      <c r="CM478">
        <f>CK478*CL478</f>
        <v>5.0999999999999996</v>
      </c>
      <c r="CO478" t="s">
        <v>1316</v>
      </c>
      <c r="CP478">
        <v>2</v>
      </c>
      <c r="CQ478">
        <v>1.87</v>
      </c>
      <c r="CR478">
        <f>CP478*CQ478</f>
        <v>3.74</v>
      </c>
      <c r="DM478" s="4">
        <f t="shared" si="530"/>
        <v>8.84</v>
      </c>
      <c r="DN478" s="9">
        <v>1.2500000000000001E-2</v>
      </c>
      <c r="DO478" s="4">
        <f t="shared" si="531"/>
        <v>0.1105</v>
      </c>
      <c r="DP478" s="4">
        <f t="shared" si="532"/>
        <v>8.9504999999999999</v>
      </c>
      <c r="EF478" s="59">
        <v>650</v>
      </c>
      <c r="EG478" s="59">
        <v>6500</v>
      </c>
      <c r="EH478" s="59">
        <v>8</v>
      </c>
      <c r="EI478" s="8">
        <v>0.95</v>
      </c>
      <c r="EJ478" s="59">
        <v>1</v>
      </c>
      <c r="EK478" s="59">
        <v>70</v>
      </c>
      <c r="EL478" s="65">
        <f t="shared" si="533"/>
        <v>390.85714285714283</v>
      </c>
      <c r="EU478" s="62">
        <f t="shared" si="534"/>
        <v>16.630116959064328</v>
      </c>
      <c r="GR478" s="8">
        <v>0.11</v>
      </c>
      <c r="GS478" s="4">
        <f t="shared" si="535"/>
        <v>9.6517736654970747</v>
      </c>
      <c r="GT478" s="9">
        <v>1.2500000000000001E-2</v>
      </c>
      <c r="GU478" s="4">
        <f t="shared" si="536"/>
        <v>1.096792461988304</v>
      </c>
      <c r="GV478" s="8">
        <v>0.02</v>
      </c>
      <c r="GW478" s="4">
        <f t="shared" si="537"/>
        <v>0.33260233918128657</v>
      </c>
      <c r="GX478" s="4">
        <f t="shared" si="538"/>
        <v>11.081168466666666</v>
      </c>
      <c r="GY478" t="s">
        <v>43</v>
      </c>
      <c r="GZ478" t="s">
        <v>87</v>
      </c>
      <c r="HA478" s="4">
        <v>805</v>
      </c>
      <c r="HB478" s="4">
        <v>675</v>
      </c>
      <c r="HC478" s="59">
        <v>405</v>
      </c>
      <c r="HD478" s="59">
        <v>15</v>
      </c>
      <c r="HE478" s="59">
        <v>150</v>
      </c>
      <c r="HF478" s="4">
        <f t="shared" si="539"/>
        <v>10</v>
      </c>
      <c r="HG478" s="59">
        <v>5</v>
      </c>
      <c r="HH478" s="4">
        <f t="shared" si="540"/>
        <v>50</v>
      </c>
      <c r="HI478" s="59">
        <v>1100</v>
      </c>
      <c r="HJ478" s="4">
        <f t="shared" si="541"/>
        <v>55000</v>
      </c>
      <c r="HM478" s="4">
        <v>2</v>
      </c>
      <c r="HN478" s="10">
        <f t="shared" si="542"/>
        <v>90000</v>
      </c>
      <c r="HO478" s="62">
        <f t="shared" si="543"/>
        <v>0.61111111111111116</v>
      </c>
      <c r="HP478" s="4">
        <v>160</v>
      </c>
      <c r="HQ478">
        <v>0</v>
      </c>
      <c r="HR478" s="4">
        <v>1.88</v>
      </c>
      <c r="HS478" s="4">
        <v>1</v>
      </c>
      <c r="HT478" s="4">
        <f t="shared" si="544"/>
        <v>1.88</v>
      </c>
      <c r="HU478" s="4"/>
      <c r="HV478" s="4">
        <f t="shared" si="545"/>
        <v>2.4911111111111111</v>
      </c>
      <c r="HW478" s="4"/>
      <c r="HX478" s="4">
        <v>5016</v>
      </c>
      <c r="HY478" s="4">
        <v>1976</v>
      </c>
      <c r="HZ478" s="4">
        <v>2280</v>
      </c>
      <c r="IA478" s="4">
        <f t="shared" si="547"/>
        <v>6</v>
      </c>
      <c r="IB478" s="4">
        <f t="shared" si="548"/>
        <v>2</v>
      </c>
      <c r="IC478" s="4">
        <f t="shared" si="549"/>
        <v>5</v>
      </c>
      <c r="ID478" s="61">
        <v>1</v>
      </c>
      <c r="IE478" s="65">
        <f>PRODUCT(IA478:ID478)-10</f>
        <v>50</v>
      </c>
      <c r="IF478" s="4">
        <v>500</v>
      </c>
      <c r="IG478" s="62">
        <f>IF478/(IE478*HD478)</f>
        <v>0.66666666666666663</v>
      </c>
      <c r="IH478" s="62"/>
    </row>
    <row r="479" spans="1:244">
      <c r="A479">
        <v>450</v>
      </c>
      <c r="B479" t="s">
        <v>468</v>
      </c>
      <c r="C479" s="281" t="s">
        <v>1979</v>
      </c>
      <c r="D479" s="28" t="s">
        <v>1317</v>
      </c>
      <c r="E479" s="28" t="s">
        <v>1318</v>
      </c>
      <c r="F479" s="5" t="s">
        <v>2182</v>
      </c>
      <c r="G479" s="27" t="s">
        <v>90</v>
      </c>
      <c r="I479" s="27" t="s">
        <v>226</v>
      </c>
      <c r="J479" s="28">
        <v>21691</v>
      </c>
      <c r="K479" s="27" t="s">
        <v>404</v>
      </c>
      <c r="L479" s="240"/>
      <c r="M479" s="114"/>
      <c r="N479" s="115"/>
      <c r="O479" s="115"/>
      <c r="P479" s="115"/>
      <c r="Q479" s="13" t="s">
        <v>1782</v>
      </c>
      <c r="R479" s="13" t="s">
        <v>1836</v>
      </c>
      <c r="V479" s="319"/>
      <c r="W479" s="238" t="s">
        <v>1980</v>
      </c>
      <c r="X479" s="238"/>
      <c r="Y479" s="238"/>
      <c r="Z479" s="238"/>
      <c r="AA479" s="115" t="s">
        <v>508</v>
      </c>
      <c r="AB479" s="121">
        <v>157.63999999999999</v>
      </c>
      <c r="AC479" s="114">
        <v>20</v>
      </c>
      <c r="AD479" s="115" t="s">
        <v>935</v>
      </c>
      <c r="AE479" s="119">
        <f t="shared" si="513"/>
        <v>15.093439999999998</v>
      </c>
      <c r="AF479" s="119"/>
      <c r="AG479" s="119">
        <f t="shared" si="514"/>
        <v>2.923976608187135</v>
      </c>
      <c r="AH479" s="119">
        <f t="shared" si="515"/>
        <v>0</v>
      </c>
      <c r="AI479" s="119">
        <f t="shared" si="516"/>
        <v>0</v>
      </c>
      <c r="AJ479" s="119">
        <f t="shared" si="517"/>
        <v>5.8479532163742701E-2</v>
      </c>
      <c r="AK479" s="119">
        <f t="shared" si="518"/>
        <v>0.22521770760233917</v>
      </c>
      <c r="AL479" s="119">
        <f t="shared" si="519"/>
        <v>1.9819158269005848</v>
      </c>
      <c r="AM479" s="119">
        <f t="shared" si="520"/>
        <v>2.2688888888888887</v>
      </c>
      <c r="AN479" s="119">
        <f t="shared" si="521"/>
        <v>0.5</v>
      </c>
      <c r="AO479" s="119">
        <f t="shared" si="522"/>
        <v>0</v>
      </c>
      <c r="AP479" s="119"/>
      <c r="AQ479" s="119">
        <f t="shared" si="523"/>
        <v>23.051918563742692</v>
      </c>
      <c r="AR479" s="119">
        <f t="shared" si="524"/>
        <v>0</v>
      </c>
      <c r="AS479" s="119">
        <f t="shared" si="525"/>
        <v>0</v>
      </c>
      <c r="AT479" s="119">
        <v>0</v>
      </c>
      <c r="AU479" s="119">
        <f>23.14-23.05</f>
        <v>8.9999999999999858E-2</v>
      </c>
      <c r="AV479" s="119">
        <f t="shared" si="526"/>
        <v>23.141918563742692</v>
      </c>
      <c r="AW479" s="114">
        <v>9.6000000000000002E-2</v>
      </c>
      <c r="AX479" s="114">
        <v>9.4E-2</v>
      </c>
      <c r="AY479" s="120">
        <v>1</v>
      </c>
      <c r="AZ479" s="118">
        <f t="shared" si="527"/>
        <v>2.0000000000000018E-3</v>
      </c>
      <c r="BA479" s="118">
        <f t="shared" si="528"/>
        <v>15.093439999999998</v>
      </c>
      <c r="BB479" s="118"/>
      <c r="BC479" s="118"/>
      <c r="BD479" s="118"/>
      <c r="BE479" s="118"/>
      <c r="BF479" s="118"/>
      <c r="BG479" s="118"/>
      <c r="BH479" s="118"/>
      <c r="BI479" s="118"/>
      <c r="BJ479" s="118"/>
      <c r="BK479" s="118"/>
      <c r="BL479" s="118"/>
      <c r="BM479" s="118"/>
      <c r="BN479" s="118"/>
      <c r="BO479" s="118"/>
      <c r="BP479" s="118"/>
      <c r="BQ479" s="118"/>
      <c r="BR479" s="118"/>
      <c r="BS479" s="118"/>
      <c r="BT479" s="118"/>
      <c r="BU479" s="118"/>
      <c r="BV479" s="118"/>
      <c r="BW479" s="118"/>
      <c r="BX479" s="118"/>
      <c r="BY479" s="118"/>
      <c r="BZ479" s="118"/>
      <c r="CA479" s="118"/>
      <c r="CB479" s="118"/>
      <c r="CC479" s="118"/>
      <c r="CD479" s="114"/>
      <c r="CE479" s="118">
        <v>0</v>
      </c>
      <c r="CF479" s="118">
        <v>0</v>
      </c>
      <c r="CG479" s="118">
        <v>0</v>
      </c>
      <c r="CH479" s="114">
        <f t="shared" si="529"/>
        <v>0</v>
      </c>
      <c r="CI479" s="115"/>
      <c r="CJ479" s="114"/>
      <c r="CK479" s="114">
        <v>0</v>
      </c>
      <c r="CL479" s="114">
        <v>0</v>
      </c>
      <c r="CM479" s="114">
        <f>CK479*CL479</f>
        <v>0</v>
      </c>
      <c r="CN479" s="115"/>
      <c r="CO479" s="114"/>
      <c r="CP479" s="114">
        <v>0</v>
      </c>
      <c r="CQ479" s="114">
        <v>0</v>
      </c>
      <c r="CR479" s="114">
        <f>CP479*CQ479</f>
        <v>0</v>
      </c>
      <c r="CS479" s="114"/>
      <c r="CT479" s="114"/>
      <c r="CU479" s="114">
        <v>0</v>
      </c>
      <c r="CV479" s="114">
        <v>0</v>
      </c>
      <c r="CW479" s="114">
        <f>CU479*CV479</f>
        <v>0</v>
      </c>
      <c r="CX479" s="114"/>
      <c r="CY479" s="114"/>
      <c r="CZ479" s="114"/>
      <c r="DA479" s="114"/>
      <c r="DB479" s="114"/>
      <c r="DC479" s="114"/>
      <c r="DD479" s="114"/>
      <c r="DE479" s="114"/>
      <c r="DF479" s="114"/>
      <c r="DG479" s="114"/>
      <c r="DH479" s="114"/>
      <c r="DI479" s="114"/>
      <c r="DJ479" s="114"/>
      <c r="DK479" s="114"/>
      <c r="DL479" s="114"/>
      <c r="DM479" s="118">
        <f t="shared" si="530"/>
        <v>0</v>
      </c>
      <c r="DN479" s="125">
        <v>1.2500000000000001E-2</v>
      </c>
      <c r="DO479" s="118">
        <f t="shared" si="531"/>
        <v>0</v>
      </c>
      <c r="DP479" s="118">
        <f t="shared" si="532"/>
        <v>0</v>
      </c>
      <c r="DQ479" s="114"/>
      <c r="DR479" s="114"/>
      <c r="DS479" s="114"/>
      <c r="DT479" s="114"/>
      <c r="DU479" s="114"/>
      <c r="DV479" s="114"/>
      <c r="DW479" s="114"/>
      <c r="DX479" s="114"/>
      <c r="DY479" s="114"/>
      <c r="DZ479" s="114"/>
      <c r="EA479" s="114"/>
      <c r="EB479" s="114"/>
      <c r="EC479" s="114"/>
      <c r="ED479" s="114"/>
      <c r="EE479" s="114"/>
      <c r="EF479" s="105">
        <v>320</v>
      </c>
      <c r="EG479" s="105">
        <v>3200</v>
      </c>
      <c r="EH479" s="105">
        <v>8</v>
      </c>
      <c r="EI479" s="120">
        <v>0.95</v>
      </c>
      <c r="EJ479" s="105">
        <v>2</v>
      </c>
      <c r="EK479" s="105">
        <v>50</v>
      </c>
      <c r="EL479" s="111">
        <f t="shared" si="533"/>
        <v>1094.3999999999999</v>
      </c>
      <c r="EM479" s="114"/>
      <c r="EN479" s="114"/>
      <c r="EO479" s="114"/>
      <c r="EP479" s="114"/>
      <c r="EQ479" s="114"/>
      <c r="ER479" s="114"/>
      <c r="ES479" s="114"/>
      <c r="ET479" s="114"/>
      <c r="EU479" s="109">
        <f t="shared" si="534"/>
        <v>2.923976608187135</v>
      </c>
      <c r="EV479" s="114"/>
      <c r="EW479" s="114"/>
      <c r="EX479" s="114"/>
      <c r="EY479" s="114"/>
      <c r="EZ479" s="114"/>
      <c r="FA479" s="114"/>
      <c r="FB479" s="114"/>
      <c r="FC479" s="114"/>
      <c r="FD479" s="114"/>
      <c r="FE479" s="114"/>
      <c r="FF479" s="114"/>
      <c r="FG479" s="114"/>
      <c r="FH479" s="114"/>
      <c r="FI479" s="114"/>
      <c r="FJ479" s="114"/>
      <c r="FK479" s="114"/>
      <c r="FL479" s="114"/>
      <c r="FM479" s="114"/>
      <c r="FN479" s="114"/>
      <c r="FO479" s="114"/>
      <c r="FP479" s="114"/>
      <c r="FQ479" s="114"/>
      <c r="FR479" s="114"/>
      <c r="FS479" s="114"/>
      <c r="FT479" s="114"/>
      <c r="FU479" s="114"/>
      <c r="FV479" s="114"/>
      <c r="FW479" s="114"/>
      <c r="FX479" s="114"/>
      <c r="FY479" s="114"/>
      <c r="FZ479" s="114"/>
      <c r="GA479" s="114"/>
      <c r="GB479" s="114"/>
      <c r="GC479" s="114"/>
      <c r="GD479" s="114"/>
      <c r="GE479" s="114"/>
      <c r="GF479" s="114"/>
      <c r="GG479" s="114"/>
      <c r="GH479" s="114"/>
      <c r="GI479" s="114"/>
      <c r="GJ479" s="114"/>
      <c r="GK479" s="114"/>
      <c r="GL479" s="114"/>
      <c r="GM479" s="114"/>
      <c r="GN479" s="114"/>
      <c r="GO479" s="114"/>
      <c r="GP479" s="114"/>
      <c r="GQ479" s="114"/>
      <c r="GR479" s="120">
        <v>0.11</v>
      </c>
      <c r="GS479" s="118">
        <f t="shared" si="535"/>
        <v>1.9819158269005848</v>
      </c>
      <c r="GT479" s="125">
        <v>1.2500000000000001E-2</v>
      </c>
      <c r="GU479" s="118">
        <f t="shared" si="536"/>
        <v>0.22521770760233917</v>
      </c>
      <c r="GV479" s="120">
        <v>0.02</v>
      </c>
      <c r="GW479" s="118">
        <f t="shared" si="537"/>
        <v>5.8479532163742701E-2</v>
      </c>
      <c r="GX479" s="118">
        <f t="shared" si="538"/>
        <v>2.2656130666666665</v>
      </c>
      <c r="GY479" s="114" t="s">
        <v>130</v>
      </c>
      <c r="GZ479" s="114" t="s">
        <v>130</v>
      </c>
      <c r="HA479" s="118">
        <v>805</v>
      </c>
      <c r="HB479" s="118">
        <v>675</v>
      </c>
      <c r="HC479" s="105">
        <v>405</v>
      </c>
      <c r="HD479" s="105">
        <v>20</v>
      </c>
      <c r="HE479" s="105">
        <v>150</v>
      </c>
      <c r="HF479" s="118">
        <f t="shared" si="539"/>
        <v>8</v>
      </c>
      <c r="HG479" s="105">
        <v>5</v>
      </c>
      <c r="HH479" s="118">
        <f t="shared" si="540"/>
        <v>40</v>
      </c>
      <c r="HI479" s="105">
        <v>1100</v>
      </c>
      <c r="HJ479" s="118">
        <f t="shared" si="541"/>
        <v>44000</v>
      </c>
      <c r="HK479" s="114"/>
      <c r="HL479" s="114"/>
      <c r="HM479" s="118">
        <v>2</v>
      </c>
      <c r="HN479" s="126">
        <f t="shared" si="542"/>
        <v>90000</v>
      </c>
      <c r="HO479" s="109">
        <f t="shared" si="543"/>
        <v>0.48888888888888887</v>
      </c>
      <c r="HP479" s="118">
        <v>160</v>
      </c>
      <c r="HQ479" s="114">
        <v>0</v>
      </c>
      <c r="HR479" s="118">
        <v>1.78</v>
      </c>
      <c r="HS479" s="118">
        <v>1</v>
      </c>
      <c r="HT479" s="118">
        <f t="shared" si="544"/>
        <v>1.78</v>
      </c>
      <c r="HU479" s="118"/>
      <c r="HV479" s="118">
        <f t="shared" si="545"/>
        <v>2.2688888888888887</v>
      </c>
      <c r="HW479" s="118"/>
      <c r="HX479" s="118">
        <v>5016</v>
      </c>
      <c r="HY479" s="118">
        <v>1976</v>
      </c>
      <c r="HZ479" s="118">
        <v>2280</v>
      </c>
      <c r="IA479" s="118">
        <f t="shared" si="547"/>
        <v>6</v>
      </c>
      <c r="IB479" s="118">
        <f t="shared" si="548"/>
        <v>2</v>
      </c>
      <c r="IC479" s="118">
        <f t="shared" si="549"/>
        <v>5</v>
      </c>
      <c r="ID479" s="108">
        <v>1</v>
      </c>
      <c r="IE479" s="111">
        <f>PRODUCT(IA479:ID479)-10</f>
        <v>50</v>
      </c>
      <c r="IF479" s="118">
        <v>500</v>
      </c>
      <c r="IG479" s="109">
        <f>IF479/(IE479*HD479)</f>
        <v>0.5</v>
      </c>
      <c r="IH479" s="62"/>
    </row>
    <row r="480" spans="1:244">
      <c r="A480">
        <v>452</v>
      </c>
      <c r="B480" t="s">
        <v>468</v>
      </c>
      <c r="C480" s="334" t="s">
        <v>1981</v>
      </c>
      <c r="D480" s="28" t="s">
        <v>1319</v>
      </c>
      <c r="E480" s="28" t="s">
        <v>180</v>
      </c>
      <c r="F480" s="5" t="s">
        <v>2182</v>
      </c>
      <c r="G480" s="27" t="s">
        <v>90</v>
      </c>
      <c r="I480" s="27" t="s">
        <v>226</v>
      </c>
      <c r="J480" s="28">
        <v>21590</v>
      </c>
      <c r="K480" s="27" t="s">
        <v>397</v>
      </c>
      <c r="L480" s="379"/>
      <c r="Q480" s="13" t="s">
        <v>1890</v>
      </c>
      <c r="R480" s="13" t="s">
        <v>1836</v>
      </c>
      <c r="AA480" s="13" t="s">
        <v>1950</v>
      </c>
      <c r="AB480" s="66">
        <v>166.13</v>
      </c>
      <c r="AC480">
        <v>20</v>
      </c>
      <c r="AD480" s="13" t="s">
        <v>1982</v>
      </c>
      <c r="AE480" s="7">
        <f t="shared" si="513"/>
        <v>193.13531999999998</v>
      </c>
      <c r="AF480" s="7"/>
      <c r="AG480" s="7">
        <f t="shared" si="514"/>
        <v>20.380000000000003</v>
      </c>
      <c r="AH480" s="7">
        <f t="shared" si="515"/>
        <v>0</v>
      </c>
      <c r="AI480" s="7">
        <f t="shared" si="516"/>
        <v>0</v>
      </c>
      <c r="AJ480" s="7">
        <f t="shared" si="517"/>
        <v>0.41000000000000003</v>
      </c>
      <c r="AK480" s="7">
        <f t="shared" si="518"/>
        <v>2.67</v>
      </c>
      <c r="AL480" s="7">
        <f t="shared" si="519"/>
        <v>23.490000000000002</v>
      </c>
      <c r="AM480" s="7">
        <f t="shared" si="520"/>
        <v>5.42</v>
      </c>
      <c r="AN480" s="7">
        <f t="shared" si="521"/>
        <v>6.27</v>
      </c>
      <c r="AO480" s="7">
        <f t="shared" si="522"/>
        <v>0</v>
      </c>
      <c r="AP480" s="7"/>
      <c r="AQ480" s="7">
        <f t="shared" si="523"/>
        <v>251.77531999999997</v>
      </c>
      <c r="AR480" s="7">
        <f t="shared" si="524"/>
        <v>0</v>
      </c>
      <c r="AS480" s="7">
        <f t="shared" si="525"/>
        <v>0</v>
      </c>
      <c r="AT480" s="7">
        <v>0</v>
      </c>
      <c r="AU480" s="7">
        <v>0</v>
      </c>
      <c r="AV480" s="7">
        <f t="shared" si="526"/>
        <v>251.77531999999997</v>
      </c>
      <c r="AW480">
        <v>1.1639999999999999</v>
      </c>
      <c r="AX480">
        <v>1.1519999999999999</v>
      </c>
      <c r="AY480" s="8">
        <v>1</v>
      </c>
      <c r="AZ480" s="4">
        <f t="shared" si="527"/>
        <v>1.2000000000000011E-2</v>
      </c>
      <c r="BA480" s="4">
        <f t="shared" si="528"/>
        <v>193.13531999999998</v>
      </c>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E480" s="4">
        <v>0</v>
      </c>
      <c r="CF480" s="4">
        <v>0</v>
      </c>
      <c r="CG480" s="4">
        <v>0</v>
      </c>
      <c r="CH480">
        <f t="shared" si="529"/>
        <v>0</v>
      </c>
      <c r="CI480" s="13"/>
      <c r="CK480">
        <v>0</v>
      </c>
      <c r="CL480">
        <v>0</v>
      </c>
      <c r="CM480">
        <f>CK480*CL480</f>
        <v>0</v>
      </c>
      <c r="CN480" s="13"/>
      <c r="CP480">
        <v>0</v>
      </c>
      <c r="CQ480">
        <v>0</v>
      </c>
      <c r="CR480">
        <f>CP480*CQ480</f>
        <v>0</v>
      </c>
      <c r="CU480">
        <v>0</v>
      </c>
      <c r="CV480">
        <v>0</v>
      </c>
      <c r="CW480">
        <f>CU480*CV480</f>
        <v>0</v>
      </c>
      <c r="DM480" s="4">
        <f t="shared" si="530"/>
        <v>0</v>
      </c>
      <c r="DN480" s="9">
        <v>1.2500000000000001E-2</v>
      </c>
      <c r="DO480" s="4">
        <f t="shared" ref="DO480:DO487" si="551">ROUNDUP((DM480*DN480),2)</f>
        <v>0</v>
      </c>
      <c r="DP480" s="4">
        <f t="shared" si="532"/>
        <v>0</v>
      </c>
      <c r="EF480" s="59">
        <v>660</v>
      </c>
      <c r="EG480" s="59">
        <v>6600</v>
      </c>
      <c r="EH480" s="59">
        <v>7.5</v>
      </c>
      <c r="EI480" s="8">
        <v>0.9</v>
      </c>
      <c r="EJ480" s="59">
        <v>1</v>
      </c>
      <c r="EK480" s="59">
        <v>75</v>
      </c>
      <c r="EL480" s="65">
        <f t="shared" si="533"/>
        <v>324</v>
      </c>
      <c r="EU480" s="62">
        <f t="shared" ref="EU480:EU487" si="552">ROUNDUP((EG480/EL480+EM480+EX480+EP480+EQ480+ER480+EO480),2)</f>
        <v>20.380000000000003</v>
      </c>
      <c r="GR480" s="8">
        <v>0.11</v>
      </c>
      <c r="GS480" s="62">
        <f t="shared" ref="GS480:GS487" si="553">ROUNDUP(GR480*(BA480+EU480),2)</f>
        <v>23.490000000000002</v>
      </c>
      <c r="GT480" s="9">
        <v>1.2500000000000001E-2</v>
      </c>
      <c r="GU480" s="62">
        <f t="shared" ref="GU480:GU487" si="554">ROUNDUP(GT480*(EU480+BA480),2)</f>
        <v>2.67</v>
      </c>
      <c r="GV480" s="8">
        <v>0.02</v>
      </c>
      <c r="GW480" s="62">
        <f t="shared" ref="GW480:GW487" si="555">ROUNDUP(GV480*(EU480-EP480-EQ480),2)</f>
        <v>0.41000000000000003</v>
      </c>
      <c r="GX480" s="4">
        <f t="shared" si="538"/>
        <v>26.570000000000004</v>
      </c>
      <c r="GY480" t="s">
        <v>130</v>
      </c>
      <c r="GZ480" t="s">
        <v>130</v>
      </c>
      <c r="HA480" s="4">
        <v>1000</v>
      </c>
      <c r="HB480" s="4">
        <v>1300</v>
      </c>
      <c r="HC480" s="59">
        <v>1900</v>
      </c>
      <c r="HD480" s="59">
        <v>21</v>
      </c>
      <c r="HE480" s="59">
        <v>300</v>
      </c>
      <c r="HF480" s="4">
        <f t="shared" si="539"/>
        <v>15</v>
      </c>
      <c r="HG480" s="59">
        <v>5</v>
      </c>
      <c r="HH480" s="4">
        <f t="shared" si="540"/>
        <v>75</v>
      </c>
      <c r="HI480" s="59">
        <v>19500</v>
      </c>
      <c r="HJ480" s="4">
        <f t="shared" si="541"/>
        <v>1462500</v>
      </c>
      <c r="HM480" s="4">
        <v>3</v>
      </c>
      <c r="HN480" s="10">
        <f t="shared" si="542"/>
        <v>270000</v>
      </c>
      <c r="HO480" s="4">
        <f t="shared" ref="HO480:HO487" si="556">ROUNDUP((IF(GY480="carton box",HI480/HD480,HJ480/HN480)),2)</f>
        <v>5.42</v>
      </c>
      <c r="HP480" s="4">
        <v>160</v>
      </c>
      <c r="HQ480">
        <v>0</v>
      </c>
      <c r="HR480" s="4">
        <v>0</v>
      </c>
      <c r="HS480" s="4">
        <v>0</v>
      </c>
      <c r="HT480" s="4">
        <f t="shared" si="544"/>
        <v>0</v>
      </c>
      <c r="HU480" s="4"/>
      <c r="HV480" s="4">
        <f t="shared" si="545"/>
        <v>5.42</v>
      </c>
      <c r="HW480" s="4"/>
      <c r="HX480" s="4">
        <v>4200</v>
      </c>
      <c r="HY480" s="4">
        <v>1900</v>
      </c>
      <c r="HZ480" s="4">
        <v>1975</v>
      </c>
      <c r="IA480" s="4">
        <f t="shared" si="547"/>
        <v>4</v>
      </c>
      <c r="IB480" s="4">
        <f t="shared" si="548"/>
        <v>1</v>
      </c>
      <c r="IC480" s="4">
        <f t="shared" si="549"/>
        <v>1</v>
      </c>
      <c r="ID480" s="61">
        <v>0.95</v>
      </c>
      <c r="IE480" s="65">
        <f t="shared" ref="IE480:IE487" si="557">PRODUCT(IA480:ID480)</f>
        <v>3.8</v>
      </c>
      <c r="IF480" s="4">
        <v>500</v>
      </c>
      <c r="IG480" s="4">
        <f t="shared" ref="IG480:IG487" si="558">ROUNDUP(IF480/(IE480*HD480),2)</f>
        <v>6.27</v>
      </c>
      <c r="IH480" s="4"/>
    </row>
    <row r="481" spans="1:242">
      <c r="A481">
        <v>454</v>
      </c>
      <c r="B481" t="s">
        <v>468</v>
      </c>
      <c r="C481" s="278" t="s">
        <v>1983</v>
      </c>
      <c r="D481" s="28" t="s">
        <v>1320</v>
      </c>
      <c r="E481" s="28" t="s">
        <v>164</v>
      </c>
      <c r="F481" s="5" t="s">
        <v>2182</v>
      </c>
      <c r="G481" s="27" t="s">
        <v>90</v>
      </c>
      <c r="I481" s="27" t="s">
        <v>226</v>
      </c>
      <c r="J481" s="28">
        <v>21590</v>
      </c>
      <c r="K481" s="27" t="s">
        <v>397</v>
      </c>
      <c r="L481" s="240"/>
      <c r="M481" s="114"/>
      <c r="N481" s="115"/>
      <c r="O481" s="115"/>
      <c r="P481" s="115"/>
      <c r="Q481" s="13" t="s">
        <v>1890</v>
      </c>
      <c r="R481" s="13" t="s">
        <v>1836</v>
      </c>
      <c r="V481" s="319"/>
      <c r="W481" s="115"/>
      <c r="X481" s="115"/>
      <c r="Y481" s="115"/>
      <c r="Z481" s="115"/>
      <c r="AA481" s="115" t="s">
        <v>1950</v>
      </c>
      <c r="AB481" s="121">
        <v>166.13</v>
      </c>
      <c r="AC481" s="114">
        <v>20</v>
      </c>
      <c r="AD481" s="115" t="s">
        <v>1982</v>
      </c>
      <c r="AE481" s="119">
        <f t="shared" si="513"/>
        <v>39.751200000000004</v>
      </c>
      <c r="AF481" s="119"/>
      <c r="AG481" s="119">
        <f t="shared" si="514"/>
        <v>7.93</v>
      </c>
      <c r="AH481" s="119">
        <f t="shared" si="515"/>
        <v>0</v>
      </c>
      <c r="AI481" s="119">
        <f t="shared" si="516"/>
        <v>0</v>
      </c>
      <c r="AJ481" s="119">
        <f t="shared" si="517"/>
        <v>0.16</v>
      </c>
      <c r="AK481" s="119">
        <f t="shared" si="518"/>
        <v>0.6</v>
      </c>
      <c r="AL481" s="119">
        <f t="shared" si="519"/>
        <v>5.25</v>
      </c>
      <c r="AM481" s="119">
        <f t="shared" si="520"/>
        <v>0.73</v>
      </c>
      <c r="AN481" s="119">
        <f t="shared" si="521"/>
        <v>0.79</v>
      </c>
      <c r="AO481" s="119">
        <f t="shared" si="522"/>
        <v>0</v>
      </c>
      <c r="AP481" s="119"/>
      <c r="AQ481" s="119">
        <f t="shared" si="523"/>
        <v>55.211199999999998</v>
      </c>
      <c r="AR481" s="119">
        <f t="shared" si="524"/>
        <v>0</v>
      </c>
      <c r="AS481" s="119">
        <f t="shared" si="525"/>
        <v>0</v>
      </c>
      <c r="AT481" s="119">
        <v>0</v>
      </c>
      <c r="AU481" s="119">
        <v>0</v>
      </c>
      <c r="AV481" s="119">
        <f t="shared" si="526"/>
        <v>55.211199999999998</v>
      </c>
      <c r="AW481" s="124">
        <v>0.24000000000000002</v>
      </c>
      <c r="AX481" s="114">
        <v>0.23400000000000001</v>
      </c>
      <c r="AY481" s="120">
        <v>1</v>
      </c>
      <c r="AZ481" s="118">
        <f t="shared" si="527"/>
        <v>6.0000000000000053E-3</v>
      </c>
      <c r="BA481" s="118">
        <f t="shared" si="528"/>
        <v>39.751200000000004</v>
      </c>
      <c r="BB481" s="118"/>
      <c r="BC481" s="118"/>
      <c r="BD481" s="118"/>
      <c r="BE481" s="118"/>
      <c r="BF481" s="118"/>
      <c r="BG481" s="118"/>
      <c r="BH481" s="118"/>
      <c r="BI481" s="118"/>
      <c r="BJ481" s="118"/>
      <c r="BK481" s="118"/>
      <c r="BL481" s="118"/>
      <c r="BM481" s="118"/>
      <c r="BN481" s="118"/>
      <c r="BO481" s="118"/>
      <c r="BP481" s="118"/>
      <c r="BQ481" s="118"/>
      <c r="BR481" s="118"/>
      <c r="BS481" s="118"/>
      <c r="BT481" s="118"/>
      <c r="BU481" s="118"/>
      <c r="BV481" s="118"/>
      <c r="BW481" s="118"/>
      <c r="BX481" s="118"/>
      <c r="BY481" s="118"/>
      <c r="BZ481" s="118"/>
      <c r="CA481" s="118"/>
      <c r="CB481" s="118"/>
      <c r="CC481" s="118"/>
      <c r="CD481" s="114"/>
      <c r="CE481" s="118">
        <v>0</v>
      </c>
      <c r="CF481" s="118">
        <v>0</v>
      </c>
      <c r="CG481" s="118">
        <v>0</v>
      </c>
      <c r="CH481" s="114">
        <f t="shared" si="529"/>
        <v>0</v>
      </c>
      <c r="CI481" s="115"/>
      <c r="CJ481" s="114"/>
      <c r="CK481" s="114">
        <v>0</v>
      </c>
      <c r="CL481" s="114">
        <v>0</v>
      </c>
      <c r="CM481" s="114">
        <f>CK481*CL481</f>
        <v>0</v>
      </c>
      <c r="CN481" s="115"/>
      <c r="CO481" s="114"/>
      <c r="CP481" s="114">
        <v>0</v>
      </c>
      <c r="CQ481" s="114">
        <v>0</v>
      </c>
      <c r="CR481" s="114">
        <f>CP481*CQ481</f>
        <v>0</v>
      </c>
      <c r="CS481" s="114"/>
      <c r="CT481" s="114"/>
      <c r="CU481" s="114">
        <v>0</v>
      </c>
      <c r="CV481" s="114">
        <v>0</v>
      </c>
      <c r="CW481" s="114">
        <f>CU481*CV481</f>
        <v>0</v>
      </c>
      <c r="CX481" s="114"/>
      <c r="CY481" s="114"/>
      <c r="CZ481" s="114"/>
      <c r="DA481" s="114"/>
      <c r="DB481" s="114"/>
      <c r="DC481" s="114"/>
      <c r="DD481" s="114"/>
      <c r="DE481" s="114"/>
      <c r="DF481" s="114"/>
      <c r="DG481" s="114"/>
      <c r="DH481" s="114"/>
      <c r="DI481" s="114"/>
      <c r="DJ481" s="114"/>
      <c r="DK481" s="114"/>
      <c r="DL481" s="114"/>
      <c r="DM481" s="118">
        <f t="shared" si="530"/>
        <v>0</v>
      </c>
      <c r="DN481" s="125">
        <v>1.2500000000000001E-2</v>
      </c>
      <c r="DO481" s="118">
        <f t="shared" si="551"/>
        <v>0</v>
      </c>
      <c r="DP481" s="118">
        <f t="shared" si="532"/>
        <v>0</v>
      </c>
      <c r="DQ481" s="114"/>
      <c r="DR481" s="114"/>
      <c r="DS481" s="114"/>
      <c r="DT481" s="114"/>
      <c r="DU481" s="114"/>
      <c r="DV481" s="114"/>
      <c r="DW481" s="114"/>
      <c r="DX481" s="114"/>
      <c r="DY481" s="114"/>
      <c r="DZ481" s="114"/>
      <c r="EA481" s="114"/>
      <c r="EB481" s="114"/>
      <c r="EC481" s="114"/>
      <c r="ED481" s="114"/>
      <c r="EE481" s="114"/>
      <c r="EF481" s="105">
        <v>550</v>
      </c>
      <c r="EG481" s="105">
        <v>5500</v>
      </c>
      <c r="EH481" s="105">
        <v>7.5</v>
      </c>
      <c r="EI481" s="120">
        <v>0.9</v>
      </c>
      <c r="EJ481" s="105">
        <v>2</v>
      </c>
      <c r="EK481" s="105">
        <v>70</v>
      </c>
      <c r="EL481" s="111">
        <f t="shared" si="533"/>
        <v>694.28571428571433</v>
      </c>
      <c r="EM481" s="114"/>
      <c r="EN481" s="114"/>
      <c r="EO481" s="114"/>
      <c r="EP481" s="114"/>
      <c r="EQ481" s="114"/>
      <c r="ER481" s="114"/>
      <c r="ES481" s="114"/>
      <c r="ET481" s="114"/>
      <c r="EU481" s="109">
        <f t="shared" si="552"/>
        <v>7.93</v>
      </c>
      <c r="EV481" s="114"/>
      <c r="EW481" s="114"/>
      <c r="EX481" s="114"/>
      <c r="EY481" s="114"/>
      <c r="EZ481" s="114"/>
      <c r="FA481" s="114"/>
      <c r="FB481" s="114"/>
      <c r="FC481" s="114"/>
      <c r="FD481" s="114"/>
      <c r="FE481" s="114"/>
      <c r="FF481" s="114"/>
      <c r="FG481" s="114"/>
      <c r="FH481" s="114"/>
      <c r="FI481" s="114"/>
      <c r="FJ481" s="114"/>
      <c r="FK481" s="114"/>
      <c r="FL481" s="114"/>
      <c r="FM481" s="114"/>
      <c r="FN481" s="114"/>
      <c r="FO481" s="114"/>
      <c r="FP481" s="114"/>
      <c r="FQ481" s="114"/>
      <c r="FR481" s="114"/>
      <c r="FS481" s="114"/>
      <c r="FT481" s="114"/>
      <c r="FU481" s="114"/>
      <c r="FV481" s="114"/>
      <c r="FW481" s="114"/>
      <c r="FX481" s="114"/>
      <c r="FY481" s="114"/>
      <c r="FZ481" s="114"/>
      <c r="GA481" s="114"/>
      <c r="GB481" s="114"/>
      <c r="GC481" s="114"/>
      <c r="GD481" s="114"/>
      <c r="GE481" s="114"/>
      <c r="GF481" s="114"/>
      <c r="GG481" s="114"/>
      <c r="GH481" s="114"/>
      <c r="GI481" s="114"/>
      <c r="GJ481" s="114"/>
      <c r="GK481" s="114"/>
      <c r="GL481" s="114"/>
      <c r="GM481" s="114"/>
      <c r="GN481" s="114"/>
      <c r="GO481" s="114"/>
      <c r="GP481" s="114"/>
      <c r="GQ481" s="114"/>
      <c r="GR481" s="120">
        <v>0.11</v>
      </c>
      <c r="GS481" s="118">
        <f t="shared" si="553"/>
        <v>5.25</v>
      </c>
      <c r="GT481" s="125">
        <v>1.2500000000000001E-2</v>
      </c>
      <c r="GU481" s="118">
        <f t="shared" si="554"/>
        <v>0.6</v>
      </c>
      <c r="GV481" s="120">
        <v>0.02</v>
      </c>
      <c r="GW481" s="118">
        <f t="shared" si="555"/>
        <v>0.16</v>
      </c>
      <c r="GX481" s="118">
        <f t="shared" si="538"/>
        <v>6.01</v>
      </c>
      <c r="GY481" s="114" t="s">
        <v>130</v>
      </c>
      <c r="GZ481" s="114" t="s">
        <v>130</v>
      </c>
      <c r="HA481" s="118">
        <v>1000</v>
      </c>
      <c r="HB481" s="118">
        <v>1300</v>
      </c>
      <c r="HC481" s="105">
        <v>1900</v>
      </c>
      <c r="HD481" s="105">
        <v>168</v>
      </c>
      <c r="HE481" s="105">
        <v>300</v>
      </c>
      <c r="HF481" s="118">
        <f t="shared" si="539"/>
        <v>2</v>
      </c>
      <c r="HG481" s="105">
        <v>5</v>
      </c>
      <c r="HH481" s="118">
        <f t="shared" si="540"/>
        <v>10</v>
      </c>
      <c r="HI481" s="105">
        <v>19500</v>
      </c>
      <c r="HJ481" s="118">
        <f t="shared" si="541"/>
        <v>195000</v>
      </c>
      <c r="HK481" s="114"/>
      <c r="HL481" s="114"/>
      <c r="HM481" s="118">
        <v>3</v>
      </c>
      <c r="HN481" s="126">
        <f t="shared" si="542"/>
        <v>270000</v>
      </c>
      <c r="HO481" s="109">
        <f t="shared" si="556"/>
        <v>0.73</v>
      </c>
      <c r="HP481" s="118">
        <v>160</v>
      </c>
      <c r="HQ481" s="114">
        <v>0</v>
      </c>
      <c r="HR481" s="118">
        <v>0</v>
      </c>
      <c r="HS481" s="118">
        <v>0</v>
      </c>
      <c r="HT481" s="118">
        <f t="shared" si="544"/>
        <v>0</v>
      </c>
      <c r="HU481" s="118"/>
      <c r="HV481" s="118">
        <f t="shared" si="545"/>
        <v>0.73</v>
      </c>
      <c r="HW481" s="118"/>
      <c r="HX481" s="118">
        <v>4200</v>
      </c>
      <c r="HY481" s="118">
        <v>1900</v>
      </c>
      <c r="HZ481" s="118">
        <v>1975</v>
      </c>
      <c r="IA481" s="118">
        <f t="shared" si="547"/>
        <v>4</v>
      </c>
      <c r="IB481" s="118">
        <f t="shared" si="548"/>
        <v>1</v>
      </c>
      <c r="IC481" s="118">
        <f t="shared" si="549"/>
        <v>1</v>
      </c>
      <c r="ID481" s="108">
        <v>0.95</v>
      </c>
      <c r="IE481" s="111">
        <f t="shared" si="557"/>
        <v>3.8</v>
      </c>
      <c r="IF481" s="118">
        <v>500</v>
      </c>
      <c r="IG481" s="109">
        <f t="shared" si="558"/>
        <v>0.79</v>
      </c>
      <c r="IH481" s="62"/>
    </row>
    <row r="482" spans="1:242">
      <c r="A482">
        <v>456</v>
      </c>
      <c r="B482" t="s">
        <v>468</v>
      </c>
      <c r="C482" s="334" t="s">
        <v>1984</v>
      </c>
      <c r="D482" s="28" t="s">
        <v>1321</v>
      </c>
      <c r="E482" s="28" t="s">
        <v>1322</v>
      </c>
      <c r="F482" s="5" t="s">
        <v>2182</v>
      </c>
      <c r="G482" s="27" t="s">
        <v>90</v>
      </c>
      <c r="I482" s="27" t="s">
        <v>226</v>
      </c>
      <c r="J482" s="28">
        <v>21590</v>
      </c>
      <c r="K482" s="27" t="s">
        <v>397</v>
      </c>
      <c r="L482" s="379"/>
      <c r="Q482" s="13" t="s">
        <v>1890</v>
      </c>
      <c r="R482" s="13" t="s">
        <v>1836</v>
      </c>
      <c r="AA482" s="13" t="s">
        <v>1950</v>
      </c>
      <c r="AB482" s="66">
        <v>166.13</v>
      </c>
      <c r="AC482">
        <v>20</v>
      </c>
      <c r="AD482" s="13" t="s">
        <v>1982</v>
      </c>
      <c r="AE482" s="7">
        <f t="shared" si="513"/>
        <v>36.096340000000005</v>
      </c>
      <c r="AF482" s="7"/>
      <c r="AG482" s="7">
        <f t="shared" si="514"/>
        <v>7.93</v>
      </c>
      <c r="AH482" s="7">
        <f t="shared" si="515"/>
        <v>0</v>
      </c>
      <c r="AI482" s="7">
        <f t="shared" si="516"/>
        <v>0</v>
      </c>
      <c r="AJ482" s="7">
        <f t="shared" si="517"/>
        <v>0.16</v>
      </c>
      <c r="AK482" s="7">
        <f t="shared" si="518"/>
        <v>0.56000000000000005</v>
      </c>
      <c r="AL482" s="7">
        <f t="shared" si="519"/>
        <v>4.8499999999999996</v>
      </c>
      <c r="AM482" s="7">
        <f t="shared" si="520"/>
        <v>0.73</v>
      </c>
      <c r="AN482" s="7">
        <f t="shared" si="521"/>
        <v>0.79</v>
      </c>
      <c r="AO482" s="7">
        <f t="shared" si="522"/>
        <v>0</v>
      </c>
      <c r="AP482" s="7"/>
      <c r="AQ482" s="7">
        <f t="shared" si="523"/>
        <v>51.116340000000001</v>
      </c>
      <c r="AR482" s="7">
        <f t="shared" si="524"/>
        <v>0</v>
      </c>
      <c r="AS482" s="7">
        <f t="shared" si="525"/>
        <v>0</v>
      </c>
      <c r="AT482" s="7">
        <v>0</v>
      </c>
      <c r="AU482" s="7">
        <v>0</v>
      </c>
      <c r="AV482" s="7">
        <f t="shared" si="526"/>
        <v>51.116340000000001</v>
      </c>
      <c r="AW482">
        <v>0.218</v>
      </c>
      <c r="AX482">
        <v>0.21199999999999999</v>
      </c>
      <c r="AY482" s="8">
        <v>1</v>
      </c>
      <c r="AZ482" s="4">
        <f t="shared" si="527"/>
        <v>6.0000000000000053E-3</v>
      </c>
      <c r="BA482" s="4">
        <f t="shared" si="528"/>
        <v>36.096340000000005</v>
      </c>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E482" s="4">
        <v>0</v>
      </c>
      <c r="CF482" s="4">
        <v>0</v>
      </c>
      <c r="CG482" s="4">
        <v>0</v>
      </c>
      <c r="CH482">
        <f t="shared" si="529"/>
        <v>0</v>
      </c>
      <c r="CI482" s="13"/>
      <c r="CK482">
        <v>0</v>
      </c>
      <c r="CL482">
        <v>0</v>
      </c>
      <c r="CM482">
        <f>CK482*CL482</f>
        <v>0</v>
      </c>
      <c r="CN482" s="13"/>
      <c r="CP482">
        <v>0</v>
      </c>
      <c r="CQ482">
        <v>0</v>
      </c>
      <c r="CR482">
        <f>CP482*CQ482</f>
        <v>0</v>
      </c>
      <c r="CU482">
        <v>0</v>
      </c>
      <c r="CV482">
        <v>0</v>
      </c>
      <c r="CW482">
        <f>CU482*CV482</f>
        <v>0</v>
      </c>
      <c r="DM482" s="4">
        <f t="shared" si="530"/>
        <v>0</v>
      </c>
      <c r="DN482" s="9">
        <v>1.2500000000000001E-2</v>
      </c>
      <c r="DO482" s="4">
        <f t="shared" si="551"/>
        <v>0</v>
      </c>
      <c r="DP482" s="4">
        <f t="shared" si="532"/>
        <v>0</v>
      </c>
      <c r="EF482" s="59">
        <v>550</v>
      </c>
      <c r="EG482" s="59">
        <v>5500</v>
      </c>
      <c r="EH482" s="59">
        <v>7.5</v>
      </c>
      <c r="EI482" s="8">
        <v>0.9</v>
      </c>
      <c r="EJ482" s="59">
        <v>2</v>
      </c>
      <c r="EK482" s="59">
        <v>70</v>
      </c>
      <c r="EL482" s="65">
        <f t="shared" si="533"/>
        <v>694.28571428571433</v>
      </c>
      <c r="EU482" s="62">
        <f t="shared" si="552"/>
        <v>7.93</v>
      </c>
      <c r="GR482" s="8">
        <v>0.11</v>
      </c>
      <c r="GS482" s="4">
        <f t="shared" si="553"/>
        <v>4.8499999999999996</v>
      </c>
      <c r="GT482" s="9">
        <v>1.2500000000000001E-2</v>
      </c>
      <c r="GU482" s="4">
        <f t="shared" si="554"/>
        <v>0.56000000000000005</v>
      </c>
      <c r="GV482" s="8">
        <v>0.02</v>
      </c>
      <c r="GW482" s="4">
        <f t="shared" si="555"/>
        <v>0.16</v>
      </c>
      <c r="GX482" s="4">
        <f t="shared" si="538"/>
        <v>5.57</v>
      </c>
      <c r="GY482" t="s">
        <v>130</v>
      </c>
      <c r="GZ482" t="s">
        <v>130</v>
      </c>
      <c r="HA482" s="4">
        <v>1000</v>
      </c>
      <c r="HB482" s="4">
        <v>1300</v>
      </c>
      <c r="HC482" s="59">
        <v>1900</v>
      </c>
      <c r="HD482" s="59">
        <v>168</v>
      </c>
      <c r="HE482" s="59">
        <v>300</v>
      </c>
      <c r="HF482" s="4">
        <f t="shared" si="539"/>
        <v>2</v>
      </c>
      <c r="HG482" s="59">
        <v>5</v>
      </c>
      <c r="HH482" s="4">
        <f t="shared" si="540"/>
        <v>10</v>
      </c>
      <c r="HI482" s="59">
        <v>19500</v>
      </c>
      <c r="HJ482" s="4">
        <f t="shared" si="541"/>
        <v>195000</v>
      </c>
      <c r="HM482" s="4">
        <v>3</v>
      </c>
      <c r="HN482" s="10">
        <f t="shared" si="542"/>
        <v>270000</v>
      </c>
      <c r="HO482" s="62">
        <f t="shared" si="556"/>
        <v>0.73</v>
      </c>
      <c r="HP482" s="4">
        <v>160</v>
      </c>
      <c r="HQ482">
        <v>0</v>
      </c>
      <c r="HR482" s="4">
        <v>0</v>
      </c>
      <c r="HS482" s="4">
        <v>0</v>
      </c>
      <c r="HT482" s="4">
        <f t="shared" si="544"/>
        <v>0</v>
      </c>
      <c r="HU482" s="4"/>
      <c r="HV482" s="4">
        <f t="shared" si="545"/>
        <v>0.73</v>
      </c>
      <c r="HW482" s="4"/>
      <c r="HX482" s="4">
        <v>4200</v>
      </c>
      <c r="HY482" s="4">
        <v>1900</v>
      </c>
      <c r="HZ482" s="4">
        <v>1975</v>
      </c>
      <c r="IA482" s="4">
        <f t="shared" si="547"/>
        <v>4</v>
      </c>
      <c r="IB482" s="4">
        <f t="shared" si="548"/>
        <v>1</v>
      </c>
      <c r="IC482" s="4">
        <f t="shared" si="549"/>
        <v>1</v>
      </c>
      <c r="ID482" s="61">
        <v>0.95</v>
      </c>
      <c r="IE482" s="65">
        <f t="shared" si="557"/>
        <v>3.8</v>
      </c>
      <c r="IF482" s="4">
        <v>500</v>
      </c>
      <c r="IG482" s="62">
        <f t="shared" si="558"/>
        <v>0.79</v>
      </c>
      <c r="IH482" s="62"/>
    </row>
    <row r="483" spans="1:242">
      <c r="A483">
        <v>458</v>
      </c>
      <c r="B483" t="s">
        <v>468</v>
      </c>
      <c r="C483" s="281" t="s">
        <v>1985</v>
      </c>
      <c r="D483" s="28" t="s">
        <v>1323</v>
      </c>
      <c r="E483" s="28" t="s">
        <v>1324</v>
      </c>
      <c r="F483" s="5" t="s">
        <v>2182</v>
      </c>
      <c r="G483" s="27" t="s">
        <v>90</v>
      </c>
      <c r="I483" s="27" t="s">
        <v>226</v>
      </c>
      <c r="J483" s="28">
        <v>21590</v>
      </c>
      <c r="K483" s="27" t="s">
        <v>397</v>
      </c>
      <c r="L483" s="240"/>
      <c r="M483" s="114"/>
      <c r="N483" s="115"/>
      <c r="O483" s="115"/>
      <c r="P483" s="115"/>
      <c r="Q483" s="13" t="s">
        <v>1890</v>
      </c>
      <c r="R483" s="13" t="s">
        <v>1836</v>
      </c>
      <c r="V483" s="319"/>
      <c r="W483" s="115" t="s">
        <v>1987</v>
      </c>
      <c r="X483" s="115"/>
      <c r="Y483" s="115"/>
      <c r="Z483" s="115"/>
      <c r="AA483" s="115" t="s">
        <v>469</v>
      </c>
      <c r="AB483" s="201">
        <v>105.9</v>
      </c>
      <c r="AC483" s="114">
        <v>20</v>
      </c>
      <c r="AD483" s="115" t="s">
        <v>1982</v>
      </c>
      <c r="AE483" s="119">
        <f t="shared" si="513"/>
        <v>89.591400000000007</v>
      </c>
      <c r="AF483" s="119"/>
      <c r="AG483" s="119">
        <f t="shared" si="514"/>
        <v>10.19</v>
      </c>
      <c r="AH483" s="119">
        <f t="shared" si="515"/>
        <v>5.7</v>
      </c>
      <c r="AI483" s="119">
        <f t="shared" si="516"/>
        <v>0.08</v>
      </c>
      <c r="AJ483" s="119">
        <f t="shared" si="517"/>
        <v>0.21000000000000002</v>
      </c>
      <c r="AK483" s="119">
        <f t="shared" si="518"/>
        <v>1.25</v>
      </c>
      <c r="AL483" s="119">
        <f t="shared" si="519"/>
        <v>10.98</v>
      </c>
      <c r="AM483" s="119">
        <f t="shared" si="520"/>
        <v>3.6199999999999997</v>
      </c>
      <c r="AN483" s="119">
        <f t="shared" si="521"/>
        <v>3.2899999999999996</v>
      </c>
      <c r="AO483" s="119">
        <f t="shared" si="522"/>
        <v>0</v>
      </c>
      <c r="AP483" s="119"/>
      <c r="AQ483" s="119">
        <f t="shared" si="523"/>
        <v>124.91140000000001</v>
      </c>
      <c r="AR483" s="119">
        <f t="shared" si="524"/>
        <v>0</v>
      </c>
      <c r="AS483" s="119">
        <f t="shared" si="525"/>
        <v>0</v>
      </c>
      <c r="AT483" s="119">
        <v>0</v>
      </c>
      <c r="AU483" s="119">
        <f>124.98-124.91</f>
        <v>7.000000000000739E-2</v>
      </c>
      <c r="AV483" s="119">
        <f t="shared" si="526"/>
        <v>124.98140000000002</v>
      </c>
      <c r="AW483" s="114">
        <v>0.84599999999999997</v>
      </c>
      <c r="AX483" s="114">
        <v>0.84599999999999997</v>
      </c>
      <c r="AY483" s="120">
        <v>0</v>
      </c>
      <c r="AZ483" s="118">
        <f t="shared" si="527"/>
        <v>0</v>
      </c>
      <c r="BA483" s="118">
        <f t="shared" si="528"/>
        <v>89.591400000000007</v>
      </c>
      <c r="BB483" s="118"/>
      <c r="BC483" s="118"/>
      <c r="BD483" s="118"/>
      <c r="BE483" s="118"/>
      <c r="BF483" s="118"/>
      <c r="BG483" s="118"/>
      <c r="BH483" s="118"/>
      <c r="BI483" s="118"/>
      <c r="BJ483" s="118"/>
      <c r="BK483" s="118"/>
      <c r="BL483" s="118"/>
      <c r="BM483" s="118"/>
      <c r="BN483" s="118"/>
      <c r="BO483" s="118"/>
      <c r="BP483" s="118"/>
      <c r="BQ483" s="118"/>
      <c r="BR483" s="118"/>
      <c r="BS483" s="118"/>
      <c r="BT483" s="118"/>
      <c r="BU483" s="118"/>
      <c r="BV483" s="118"/>
      <c r="BW483" s="118"/>
      <c r="BX483" s="118"/>
      <c r="BY483" s="118"/>
      <c r="BZ483" s="118"/>
      <c r="CA483" s="118"/>
      <c r="CB483" s="118"/>
      <c r="CC483" s="118"/>
      <c r="CD483" s="114"/>
      <c r="CE483" s="118">
        <v>0</v>
      </c>
      <c r="CF483" s="118">
        <v>2</v>
      </c>
      <c r="CG483" s="118">
        <v>2.85</v>
      </c>
      <c r="CH483" s="118">
        <f t="shared" si="529"/>
        <v>5.7</v>
      </c>
      <c r="CI483" s="114"/>
      <c r="CJ483" s="114"/>
      <c r="CK483" s="114"/>
      <c r="CL483" s="114"/>
      <c r="CM483" s="114"/>
      <c r="CN483" s="114"/>
      <c r="CO483" s="114"/>
      <c r="CP483" s="114"/>
      <c r="CQ483" s="114"/>
      <c r="CR483" s="114"/>
      <c r="CS483" s="114"/>
      <c r="CT483" s="114"/>
      <c r="CU483" s="114"/>
      <c r="CV483" s="114"/>
      <c r="CW483" s="114"/>
      <c r="CX483" s="114"/>
      <c r="CY483" s="114"/>
      <c r="CZ483" s="114"/>
      <c r="DA483" s="114"/>
      <c r="DB483" s="114"/>
      <c r="DC483" s="114"/>
      <c r="DD483" s="114"/>
      <c r="DE483" s="114"/>
      <c r="DF483" s="114"/>
      <c r="DG483" s="114"/>
      <c r="DH483" s="114"/>
      <c r="DI483" s="114"/>
      <c r="DJ483" s="114"/>
      <c r="DK483" s="114"/>
      <c r="DL483" s="114"/>
      <c r="DM483" s="118">
        <f t="shared" si="530"/>
        <v>5.7</v>
      </c>
      <c r="DN483" s="125">
        <v>1.2500000000000001E-2</v>
      </c>
      <c r="DO483" s="118">
        <f t="shared" si="551"/>
        <v>0.08</v>
      </c>
      <c r="DP483" s="118">
        <f t="shared" si="532"/>
        <v>5.78</v>
      </c>
      <c r="DQ483" s="114"/>
      <c r="DR483" s="114"/>
      <c r="DS483" s="114"/>
      <c r="DT483" s="114"/>
      <c r="DU483" s="114"/>
      <c r="DV483" s="114"/>
      <c r="DW483" s="114"/>
      <c r="DX483" s="114"/>
      <c r="DY483" s="114"/>
      <c r="DZ483" s="114"/>
      <c r="EA483" s="114"/>
      <c r="EB483" s="114"/>
      <c r="EC483" s="114"/>
      <c r="ED483" s="114"/>
      <c r="EE483" s="114"/>
      <c r="EF483" s="105">
        <v>660</v>
      </c>
      <c r="EG483" s="105">
        <v>6600</v>
      </c>
      <c r="EH483" s="105">
        <v>7.5</v>
      </c>
      <c r="EI483" s="120">
        <v>0.9</v>
      </c>
      <c r="EJ483" s="105">
        <v>2</v>
      </c>
      <c r="EK483" s="105">
        <v>75</v>
      </c>
      <c r="EL483" s="111">
        <f t="shared" si="533"/>
        <v>648</v>
      </c>
      <c r="EM483" s="114"/>
      <c r="EN483" s="114"/>
      <c r="EO483" s="114"/>
      <c r="EP483" s="114"/>
      <c r="EQ483" s="114"/>
      <c r="ER483" s="114"/>
      <c r="ES483" s="114"/>
      <c r="ET483" s="114"/>
      <c r="EU483" s="109">
        <f t="shared" si="552"/>
        <v>10.19</v>
      </c>
      <c r="EV483" s="114"/>
      <c r="EW483" s="114"/>
      <c r="EX483" s="114"/>
      <c r="EY483" s="114"/>
      <c r="EZ483" s="114"/>
      <c r="FA483" s="114"/>
      <c r="FB483" s="114"/>
      <c r="FC483" s="114"/>
      <c r="FD483" s="114"/>
      <c r="FE483" s="114"/>
      <c r="FF483" s="114"/>
      <c r="FG483" s="114"/>
      <c r="FH483" s="114"/>
      <c r="FI483" s="114"/>
      <c r="FJ483" s="114"/>
      <c r="FK483" s="114"/>
      <c r="FL483" s="114"/>
      <c r="FM483" s="114"/>
      <c r="FN483" s="114"/>
      <c r="FO483" s="114"/>
      <c r="FP483" s="114"/>
      <c r="FQ483" s="114"/>
      <c r="FR483" s="114"/>
      <c r="FS483" s="114"/>
      <c r="FT483" s="114"/>
      <c r="FU483" s="114"/>
      <c r="FV483" s="114"/>
      <c r="FW483" s="114"/>
      <c r="FX483" s="114"/>
      <c r="FY483" s="114"/>
      <c r="FZ483" s="114"/>
      <c r="GA483" s="114"/>
      <c r="GB483" s="114"/>
      <c r="GC483" s="114"/>
      <c r="GD483" s="114"/>
      <c r="GE483" s="114"/>
      <c r="GF483" s="114"/>
      <c r="GG483" s="114"/>
      <c r="GH483" s="114"/>
      <c r="GI483" s="114"/>
      <c r="GJ483" s="114"/>
      <c r="GK483" s="114"/>
      <c r="GL483" s="114"/>
      <c r="GM483" s="114"/>
      <c r="GN483" s="114"/>
      <c r="GO483" s="114"/>
      <c r="GP483" s="114"/>
      <c r="GQ483" s="114"/>
      <c r="GR483" s="120">
        <v>0.11</v>
      </c>
      <c r="GS483" s="118">
        <f t="shared" si="553"/>
        <v>10.98</v>
      </c>
      <c r="GT483" s="125">
        <v>1.2500000000000001E-2</v>
      </c>
      <c r="GU483" s="118">
        <f t="shared" si="554"/>
        <v>1.25</v>
      </c>
      <c r="GV483" s="120">
        <v>0.02</v>
      </c>
      <c r="GW483" s="118">
        <f t="shared" si="555"/>
        <v>0.21000000000000002</v>
      </c>
      <c r="GX483" s="118">
        <f t="shared" si="538"/>
        <v>12.440000000000001</v>
      </c>
      <c r="GY483" s="114" t="s">
        <v>130</v>
      </c>
      <c r="GZ483" s="114" t="s">
        <v>130</v>
      </c>
      <c r="HA483" s="118">
        <v>1000</v>
      </c>
      <c r="HB483" s="118">
        <v>1300</v>
      </c>
      <c r="HC483" s="105">
        <v>1900</v>
      </c>
      <c r="HD483" s="105">
        <v>40</v>
      </c>
      <c r="HE483" s="105">
        <v>60</v>
      </c>
      <c r="HF483" s="118">
        <f t="shared" si="539"/>
        <v>2</v>
      </c>
      <c r="HG483" s="105">
        <v>5</v>
      </c>
      <c r="HH483" s="118">
        <f t="shared" si="540"/>
        <v>10</v>
      </c>
      <c r="HI483" s="105">
        <v>19500</v>
      </c>
      <c r="HJ483" s="118">
        <f t="shared" si="541"/>
        <v>195000</v>
      </c>
      <c r="HK483" s="114"/>
      <c r="HL483" s="114"/>
      <c r="HM483" s="118">
        <v>3</v>
      </c>
      <c r="HN483" s="126">
        <f t="shared" si="542"/>
        <v>54000</v>
      </c>
      <c r="HO483" s="109">
        <f t="shared" si="556"/>
        <v>3.6199999999999997</v>
      </c>
      <c r="HP483" s="118">
        <v>160</v>
      </c>
      <c r="HQ483" s="114">
        <v>0</v>
      </c>
      <c r="HR483" s="118">
        <v>0</v>
      </c>
      <c r="HS483" s="118">
        <v>0</v>
      </c>
      <c r="HT483" s="118">
        <f t="shared" si="544"/>
        <v>0</v>
      </c>
      <c r="HU483" s="118"/>
      <c r="HV483" s="118">
        <f t="shared" si="545"/>
        <v>3.6199999999999997</v>
      </c>
      <c r="HW483" s="118"/>
      <c r="HX483" s="118">
        <v>4200</v>
      </c>
      <c r="HY483" s="118">
        <v>1900</v>
      </c>
      <c r="HZ483" s="118">
        <v>1975</v>
      </c>
      <c r="IA483" s="118">
        <f t="shared" si="547"/>
        <v>4</v>
      </c>
      <c r="IB483" s="118">
        <f t="shared" si="548"/>
        <v>1</v>
      </c>
      <c r="IC483" s="118">
        <f t="shared" si="549"/>
        <v>1</v>
      </c>
      <c r="ID483" s="108">
        <v>0.95</v>
      </c>
      <c r="IE483" s="111">
        <f t="shared" si="557"/>
        <v>3.8</v>
      </c>
      <c r="IF483" s="118">
        <v>500</v>
      </c>
      <c r="IG483" s="109">
        <f t="shared" si="558"/>
        <v>3.2899999999999996</v>
      </c>
      <c r="IH483" s="62"/>
    </row>
    <row r="484" spans="1:242">
      <c r="A484">
        <v>460</v>
      </c>
      <c r="B484" t="s">
        <v>468</v>
      </c>
      <c r="C484" s="334" t="s">
        <v>1988</v>
      </c>
      <c r="D484" s="28" t="s">
        <v>1325</v>
      </c>
      <c r="E484" s="28" t="s">
        <v>703</v>
      </c>
      <c r="F484" s="5" t="s">
        <v>2182</v>
      </c>
      <c r="G484" s="27" t="s">
        <v>90</v>
      </c>
      <c r="I484" s="27" t="s">
        <v>226</v>
      </c>
      <c r="J484" s="28">
        <v>21590</v>
      </c>
      <c r="K484" s="27" t="s">
        <v>397</v>
      </c>
      <c r="L484" s="379"/>
      <c r="Q484" s="13" t="s">
        <v>1890</v>
      </c>
      <c r="R484" s="13" t="s">
        <v>1836</v>
      </c>
      <c r="AA484" s="13" t="s">
        <v>469</v>
      </c>
      <c r="AB484" s="57">
        <v>105.9</v>
      </c>
      <c r="AC484">
        <v>20</v>
      </c>
      <c r="AD484" s="13" t="s">
        <v>1982</v>
      </c>
      <c r="AE484" s="7">
        <f t="shared" si="513"/>
        <v>40.9833</v>
      </c>
      <c r="AF484" s="7"/>
      <c r="AG484" s="7">
        <f t="shared" si="514"/>
        <v>9.51</v>
      </c>
      <c r="AH484" s="7">
        <f t="shared" si="515"/>
        <v>0</v>
      </c>
      <c r="AI484" s="7">
        <f t="shared" si="516"/>
        <v>0</v>
      </c>
      <c r="AJ484" s="7">
        <f t="shared" si="517"/>
        <v>0.2</v>
      </c>
      <c r="AK484" s="7">
        <f t="shared" si="518"/>
        <v>0.64</v>
      </c>
      <c r="AL484" s="7">
        <f t="shared" si="519"/>
        <v>5.56</v>
      </c>
      <c r="AM484" s="7">
        <f t="shared" si="520"/>
        <v>0.92</v>
      </c>
      <c r="AN484" s="7">
        <f t="shared" si="521"/>
        <v>0.88</v>
      </c>
      <c r="AO484" s="7">
        <f t="shared" si="522"/>
        <v>0</v>
      </c>
      <c r="AP484" s="7"/>
      <c r="AQ484" s="7">
        <f t="shared" si="523"/>
        <v>58.693300000000008</v>
      </c>
      <c r="AR484" s="7">
        <f t="shared" si="524"/>
        <v>0</v>
      </c>
      <c r="AS484" s="7">
        <f t="shared" si="525"/>
        <v>0</v>
      </c>
      <c r="AT484" s="7">
        <v>0</v>
      </c>
      <c r="AU484" s="7">
        <v>0</v>
      </c>
      <c r="AV484" s="7">
        <f t="shared" si="526"/>
        <v>58.693300000000008</v>
      </c>
      <c r="AW484">
        <v>0.38700000000000001</v>
      </c>
      <c r="AX484">
        <v>0.38700000000000001</v>
      </c>
      <c r="AY484" s="8">
        <v>0</v>
      </c>
      <c r="AZ484" s="4">
        <f t="shared" si="527"/>
        <v>0</v>
      </c>
      <c r="BA484" s="4">
        <f t="shared" si="528"/>
        <v>40.9833</v>
      </c>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E484" s="4">
        <v>0</v>
      </c>
      <c r="CF484" s="4">
        <v>0</v>
      </c>
      <c r="CG484" s="4">
        <v>0</v>
      </c>
      <c r="CH484">
        <f t="shared" si="529"/>
        <v>0</v>
      </c>
      <c r="CI484" s="13"/>
      <c r="CK484">
        <v>0</v>
      </c>
      <c r="CL484">
        <v>0</v>
      </c>
      <c r="CM484">
        <f t="shared" ref="CM484:CM489" si="559">CK484*CL484</f>
        <v>0</v>
      </c>
      <c r="CN484" s="13"/>
      <c r="CP484">
        <v>0</v>
      </c>
      <c r="CQ484">
        <v>0</v>
      </c>
      <c r="CR484">
        <f t="shared" ref="CR484:CR489" si="560">CP484*CQ484</f>
        <v>0</v>
      </c>
      <c r="CU484">
        <v>0</v>
      </c>
      <c r="CV484">
        <v>0</v>
      </c>
      <c r="CW484">
        <f t="shared" ref="CW484:CW489" si="561">CU484*CV484</f>
        <v>0</v>
      </c>
      <c r="DM484" s="4">
        <f t="shared" si="530"/>
        <v>0</v>
      </c>
      <c r="DN484" s="9">
        <v>1.2500000000000001E-2</v>
      </c>
      <c r="DO484" s="4">
        <f t="shared" si="551"/>
        <v>0</v>
      </c>
      <c r="DP484" s="4">
        <f t="shared" si="532"/>
        <v>0</v>
      </c>
      <c r="EF484" s="59">
        <v>660</v>
      </c>
      <c r="EG484" s="59">
        <v>6600</v>
      </c>
      <c r="EH484" s="59">
        <v>7.5</v>
      </c>
      <c r="EI484" s="8">
        <v>0.9</v>
      </c>
      <c r="EJ484" s="59">
        <v>2</v>
      </c>
      <c r="EK484" s="59">
        <v>70</v>
      </c>
      <c r="EL484" s="65">
        <f t="shared" si="533"/>
        <v>694.28571428571433</v>
      </c>
      <c r="EU484" s="62">
        <f t="shared" si="552"/>
        <v>9.51</v>
      </c>
      <c r="GR484" s="8">
        <v>0.11</v>
      </c>
      <c r="GS484" s="4">
        <f t="shared" si="553"/>
        <v>5.56</v>
      </c>
      <c r="GT484" s="9">
        <v>1.2500000000000001E-2</v>
      </c>
      <c r="GU484" s="4">
        <f t="shared" si="554"/>
        <v>0.64</v>
      </c>
      <c r="GV484" s="8">
        <v>0.02</v>
      </c>
      <c r="GW484" s="4">
        <f t="shared" si="555"/>
        <v>0.2</v>
      </c>
      <c r="GX484" s="4">
        <f t="shared" si="538"/>
        <v>6.3999999999999995</v>
      </c>
      <c r="GY484" t="s">
        <v>130</v>
      </c>
      <c r="GZ484" t="s">
        <v>130</v>
      </c>
      <c r="HA484" s="4">
        <v>810</v>
      </c>
      <c r="HB484" s="4">
        <v>568</v>
      </c>
      <c r="HC484" s="59">
        <v>425</v>
      </c>
      <c r="HD484" s="59">
        <v>10</v>
      </c>
      <c r="HE484" s="59">
        <v>60</v>
      </c>
      <c r="HF484" s="4">
        <f t="shared" si="539"/>
        <v>6</v>
      </c>
      <c r="HG484" s="59">
        <v>5</v>
      </c>
      <c r="HH484" s="4">
        <f t="shared" si="540"/>
        <v>30</v>
      </c>
      <c r="HI484" s="59">
        <v>1100</v>
      </c>
      <c r="HJ484" s="4">
        <f t="shared" si="541"/>
        <v>33000</v>
      </c>
      <c r="HM484" s="4">
        <v>2</v>
      </c>
      <c r="HN484" s="10">
        <f t="shared" si="542"/>
        <v>36000</v>
      </c>
      <c r="HO484" s="62">
        <f t="shared" si="556"/>
        <v>0.92</v>
      </c>
      <c r="HP484" s="4">
        <v>160</v>
      </c>
      <c r="HQ484">
        <v>0</v>
      </c>
      <c r="HR484" s="4">
        <v>0</v>
      </c>
      <c r="HS484" s="4">
        <v>0</v>
      </c>
      <c r="HT484" s="4">
        <f t="shared" si="544"/>
        <v>0</v>
      </c>
      <c r="HU484" s="4"/>
      <c r="HV484" s="4">
        <f t="shared" si="545"/>
        <v>0.92</v>
      </c>
      <c r="HW484" s="4"/>
      <c r="HX484" s="4">
        <v>4200</v>
      </c>
      <c r="HY484" s="4">
        <v>1900</v>
      </c>
      <c r="HZ484" s="4">
        <v>1975</v>
      </c>
      <c r="IA484" s="4">
        <f t="shared" si="547"/>
        <v>5</v>
      </c>
      <c r="IB484" s="4">
        <f t="shared" si="548"/>
        <v>3</v>
      </c>
      <c r="IC484" s="4">
        <f t="shared" si="549"/>
        <v>4</v>
      </c>
      <c r="ID484" s="61">
        <v>0.95</v>
      </c>
      <c r="IE484" s="65">
        <f t="shared" si="557"/>
        <v>57</v>
      </c>
      <c r="IF484" s="4">
        <v>500</v>
      </c>
      <c r="IG484" s="62">
        <f t="shared" si="558"/>
        <v>0.88</v>
      </c>
      <c r="IH484" s="62"/>
    </row>
    <row r="485" spans="1:242">
      <c r="A485">
        <v>462</v>
      </c>
      <c r="B485" t="s">
        <v>468</v>
      </c>
      <c r="C485" s="278" t="s">
        <v>1989</v>
      </c>
      <c r="D485" s="28" t="s">
        <v>1326</v>
      </c>
      <c r="E485" s="28" t="s">
        <v>1327</v>
      </c>
      <c r="F485" s="5" t="s">
        <v>2182</v>
      </c>
      <c r="G485" s="27" t="s">
        <v>90</v>
      </c>
      <c r="I485" s="27" t="s">
        <v>226</v>
      </c>
      <c r="J485" s="28">
        <v>21590</v>
      </c>
      <c r="K485" s="27" t="s">
        <v>397</v>
      </c>
      <c r="L485" s="240"/>
      <c r="M485" s="114"/>
      <c r="N485" s="115"/>
      <c r="O485" s="115"/>
      <c r="P485" s="115"/>
      <c r="Q485" s="13" t="s">
        <v>1890</v>
      </c>
      <c r="R485" s="13" t="s">
        <v>1836</v>
      </c>
      <c r="V485" s="319"/>
      <c r="W485" s="115"/>
      <c r="X485" s="115"/>
      <c r="Y485" s="115"/>
      <c r="Z485" s="115"/>
      <c r="AA485" s="115" t="s">
        <v>1950</v>
      </c>
      <c r="AB485" s="121">
        <v>166.13</v>
      </c>
      <c r="AC485" s="114">
        <v>20</v>
      </c>
      <c r="AD485" s="115" t="s">
        <v>1982</v>
      </c>
      <c r="AE485" s="119">
        <f t="shared" si="513"/>
        <v>89.636330000000015</v>
      </c>
      <c r="AF485" s="119"/>
      <c r="AG485" s="119">
        <f t="shared" si="514"/>
        <v>11.959999999999999</v>
      </c>
      <c r="AH485" s="119">
        <f t="shared" si="515"/>
        <v>0</v>
      </c>
      <c r="AI485" s="119">
        <f t="shared" si="516"/>
        <v>0</v>
      </c>
      <c r="AJ485" s="119">
        <f t="shared" si="517"/>
        <v>0.24000000000000002</v>
      </c>
      <c r="AK485" s="119">
        <f t="shared" si="518"/>
        <v>1.27</v>
      </c>
      <c r="AL485" s="119">
        <f t="shared" si="519"/>
        <v>11.18</v>
      </c>
      <c r="AM485" s="119">
        <f t="shared" si="520"/>
        <v>1.81</v>
      </c>
      <c r="AN485" s="119">
        <f t="shared" si="521"/>
        <v>2.1999999999999997</v>
      </c>
      <c r="AO485" s="119">
        <f t="shared" si="522"/>
        <v>0</v>
      </c>
      <c r="AP485" s="119"/>
      <c r="AQ485" s="119">
        <f t="shared" si="523"/>
        <v>118.29633</v>
      </c>
      <c r="AR485" s="119">
        <f t="shared" si="524"/>
        <v>0</v>
      </c>
      <c r="AS485" s="119">
        <f t="shared" si="525"/>
        <v>0</v>
      </c>
      <c r="AT485" s="119">
        <v>0</v>
      </c>
      <c r="AU485" s="119">
        <v>0</v>
      </c>
      <c r="AV485" s="119">
        <f t="shared" si="526"/>
        <v>118.29633</v>
      </c>
      <c r="AW485" s="114">
        <v>0.54100000000000004</v>
      </c>
      <c r="AX485" s="114">
        <v>0.52900000000000003</v>
      </c>
      <c r="AY485" s="120">
        <v>1</v>
      </c>
      <c r="AZ485" s="118">
        <f t="shared" si="527"/>
        <v>1.2000000000000011E-2</v>
      </c>
      <c r="BA485" s="118">
        <f t="shared" si="528"/>
        <v>89.636330000000015</v>
      </c>
      <c r="BB485" s="118"/>
      <c r="BC485" s="118"/>
      <c r="BD485" s="118"/>
      <c r="BE485" s="118"/>
      <c r="BF485" s="118"/>
      <c r="BG485" s="118"/>
      <c r="BH485" s="118"/>
      <c r="BI485" s="118"/>
      <c r="BJ485" s="118"/>
      <c r="BK485" s="118"/>
      <c r="BL485" s="118"/>
      <c r="BM485" s="118"/>
      <c r="BN485" s="118"/>
      <c r="BO485" s="118"/>
      <c r="BP485" s="118"/>
      <c r="BQ485" s="118"/>
      <c r="BR485" s="118"/>
      <c r="BS485" s="118"/>
      <c r="BT485" s="118"/>
      <c r="BU485" s="118"/>
      <c r="BV485" s="118"/>
      <c r="BW485" s="118"/>
      <c r="BX485" s="118"/>
      <c r="BY485" s="118"/>
      <c r="BZ485" s="118"/>
      <c r="CA485" s="118"/>
      <c r="CB485" s="118"/>
      <c r="CC485" s="118"/>
      <c r="CD485" s="114"/>
      <c r="CE485" s="118">
        <v>0</v>
      </c>
      <c r="CF485" s="118">
        <v>0</v>
      </c>
      <c r="CG485" s="118">
        <v>0</v>
      </c>
      <c r="CH485" s="114">
        <f t="shared" si="529"/>
        <v>0</v>
      </c>
      <c r="CI485" s="115"/>
      <c r="CJ485" s="114"/>
      <c r="CK485" s="114">
        <v>0</v>
      </c>
      <c r="CL485" s="114">
        <v>0</v>
      </c>
      <c r="CM485" s="114">
        <f t="shared" si="559"/>
        <v>0</v>
      </c>
      <c r="CN485" s="115"/>
      <c r="CO485" s="114"/>
      <c r="CP485" s="114">
        <v>0</v>
      </c>
      <c r="CQ485" s="114">
        <v>0</v>
      </c>
      <c r="CR485" s="114">
        <f t="shared" si="560"/>
        <v>0</v>
      </c>
      <c r="CS485" s="114"/>
      <c r="CT485" s="114"/>
      <c r="CU485" s="114">
        <v>0</v>
      </c>
      <c r="CV485" s="114">
        <v>0</v>
      </c>
      <c r="CW485" s="114">
        <f t="shared" si="561"/>
        <v>0</v>
      </c>
      <c r="CX485" s="114"/>
      <c r="CY485" s="114"/>
      <c r="CZ485" s="114"/>
      <c r="DA485" s="114"/>
      <c r="DB485" s="114"/>
      <c r="DC485" s="114"/>
      <c r="DD485" s="114"/>
      <c r="DE485" s="114"/>
      <c r="DF485" s="114"/>
      <c r="DG485" s="114"/>
      <c r="DH485" s="114"/>
      <c r="DI485" s="114"/>
      <c r="DJ485" s="114"/>
      <c r="DK485" s="114"/>
      <c r="DL485" s="114"/>
      <c r="DM485" s="118">
        <f t="shared" si="530"/>
        <v>0</v>
      </c>
      <c r="DN485" s="125">
        <v>1.2500000000000001E-2</v>
      </c>
      <c r="DO485" s="118">
        <f t="shared" si="551"/>
        <v>0</v>
      </c>
      <c r="DP485" s="118">
        <f t="shared" si="532"/>
        <v>0</v>
      </c>
      <c r="DQ485" s="114"/>
      <c r="DR485" s="114"/>
      <c r="DS485" s="114"/>
      <c r="DT485" s="114"/>
      <c r="DU485" s="114"/>
      <c r="DV485" s="114"/>
      <c r="DW485" s="114"/>
      <c r="DX485" s="114"/>
      <c r="DY485" s="114"/>
      <c r="DZ485" s="114"/>
      <c r="EA485" s="114"/>
      <c r="EB485" s="114"/>
      <c r="EC485" s="114"/>
      <c r="ED485" s="114"/>
      <c r="EE485" s="114"/>
      <c r="EF485" s="105">
        <v>775</v>
      </c>
      <c r="EG485" s="105">
        <v>7750</v>
      </c>
      <c r="EH485" s="105">
        <v>7.5</v>
      </c>
      <c r="EI485" s="120">
        <v>0.9</v>
      </c>
      <c r="EJ485" s="105">
        <v>2</v>
      </c>
      <c r="EK485" s="105">
        <v>75</v>
      </c>
      <c r="EL485" s="111">
        <f t="shared" si="533"/>
        <v>648</v>
      </c>
      <c r="EM485" s="114"/>
      <c r="EN485" s="114"/>
      <c r="EO485" s="114"/>
      <c r="EP485" s="114"/>
      <c r="EQ485" s="114"/>
      <c r="ER485" s="114"/>
      <c r="ES485" s="114"/>
      <c r="ET485" s="114"/>
      <c r="EU485" s="109">
        <f t="shared" si="552"/>
        <v>11.959999999999999</v>
      </c>
      <c r="EV485" s="114"/>
      <c r="EW485" s="114"/>
      <c r="EX485" s="114"/>
      <c r="EY485" s="114"/>
      <c r="EZ485" s="114"/>
      <c r="FA485" s="114"/>
      <c r="FB485" s="114"/>
      <c r="FC485" s="114"/>
      <c r="FD485" s="114"/>
      <c r="FE485" s="114"/>
      <c r="FF485" s="114"/>
      <c r="FG485" s="114"/>
      <c r="FH485" s="114"/>
      <c r="FI485" s="114"/>
      <c r="FJ485" s="114"/>
      <c r="FK485" s="114"/>
      <c r="FL485" s="114"/>
      <c r="FM485" s="114"/>
      <c r="FN485" s="114"/>
      <c r="FO485" s="114"/>
      <c r="FP485" s="114"/>
      <c r="FQ485" s="114"/>
      <c r="FR485" s="114"/>
      <c r="FS485" s="114"/>
      <c r="FT485" s="114"/>
      <c r="FU485" s="114"/>
      <c r="FV485" s="114"/>
      <c r="FW485" s="114"/>
      <c r="FX485" s="114"/>
      <c r="FY485" s="114"/>
      <c r="FZ485" s="114"/>
      <c r="GA485" s="114"/>
      <c r="GB485" s="114"/>
      <c r="GC485" s="114"/>
      <c r="GD485" s="114"/>
      <c r="GE485" s="114"/>
      <c r="GF485" s="114"/>
      <c r="GG485" s="114"/>
      <c r="GH485" s="114"/>
      <c r="GI485" s="114"/>
      <c r="GJ485" s="114"/>
      <c r="GK485" s="114"/>
      <c r="GL485" s="114"/>
      <c r="GM485" s="114"/>
      <c r="GN485" s="114"/>
      <c r="GO485" s="114"/>
      <c r="GP485" s="114"/>
      <c r="GQ485" s="114"/>
      <c r="GR485" s="120">
        <v>0.11</v>
      </c>
      <c r="GS485" s="118">
        <f t="shared" si="553"/>
        <v>11.18</v>
      </c>
      <c r="GT485" s="125">
        <v>1.2500000000000001E-2</v>
      </c>
      <c r="GU485" s="118">
        <f t="shared" si="554"/>
        <v>1.27</v>
      </c>
      <c r="GV485" s="120">
        <v>0.02</v>
      </c>
      <c r="GW485" s="118">
        <f t="shared" si="555"/>
        <v>0.24000000000000002</v>
      </c>
      <c r="GX485" s="118">
        <f t="shared" si="538"/>
        <v>12.69</v>
      </c>
      <c r="GY485" s="114" t="s">
        <v>130</v>
      </c>
      <c r="GZ485" s="114" t="s">
        <v>130</v>
      </c>
      <c r="HA485" s="118">
        <v>1000</v>
      </c>
      <c r="HB485" s="118">
        <v>1300</v>
      </c>
      <c r="HC485" s="105">
        <v>1900</v>
      </c>
      <c r="HD485" s="105">
        <v>60</v>
      </c>
      <c r="HE485" s="105">
        <v>300</v>
      </c>
      <c r="HF485" s="118">
        <f t="shared" si="539"/>
        <v>5</v>
      </c>
      <c r="HG485" s="105">
        <v>5</v>
      </c>
      <c r="HH485" s="118">
        <f t="shared" si="540"/>
        <v>25</v>
      </c>
      <c r="HI485" s="105">
        <v>19500</v>
      </c>
      <c r="HJ485" s="118">
        <f t="shared" si="541"/>
        <v>487500</v>
      </c>
      <c r="HK485" s="114"/>
      <c r="HL485" s="114"/>
      <c r="HM485" s="118">
        <v>3</v>
      </c>
      <c r="HN485" s="126">
        <f t="shared" si="542"/>
        <v>270000</v>
      </c>
      <c r="HO485" s="109">
        <f t="shared" si="556"/>
        <v>1.81</v>
      </c>
      <c r="HP485" s="118">
        <v>160</v>
      </c>
      <c r="HQ485" s="114">
        <v>0</v>
      </c>
      <c r="HR485" s="118">
        <v>0</v>
      </c>
      <c r="HS485" s="118">
        <v>0</v>
      </c>
      <c r="HT485" s="118">
        <f t="shared" si="544"/>
        <v>0</v>
      </c>
      <c r="HU485" s="118"/>
      <c r="HV485" s="118">
        <f t="shared" si="545"/>
        <v>1.81</v>
      </c>
      <c r="HW485" s="118"/>
      <c r="HX485" s="118">
        <v>4200</v>
      </c>
      <c r="HY485" s="118">
        <v>1900</v>
      </c>
      <c r="HZ485" s="118">
        <v>1975</v>
      </c>
      <c r="IA485" s="118">
        <f t="shared" si="547"/>
        <v>4</v>
      </c>
      <c r="IB485" s="118">
        <f t="shared" si="548"/>
        <v>1</v>
      </c>
      <c r="IC485" s="118">
        <f t="shared" si="549"/>
        <v>1</v>
      </c>
      <c r="ID485" s="108">
        <v>0.95</v>
      </c>
      <c r="IE485" s="111">
        <f t="shared" si="557"/>
        <v>3.8</v>
      </c>
      <c r="IF485" s="118">
        <v>500</v>
      </c>
      <c r="IG485" s="109">
        <f t="shared" si="558"/>
        <v>2.1999999999999997</v>
      </c>
      <c r="IH485" s="62"/>
    </row>
    <row r="486" spans="1:242">
      <c r="A486">
        <v>464</v>
      </c>
      <c r="B486" t="s">
        <v>468</v>
      </c>
      <c r="C486" s="334" t="s">
        <v>1990</v>
      </c>
      <c r="D486" s="28" t="s">
        <v>1328</v>
      </c>
      <c r="E486" s="28" t="s">
        <v>1329</v>
      </c>
      <c r="F486" s="5" t="s">
        <v>2182</v>
      </c>
      <c r="G486" s="27" t="s">
        <v>90</v>
      </c>
      <c r="I486" s="27" t="s">
        <v>226</v>
      </c>
      <c r="J486" s="28">
        <v>21590</v>
      </c>
      <c r="K486" s="27" t="s">
        <v>397</v>
      </c>
      <c r="L486" s="379"/>
      <c r="Q486" s="13" t="s">
        <v>1890</v>
      </c>
      <c r="R486" s="13" t="s">
        <v>1836</v>
      </c>
      <c r="AA486" s="13" t="s">
        <v>1950</v>
      </c>
      <c r="AB486" s="66">
        <v>166.13</v>
      </c>
      <c r="AC486">
        <v>20</v>
      </c>
      <c r="AD486" s="13" t="s">
        <v>1982</v>
      </c>
      <c r="AE486" s="7">
        <f t="shared" si="513"/>
        <v>87.310510000000008</v>
      </c>
      <c r="AF486" s="7"/>
      <c r="AG486" s="7">
        <f t="shared" si="514"/>
        <v>11.959999999999999</v>
      </c>
      <c r="AH486" s="7">
        <f t="shared" si="515"/>
        <v>0</v>
      </c>
      <c r="AI486" s="7">
        <f t="shared" si="516"/>
        <v>0</v>
      </c>
      <c r="AJ486" s="7">
        <f t="shared" si="517"/>
        <v>0.24000000000000002</v>
      </c>
      <c r="AK486" s="7">
        <f t="shared" si="518"/>
        <v>1.25</v>
      </c>
      <c r="AL486" s="7">
        <f t="shared" si="519"/>
        <v>10.92</v>
      </c>
      <c r="AM486" s="7">
        <f t="shared" si="520"/>
        <v>1.81</v>
      </c>
      <c r="AN486" s="7">
        <f t="shared" si="521"/>
        <v>2.1999999999999997</v>
      </c>
      <c r="AO486" s="7">
        <f t="shared" si="522"/>
        <v>0</v>
      </c>
      <c r="AP486" s="7"/>
      <c r="AQ486" s="7">
        <f t="shared" si="523"/>
        <v>115.69051</v>
      </c>
      <c r="AR486" s="7">
        <f t="shared" si="524"/>
        <v>0</v>
      </c>
      <c r="AS486" s="7">
        <f t="shared" si="525"/>
        <v>0</v>
      </c>
      <c r="AT486" s="7">
        <v>0</v>
      </c>
      <c r="AU486" s="7">
        <v>0</v>
      </c>
      <c r="AV486" s="7">
        <f t="shared" si="526"/>
        <v>115.69051</v>
      </c>
      <c r="AW486">
        <v>0.52700000000000002</v>
      </c>
      <c r="AX486">
        <v>0.51500000000000001</v>
      </c>
      <c r="AY486" s="8">
        <v>1</v>
      </c>
      <c r="AZ486" s="4">
        <f t="shared" si="527"/>
        <v>1.2000000000000011E-2</v>
      </c>
      <c r="BA486" s="4">
        <f t="shared" si="528"/>
        <v>87.310510000000008</v>
      </c>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E486" s="4">
        <v>0</v>
      </c>
      <c r="CF486" s="4">
        <v>0</v>
      </c>
      <c r="CG486" s="4">
        <v>0</v>
      </c>
      <c r="CH486">
        <f t="shared" si="529"/>
        <v>0</v>
      </c>
      <c r="CI486" s="13"/>
      <c r="CK486">
        <v>0</v>
      </c>
      <c r="CL486">
        <v>0</v>
      </c>
      <c r="CM486">
        <f t="shared" si="559"/>
        <v>0</v>
      </c>
      <c r="CN486" s="13"/>
      <c r="CP486">
        <v>0</v>
      </c>
      <c r="CQ486">
        <v>0</v>
      </c>
      <c r="CR486">
        <f t="shared" si="560"/>
        <v>0</v>
      </c>
      <c r="CU486">
        <v>0</v>
      </c>
      <c r="CV486">
        <v>0</v>
      </c>
      <c r="CW486">
        <f t="shared" si="561"/>
        <v>0</v>
      </c>
      <c r="DM486" s="4">
        <f t="shared" si="530"/>
        <v>0</v>
      </c>
      <c r="DN486" s="9">
        <v>1.2500000000000001E-2</v>
      </c>
      <c r="DO486" s="4">
        <f t="shared" si="551"/>
        <v>0</v>
      </c>
      <c r="DP486" s="4">
        <f t="shared" si="532"/>
        <v>0</v>
      </c>
      <c r="EF486" s="59">
        <v>775</v>
      </c>
      <c r="EG486" s="59">
        <v>7750</v>
      </c>
      <c r="EH486" s="59">
        <v>7.5</v>
      </c>
      <c r="EI486" s="8">
        <v>0.9</v>
      </c>
      <c r="EJ486" s="59">
        <v>2</v>
      </c>
      <c r="EK486" s="59">
        <v>75</v>
      </c>
      <c r="EL486" s="65">
        <f t="shared" si="533"/>
        <v>648</v>
      </c>
      <c r="EU486" s="62">
        <f t="shared" si="552"/>
        <v>11.959999999999999</v>
      </c>
      <c r="GR486" s="8">
        <v>0.11</v>
      </c>
      <c r="GS486" s="4">
        <f t="shared" si="553"/>
        <v>10.92</v>
      </c>
      <c r="GT486" s="9">
        <v>1.2500000000000001E-2</v>
      </c>
      <c r="GU486" s="4">
        <f t="shared" si="554"/>
        <v>1.25</v>
      </c>
      <c r="GV486" s="8">
        <v>0.02</v>
      </c>
      <c r="GW486" s="4">
        <f t="shared" si="555"/>
        <v>0.24000000000000002</v>
      </c>
      <c r="GX486" s="4">
        <f t="shared" si="538"/>
        <v>12.41</v>
      </c>
      <c r="GY486" t="s">
        <v>130</v>
      </c>
      <c r="GZ486" t="s">
        <v>130</v>
      </c>
      <c r="HA486" s="4">
        <v>1000</v>
      </c>
      <c r="HB486" s="4">
        <v>1300</v>
      </c>
      <c r="HC486" s="59">
        <v>1900</v>
      </c>
      <c r="HD486" s="59">
        <v>60</v>
      </c>
      <c r="HE486" s="59">
        <v>300</v>
      </c>
      <c r="HF486" s="4">
        <f t="shared" si="539"/>
        <v>5</v>
      </c>
      <c r="HG486" s="59">
        <v>5</v>
      </c>
      <c r="HH486" s="4">
        <f t="shared" si="540"/>
        <v>25</v>
      </c>
      <c r="HI486" s="59">
        <v>19500</v>
      </c>
      <c r="HJ486" s="4">
        <f t="shared" si="541"/>
        <v>487500</v>
      </c>
      <c r="HM486" s="4">
        <v>3</v>
      </c>
      <c r="HN486" s="10">
        <f t="shared" si="542"/>
        <v>270000</v>
      </c>
      <c r="HO486" s="62">
        <f t="shared" si="556"/>
        <v>1.81</v>
      </c>
      <c r="HP486" s="4">
        <v>160</v>
      </c>
      <c r="HQ486">
        <v>0</v>
      </c>
      <c r="HR486" s="4">
        <v>0</v>
      </c>
      <c r="HS486" s="4">
        <v>0</v>
      </c>
      <c r="HT486" s="4">
        <f t="shared" si="544"/>
        <v>0</v>
      </c>
      <c r="HU486" s="4"/>
      <c r="HV486" s="4">
        <f t="shared" si="545"/>
        <v>1.81</v>
      </c>
      <c r="HW486" s="4"/>
      <c r="HX486" s="4">
        <v>4200</v>
      </c>
      <c r="HY486" s="4">
        <v>1900</v>
      </c>
      <c r="HZ486" s="4">
        <v>1975</v>
      </c>
      <c r="IA486" s="4">
        <f t="shared" si="547"/>
        <v>4</v>
      </c>
      <c r="IB486" s="4">
        <f t="shared" si="548"/>
        <v>1</v>
      </c>
      <c r="IC486" s="4">
        <f t="shared" si="549"/>
        <v>1</v>
      </c>
      <c r="ID486" s="61">
        <v>0.95</v>
      </c>
      <c r="IE486" s="65">
        <f t="shared" si="557"/>
        <v>3.8</v>
      </c>
      <c r="IF486" s="4">
        <v>500</v>
      </c>
      <c r="IG486" s="62">
        <f t="shared" si="558"/>
        <v>2.1999999999999997</v>
      </c>
      <c r="IH486" s="62"/>
    </row>
    <row r="487" spans="1:242">
      <c r="A487">
        <v>466</v>
      </c>
      <c r="B487" t="s">
        <v>468</v>
      </c>
      <c r="C487" s="278" t="s">
        <v>1991</v>
      </c>
      <c r="D487" s="28" t="s">
        <v>1330</v>
      </c>
      <c r="E487" s="28" t="s">
        <v>176</v>
      </c>
      <c r="F487" s="5" t="s">
        <v>2182</v>
      </c>
      <c r="G487" s="27" t="s">
        <v>90</v>
      </c>
      <c r="I487" s="27" t="s">
        <v>226</v>
      </c>
      <c r="J487" s="28">
        <v>21590</v>
      </c>
      <c r="K487" s="27" t="s">
        <v>397</v>
      </c>
      <c r="L487" s="240"/>
      <c r="M487" s="114"/>
      <c r="N487" s="115"/>
      <c r="O487" s="115"/>
      <c r="P487" s="115"/>
      <c r="Q487" s="13" t="s">
        <v>1890</v>
      </c>
      <c r="R487" s="13" t="s">
        <v>1836</v>
      </c>
      <c r="V487" s="319"/>
      <c r="W487" s="115"/>
      <c r="X487" s="115"/>
      <c r="Y487" s="115"/>
      <c r="Z487" s="115"/>
      <c r="AA487" s="115" t="s">
        <v>1953</v>
      </c>
      <c r="AB487" s="201">
        <v>96.1</v>
      </c>
      <c r="AC487" s="114">
        <v>20</v>
      </c>
      <c r="AD487" s="115" t="s">
        <v>1982</v>
      </c>
      <c r="AE487" s="119">
        <f t="shared" si="513"/>
        <v>30.151499999999999</v>
      </c>
      <c r="AF487" s="119"/>
      <c r="AG487" s="119">
        <f t="shared" si="514"/>
        <v>12.04</v>
      </c>
      <c r="AH487" s="119">
        <f t="shared" si="515"/>
        <v>0</v>
      </c>
      <c r="AI487" s="119">
        <f t="shared" si="516"/>
        <v>0</v>
      </c>
      <c r="AJ487" s="119">
        <f t="shared" si="517"/>
        <v>0.25</v>
      </c>
      <c r="AK487" s="119">
        <f t="shared" si="518"/>
        <v>0.53</v>
      </c>
      <c r="AL487" s="119">
        <f t="shared" si="519"/>
        <v>4.6499999999999995</v>
      </c>
      <c r="AM487" s="119">
        <f t="shared" si="520"/>
        <v>0.92</v>
      </c>
      <c r="AN487" s="119">
        <f t="shared" si="521"/>
        <v>0.88</v>
      </c>
      <c r="AO487" s="119">
        <f t="shared" si="522"/>
        <v>0</v>
      </c>
      <c r="AP487" s="119"/>
      <c r="AQ487" s="119">
        <f t="shared" si="523"/>
        <v>49.421500000000002</v>
      </c>
      <c r="AR487" s="119">
        <f t="shared" si="524"/>
        <v>0</v>
      </c>
      <c r="AS487" s="119">
        <f t="shared" si="525"/>
        <v>0</v>
      </c>
      <c r="AT487" s="119">
        <v>0</v>
      </c>
      <c r="AU487" s="119">
        <v>0</v>
      </c>
      <c r="AV487" s="119">
        <f t="shared" si="526"/>
        <v>49.421500000000002</v>
      </c>
      <c r="AW487" s="114">
        <v>0.315</v>
      </c>
      <c r="AX487" s="114">
        <v>0.309</v>
      </c>
      <c r="AY487" s="120">
        <v>1</v>
      </c>
      <c r="AZ487" s="118">
        <f t="shared" si="527"/>
        <v>6.0000000000000053E-3</v>
      </c>
      <c r="BA487" s="118">
        <f t="shared" si="528"/>
        <v>30.151499999999999</v>
      </c>
      <c r="BB487" s="118"/>
      <c r="BC487" s="118"/>
      <c r="BD487" s="118"/>
      <c r="BE487" s="118"/>
      <c r="BF487" s="118"/>
      <c r="BG487" s="118"/>
      <c r="BH487" s="118"/>
      <c r="BI487" s="118"/>
      <c r="BJ487" s="118"/>
      <c r="BK487" s="118"/>
      <c r="BL487" s="118"/>
      <c r="BM487" s="118"/>
      <c r="BN487" s="118"/>
      <c r="BO487" s="118"/>
      <c r="BP487" s="118"/>
      <c r="BQ487" s="118"/>
      <c r="BR487" s="118"/>
      <c r="BS487" s="118"/>
      <c r="BT487" s="118"/>
      <c r="BU487" s="118"/>
      <c r="BV487" s="118"/>
      <c r="BW487" s="118"/>
      <c r="BX487" s="118"/>
      <c r="BY487" s="118"/>
      <c r="BZ487" s="118"/>
      <c r="CA487" s="118"/>
      <c r="CB487" s="118"/>
      <c r="CC487" s="118"/>
      <c r="CD487" s="114"/>
      <c r="CE487" s="118">
        <v>0</v>
      </c>
      <c r="CF487" s="118">
        <v>0</v>
      </c>
      <c r="CG487" s="118">
        <v>0</v>
      </c>
      <c r="CH487" s="114">
        <f t="shared" si="529"/>
        <v>0</v>
      </c>
      <c r="CI487" s="115"/>
      <c r="CJ487" s="114"/>
      <c r="CK487" s="114">
        <v>0</v>
      </c>
      <c r="CL487" s="114">
        <v>0</v>
      </c>
      <c r="CM487" s="114">
        <f t="shared" si="559"/>
        <v>0</v>
      </c>
      <c r="CN487" s="115"/>
      <c r="CO487" s="114"/>
      <c r="CP487" s="114">
        <v>0</v>
      </c>
      <c r="CQ487" s="114">
        <v>0</v>
      </c>
      <c r="CR487" s="114">
        <f t="shared" si="560"/>
        <v>0</v>
      </c>
      <c r="CS487" s="114"/>
      <c r="CT487" s="114"/>
      <c r="CU487" s="114">
        <v>0</v>
      </c>
      <c r="CV487" s="114">
        <v>0</v>
      </c>
      <c r="CW487" s="114">
        <f t="shared" si="561"/>
        <v>0</v>
      </c>
      <c r="CX487" s="114"/>
      <c r="CY487" s="114"/>
      <c r="CZ487" s="114"/>
      <c r="DA487" s="114"/>
      <c r="DB487" s="114"/>
      <c r="DC487" s="114"/>
      <c r="DD487" s="114"/>
      <c r="DE487" s="114"/>
      <c r="DF487" s="114"/>
      <c r="DG487" s="114"/>
      <c r="DH487" s="114"/>
      <c r="DI487" s="114"/>
      <c r="DJ487" s="114"/>
      <c r="DK487" s="114"/>
      <c r="DL487" s="114"/>
      <c r="DM487" s="118">
        <f t="shared" si="530"/>
        <v>0</v>
      </c>
      <c r="DN487" s="125">
        <v>1.2500000000000001E-2</v>
      </c>
      <c r="DO487" s="118">
        <f t="shared" si="551"/>
        <v>0</v>
      </c>
      <c r="DP487" s="118">
        <f t="shared" si="532"/>
        <v>0</v>
      </c>
      <c r="DQ487" s="114"/>
      <c r="DR487" s="114"/>
      <c r="DS487" s="114"/>
      <c r="DT487" s="114"/>
      <c r="DU487" s="114"/>
      <c r="DV487" s="114"/>
      <c r="DW487" s="114"/>
      <c r="DX487" s="114"/>
      <c r="DY487" s="114"/>
      <c r="DZ487" s="114"/>
      <c r="EA487" s="114"/>
      <c r="EB487" s="114"/>
      <c r="EC487" s="114"/>
      <c r="ED487" s="114"/>
      <c r="EE487" s="114"/>
      <c r="EF487" s="105">
        <v>450</v>
      </c>
      <c r="EG487" s="105">
        <v>4500</v>
      </c>
      <c r="EH487" s="105">
        <v>7.5</v>
      </c>
      <c r="EI487" s="120">
        <v>0.9</v>
      </c>
      <c r="EJ487" s="105">
        <v>1</v>
      </c>
      <c r="EK487" s="105">
        <v>65</v>
      </c>
      <c r="EL487" s="111">
        <f t="shared" si="533"/>
        <v>373.84615384615387</v>
      </c>
      <c r="EM487" s="114"/>
      <c r="EN487" s="114"/>
      <c r="EO487" s="114"/>
      <c r="EP487" s="114"/>
      <c r="EQ487" s="114"/>
      <c r="ER487" s="114"/>
      <c r="ES487" s="114"/>
      <c r="ET487" s="114"/>
      <c r="EU487" s="109">
        <f t="shared" si="552"/>
        <v>12.04</v>
      </c>
      <c r="EV487" s="114"/>
      <c r="EW487" s="114"/>
      <c r="EX487" s="114"/>
      <c r="EY487" s="114"/>
      <c r="EZ487" s="114"/>
      <c r="FA487" s="114"/>
      <c r="FB487" s="114"/>
      <c r="FC487" s="114"/>
      <c r="FD487" s="114"/>
      <c r="FE487" s="114"/>
      <c r="FF487" s="114"/>
      <c r="FG487" s="114"/>
      <c r="FH487" s="114"/>
      <c r="FI487" s="114"/>
      <c r="FJ487" s="114"/>
      <c r="FK487" s="114"/>
      <c r="FL487" s="114"/>
      <c r="FM487" s="114"/>
      <c r="FN487" s="114"/>
      <c r="FO487" s="114"/>
      <c r="FP487" s="114"/>
      <c r="FQ487" s="114"/>
      <c r="FR487" s="114"/>
      <c r="FS487" s="114"/>
      <c r="FT487" s="114"/>
      <c r="FU487" s="114"/>
      <c r="FV487" s="114"/>
      <c r="FW487" s="114"/>
      <c r="FX487" s="114"/>
      <c r="FY487" s="114"/>
      <c r="FZ487" s="114"/>
      <c r="GA487" s="114"/>
      <c r="GB487" s="114"/>
      <c r="GC487" s="114"/>
      <c r="GD487" s="114"/>
      <c r="GE487" s="114"/>
      <c r="GF487" s="114"/>
      <c r="GG487" s="114"/>
      <c r="GH487" s="114"/>
      <c r="GI487" s="114"/>
      <c r="GJ487" s="114"/>
      <c r="GK487" s="114"/>
      <c r="GL487" s="114"/>
      <c r="GM487" s="114"/>
      <c r="GN487" s="114"/>
      <c r="GO487" s="114"/>
      <c r="GP487" s="114"/>
      <c r="GQ487" s="114"/>
      <c r="GR487" s="120">
        <v>0.11</v>
      </c>
      <c r="GS487" s="118">
        <f t="shared" si="553"/>
        <v>4.6499999999999995</v>
      </c>
      <c r="GT487" s="125">
        <v>1.2500000000000001E-2</v>
      </c>
      <c r="GU487" s="118">
        <f t="shared" si="554"/>
        <v>0.53</v>
      </c>
      <c r="GV487" s="120">
        <v>0.02</v>
      </c>
      <c r="GW487" s="118">
        <f t="shared" si="555"/>
        <v>0.25</v>
      </c>
      <c r="GX487" s="118">
        <f t="shared" si="538"/>
        <v>5.43</v>
      </c>
      <c r="GY487" s="114" t="s">
        <v>130</v>
      </c>
      <c r="GZ487" s="114" t="s">
        <v>130</v>
      </c>
      <c r="HA487" s="118">
        <v>810</v>
      </c>
      <c r="HB487" s="118">
        <v>568</v>
      </c>
      <c r="HC487" s="105">
        <v>425</v>
      </c>
      <c r="HD487" s="105">
        <v>10</v>
      </c>
      <c r="HE487" s="105">
        <v>300</v>
      </c>
      <c r="HF487" s="118">
        <f t="shared" si="539"/>
        <v>30</v>
      </c>
      <c r="HG487" s="105">
        <v>5</v>
      </c>
      <c r="HH487" s="118">
        <f t="shared" si="540"/>
        <v>150</v>
      </c>
      <c r="HI487" s="105">
        <v>1100</v>
      </c>
      <c r="HJ487" s="118">
        <f t="shared" si="541"/>
        <v>165000</v>
      </c>
      <c r="HK487" s="114"/>
      <c r="HL487" s="114"/>
      <c r="HM487" s="118">
        <v>2</v>
      </c>
      <c r="HN487" s="126">
        <f t="shared" si="542"/>
        <v>180000</v>
      </c>
      <c r="HO487" s="109">
        <f t="shared" si="556"/>
        <v>0.92</v>
      </c>
      <c r="HP487" s="118">
        <v>160</v>
      </c>
      <c r="HQ487" s="114">
        <v>0</v>
      </c>
      <c r="HR487" s="118">
        <v>0</v>
      </c>
      <c r="HS487" s="118">
        <v>0</v>
      </c>
      <c r="HT487" s="118">
        <f t="shared" si="544"/>
        <v>0</v>
      </c>
      <c r="HU487" s="118"/>
      <c r="HV487" s="118">
        <f t="shared" si="545"/>
        <v>0.92</v>
      </c>
      <c r="HW487" s="118"/>
      <c r="HX487" s="118">
        <v>4200</v>
      </c>
      <c r="HY487" s="118">
        <v>1900</v>
      </c>
      <c r="HZ487" s="118">
        <v>1975</v>
      </c>
      <c r="IA487" s="118">
        <f t="shared" si="547"/>
        <v>5</v>
      </c>
      <c r="IB487" s="118">
        <f t="shared" si="548"/>
        <v>3</v>
      </c>
      <c r="IC487" s="118">
        <f t="shared" si="549"/>
        <v>4</v>
      </c>
      <c r="ID487" s="108">
        <v>0.95</v>
      </c>
      <c r="IE487" s="111">
        <f t="shared" si="557"/>
        <v>57</v>
      </c>
      <c r="IF487" s="118">
        <v>500</v>
      </c>
      <c r="IG487" s="109">
        <f t="shared" si="558"/>
        <v>0.88</v>
      </c>
      <c r="IH487" s="62"/>
    </row>
    <row r="488" spans="1:242">
      <c r="A488">
        <v>468</v>
      </c>
      <c r="B488" t="s">
        <v>468</v>
      </c>
      <c r="C488" s="334" t="s">
        <v>1992</v>
      </c>
      <c r="D488" s="28" t="s">
        <v>1331</v>
      </c>
      <c r="E488" s="28" t="s">
        <v>1332</v>
      </c>
      <c r="F488" s="5" t="s">
        <v>2182</v>
      </c>
      <c r="G488" s="27" t="s">
        <v>90</v>
      </c>
      <c r="I488" s="27" t="s">
        <v>226</v>
      </c>
      <c r="J488" s="28">
        <v>21691</v>
      </c>
      <c r="K488" s="27" t="s">
        <v>404</v>
      </c>
      <c r="L488" s="379"/>
      <c r="Q488" s="13" t="s">
        <v>1782</v>
      </c>
      <c r="R488" s="13" t="s">
        <v>1836</v>
      </c>
      <c r="AA488" s="13" t="s">
        <v>1974</v>
      </c>
      <c r="AB488" s="66">
        <v>101.39</v>
      </c>
      <c r="AC488">
        <v>20</v>
      </c>
      <c r="AD488" s="13" t="s">
        <v>935</v>
      </c>
      <c r="AE488" s="7">
        <f t="shared" si="513"/>
        <v>1.6222400000000001</v>
      </c>
      <c r="AF488" s="7"/>
      <c r="AG488" s="7">
        <f t="shared" si="514"/>
        <v>1.2061403508771931</v>
      </c>
      <c r="AH488" s="7">
        <f t="shared" si="515"/>
        <v>0</v>
      </c>
      <c r="AI488" s="7">
        <f t="shared" si="516"/>
        <v>0</v>
      </c>
      <c r="AJ488" s="7">
        <f t="shared" si="517"/>
        <v>2.4122807017543862E-2</v>
      </c>
      <c r="AK488" s="7">
        <f t="shared" si="518"/>
        <v>3.5354754385964915E-2</v>
      </c>
      <c r="AL488" s="7">
        <f t="shared" si="519"/>
        <v>0.31112183859649123</v>
      </c>
      <c r="AM488" s="7">
        <f t="shared" si="520"/>
        <v>0.14444444444444443</v>
      </c>
      <c r="AN488" s="7">
        <f t="shared" si="521"/>
        <v>0.25</v>
      </c>
      <c r="AO488" s="7">
        <f t="shared" si="522"/>
        <v>0</v>
      </c>
      <c r="AP488" s="7"/>
      <c r="AQ488" s="7">
        <f t="shared" si="523"/>
        <v>3.5934241953216377</v>
      </c>
      <c r="AR488" s="7">
        <f t="shared" si="524"/>
        <v>0</v>
      </c>
      <c r="AS488" s="7">
        <f t="shared" si="525"/>
        <v>0</v>
      </c>
      <c r="AT488" s="7">
        <v>0</v>
      </c>
      <c r="AU488" s="7">
        <v>0</v>
      </c>
      <c r="AV488" s="7">
        <f t="shared" si="526"/>
        <v>3.5934241953216377</v>
      </c>
      <c r="AW488">
        <v>1.6E-2</v>
      </c>
      <c r="AX488">
        <v>1.6E-2</v>
      </c>
      <c r="AY488" s="8">
        <v>1</v>
      </c>
      <c r="AZ488" s="4">
        <f t="shared" si="527"/>
        <v>0</v>
      </c>
      <c r="BA488" s="4">
        <f t="shared" si="528"/>
        <v>1.6222400000000001</v>
      </c>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E488" s="4">
        <v>0</v>
      </c>
      <c r="CF488" s="4">
        <v>0</v>
      </c>
      <c r="CG488" s="4">
        <v>0</v>
      </c>
      <c r="CH488">
        <f t="shared" si="529"/>
        <v>0</v>
      </c>
      <c r="CI488" s="13"/>
      <c r="CK488">
        <v>0</v>
      </c>
      <c r="CL488">
        <v>0</v>
      </c>
      <c r="CM488">
        <f t="shared" si="559"/>
        <v>0</v>
      </c>
      <c r="CN488" s="13"/>
      <c r="CP488">
        <v>0</v>
      </c>
      <c r="CQ488">
        <v>0</v>
      </c>
      <c r="CR488">
        <f t="shared" si="560"/>
        <v>0</v>
      </c>
      <c r="CU488">
        <v>0</v>
      </c>
      <c r="CV488">
        <v>0</v>
      </c>
      <c r="CW488">
        <f t="shared" si="561"/>
        <v>0</v>
      </c>
      <c r="DM488" s="4">
        <f t="shared" si="530"/>
        <v>0</v>
      </c>
      <c r="DN488" s="9">
        <v>1.2500000000000001E-2</v>
      </c>
      <c r="DO488" s="4">
        <f>(DM488*DN488)</f>
        <v>0</v>
      </c>
      <c r="DP488" s="4">
        <f t="shared" si="532"/>
        <v>0</v>
      </c>
      <c r="EF488" s="59">
        <v>120</v>
      </c>
      <c r="EG488" s="59">
        <v>1200</v>
      </c>
      <c r="EH488" s="59">
        <v>8</v>
      </c>
      <c r="EI488" s="8">
        <v>0.95</v>
      </c>
      <c r="EJ488" s="59">
        <v>2</v>
      </c>
      <c r="EK488" s="59">
        <v>55</v>
      </c>
      <c r="EL488" s="65">
        <f t="shared" si="533"/>
        <v>994.90909090909088</v>
      </c>
      <c r="EU488" s="62">
        <f>(EG488/EL488+EM488+EX488+EP488+EQ488+ER488+EO488)</f>
        <v>1.2061403508771931</v>
      </c>
      <c r="GR488" s="8">
        <v>0.11</v>
      </c>
      <c r="GS488" s="4">
        <f>GR488*(BA488+EU488)</f>
        <v>0.31112183859649123</v>
      </c>
      <c r="GT488" s="9">
        <v>1.2500000000000001E-2</v>
      </c>
      <c r="GU488" s="4">
        <f>GT488*(EU488+BA488)</f>
        <v>3.5354754385964915E-2</v>
      </c>
      <c r="GV488" s="8">
        <v>0.02</v>
      </c>
      <c r="GW488" s="4">
        <f>GV488*(EU488-EP488-EQ488)</f>
        <v>2.4122807017543862E-2</v>
      </c>
      <c r="GX488" s="4">
        <f t="shared" si="538"/>
        <v>0.37059940000000002</v>
      </c>
      <c r="GY488" t="s">
        <v>130</v>
      </c>
      <c r="GZ488" t="s">
        <v>130</v>
      </c>
      <c r="HA488" s="4">
        <v>650</v>
      </c>
      <c r="HB488" s="4">
        <v>450</v>
      </c>
      <c r="HC488" s="59">
        <v>245</v>
      </c>
      <c r="HD488" s="59">
        <v>40</v>
      </c>
      <c r="HE488" s="59">
        <v>150</v>
      </c>
      <c r="HF488" s="4">
        <f t="shared" si="539"/>
        <v>4</v>
      </c>
      <c r="HG488" s="59">
        <v>5</v>
      </c>
      <c r="HH488" s="4">
        <f t="shared" si="540"/>
        <v>20</v>
      </c>
      <c r="HI488" s="59">
        <v>650</v>
      </c>
      <c r="HJ488" s="4">
        <f t="shared" si="541"/>
        <v>13000</v>
      </c>
      <c r="HM488" s="4">
        <v>2</v>
      </c>
      <c r="HN488" s="10">
        <f t="shared" si="542"/>
        <v>90000</v>
      </c>
      <c r="HO488" s="62">
        <f>(IF(GY488="carton box",HI488/HD488,HJ488/HN488))</f>
        <v>0.14444444444444443</v>
      </c>
      <c r="HP488" s="4">
        <v>160</v>
      </c>
      <c r="HQ488">
        <v>0</v>
      </c>
      <c r="HR488" s="4">
        <v>0</v>
      </c>
      <c r="HS488" s="4">
        <v>0</v>
      </c>
      <c r="HT488" s="4">
        <f t="shared" si="544"/>
        <v>0</v>
      </c>
      <c r="HU488" s="4"/>
      <c r="HV488" s="4">
        <f t="shared" si="545"/>
        <v>0.14444444444444443</v>
      </c>
      <c r="HW488" s="4"/>
      <c r="HX488" s="4">
        <v>5016</v>
      </c>
      <c r="HY488" s="4">
        <v>1976</v>
      </c>
      <c r="HZ488" s="4">
        <v>2280</v>
      </c>
      <c r="IA488" s="4">
        <f t="shared" si="547"/>
        <v>7</v>
      </c>
      <c r="IB488" s="4">
        <f t="shared" si="548"/>
        <v>4</v>
      </c>
      <c r="IC488" s="4">
        <f t="shared" si="549"/>
        <v>9</v>
      </c>
      <c r="ID488" s="61">
        <v>1</v>
      </c>
      <c r="IE488" s="65">
        <f>PRODUCT(IA488:ID488)-202</f>
        <v>50</v>
      </c>
      <c r="IF488" s="4">
        <v>500</v>
      </c>
      <c r="IG488" s="62">
        <f>IF488/(IE488*HD488)</f>
        <v>0.25</v>
      </c>
      <c r="IH488" s="62"/>
    </row>
    <row r="489" spans="1:242">
      <c r="A489">
        <v>470</v>
      </c>
      <c r="B489" t="s">
        <v>468</v>
      </c>
      <c r="C489" s="278" t="s">
        <v>1993</v>
      </c>
      <c r="D489" s="28" t="s">
        <v>1333</v>
      </c>
      <c r="E489" s="28" t="s">
        <v>1334</v>
      </c>
      <c r="F489" s="5" t="s">
        <v>2182</v>
      </c>
      <c r="G489" s="27" t="s">
        <v>90</v>
      </c>
      <c r="I489" s="27" t="s">
        <v>226</v>
      </c>
      <c r="J489" s="28">
        <v>21691</v>
      </c>
      <c r="K489" s="27" t="s">
        <v>404</v>
      </c>
      <c r="L489" s="240"/>
      <c r="M489" s="114"/>
      <c r="N489" s="115"/>
      <c r="O489" s="115"/>
      <c r="P489" s="115"/>
      <c r="Q489" s="13" t="s">
        <v>1782</v>
      </c>
      <c r="R489" s="13" t="s">
        <v>1836</v>
      </c>
      <c r="V489" s="319"/>
      <c r="W489" s="115"/>
      <c r="X489" s="115"/>
      <c r="Y489" s="115"/>
      <c r="Z489" s="115"/>
      <c r="AA489" s="115" t="s">
        <v>1974</v>
      </c>
      <c r="AB489" s="351">
        <v>101.39</v>
      </c>
      <c r="AC489" s="114">
        <v>20</v>
      </c>
      <c r="AD489" s="115" t="s">
        <v>935</v>
      </c>
      <c r="AE489" s="119">
        <f t="shared" si="513"/>
        <v>1.6222400000000001</v>
      </c>
      <c r="AF489" s="119"/>
      <c r="AG489" s="119">
        <f t="shared" si="514"/>
        <v>1.2061403508771931</v>
      </c>
      <c r="AH489" s="119">
        <f t="shared" si="515"/>
        <v>0</v>
      </c>
      <c r="AI489" s="119">
        <f t="shared" si="516"/>
        <v>0</v>
      </c>
      <c r="AJ489" s="119">
        <f t="shared" si="517"/>
        <v>2.4122807017543862E-2</v>
      </c>
      <c r="AK489" s="119">
        <f t="shared" si="518"/>
        <v>3.5354754385964915E-2</v>
      </c>
      <c r="AL489" s="119">
        <f t="shared" si="519"/>
        <v>0.31112183859649123</v>
      </c>
      <c r="AM489" s="119">
        <f t="shared" si="520"/>
        <v>0.14444444444444443</v>
      </c>
      <c r="AN489" s="119">
        <f t="shared" si="521"/>
        <v>0.25</v>
      </c>
      <c r="AO489" s="119">
        <f t="shared" si="522"/>
        <v>0</v>
      </c>
      <c r="AP489" s="119"/>
      <c r="AQ489" s="119">
        <f t="shared" si="523"/>
        <v>3.5934241953216377</v>
      </c>
      <c r="AR489" s="119">
        <f t="shared" si="524"/>
        <v>0</v>
      </c>
      <c r="AS489" s="119">
        <f t="shared" si="525"/>
        <v>0</v>
      </c>
      <c r="AT489" s="119">
        <v>0</v>
      </c>
      <c r="AU489" s="119">
        <v>0</v>
      </c>
      <c r="AV489" s="119">
        <f t="shared" si="526"/>
        <v>3.5934241953216377</v>
      </c>
      <c r="AW489" s="114">
        <v>1.6E-2</v>
      </c>
      <c r="AX489" s="114">
        <v>1.6E-2</v>
      </c>
      <c r="AY489" s="120">
        <v>1</v>
      </c>
      <c r="AZ489" s="118">
        <f t="shared" si="527"/>
        <v>0</v>
      </c>
      <c r="BA489" s="118">
        <f t="shared" si="528"/>
        <v>1.6222400000000001</v>
      </c>
      <c r="BB489" s="118"/>
      <c r="BC489" s="118"/>
      <c r="BD489" s="118"/>
      <c r="BE489" s="118"/>
      <c r="BF489" s="118"/>
      <c r="BG489" s="118"/>
      <c r="BH489" s="118"/>
      <c r="BI489" s="118"/>
      <c r="BJ489" s="118"/>
      <c r="BK489" s="118"/>
      <c r="BL489" s="118"/>
      <c r="BM489" s="118"/>
      <c r="BN489" s="118"/>
      <c r="BO489" s="118"/>
      <c r="BP489" s="118"/>
      <c r="BQ489" s="118"/>
      <c r="BR489" s="118"/>
      <c r="BS489" s="118"/>
      <c r="BT489" s="118"/>
      <c r="BU489" s="118"/>
      <c r="BV489" s="118"/>
      <c r="BW489" s="118"/>
      <c r="BX489" s="118"/>
      <c r="BY489" s="118"/>
      <c r="BZ489" s="118"/>
      <c r="CA489" s="118"/>
      <c r="CB489" s="118"/>
      <c r="CC489" s="118"/>
      <c r="CD489" s="114"/>
      <c r="CE489" s="118">
        <v>0</v>
      </c>
      <c r="CF489" s="118">
        <v>0</v>
      </c>
      <c r="CG489" s="118">
        <v>0</v>
      </c>
      <c r="CH489" s="114">
        <f t="shared" si="529"/>
        <v>0</v>
      </c>
      <c r="CI489" s="115"/>
      <c r="CJ489" s="114"/>
      <c r="CK489" s="114">
        <v>0</v>
      </c>
      <c r="CL489" s="114">
        <v>0</v>
      </c>
      <c r="CM489" s="114">
        <f t="shared" si="559"/>
        <v>0</v>
      </c>
      <c r="CN489" s="115"/>
      <c r="CO489" s="114"/>
      <c r="CP489" s="114">
        <v>0</v>
      </c>
      <c r="CQ489" s="114">
        <v>0</v>
      </c>
      <c r="CR489" s="114">
        <f t="shared" si="560"/>
        <v>0</v>
      </c>
      <c r="CS489" s="114"/>
      <c r="CT489" s="114"/>
      <c r="CU489" s="114">
        <v>0</v>
      </c>
      <c r="CV489" s="114">
        <v>0</v>
      </c>
      <c r="CW489" s="114">
        <f t="shared" si="561"/>
        <v>0</v>
      </c>
      <c r="CX489" s="114"/>
      <c r="CY489" s="114"/>
      <c r="CZ489" s="114"/>
      <c r="DA489" s="114"/>
      <c r="DB489" s="114"/>
      <c r="DC489" s="114"/>
      <c r="DD489" s="114"/>
      <c r="DE489" s="114"/>
      <c r="DF489" s="114"/>
      <c r="DG489" s="114"/>
      <c r="DH489" s="114"/>
      <c r="DI489" s="114"/>
      <c r="DJ489" s="114"/>
      <c r="DK489" s="114"/>
      <c r="DL489" s="114"/>
      <c r="DM489" s="118">
        <f t="shared" si="530"/>
        <v>0</v>
      </c>
      <c r="DN489" s="125">
        <v>1.2500000000000001E-2</v>
      </c>
      <c r="DO489" s="118">
        <f>(DM489*DN489)</f>
        <v>0</v>
      </c>
      <c r="DP489" s="118">
        <f t="shared" si="532"/>
        <v>0</v>
      </c>
      <c r="DQ489" s="114"/>
      <c r="DR489" s="114"/>
      <c r="DS489" s="114"/>
      <c r="DT489" s="114"/>
      <c r="DU489" s="114"/>
      <c r="DV489" s="114"/>
      <c r="DW489" s="114"/>
      <c r="DX489" s="114"/>
      <c r="DY489" s="114"/>
      <c r="DZ489" s="114"/>
      <c r="EA489" s="114"/>
      <c r="EB489" s="114"/>
      <c r="EC489" s="114"/>
      <c r="ED489" s="114"/>
      <c r="EE489" s="114"/>
      <c r="EF489" s="105">
        <v>120</v>
      </c>
      <c r="EG489" s="105">
        <v>1200</v>
      </c>
      <c r="EH489" s="105">
        <v>8</v>
      </c>
      <c r="EI489" s="120">
        <v>0.95</v>
      </c>
      <c r="EJ489" s="105">
        <v>2</v>
      </c>
      <c r="EK489" s="105">
        <v>55</v>
      </c>
      <c r="EL489" s="111">
        <f t="shared" si="533"/>
        <v>994.90909090909088</v>
      </c>
      <c r="EM489" s="114"/>
      <c r="EN489" s="114"/>
      <c r="EO489" s="114"/>
      <c r="EP489" s="114"/>
      <c r="EQ489" s="114"/>
      <c r="ER489" s="114"/>
      <c r="ES489" s="114"/>
      <c r="ET489" s="114"/>
      <c r="EU489" s="109">
        <f>(EG489/EL489+EM489+EX489+EP489+EQ489+ER489+EO489)</f>
        <v>1.2061403508771931</v>
      </c>
      <c r="EV489" s="114"/>
      <c r="EW489" s="114"/>
      <c r="EX489" s="114"/>
      <c r="EY489" s="114"/>
      <c r="EZ489" s="114"/>
      <c r="FA489" s="114"/>
      <c r="FB489" s="114"/>
      <c r="FC489" s="114"/>
      <c r="FD489" s="114"/>
      <c r="FE489" s="114"/>
      <c r="FF489" s="114"/>
      <c r="FG489" s="114"/>
      <c r="FH489" s="114"/>
      <c r="FI489" s="114"/>
      <c r="FJ489" s="114"/>
      <c r="FK489" s="114"/>
      <c r="FL489" s="114"/>
      <c r="FM489" s="114"/>
      <c r="FN489" s="114"/>
      <c r="FO489" s="114"/>
      <c r="FP489" s="114"/>
      <c r="FQ489" s="114"/>
      <c r="FR489" s="114"/>
      <c r="FS489" s="114"/>
      <c r="FT489" s="114"/>
      <c r="FU489" s="114"/>
      <c r="FV489" s="114"/>
      <c r="FW489" s="114"/>
      <c r="FX489" s="114"/>
      <c r="FY489" s="114"/>
      <c r="FZ489" s="114"/>
      <c r="GA489" s="114"/>
      <c r="GB489" s="114"/>
      <c r="GC489" s="114"/>
      <c r="GD489" s="114"/>
      <c r="GE489" s="114"/>
      <c r="GF489" s="114"/>
      <c r="GG489" s="114"/>
      <c r="GH489" s="114"/>
      <c r="GI489" s="114"/>
      <c r="GJ489" s="114"/>
      <c r="GK489" s="114"/>
      <c r="GL489" s="114"/>
      <c r="GM489" s="114"/>
      <c r="GN489" s="114"/>
      <c r="GO489" s="114"/>
      <c r="GP489" s="114"/>
      <c r="GQ489" s="114"/>
      <c r="GR489" s="120">
        <v>0.11</v>
      </c>
      <c r="GS489" s="118">
        <f>GR489*(BA489+EU489)</f>
        <v>0.31112183859649123</v>
      </c>
      <c r="GT489" s="125">
        <v>1.2500000000000001E-2</v>
      </c>
      <c r="GU489" s="118">
        <f>GT489*(EU489+BA489)</f>
        <v>3.5354754385964915E-2</v>
      </c>
      <c r="GV489" s="120">
        <v>0.02</v>
      </c>
      <c r="GW489" s="118">
        <f>GV489*(EU489-EP489-EQ489)</f>
        <v>2.4122807017543862E-2</v>
      </c>
      <c r="GX489" s="118">
        <f t="shared" si="538"/>
        <v>0.37059940000000002</v>
      </c>
      <c r="GY489" s="114" t="s">
        <v>130</v>
      </c>
      <c r="GZ489" s="114" t="s">
        <v>130</v>
      </c>
      <c r="HA489" s="118">
        <v>650</v>
      </c>
      <c r="HB489" s="118">
        <v>450</v>
      </c>
      <c r="HC489" s="105">
        <v>245</v>
      </c>
      <c r="HD489" s="105">
        <v>40</v>
      </c>
      <c r="HE489" s="105">
        <v>150</v>
      </c>
      <c r="HF489" s="118">
        <f t="shared" si="539"/>
        <v>4</v>
      </c>
      <c r="HG489" s="105">
        <v>5</v>
      </c>
      <c r="HH489" s="118">
        <f t="shared" si="540"/>
        <v>20</v>
      </c>
      <c r="HI489" s="105">
        <v>650</v>
      </c>
      <c r="HJ489" s="118">
        <f t="shared" si="541"/>
        <v>13000</v>
      </c>
      <c r="HK489" s="114"/>
      <c r="HL489" s="114"/>
      <c r="HM489" s="118">
        <v>2</v>
      </c>
      <c r="HN489" s="126">
        <f t="shared" si="542"/>
        <v>90000</v>
      </c>
      <c r="HO489" s="109">
        <f>(IF(GY489="carton box",HI489/HD489,HJ489/HN489))</f>
        <v>0.14444444444444443</v>
      </c>
      <c r="HP489" s="118">
        <v>160</v>
      </c>
      <c r="HQ489" s="114">
        <v>0</v>
      </c>
      <c r="HR489" s="118">
        <v>0</v>
      </c>
      <c r="HS489" s="118">
        <v>0</v>
      </c>
      <c r="HT489" s="118">
        <f t="shared" si="544"/>
        <v>0</v>
      </c>
      <c r="HU489" s="118"/>
      <c r="HV489" s="118">
        <f t="shared" si="545"/>
        <v>0.14444444444444443</v>
      </c>
      <c r="HW489" s="118"/>
      <c r="HX489" s="118">
        <v>5016</v>
      </c>
      <c r="HY489" s="118">
        <v>1976</v>
      </c>
      <c r="HZ489" s="118">
        <v>2280</v>
      </c>
      <c r="IA489" s="118">
        <f t="shared" si="547"/>
        <v>7</v>
      </c>
      <c r="IB489" s="118">
        <f t="shared" si="548"/>
        <v>4</v>
      </c>
      <c r="IC489" s="118">
        <f t="shared" si="549"/>
        <v>9</v>
      </c>
      <c r="ID489" s="108">
        <v>1</v>
      </c>
      <c r="IE489" s="111">
        <f>PRODUCT(IA489:ID489)-202</f>
        <v>50</v>
      </c>
      <c r="IF489" s="118">
        <v>500</v>
      </c>
      <c r="IG489" s="109">
        <f>IF489/(IE489*HD489)</f>
        <v>0.25</v>
      </c>
      <c r="IH489" s="62"/>
    </row>
    <row r="490" spans="1:242" ht="30">
      <c r="A490">
        <v>472</v>
      </c>
      <c r="B490" t="s">
        <v>468</v>
      </c>
      <c r="C490" s="373" t="s">
        <v>1994</v>
      </c>
      <c r="D490" s="28" t="s">
        <v>1335</v>
      </c>
      <c r="E490" s="28" t="s">
        <v>1336</v>
      </c>
      <c r="F490" s="5" t="s">
        <v>2182</v>
      </c>
      <c r="G490" s="27" t="s">
        <v>90</v>
      </c>
      <c r="I490" s="27" t="s">
        <v>226</v>
      </c>
      <c r="J490" s="28">
        <v>21590</v>
      </c>
      <c r="K490" s="27" t="s">
        <v>397</v>
      </c>
      <c r="L490" s="379"/>
      <c r="Q490" s="13" t="s">
        <v>1890</v>
      </c>
      <c r="R490" s="13" t="s">
        <v>1836</v>
      </c>
      <c r="W490" s="53" t="s">
        <v>1995</v>
      </c>
      <c r="X490" s="53"/>
      <c r="Y490" s="53"/>
      <c r="Z490" s="53"/>
      <c r="AA490" s="13" t="s">
        <v>469</v>
      </c>
      <c r="AB490" s="57">
        <v>105.9</v>
      </c>
      <c r="AC490">
        <v>20</v>
      </c>
      <c r="AD490" s="13" t="s">
        <v>1982</v>
      </c>
      <c r="AE490" s="7">
        <f t="shared" si="513"/>
        <v>0.63540000000000008</v>
      </c>
      <c r="AF490" s="7"/>
      <c r="AG490" s="7">
        <f t="shared" si="514"/>
        <v>10.19</v>
      </c>
      <c r="AH490" s="7">
        <f t="shared" si="515"/>
        <v>2</v>
      </c>
      <c r="AI490" s="7">
        <f t="shared" si="516"/>
        <v>0.03</v>
      </c>
      <c r="AJ490" s="7">
        <f t="shared" si="517"/>
        <v>0.21000000000000002</v>
      </c>
      <c r="AK490" s="7">
        <f t="shared" si="518"/>
        <v>0.14000000000000001</v>
      </c>
      <c r="AL490" s="7">
        <f t="shared" si="519"/>
        <v>1.2</v>
      </c>
      <c r="AM490" s="7">
        <f t="shared" si="520"/>
        <v>9.9999999999999992E-2</v>
      </c>
      <c r="AN490" s="7">
        <f t="shared" si="521"/>
        <v>0.01</v>
      </c>
      <c r="AO490" s="7">
        <f t="shared" si="522"/>
        <v>0</v>
      </c>
      <c r="AP490" s="7"/>
      <c r="AQ490" s="7">
        <f t="shared" si="523"/>
        <v>14.5154</v>
      </c>
      <c r="AR490" s="7">
        <f t="shared" si="524"/>
        <v>0</v>
      </c>
      <c r="AS490" s="7">
        <f t="shared" si="525"/>
        <v>0</v>
      </c>
      <c r="AT490" s="7">
        <v>0</v>
      </c>
      <c r="AU490" s="7">
        <f>14.81-14.52</f>
        <v>0.29000000000000092</v>
      </c>
      <c r="AV490" s="7">
        <f t="shared" si="526"/>
        <v>14.805400000000001</v>
      </c>
      <c r="AW490">
        <v>6.0000000000000001E-3</v>
      </c>
      <c r="AX490">
        <v>6.0000000000000001E-3</v>
      </c>
      <c r="AY490" s="8">
        <v>0</v>
      </c>
      <c r="AZ490" s="4">
        <f t="shared" si="527"/>
        <v>0</v>
      </c>
      <c r="BA490" s="4">
        <f t="shared" si="528"/>
        <v>0.63540000000000008</v>
      </c>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E490" s="4">
        <v>0</v>
      </c>
      <c r="CF490" s="4">
        <v>1</v>
      </c>
      <c r="CG490" s="4">
        <v>2</v>
      </c>
      <c r="CH490">
        <f t="shared" si="529"/>
        <v>2</v>
      </c>
      <c r="DM490" s="4">
        <f t="shared" si="530"/>
        <v>2</v>
      </c>
      <c r="DN490" s="9">
        <v>1.2500000000000001E-2</v>
      </c>
      <c r="DO490" s="4">
        <f>ROUNDUP((DM490*DN490),2)</f>
        <v>0.03</v>
      </c>
      <c r="DP490" s="4">
        <f t="shared" si="532"/>
        <v>2.0299999999999998</v>
      </c>
      <c r="EF490" s="59">
        <v>660</v>
      </c>
      <c r="EG490" s="59">
        <v>6600</v>
      </c>
      <c r="EH490" s="59">
        <v>7.5</v>
      </c>
      <c r="EI490" s="8">
        <v>0.9</v>
      </c>
      <c r="EJ490" s="59">
        <v>2</v>
      </c>
      <c r="EK490" s="59">
        <v>75</v>
      </c>
      <c r="EL490" s="65">
        <f t="shared" si="533"/>
        <v>648</v>
      </c>
      <c r="EU490" s="62">
        <f>ROUNDUP((EG490/EL490+EM490+EX490+EP490+EQ490+ER490+EO490),2)</f>
        <v>10.19</v>
      </c>
      <c r="GR490" s="8">
        <v>0.11</v>
      </c>
      <c r="GS490" s="4">
        <f>ROUNDUP(GR490*(BA490+EU490),2)</f>
        <v>1.2</v>
      </c>
      <c r="GT490" s="9">
        <v>1.2500000000000001E-2</v>
      </c>
      <c r="GU490" s="4">
        <f>ROUNDUP(GT490*(EU490+BA490),2)</f>
        <v>0.14000000000000001</v>
      </c>
      <c r="GV490" s="8">
        <v>0.02</v>
      </c>
      <c r="GW490" s="4">
        <f>ROUNDUP(GV490*(EU490-EP490-EQ490),2)</f>
        <v>0.21000000000000002</v>
      </c>
      <c r="GX490" s="4">
        <f t="shared" si="538"/>
        <v>1.5499999999999998</v>
      </c>
      <c r="GY490" t="s">
        <v>130</v>
      </c>
      <c r="GZ490" t="s">
        <v>130</v>
      </c>
      <c r="HA490" s="4">
        <v>650</v>
      </c>
      <c r="HB490" s="4">
        <v>450</v>
      </c>
      <c r="HC490" s="59">
        <v>330</v>
      </c>
      <c r="HD490" s="59">
        <v>500</v>
      </c>
      <c r="HE490" s="59">
        <v>60</v>
      </c>
      <c r="HF490" s="4">
        <f t="shared" si="539"/>
        <v>1</v>
      </c>
      <c r="HG490" s="59">
        <v>5</v>
      </c>
      <c r="HH490" s="4">
        <f t="shared" si="540"/>
        <v>5</v>
      </c>
      <c r="HI490" s="59">
        <v>650</v>
      </c>
      <c r="HJ490" s="4">
        <f t="shared" si="541"/>
        <v>3250</v>
      </c>
      <c r="HM490" s="4">
        <v>2</v>
      </c>
      <c r="HN490" s="10">
        <f t="shared" si="542"/>
        <v>36000</v>
      </c>
      <c r="HO490" s="62">
        <f>ROUNDUP((IF(GY490="carton box",HI490/HD490,HJ490/HN490)),2)</f>
        <v>9.9999999999999992E-2</v>
      </c>
      <c r="HP490" s="4">
        <v>160</v>
      </c>
      <c r="HQ490">
        <v>0</v>
      </c>
      <c r="HR490" s="4">
        <v>0</v>
      </c>
      <c r="HS490" s="4">
        <v>0</v>
      </c>
      <c r="HT490" s="4">
        <f t="shared" si="544"/>
        <v>0</v>
      </c>
      <c r="HU490" s="4"/>
      <c r="HV490" s="4">
        <f t="shared" si="545"/>
        <v>9.9999999999999992E-2</v>
      </c>
      <c r="HW490" s="4"/>
      <c r="HX490" s="4">
        <v>4200</v>
      </c>
      <c r="HY490" s="4">
        <v>1900</v>
      </c>
      <c r="HZ490" s="4">
        <v>1975</v>
      </c>
      <c r="IA490" s="4">
        <f t="shared" si="547"/>
        <v>6</v>
      </c>
      <c r="IB490" s="4">
        <f t="shared" si="548"/>
        <v>4</v>
      </c>
      <c r="IC490" s="4">
        <f t="shared" si="549"/>
        <v>5</v>
      </c>
      <c r="ID490" s="61">
        <v>0.95</v>
      </c>
      <c r="IE490" s="65">
        <f>PRODUCT(IA490:ID490)</f>
        <v>114</v>
      </c>
      <c r="IF490" s="4">
        <v>500</v>
      </c>
      <c r="IG490" s="62">
        <f>ROUNDUP(IF490/(IE490*HD490),2)</f>
        <v>0.01</v>
      </c>
      <c r="IH490" s="62"/>
    </row>
    <row r="491" spans="1:242">
      <c r="A491">
        <v>475</v>
      </c>
      <c r="B491" t="s">
        <v>468</v>
      </c>
      <c r="C491" s="278" t="s">
        <v>1996</v>
      </c>
      <c r="D491" s="28" t="s">
        <v>1337</v>
      </c>
      <c r="E491" s="28" t="s">
        <v>1338</v>
      </c>
      <c r="F491" s="5" t="s">
        <v>2182</v>
      </c>
      <c r="G491" s="27" t="s">
        <v>90</v>
      </c>
      <c r="I491" s="27" t="s">
        <v>226</v>
      </c>
      <c r="J491" s="28">
        <v>21590</v>
      </c>
      <c r="K491" s="27" t="s">
        <v>397</v>
      </c>
      <c r="L491" s="379"/>
      <c r="Q491" s="13" t="s">
        <v>1890</v>
      </c>
      <c r="R491" s="13" t="s">
        <v>1836</v>
      </c>
      <c r="W491" s="13" t="s">
        <v>1986</v>
      </c>
      <c r="AA491" s="13" t="s">
        <v>469</v>
      </c>
      <c r="AB491" s="57">
        <v>105.9</v>
      </c>
      <c r="AC491">
        <v>20</v>
      </c>
      <c r="AD491" s="13" t="s">
        <v>1982</v>
      </c>
      <c r="AE491" s="7">
        <f t="shared" si="513"/>
        <v>33.252600000000001</v>
      </c>
      <c r="AF491" s="7"/>
      <c r="AG491" s="7">
        <f t="shared" si="514"/>
        <v>10.01</v>
      </c>
      <c r="AH491" s="7">
        <f t="shared" si="515"/>
        <v>3.86</v>
      </c>
      <c r="AI491" s="7">
        <f t="shared" si="516"/>
        <v>0.05</v>
      </c>
      <c r="AJ491" s="7">
        <f t="shared" si="517"/>
        <v>0.21000000000000002</v>
      </c>
      <c r="AK491" s="7">
        <f t="shared" si="518"/>
        <v>0.55000000000000004</v>
      </c>
      <c r="AL491" s="7">
        <f t="shared" si="519"/>
        <v>4.76</v>
      </c>
      <c r="AM491" s="7">
        <f t="shared" si="520"/>
        <v>0.39</v>
      </c>
      <c r="AN491" s="7">
        <f t="shared" si="521"/>
        <v>0.36</v>
      </c>
      <c r="AO491" s="7">
        <f t="shared" si="522"/>
        <v>0</v>
      </c>
      <c r="AP491" s="7"/>
      <c r="AQ491" s="7">
        <f t="shared" si="523"/>
        <v>53.442599999999992</v>
      </c>
      <c r="AR491" s="7">
        <f t="shared" si="524"/>
        <v>0</v>
      </c>
      <c r="AS491" s="7">
        <f t="shared" si="525"/>
        <v>0</v>
      </c>
      <c r="AT491" s="7">
        <v>0</v>
      </c>
      <c r="AU491" s="7">
        <f>53.48-53.44</f>
        <v>3.9999999999999147E-2</v>
      </c>
      <c r="AV491" s="7">
        <f t="shared" si="526"/>
        <v>53.482599999999991</v>
      </c>
      <c r="AW491">
        <v>0.314</v>
      </c>
      <c r="AX491">
        <v>0.314</v>
      </c>
      <c r="AY491" s="8">
        <v>0</v>
      </c>
      <c r="AZ491" s="4">
        <f t="shared" si="527"/>
        <v>0</v>
      </c>
      <c r="BA491" s="4">
        <f t="shared" si="528"/>
        <v>33.252600000000001</v>
      </c>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E491" s="4">
        <v>0</v>
      </c>
      <c r="CF491" s="4">
        <v>1</v>
      </c>
      <c r="CG491" s="4">
        <v>3.86</v>
      </c>
      <c r="CH491">
        <f t="shared" si="529"/>
        <v>3.86</v>
      </c>
      <c r="DM491" s="4">
        <f t="shared" si="530"/>
        <v>3.86</v>
      </c>
      <c r="DN491" s="9">
        <v>1.2500000000000001E-2</v>
      </c>
      <c r="DO491" s="4">
        <f>ROUNDUP((DM491*DN491),2)</f>
        <v>0.05</v>
      </c>
      <c r="DP491" s="4">
        <f t="shared" si="532"/>
        <v>3.9099999999999997</v>
      </c>
      <c r="EF491" s="59">
        <v>660</v>
      </c>
      <c r="EG491" s="59">
        <v>6600</v>
      </c>
      <c r="EH491" s="59">
        <v>7.5</v>
      </c>
      <c r="EI491" s="8">
        <v>0.9</v>
      </c>
      <c r="EJ491" s="59">
        <v>2</v>
      </c>
      <c r="EK491" s="59">
        <v>70</v>
      </c>
      <c r="EL491" s="65">
        <f t="shared" si="533"/>
        <v>694.28571428571433</v>
      </c>
      <c r="EU491" s="62">
        <f>ROUNDUP((EG491/EL491+EM491+EX491+EP491+EQ491+ER491+EO491),2)</f>
        <v>10.01</v>
      </c>
      <c r="EX491" s="4">
        <v>0.5</v>
      </c>
      <c r="GR491" s="8">
        <v>0.11</v>
      </c>
      <c r="GS491" s="4">
        <f>ROUNDUP(GR491*(BA491+EU491),2)</f>
        <v>4.76</v>
      </c>
      <c r="GT491" s="9">
        <v>1.2500000000000001E-2</v>
      </c>
      <c r="GU491" s="4">
        <f>ROUNDUP(GT491*(EU491+BA491),2)</f>
        <v>0.55000000000000004</v>
      </c>
      <c r="GV491" s="8">
        <v>0.02</v>
      </c>
      <c r="GW491" s="4">
        <f>ROUNDUP(GV491*(EU491-EP491-EQ491),2)</f>
        <v>0.21000000000000002</v>
      </c>
      <c r="GX491" s="4">
        <f t="shared" si="538"/>
        <v>5.52</v>
      </c>
      <c r="GY491" t="s">
        <v>130</v>
      </c>
      <c r="GZ491" t="s">
        <v>130</v>
      </c>
      <c r="HA491" s="4">
        <v>810</v>
      </c>
      <c r="HB491" s="4">
        <v>568</v>
      </c>
      <c r="HC491" s="59">
        <v>425</v>
      </c>
      <c r="HD491" s="59">
        <v>25</v>
      </c>
      <c r="HE491" s="59">
        <v>240</v>
      </c>
      <c r="HF491" s="4">
        <f t="shared" si="539"/>
        <v>10</v>
      </c>
      <c r="HG491" s="59">
        <v>5</v>
      </c>
      <c r="HH491" s="4">
        <f t="shared" si="540"/>
        <v>50</v>
      </c>
      <c r="HI491" s="59">
        <v>1100</v>
      </c>
      <c r="HJ491" s="4">
        <f t="shared" si="541"/>
        <v>55000</v>
      </c>
      <c r="HM491" s="4">
        <v>2</v>
      </c>
      <c r="HN491" s="10">
        <f t="shared" si="542"/>
        <v>144000</v>
      </c>
      <c r="HO491" s="62">
        <f>ROUNDUP((IF(GY491="carton box",HI491/HD491,HJ491/HN491)),2)</f>
        <v>0.39</v>
      </c>
      <c r="HP491" s="4">
        <v>160</v>
      </c>
      <c r="HQ491">
        <v>0</v>
      </c>
      <c r="HR491" s="4">
        <v>0</v>
      </c>
      <c r="HS491" s="4">
        <v>0</v>
      </c>
      <c r="HT491" s="4">
        <f t="shared" si="544"/>
        <v>0</v>
      </c>
      <c r="HU491" s="4"/>
      <c r="HV491" s="4">
        <f t="shared" si="545"/>
        <v>0.39</v>
      </c>
      <c r="HW491" s="4"/>
      <c r="HX491" s="4">
        <v>4200</v>
      </c>
      <c r="HY491" s="4">
        <v>1900</v>
      </c>
      <c r="HZ491" s="4">
        <v>1975</v>
      </c>
      <c r="IA491" s="4">
        <f t="shared" si="547"/>
        <v>5</v>
      </c>
      <c r="IB491" s="4">
        <f t="shared" si="548"/>
        <v>3</v>
      </c>
      <c r="IC491" s="4">
        <f t="shared" si="549"/>
        <v>4</v>
      </c>
      <c r="ID491" s="61">
        <v>0.95</v>
      </c>
      <c r="IE491" s="65">
        <f>PRODUCT(IA491:ID491)</f>
        <v>57</v>
      </c>
      <c r="IF491" s="4">
        <v>500</v>
      </c>
      <c r="IG491" s="62">
        <f>ROUNDUP(IF491/(IE491*HD491),2)</f>
        <v>0.36</v>
      </c>
      <c r="IH491" s="62"/>
    </row>
    <row r="492" spans="1:242">
      <c r="A492">
        <v>476</v>
      </c>
      <c r="B492" t="s">
        <v>468</v>
      </c>
      <c r="C492" s="278" t="s">
        <v>1997</v>
      </c>
      <c r="D492" s="28" t="s">
        <v>1339</v>
      </c>
      <c r="E492" s="28" t="s">
        <v>339</v>
      </c>
      <c r="F492" s="5" t="s">
        <v>2182</v>
      </c>
      <c r="G492" s="27" t="s">
        <v>90</v>
      </c>
      <c r="I492" s="27" t="s">
        <v>226</v>
      </c>
      <c r="J492" s="28">
        <v>21691</v>
      </c>
      <c r="K492" s="27" t="s">
        <v>404</v>
      </c>
      <c r="L492" s="240"/>
      <c r="M492" s="114"/>
      <c r="N492" s="115"/>
      <c r="O492" s="115"/>
      <c r="P492" s="115"/>
      <c r="Q492" s="13" t="s">
        <v>1782</v>
      </c>
      <c r="R492" s="13" t="s">
        <v>1836</v>
      </c>
      <c r="V492" s="319"/>
      <c r="W492" s="238" t="s">
        <v>1973</v>
      </c>
      <c r="X492" s="238"/>
      <c r="Y492" s="238"/>
      <c r="Z492" s="238"/>
      <c r="AA492" s="115" t="s">
        <v>1998</v>
      </c>
      <c r="AB492" s="121">
        <v>92.84</v>
      </c>
      <c r="AC492" s="114">
        <v>20</v>
      </c>
      <c r="AD492" s="115" t="s">
        <v>935</v>
      </c>
      <c r="AE492" s="119">
        <f t="shared" si="513"/>
        <v>23.541360000000001</v>
      </c>
      <c r="AF492" s="119"/>
      <c r="AG492" s="119">
        <f t="shared" si="514"/>
        <v>7.0175438596491224</v>
      </c>
      <c r="AH492" s="119">
        <f t="shared" si="515"/>
        <v>2.4500000000000002</v>
      </c>
      <c r="AI492" s="119">
        <f t="shared" si="516"/>
        <v>3.0625000000000003E-2</v>
      </c>
      <c r="AJ492" s="119">
        <f t="shared" si="517"/>
        <v>0.14035087719298245</v>
      </c>
      <c r="AK492" s="119">
        <f t="shared" si="518"/>
        <v>0.38198629824561409</v>
      </c>
      <c r="AL492" s="119">
        <f t="shared" si="519"/>
        <v>3.3614794245614035</v>
      </c>
      <c r="AM492" s="119">
        <f t="shared" si="520"/>
        <v>2.1666666666666665</v>
      </c>
      <c r="AN492" s="119">
        <f t="shared" si="521"/>
        <v>1.4285714285714286</v>
      </c>
      <c r="AO492" s="119">
        <f t="shared" si="522"/>
        <v>0</v>
      </c>
      <c r="AP492" s="119"/>
      <c r="AQ492" s="119">
        <f t="shared" si="523"/>
        <v>40.518583554887215</v>
      </c>
      <c r="AR492" s="119">
        <f t="shared" si="524"/>
        <v>0</v>
      </c>
      <c r="AS492" s="119">
        <f t="shared" si="525"/>
        <v>0</v>
      </c>
      <c r="AT492" s="119">
        <v>0</v>
      </c>
      <c r="AU492" s="119">
        <f>40.61-40.52</f>
        <v>8.9999999999996305E-2</v>
      </c>
      <c r="AV492" s="119">
        <f t="shared" si="526"/>
        <v>40.608583554887211</v>
      </c>
      <c r="AW492" s="114">
        <v>0.254</v>
      </c>
      <c r="AX492" s="114">
        <v>0.252</v>
      </c>
      <c r="AY492" s="120">
        <v>1</v>
      </c>
      <c r="AZ492" s="118">
        <f t="shared" si="527"/>
        <v>2.0000000000000018E-3</v>
      </c>
      <c r="BA492" s="118">
        <f t="shared" si="528"/>
        <v>23.541360000000001</v>
      </c>
      <c r="BB492" s="118"/>
      <c r="BC492" s="118"/>
      <c r="BD492" s="118"/>
      <c r="BE492" s="118"/>
      <c r="BF492" s="118"/>
      <c r="BG492" s="118"/>
      <c r="BH492" s="118"/>
      <c r="BI492" s="118"/>
      <c r="BJ492" s="118"/>
      <c r="BK492" s="118"/>
      <c r="BL492" s="118"/>
      <c r="BM492" s="118"/>
      <c r="BN492" s="118"/>
      <c r="BO492" s="118"/>
      <c r="BP492" s="118"/>
      <c r="BQ492" s="118"/>
      <c r="BR492" s="118"/>
      <c r="BS492" s="118"/>
      <c r="BT492" s="118"/>
      <c r="BU492" s="118"/>
      <c r="BV492" s="118"/>
      <c r="BW492" s="118"/>
      <c r="BX492" s="118"/>
      <c r="BY492" s="118"/>
      <c r="BZ492" s="118"/>
      <c r="CA492" s="118"/>
      <c r="CB492" s="118"/>
      <c r="CC492" s="118"/>
      <c r="CD492" s="114"/>
      <c r="CE492" s="118">
        <v>0</v>
      </c>
      <c r="CF492" s="118">
        <v>1</v>
      </c>
      <c r="CG492" s="118">
        <v>2.4500000000000002</v>
      </c>
      <c r="CH492" s="114">
        <f t="shared" si="529"/>
        <v>2.4500000000000002</v>
      </c>
      <c r="CI492" s="114"/>
      <c r="CJ492" s="114"/>
      <c r="CK492" s="114"/>
      <c r="CL492" s="114"/>
      <c r="CM492" s="114"/>
      <c r="CN492" s="114"/>
      <c r="CO492" s="114"/>
      <c r="CP492" s="114"/>
      <c r="CQ492" s="114"/>
      <c r="CR492" s="114"/>
      <c r="CS492" s="114"/>
      <c r="CT492" s="114"/>
      <c r="CU492" s="114"/>
      <c r="CV492" s="114"/>
      <c r="CW492" s="114"/>
      <c r="CX492" s="114"/>
      <c r="CY492" s="114"/>
      <c r="CZ492" s="114"/>
      <c r="DA492" s="114"/>
      <c r="DB492" s="114"/>
      <c r="DC492" s="114"/>
      <c r="DD492" s="114"/>
      <c r="DE492" s="114"/>
      <c r="DF492" s="114"/>
      <c r="DG492" s="114"/>
      <c r="DH492" s="114"/>
      <c r="DI492" s="114"/>
      <c r="DJ492" s="114"/>
      <c r="DK492" s="114"/>
      <c r="DL492" s="114"/>
      <c r="DM492" s="118">
        <f t="shared" si="530"/>
        <v>2.4500000000000002</v>
      </c>
      <c r="DN492" s="125">
        <v>1.2500000000000001E-2</v>
      </c>
      <c r="DO492" s="118">
        <f>(DM492*DN492)</f>
        <v>3.0625000000000003E-2</v>
      </c>
      <c r="DP492" s="118">
        <f t="shared" si="532"/>
        <v>2.4806250000000003</v>
      </c>
      <c r="DQ492" s="114"/>
      <c r="DR492" s="114"/>
      <c r="DS492" s="114"/>
      <c r="DT492" s="114"/>
      <c r="DU492" s="114"/>
      <c r="DV492" s="114"/>
      <c r="DW492" s="114"/>
      <c r="DX492" s="114"/>
      <c r="DY492" s="114"/>
      <c r="DZ492" s="114"/>
      <c r="EA492" s="114"/>
      <c r="EB492" s="114"/>
      <c r="EC492" s="114"/>
      <c r="ED492" s="114"/>
      <c r="EE492" s="114"/>
      <c r="EF492" s="105">
        <v>320</v>
      </c>
      <c r="EG492" s="105">
        <v>3200</v>
      </c>
      <c r="EH492" s="105">
        <v>8</v>
      </c>
      <c r="EI492" s="120">
        <v>0.95</v>
      </c>
      <c r="EJ492" s="105">
        <v>1</v>
      </c>
      <c r="EK492" s="105">
        <v>60</v>
      </c>
      <c r="EL492" s="111">
        <f t="shared" si="533"/>
        <v>456</v>
      </c>
      <c r="EM492" s="114"/>
      <c r="EN492" s="114"/>
      <c r="EO492" s="114"/>
      <c r="EP492" s="114"/>
      <c r="EQ492" s="114"/>
      <c r="ER492" s="114"/>
      <c r="ES492" s="114"/>
      <c r="ET492" s="114"/>
      <c r="EU492" s="109">
        <f>(EG492/EL492+EM492+EX492+EP492+EQ492+ER492+EO492)</f>
        <v>7.0175438596491224</v>
      </c>
      <c r="EV492" s="114"/>
      <c r="EW492" s="114"/>
      <c r="EX492" s="114"/>
      <c r="EY492" s="114"/>
      <c r="EZ492" s="114"/>
      <c r="FA492" s="114"/>
      <c r="FB492" s="114"/>
      <c r="FC492" s="114"/>
      <c r="FD492" s="114"/>
      <c r="FE492" s="114"/>
      <c r="FF492" s="114"/>
      <c r="FG492" s="114"/>
      <c r="FH492" s="114"/>
      <c r="FI492" s="114"/>
      <c r="FJ492" s="114"/>
      <c r="FK492" s="114"/>
      <c r="FL492" s="114"/>
      <c r="FM492" s="114"/>
      <c r="FN492" s="114"/>
      <c r="FO492" s="114"/>
      <c r="FP492" s="114"/>
      <c r="FQ492" s="114"/>
      <c r="FR492" s="114"/>
      <c r="FS492" s="114"/>
      <c r="FT492" s="114"/>
      <c r="FU492" s="114"/>
      <c r="FV492" s="114"/>
      <c r="FW492" s="114"/>
      <c r="FX492" s="114"/>
      <c r="FY492" s="114"/>
      <c r="FZ492" s="114"/>
      <c r="GA492" s="114"/>
      <c r="GB492" s="114"/>
      <c r="GC492" s="114"/>
      <c r="GD492" s="114"/>
      <c r="GE492" s="114"/>
      <c r="GF492" s="114"/>
      <c r="GG492" s="114"/>
      <c r="GH492" s="114"/>
      <c r="GI492" s="114"/>
      <c r="GJ492" s="114"/>
      <c r="GK492" s="114"/>
      <c r="GL492" s="114"/>
      <c r="GM492" s="114"/>
      <c r="GN492" s="114"/>
      <c r="GO492" s="114"/>
      <c r="GP492" s="114"/>
      <c r="GQ492" s="114"/>
      <c r="GR492" s="120">
        <v>0.11</v>
      </c>
      <c r="GS492" s="118">
        <f>GR492*(BA492+EU492)</f>
        <v>3.3614794245614035</v>
      </c>
      <c r="GT492" s="125">
        <v>1.2500000000000001E-2</v>
      </c>
      <c r="GU492" s="118">
        <f>GT492*(EU492+BA492)</f>
        <v>0.38198629824561409</v>
      </c>
      <c r="GV492" s="120">
        <v>0.02</v>
      </c>
      <c r="GW492" s="118">
        <f>GV492*(EU492-EP492-EQ492)</f>
        <v>0.14035087719298245</v>
      </c>
      <c r="GX492" s="118">
        <f t="shared" si="538"/>
        <v>3.8838165999999998</v>
      </c>
      <c r="GY492" s="114" t="s">
        <v>130</v>
      </c>
      <c r="GZ492" s="114" t="s">
        <v>130</v>
      </c>
      <c r="HA492" s="118">
        <v>1350</v>
      </c>
      <c r="HB492" s="118">
        <v>950</v>
      </c>
      <c r="HC492" s="105">
        <v>2400</v>
      </c>
      <c r="HD492" s="105">
        <v>70</v>
      </c>
      <c r="HE492" s="105">
        <v>150</v>
      </c>
      <c r="HF492" s="118">
        <f t="shared" si="539"/>
        <v>3</v>
      </c>
      <c r="HG492" s="105">
        <v>5</v>
      </c>
      <c r="HH492" s="118">
        <f t="shared" si="540"/>
        <v>15</v>
      </c>
      <c r="HI492" s="105">
        <v>19500</v>
      </c>
      <c r="HJ492" s="118">
        <f t="shared" si="541"/>
        <v>292500</v>
      </c>
      <c r="HK492" s="114"/>
      <c r="HL492" s="114"/>
      <c r="HM492" s="118">
        <v>3</v>
      </c>
      <c r="HN492" s="126">
        <f t="shared" si="542"/>
        <v>135000</v>
      </c>
      <c r="HO492" s="109">
        <f>(IF(GY492="carton box",HI492/HD492,HJ492/HN492))</f>
        <v>2.1666666666666665</v>
      </c>
      <c r="HP492" s="118">
        <v>160</v>
      </c>
      <c r="HQ492" s="114">
        <v>0</v>
      </c>
      <c r="HR492" s="118">
        <v>0</v>
      </c>
      <c r="HS492" s="118">
        <v>0</v>
      </c>
      <c r="HT492" s="118">
        <f t="shared" si="544"/>
        <v>0</v>
      </c>
      <c r="HU492" s="118"/>
      <c r="HV492" s="118">
        <f t="shared" si="545"/>
        <v>2.1666666666666665</v>
      </c>
      <c r="HW492" s="118"/>
      <c r="HX492" s="118">
        <v>5016</v>
      </c>
      <c r="HY492" s="118">
        <v>1976</v>
      </c>
      <c r="HZ492" s="118">
        <v>2280</v>
      </c>
      <c r="IA492" s="118">
        <f t="shared" si="547"/>
        <v>3</v>
      </c>
      <c r="IB492" s="118">
        <f t="shared" si="548"/>
        <v>2</v>
      </c>
      <c r="IC492" s="118">
        <f t="shared" si="549"/>
        <v>0</v>
      </c>
      <c r="ID492" s="108">
        <v>1</v>
      </c>
      <c r="IE492" s="111">
        <f>PRODUCT(IA492:ID492)+5</f>
        <v>5</v>
      </c>
      <c r="IF492" s="118">
        <v>500</v>
      </c>
      <c r="IG492" s="109">
        <f>IF492/(IE492*HD492)</f>
        <v>1.4285714285714286</v>
      </c>
      <c r="IH492" s="62"/>
    </row>
    <row r="493" spans="1:242">
      <c r="A493">
        <v>478</v>
      </c>
      <c r="B493" t="s">
        <v>468</v>
      </c>
      <c r="C493" s="281" t="s">
        <v>1999</v>
      </c>
      <c r="D493" s="28" t="s">
        <v>1340</v>
      </c>
      <c r="E493" s="28" t="s">
        <v>1341</v>
      </c>
      <c r="F493" s="5" t="s">
        <v>2182</v>
      </c>
      <c r="G493" s="27" t="s">
        <v>90</v>
      </c>
      <c r="I493" s="27" t="s">
        <v>226</v>
      </c>
      <c r="J493" s="28">
        <v>21691</v>
      </c>
      <c r="K493" s="27" t="s">
        <v>404</v>
      </c>
      <c r="L493" s="240"/>
      <c r="M493" s="114"/>
      <c r="N493" s="115"/>
      <c r="O493" s="115"/>
      <c r="P493" s="115"/>
      <c r="Q493" s="13" t="s">
        <v>1782</v>
      </c>
      <c r="R493" s="13" t="s">
        <v>1836</v>
      </c>
      <c r="V493" s="319"/>
      <c r="W493" s="238" t="s">
        <v>1976</v>
      </c>
      <c r="X493" s="238"/>
      <c r="Y493" s="238"/>
      <c r="Z493" s="238"/>
      <c r="AA493" s="115" t="s">
        <v>2000</v>
      </c>
      <c r="AB493" s="121">
        <v>126.29</v>
      </c>
      <c r="AC493" s="114">
        <v>20</v>
      </c>
      <c r="AD493" s="115" t="s">
        <v>935</v>
      </c>
      <c r="AE493" s="119">
        <f t="shared" si="513"/>
        <v>28.42154</v>
      </c>
      <c r="AF493" s="119"/>
      <c r="AG493" s="119">
        <f t="shared" si="514"/>
        <v>11.165935672514621</v>
      </c>
      <c r="AH493" s="119">
        <f t="shared" si="515"/>
        <v>0</v>
      </c>
      <c r="AI493" s="119">
        <f t="shared" si="516"/>
        <v>0</v>
      </c>
      <c r="AJ493" s="119">
        <f t="shared" si="517"/>
        <v>0.22331871345029242</v>
      </c>
      <c r="AK493" s="119">
        <f t="shared" si="518"/>
        <v>0.49484344590643281</v>
      </c>
      <c r="AL493" s="119">
        <f t="shared" si="519"/>
        <v>4.3546223239766082</v>
      </c>
      <c r="AM493" s="119">
        <f t="shared" si="520"/>
        <v>2.1666666666666665</v>
      </c>
      <c r="AN493" s="119">
        <f t="shared" si="521"/>
        <v>1.25</v>
      </c>
      <c r="AO493" s="119">
        <f t="shared" si="522"/>
        <v>0</v>
      </c>
      <c r="AP493" s="119"/>
      <c r="AQ493" s="119">
        <f t="shared" si="523"/>
        <v>48.076926822514615</v>
      </c>
      <c r="AR493" s="119">
        <f t="shared" si="524"/>
        <v>0</v>
      </c>
      <c r="AS493" s="119">
        <f t="shared" si="525"/>
        <v>0</v>
      </c>
      <c r="AT493" s="119">
        <v>0</v>
      </c>
      <c r="AU493" s="119">
        <f>48.35-48.08</f>
        <v>0.27000000000000313</v>
      </c>
      <c r="AV493" s="119">
        <f t="shared" si="526"/>
        <v>48.346926822514618</v>
      </c>
      <c r="AW493" s="114">
        <v>0.22600000000000001</v>
      </c>
      <c r="AX493" s="124">
        <v>0.22</v>
      </c>
      <c r="AY493" s="120">
        <v>1</v>
      </c>
      <c r="AZ493" s="118">
        <f t="shared" si="527"/>
        <v>6.0000000000000053E-3</v>
      </c>
      <c r="BA493" s="118">
        <f t="shared" si="528"/>
        <v>28.42154</v>
      </c>
      <c r="BB493" s="118"/>
      <c r="BC493" s="118"/>
      <c r="BD493" s="118"/>
      <c r="BE493" s="118"/>
      <c r="BF493" s="118"/>
      <c r="BG493" s="118"/>
      <c r="BH493" s="118"/>
      <c r="BI493" s="118"/>
      <c r="BJ493" s="118"/>
      <c r="BK493" s="118"/>
      <c r="BL493" s="118"/>
      <c r="BM493" s="118"/>
      <c r="BN493" s="118"/>
      <c r="BO493" s="118"/>
      <c r="BP493" s="118"/>
      <c r="BQ493" s="118"/>
      <c r="BR493" s="118"/>
      <c r="BS493" s="118"/>
      <c r="BT493" s="118"/>
      <c r="BU493" s="118"/>
      <c r="BV493" s="118"/>
      <c r="BW493" s="118"/>
      <c r="BX493" s="118"/>
      <c r="BY493" s="118"/>
      <c r="BZ493" s="118"/>
      <c r="CA493" s="118"/>
      <c r="CB493" s="118"/>
      <c r="CC493" s="118"/>
      <c r="CD493" s="114"/>
      <c r="CE493" s="118">
        <v>0</v>
      </c>
      <c r="CF493" s="118">
        <v>0</v>
      </c>
      <c r="CG493" s="118">
        <v>0</v>
      </c>
      <c r="CH493" s="114">
        <f t="shared" si="529"/>
        <v>0</v>
      </c>
      <c r="CI493" s="115"/>
      <c r="CJ493" s="114"/>
      <c r="CK493" s="114">
        <v>0</v>
      </c>
      <c r="CL493" s="114">
        <v>0</v>
      </c>
      <c r="CM493" s="114">
        <f>CK493*CL493</f>
        <v>0</v>
      </c>
      <c r="CN493" s="115"/>
      <c r="CO493" s="114"/>
      <c r="CP493" s="114">
        <v>0</v>
      </c>
      <c r="CQ493" s="114">
        <v>0</v>
      </c>
      <c r="CR493" s="114">
        <f>CP493*CQ493</f>
        <v>0</v>
      </c>
      <c r="CS493" s="114"/>
      <c r="CT493" s="114"/>
      <c r="CU493" s="114">
        <v>0</v>
      </c>
      <c r="CV493" s="114">
        <v>0</v>
      </c>
      <c r="CW493" s="114">
        <f>CU493*CV493</f>
        <v>0</v>
      </c>
      <c r="CX493" s="114"/>
      <c r="CY493" s="114"/>
      <c r="CZ493" s="114"/>
      <c r="DA493" s="114"/>
      <c r="DB493" s="114"/>
      <c r="DC493" s="114"/>
      <c r="DD493" s="114"/>
      <c r="DE493" s="114"/>
      <c r="DF493" s="114"/>
      <c r="DG493" s="114"/>
      <c r="DH493" s="114"/>
      <c r="DI493" s="114"/>
      <c r="DJ493" s="114"/>
      <c r="DK493" s="114"/>
      <c r="DL493" s="114"/>
      <c r="DM493" s="118">
        <f t="shared" si="530"/>
        <v>0</v>
      </c>
      <c r="DN493" s="125">
        <v>1.2500000000000001E-2</v>
      </c>
      <c r="DO493" s="118">
        <f>(DM493*DN493)</f>
        <v>0</v>
      </c>
      <c r="DP493" s="118">
        <f t="shared" si="532"/>
        <v>0</v>
      </c>
      <c r="DQ493" s="114"/>
      <c r="DR493" s="114"/>
      <c r="DS493" s="114"/>
      <c r="DT493" s="114"/>
      <c r="DU493" s="114"/>
      <c r="DV493" s="114"/>
      <c r="DW493" s="114"/>
      <c r="DX493" s="114"/>
      <c r="DY493" s="114"/>
      <c r="DZ493" s="114"/>
      <c r="EA493" s="114"/>
      <c r="EB493" s="114"/>
      <c r="EC493" s="114"/>
      <c r="ED493" s="114"/>
      <c r="EE493" s="114"/>
      <c r="EF493" s="105">
        <v>470</v>
      </c>
      <c r="EG493" s="105">
        <v>4700</v>
      </c>
      <c r="EH493" s="105">
        <v>8</v>
      </c>
      <c r="EI493" s="120">
        <v>0.95</v>
      </c>
      <c r="EJ493" s="105">
        <v>1</v>
      </c>
      <c r="EK493" s="105">
        <v>65</v>
      </c>
      <c r="EL493" s="111">
        <f t="shared" si="533"/>
        <v>420.92307692307691</v>
      </c>
      <c r="EM493" s="114"/>
      <c r="EN493" s="114"/>
      <c r="EO493" s="114"/>
      <c r="EP493" s="114"/>
      <c r="EQ493" s="114"/>
      <c r="ER493" s="114"/>
      <c r="ES493" s="114"/>
      <c r="ET493" s="114"/>
      <c r="EU493" s="109">
        <f>(EG493/EL493+EM493+EX493+EP493+EQ493+ER493+EO493)</f>
        <v>11.165935672514621</v>
      </c>
      <c r="EV493" s="114"/>
      <c r="EW493" s="114"/>
      <c r="EX493" s="114"/>
      <c r="EY493" s="114"/>
      <c r="EZ493" s="114"/>
      <c r="FA493" s="114"/>
      <c r="FB493" s="114"/>
      <c r="FC493" s="114"/>
      <c r="FD493" s="114"/>
      <c r="FE493" s="114"/>
      <c r="FF493" s="114"/>
      <c r="FG493" s="114"/>
      <c r="FH493" s="114"/>
      <c r="FI493" s="114"/>
      <c r="FJ493" s="114"/>
      <c r="FK493" s="114"/>
      <c r="FL493" s="114"/>
      <c r="FM493" s="114"/>
      <c r="FN493" s="114"/>
      <c r="FO493" s="114"/>
      <c r="FP493" s="114"/>
      <c r="FQ493" s="114"/>
      <c r="FR493" s="114"/>
      <c r="FS493" s="114"/>
      <c r="FT493" s="114"/>
      <c r="FU493" s="114"/>
      <c r="FV493" s="114"/>
      <c r="FW493" s="114"/>
      <c r="FX493" s="114"/>
      <c r="FY493" s="114"/>
      <c r="FZ493" s="114"/>
      <c r="GA493" s="114"/>
      <c r="GB493" s="114"/>
      <c r="GC493" s="114"/>
      <c r="GD493" s="114"/>
      <c r="GE493" s="114"/>
      <c r="GF493" s="114"/>
      <c r="GG493" s="114"/>
      <c r="GH493" s="114"/>
      <c r="GI493" s="114"/>
      <c r="GJ493" s="114"/>
      <c r="GK493" s="114"/>
      <c r="GL493" s="114"/>
      <c r="GM493" s="114"/>
      <c r="GN493" s="114"/>
      <c r="GO493" s="114"/>
      <c r="GP493" s="114"/>
      <c r="GQ493" s="114"/>
      <c r="GR493" s="120">
        <v>0.11</v>
      </c>
      <c r="GS493" s="118">
        <f>GR493*(BA493+EU493)</f>
        <v>4.3546223239766082</v>
      </c>
      <c r="GT493" s="125">
        <v>1.2500000000000001E-2</v>
      </c>
      <c r="GU493" s="118">
        <f>GT493*(EU493+BA493)</f>
        <v>0.49484344590643281</v>
      </c>
      <c r="GV493" s="120">
        <v>0.02</v>
      </c>
      <c r="GW493" s="118">
        <f>GV493*(EU493-EP493-EQ493)</f>
        <v>0.22331871345029242</v>
      </c>
      <c r="GX493" s="118">
        <f t="shared" si="538"/>
        <v>5.0727844833333338</v>
      </c>
      <c r="GY493" s="114" t="s">
        <v>130</v>
      </c>
      <c r="GZ493" s="114" t="s">
        <v>130</v>
      </c>
      <c r="HA493" s="118">
        <v>1350</v>
      </c>
      <c r="HB493" s="118">
        <v>950</v>
      </c>
      <c r="HC493" s="105">
        <v>2400</v>
      </c>
      <c r="HD493" s="105">
        <v>80</v>
      </c>
      <c r="HE493" s="105">
        <v>150</v>
      </c>
      <c r="HF493" s="118">
        <f t="shared" si="539"/>
        <v>2</v>
      </c>
      <c r="HG493" s="105">
        <v>5</v>
      </c>
      <c r="HH493" s="118">
        <f t="shared" si="540"/>
        <v>10</v>
      </c>
      <c r="HI493" s="105">
        <v>19500</v>
      </c>
      <c r="HJ493" s="118">
        <f t="shared" si="541"/>
        <v>195000</v>
      </c>
      <c r="HK493" s="114"/>
      <c r="HL493" s="114"/>
      <c r="HM493" s="118">
        <v>2</v>
      </c>
      <c r="HN493" s="126">
        <f t="shared" si="542"/>
        <v>90000</v>
      </c>
      <c r="HO493" s="109">
        <f>(IF(GY493="carton box",HI493/HD493,HJ493/HN493))</f>
        <v>2.1666666666666665</v>
      </c>
      <c r="HP493" s="118">
        <v>160</v>
      </c>
      <c r="HQ493" s="114">
        <v>0</v>
      </c>
      <c r="HR493" s="118">
        <v>0</v>
      </c>
      <c r="HS493" s="118">
        <v>0</v>
      </c>
      <c r="HT493" s="118">
        <f t="shared" si="544"/>
        <v>0</v>
      </c>
      <c r="HU493" s="118"/>
      <c r="HV493" s="118">
        <f t="shared" si="545"/>
        <v>2.1666666666666665</v>
      </c>
      <c r="HW493" s="118"/>
      <c r="HX493" s="118">
        <v>5016</v>
      </c>
      <c r="HY493" s="118">
        <v>1976</v>
      </c>
      <c r="HZ493" s="118">
        <v>2280</v>
      </c>
      <c r="IA493" s="118">
        <f t="shared" si="547"/>
        <v>3</v>
      </c>
      <c r="IB493" s="118">
        <f t="shared" si="548"/>
        <v>2</v>
      </c>
      <c r="IC493" s="118">
        <f t="shared" si="549"/>
        <v>0</v>
      </c>
      <c r="ID493" s="108">
        <v>1</v>
      </c>
      <c r="IE493" s="111">
        <f>PRODUCT(IA493:ID493)+5</f>
        <v>5</v>
      </c>
      <c r="IF493" s="118">
        <v>500</v>
      </c>
      <c r="IG493" s="109">
        <f>IF493/(IE493*HD493)</f>
        <v>1.25</v>
      </c>
      <c r="IH493" s="62"/>
    </row>
    <row r="494" spans="1:242" ht="30">
      <c r="A494">
        <v>480</v>
      </c>
      <c r="B494" t="s">
        <v>468</v>
      </c>
      <c r="C494" s="373" t="s">
        <v>2002</v>
      </c>
      <c r="D494" s="28" t="s">
        <v>1342</v>
      </c>
      <c r="E494" s="28" t="s">
        <v>1343</v>
      </c>
      <c r="F494" s="5" t="s">
        <v>2182</v>
      </c>
      <c r="G494" s="27" t="s">
        <v>90</v>
      </c>
      <c r="I494" s="27" t="s">
        <v>226</v>
      </c>
      <c r="J494" s="28">
        <v>21590</v>
      </c>
      <c r="K494" s="27" t="s">
        <v>397</v>
      </c>
      <c r="L494" s="379"/>
      <c r="Q494" s="13" t="s">
        <v>1890</v>
      </c>
      <c r="R494" s="13" t="s">
        <v>1836</v>
      </c>
      <c r="W494" s="53" t="s">
        <v>2003</v>
      </c>
      <c r="X494" s="53"/>
      <c r="Y494" s="53"/>
      <c r="Z494" s="53"/>
      <c r="AA494" s="13" t="s">
        <v>469</v>
      </c>
      <c r="AB494" s="66">
        <v>130.87</v>
      </c>
      <c r="AC494">
        <v>20</v>
      </c>
      <c r="AD494" s="13" t="s">
        <v>1982</v>
      </c>
      <c r="AE494" s="7">
        <f t="shared" si="513"/>
        <v>111.60298</v>
      </c>
      <c r="AF494" s="7"/>
      <c r="AG494" s="7">
        <f t="shared" si="514"/>
        <v>10.19</v>
      </c>
      <c r="AH494" s="7">
        <f t="shared" si="515"/>
        <v>5.7</v>
      </c>
      <c r="AI494" s="7">
        <f t="shared" si="516"/>
        <v>0.08</v>
      </c>
      <c r="AJ494" s="7">
        <f t="shared" si="517"/>
        <v>0.21000000000000002</v>
      </c>
      <c r="AK494" s="7">
        <f t="shared" si="518"/>
        <v>1.53</v>
      </c>
      <c r="AL494" s="7">
        <f t="shared" si="519"/>
        <v>13.4</v>
      </c>
      <c r="AM494" s="7">
        <f t="shared" si="520"/>
        <v>2.71</v>
      </c>
      <c r="AN494" s="7">
        <f t="shared" si="521"/>
        <v>3.2899999999999996</v>
      </c>
      <c r="AO494" s="7">
        <f t="shared" si="522"/>
        <v>0</v>
      </c>
      <c r="AP494" s="7"/>
      <c r="AQ494" s="7">
        <f t="shared" si="523"/>
        <v>148.71297999999999</v>
      </c>
      <c r="AR494" s="7">
        <f t="shared" si="524"/>
        <v>0</v>
      </c>
      <c r="AS494" s="7">
        <f t="shared" si="525"/>
        <v>0</v>
      </c>
      <c r="AT494" s="7">
        <v>0</v>
      </c>
      <c r="AU494" s="7">
        <f>150.05-148.71</f>
        <v>1.3400000000000034</v>
      </c>
      <c r="AV494" s="7">
        <f t="shared" si="526"/>
        <v>150.05297999999999</v>
      </c>
      <c r="AW494">
        <v>0.85399999999999998</v>
      </c>
      <c r="AX494">
        <v>0.84599999999999997</v>
      </c>
      <c r="AY494" s="8">
        <v>1</v>
      </c>
      <c r="AZ494" s="4">
        <f t="shared" si="527"/>
        <v>8.0000000000000071E-3</v>
      </c>
      <c r="BA494" s="4">
        <f t="shared" si="528"/>
        <v>111.60298</v>
      </c>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E494" s="4">
        <v>0</v>
      </c>
      <c r="CF494" s="4">
        <v>2</v>
      </c>
      <c r="CG494" s="4">
        <v>2.85</v>
      </c>
      <c r="CH494" s="4">
        <f t="shared" si="529"/>
        <v>5.7</v>
      </c>
      <c r="DM494" s="4">
        <f t="shared" si="530"/>
        <v>5.7</v>
      </c>
      <c r="DN494" s="9">
        <v>1.2500000000000001E-2</v>
      </c>
      <c r="DO494" s="4">
        <f>ROUNDUP((DM494*DN494),2)</f>
        <v>0.08</v>
      </c>
      <c r="DP494" s="4">
        <f t="shared" si="532"/>
        <v>5.78</v>
      </c>
      <c r="EF494" s="59">
        <v>660</v>
      </c>
      <c r="EG494" s="59">
        <v>6600</v>
      </c>
      <c r="EH494" s="59">
        <v>7.5</v>
      </c>
      <c r="EI494" s="8">
        <v>0.9</v>
      </c>
      <c r="EJ494" s="59">
        <v>2</v>
      </c>
      <c r="EK494" s="59">
        <v>75</v>
      </c>
      <c r="EL494" s="65">
        <f t="shared" si="533"/>
        <v>648</v>
      </c>
      <c r="EU494" s="62">
        <f>ROUNDUP((EG494/EL494+EM494+EX494+EP494+EQ494+ER494+EO494),2)</f>
        <v>10.19</v>
      </c>
      <c r="GR494" s="8">
        <v>0.11</v>
      </c>
      <c r="GS494" s="4">
        <f>ROUNDUP(GR494*(BA494+EU494),2)</f>
        <v>13.4</v>
      </c>
      <c r="GT494" s="9">
        <v>1.2500000000000001E-2</v>
      </c>
      <c r="GU494" s="4">
        <f>ROUNDUP(GT494*(EU494+BA494),2)</f>
        <v>1.53</v>
      </c>
      <c r="GV494" s="8">
        <v>0.02</v>
      </c>
      <c r="GW494" s="4">
        <f>ROUNDUP(GV494*(EU494-EP494-EQ494),2)</f>
        <v>0.21000000000000002</v>
      </c>
      <c r="GX494" s="4">
        <f t="shared" si="538"/>
        <v>15.14</v>
      </c>
      <c r="GY494" t="s">
        <v>130</v>
      </c>
      <c r="GZ494" t="s">
        <v>130</v>
      </c>
      <c r="HA494" s="4">
        <v>1000</v>
      </c>
      <c r="HB494" s="4">
        <v>1300</v>
      </c>
      <c r="HC494" s="59">
        <v>1900</v>
      </c>
      <c r="HD494" s="59">
        <v>40</v>
      </c>
      <c r="HE494" s="59">
        <v>240</v>
      </c>
      <c r="HF494" s="4">
        <f t="shared" si="539"/>
        <v>6</v>
      </c>
      <c r="HG494" s="59">
        <v>5</v>
      </c>
      <c r="HH494" s="4">
        <f t="shared" si="540"/>
        <v>30</v>
      </c>
      <c r="HI494" s="59">
        <v>19500</v>
      </c>
      <c r="HJ494" s="4">
        <f t="shared" si="541"/>
        <v>585000</v>
      </c>
      <c r="HM494" s="4">
        <v>3</v>
      </c>
      <c r="HN494" s="10">
        <f t="shared" si="542"/>
        <v>216000</v>
      </c>
      <c r="HO494" s="62">
        <f>ROUNDUP((IF(GY494="carton box",HI494/HD494,HJ494/HN494)),2)</f>
        <v>2.71</v>
      </c>
      <c r="HP494" s="4">
        <v>160</v>
      </c>
      <c r="HQ494">
        <v>0</v>
      </c>
      <c r="HR494" s="4">
        <v>0</v>
      </c>
      <c r="HS494" s="4">
        <v>0</v>
      </c>
      <c r="HT494" s="4">
        <f t="shared" si="544"/>
        <v>0</v>
      </c>
      <c r="HU494" s="4"/>
      <c r="HV494" s="4">
        <f t="shared" si="545"/>
        <v>2.71</v>
      </c>
      <c r="HW494" s="4"/>
      <c r="HX494" s="4">
        <v>4200</v>
      </c>
      <c r="HY494" s="4">
        <v>1900</v>
      </c>
      <c r="HZ494" s="4">
        <v>1975</v>
      </c>
      <c r="IA494" s="4">
        <f t="shared" si="547"/>
        <v>4</v>
      </c>
      <c r="IB494" s="4">
        <f t="shared" si="548"/>
        <v>1</v>
      </c>
      <c r="IC494" s="4">
        <f t="shared" si="549"/>
        <v>1</v>
      </c>
      <c r="ID494" s="61">
        <v>0.95</v>
      </c>
      <c r="IE494" s="65">
        <f t="shared" ref="IE494:IE499" si="562">PRODUCT(IA494:ID494)</f>
        <v>3.8</v>
      </c>
      <c r="IF494" s="4">
        <v>500</v>
      </c>
      <c r="IG494" s="62">
        <f>ROUNDUP(IF494/(IE494*HD494),2)</f>
        <v>3.2899999999999996</v>
      </c>
      <c r="IH494" s="62"/>
    </row>
    <row r="495" spans="1:242" ht="30">
      <c r="A495">
        <v>482</v>
      </c>
      <c r="B495" t="s">
        <v>468</v>
      </c>
      <c r="C495" s="281" t="s">
        <v>2004</v>
      </c>
      <c r="D495" s="28" t="s">
        <v>1344</v>
      </c>
      <c r="E495" s="28" t="s">
        <v>1345</v>
      </c>
      <c r="F495" s="5" t="s">
        <v>2182</v>
      </c>
      <c r="G495" s="27" t="s">
        <v>90</v>
      </c>
      <c r="I495" s="27" t="s">
        <v>226</v>
      </c>
      <c r="J495" s="28">
        <v>21590</v>
      </c>
      <c r="K495" s="27" t="s">
        <v>397</v>
      </c>
      <c r="L495" s="240"/>
      <c r="M495" s="114"/>
      <c r="N495" s="115"/>
      <c r="O495" s="115"/>
      <c r="P495" s="115"/>
      <c r="Q495" s="13" t="s">
        <v>1890</v>
      </c>
      <c r="R495" s="13" t="s">
        <v>1836</v>
      </c>
      <c r="V495" s="319"/>
      <c r="W495" s="218" t="s">
        <v>2005</v>
      </c>
      <c r="X495" s="218"/>
      <c r="Y495" s="218"/>
      <c r="Z495" s="218"/>
      <c r="AA495" s="115" t="s">
        <v>469</v>
      </c>
      <c r="AB495" s="121">
        <v>130.87</v>
      </c>
      <c r="AC495" s="114">
        <v>20</v>
      </c>
      <c r="AD495" s="115" t="s">
        <v>1982</v>
      </c>
      <c r="AE495" s="119">
        <f t="shared" si="513"/>
        <v>41.86927</v>
      </c>
      <c r="AF495" s="119"/>
      <c r="AG495" s="119">
        <f t="shared" si="514"/>
        <v>10.01</v>
      </c>
      <c r="AH495" s="119">
        <f t="shared" si="515"/>
        <v>3.86</v>
      </c>
      <c r="AI495" s="119">
        <f t="shared" si="516"/>
        <v>0.05</v>
      </c>
      <c r="AJ495" s="119">
        <f t="shared" si="517"/>
        <v>0.21000000000000002</v>
      </c>
      <c r="AK495" s="119">
        <f t="shared" si="518"/>
        <v>0.65</v>
      </c>
      <c r="AL495" s="119">
        <f t="shared" si="519"/>
        <v>5.71</v>
      </c>
      <c r="AM495" s="119">
        <f t="shared" si="520"/>
        <v>0.39</v>
      </c>
      <c r="AN495" s="119">
        <f t="shared" si="521"/>
        <v>0.36</v>
      </c>
      <c r="AO495" s="119">
        <f t="shared" si="522"/>
        <v>0</v>
      </c>
      <c r="AP495" s="119"/>
      <c r="AQ495" s="119">
        <f t="shared" si="523"/>
        <v>63.109269999999995</v>
      </c>
      <c r="AR495" s="119">
        <f t="shared" si="524"/>
        <v>0</v>
      </c>
      <c r="AS495" s="119">
        <f t="shared" si="525"/>
        <v>0</v>
      </c>
      <c r="AT495" s="119">
        <v>0</v>
      </c>
      <c r="AU495" s="119">
        <f>63.72-63.11</f>
        <v>0.60999999999999943</v>
      </c>
      <c r="AV495" s="119">
        <f t="shared" si="526"/>
        <v>63.719269999999995</v>
      </c>
      <c r="AW495" s="114">
        <v>0.32100000000000001</v>
      </c>
      <c r="AX495" s="114">
        <v>0.314</v>
      </c>
      <c r="AY495" s="120">
        <v>1</v>
      </c>
      <c r="AZ495" s="118">
        <f t="shared" si="527"/>
        <v>7.0000000000000062E-3</v>
      </c>
      <c r="BA495" s="118">
        <f t="shared" si="528"/>
        <v>41.86927</v>
      </c>
      <c r="BB495" s="118"/>
      <c r="BC495" s="118"/>
      <c r="BD495" s="118"/>
      <c r="BE495" s="118"/>
      <c r="BF495" s="118"/>
      <c r="BG495" s="118"/>
      <c r="BH495" s="118"/>
      <c r="BI495" s="118"/>
      <c r="BJ495" s="118"/>
      <c r="BK495" s="118"/>
      <c r="BL495" s="118"/>
      <c r="BM495" s="118"/>
      <c r="BN495" s="118"/>
      <c r="BO495" s="118"/>
      <c r="BP495" s="118"/>
      <c r="BQ495" s="118"/>
      <c r="BR495" s="118"/>
      <c r="BS495" s="118"/>
      <c r="BT495" s="118"/>
      <c r="BU495" s="118"/>
      <c r="BV495" s="118"/>
      <c r="BW495" s="118"/>
      <c r="BX495" s="118"/>
      <c r="BY495" s="118"/>
      <c r="BZ495" s="118"/>
      <c r="CA495" s="118"/>
      <c r="CB495" s="118"/>
      <c r="CC495" s="118"/>
      <c r="CD495" s="114"/>
      <c r="CE495" s="118">
        <v>0</v>
      </c>
      <c r="CF495" s="118">
        <v>1</v>
      </c>
      <c r="CG495" s="118">
        <v>3.86</v>
      </c>
      <c r="CH495" s="114">
        <f t="shared" si="529"/>
        <v>3.86</v>
      </c>
      <c r="CI495" s="114"/>
      <c r="CJ495" s="114"/>
      <c r="CK495" s="114"/>
      <c r="CL495" s="114"/>
      <c r="CM495" s="114"/>
      <c r="CN495" s="114"/>
      <c r="CO495" s="114"/>
      <c r="CP495" s="114"/>
      <c r="CQ495" s="114"/>
      <c r="CR495" s="114"/>
      <c r="CS495" s="114"/>
      <c r="CT495" s="114"/>
      <c r="CU495" s="114"/>
      <c r="CV495" s="114"/>
      <c r="CW495" s="114"/>
      <c r="CX495" s="114"/>
      <c r="CY495" s="114"/>
      <c r="CZ495" s="114"/>
      <c r="DA495" s="114"/>
      <c r="DB495" s="114"/>
      <c r="DC495" s="114"/>
      <c r="DD495" s="114"/>
      <c r="DE495" s="114"/>
      <c r="DF495" s="114"/>
      <c r="DG495" s="114"/>
      <c r="DH495" s="114"/>
      <c r="DI495" s="114"/>
      <c r="DJ495" s="114"/>
      <c r="DK495" s="114"/>
      <c r="DL495" s="114"/>
      <c r="DM495" s="118">
        <f t="shared" si="530"/>
        <v>3.86</v>
      </c>
      <c r="DN495" s="125">
        <v>1.2500000000000001E-2</v>
      </c>
      <c r="DO495" s="118">
        <f>ROUNDUP((DM495*DN495),2)</f>
        <v>0.05</v>
      </c>
      <c r="DP495" s="118">
        <f t="shared" si="532"/>
        <v>3.9099999999999997</v>
      </c>
      <c r="DQ495" s="114"/>
      <c r="DR495" s="114"/>
      <c r="DS495" s="114"/>
      <c r="DT495" s="114"/>
      <c r="DU495" s="114"/>
      <c r="DV495" s="114"/>
      <c r="DW495" s="114"/>
      <c r="DX495" s="114"/>
      <c r="DY495" s="114"/>
      <c r="DZ495" s="114"/>
      <c r="EA495" s="114"/>
      <c r="EB495" s="114"/>
      <c r="EC495" s="114"/>
      <c r="ED495" s="114"/>
      <c r="EE495" s="114"/>
      <c r="EF495" s="105">
        <v>660</v>
      </c>
      <c r="EG495" s="105">
        <v>6600</v>
      </c>
      <c r="EH495" s="105">
        <v>7.5</v>
      </c>
      <c r="EI495" s="120">
        <v>0.9</v>
      </c>
      <c r="EJ495" s="105">
        <v>2</v>
      </c>
      <c r="EK495" s="105">
        <v>70</v>
      </c>
      <c r="EL495" s="111">
        <f t="shared" si="533"/>
        <v>694.28571428571433</v>
      </c>
      <c r="EM495" s="114"/>
      <c r="EN495" s="114"/>
      <c r="EO495" s="114"/>
      <c r="EP495" s="114"/>
      <c r="EQ495" s="114"/>
      <c r="ER495" s="114"/>
      <c r="ES495" s="114"/>
      <c r="ET495" s="114"/>
      <c r="EU495" s="109">
        <f>ROUNDUP((EG495/EL495+EM495+EX495+EP495+EQ495+ER495+EO495),2)</f>
        <v>10.01</v>
      </c>
      <c r="EV495" s="114"/>
      <c r="EW495" s="114"/>
      <c r="EX495" s="118">
        <v>0.5</v>
      </c>
      <c r="EY495" s="114"/>
      <c r="EZ495" s="114"/>
      <c r="FA495" s="114"/>
      <c r="FB495" s="114"/>
      <c r="FC495" s="114"/>
      <c r="FD495" s="114"/>
      <c r="FE495" s="114"/>
      <c r="FF495" s="114"/>
      <c r="FG495" s="114"/>
      <c r="FH495" s="114"/>
      <c r="FI495" s="114"/>
      <c r="FJ495" s="114"/>
      <c r="FK495" s="114"/>
      <c r="FL495" s="114"/>
      <c r="FM495" s="114"/>
      <c r="FN495" s="114"/>
      <c r="FO495" s="114"/>
      <c r="FP495" s="114"/>
      <c r="FQ495" s="114"/>
      <c r="FR495" s="114"/>
      <c r="FS495" s="114"/>
      <c r="FT495" s="114"/>
      <c r="FU495" s="114"/>
      <c r="FV495" s="114"/>
      <c r="FW495" s="114"/>
      <c r="FX495" s="114"/>
      <c r="FY495" s="114"/>
      <c r="FZ495" s="114"/>
      <c r="GA495" s="114"/>
      <c r="GB495" s="114"/>
      <c r="GC495" s="114"/>
      <c r="GD495" s="114"/>
      <c r="GE495" s="114"/>
      <c r="GF495" s="114"/>
      <c r="GG495" s="114"/>
      <c r="GH495" s="114"/>
      <c r="GI495" s="114"/>
      <c r="GJ495" s="114"/>
      <c r="GK495" s="114"/>
      <c r="GL495" s="114"/>
      <c r="GM495" s="114"/>
      <c r="GN495" s="114"/>
      <c r="GO495" s="114"/>
      <c r="GP495" s="114"/>
      <c r="GQ495" s="114"/>
      <c r="GR495" s="120">
        <v>0.11</v>
      </c>
      <c r="GS495" s="118">
        <f>ROUNDUP(GR495*(BA495+EU495),2)</f>
        <v>5.71</v>
      </c>
      <c r="GT495" s="125">
        <v>1.2500000000000001E-2</v>
      </c>
      <c r="GU495" s="118">
        <f>ROUNDUP(GT495*(EU495+BA495),2)</f>
        <v>0.65</v>
      </c>
      <c r="GV495" s="120">
        <v>0.02</v>
      </c>
      <c r="GW495" s="118">
        <f>ROUNDUP(GV495*(EU495-EP495-EQ495),2)</f>
        <v>0.21000000000000002</v>
      </c>
      <c r="GX495" s="118">
        <f t="shared" si="538"/>
        <v>6.57</v>
      </c>
      <c r="GY495" s="114" t="s">
        <v>130</v>
      </c>
      <c r="GZ495" s="114" t="s">
        <v>130</v>
      </c>
      <c r="HA495" s="118">
        <v>810</v>
      </c>
      <c r="HB495" s="118">
        <v>568</v>
      </c>
      <c r="HC495" s="105">
        <v>425</v>
      </c>
      <c r="HD495" s="105">
        <v>25</v>
      </c>
      <c r="HE495" s="105">
        <v>240</v>
      </c>
      <c r="HF495" s="118">
        <f t="shared" si="539"/>
        <v>10</v>
      </c>
      <c r="HG495" s="105">
        <v>5</v>
      </c>
      <c r="HH495" s="118">
        <f t="shared" si="540"/>
        <v>50</v>
      </c>
      <c r="HI495" s="105">
        <v>1100</v>
      </c>
      <c r="HJ495" s="118">
        <f t="shared" si="541"/>
        <v>55000</v>
      </c>
      <c r="HK495" s="114"/>
      <c r="HL495" s="114"/>
      <c r="HM495" s="118">
        <v>2</v>
      </c>
      <c r="HN495" s="126">
        <f t="shared" si="542"/>
        <v>144000</v>
      </c>
      <c r="HO495" s="109">
        <f>ROUNDUP((IF(GY495="carton box",HI495/HD495,HJ495/HN495)),2)</f>
        <v>0.39</v>
      </c>
      <c r="HP495" s="118">
        <v>160</v>
      </c>
      <c r="HQ495" s="114">
        <v>0</v>
      </c>
      <c r="HR495" s="118">
        <v>0</v>
      </c>
      <c r="HS495" s="118">
        <v>0</v>
      </c>
      <c r="HT495" s="118">
        <f t="shared" si="544"/>
        <v>0</v>
      </c>
      <c r="HU495" s="118"/>
      <c r="HV495" s="118">
        <f t="shared" si="545"/>
        <v>0.39</v>
      </c>
      <c r="HW495" s="118"/>
      <c r="HX495" s="118">
        <v>4200</v>
      </c>
      <c r="HY495" s="118">
        <v>1900</v>
      </c>
      <c r="HZ495" s="118">
        <v>1975</v>
      </c>
      <c r="IA495" s="118">
        <f t="shared" si="547"/>
        <v>5</v>
      </c>
      <c r="IB495" s="118">
        <f t="shared" si="548"/>
        <v>3</v>
      </c>
      <c r="IC495" s="118">
        <f t="shared" si="549"/>
        <v>4</v>
      </c>
      <c r="ID495" s="108">
        <v>0.95</v>
      </c>
      <c r="IE495" s="111">
        <f t="shared" si="562"/>
        <v>57</v>
      </c>
      <c r="IF495" s="118">
        <v>500</v>
      </c>
      <c r="IG495" s="109">
        <f>ROUNDUP(IF495/(IE495*HD495),2)</f>
        <v>0.36</v>
      </c>
      <c r="IH495" s="62"/>
    </row>
    <row r="496" spans="1:242" ht="30">
      <c r="A496">
        <v>484</v>
      </c>
      <c r="B496" t="s">
        <v>468</v>
      </c>
      <c r="C496" s="373" t="s">
        <v>2006</v>
      </c>
      <c r="D496" s="28" t="s">
        <v>1347</v>
      </c>
      <c r="E496" s="28" t="s">
        <v>1348</v>
      </c>
      <c r="F496" s="5" t="s">
        <v>2182</v>
      </c>
      <c r="G496" s="27" t="s">
        <v>90</v>
      </c>
      <c r="I496" s="27" t="s">
        <v>226</v>
      </c>
      <c r="J496" s="28">
        <v>21590</v>
      </c>
      <c r="K496" s="27" t="s">
        <v>397</v>
      </c>
      <c r="L496" s="379"/>
      <c r="Q496" s="13" t="s">
        <v>1890</v>
      </c>
      <c r="R496" s="13" t="s">
        <v>1836</v>
      </c>
      <c r="W496" s="53" t="s">
        <v>2007</v>
      </c>
      <c r="X496" s="53"/>
      <c r="Y496" s="53"/>
      <c r="Z496" s="53"/>
      <c r="AA496" s="13" t="s">
        <v>469</v>
      </c>
      <c r="AB496" s="66">
        <v>130.87</v>
      </c>
      <c r="AC496">
        <v>20</v>
      </c>
      <c r="AD496" s="13" t="s">
        <v>1982</v>
      </c>
      <c r="AE496" s="7">
        <f t="shared" si="513"/>
        <v>51.422780000000003</v>
      </c>
      <c r="AF496" s="7"/>
      <c r="AG496" s="7">
        <f t="shared" si="514"/>
        <v>9.51</v>
      </c>
      <c r="AH496" s="7">
        <f t="shared" si="515"/>
        <v>0</v>
      </c>
      <c r="AI496" s="7">
        <f t="shared" si="516"/>
        <v>0</v>
      </c>
      <c r="AJ496" s="7">
        <f t="shared" si="517"/>
        <v>0.2</v>
      </c>
      <c r="AK496" s="7">
        <f t="shared" si="518"/>
        <v>0.77</v>
      </c>
      <c r="AL496" s="7">
        <f t="shared" si="519"/>
        <v>6.71</v>
      </c>
      <c r="AM496" s="7">
        <f t="shared" si="520"/>
        <v>0.92</v>
      </c>
      <c r="AN496" s="7">
        <f t="shared" si="521"/>
        <v>0.88</v>
      </c>
      <c r="AO496" s="7">
        <f t="shared" si="522"/>
        <v>0</v>
      </c>
      <c r="AP496" s="7"/>
      <c r="AQ496" s="7">
        <f t="shared" si="523"/>
        <v>70.412779999999998</v>
      </c>
      <c r="AR496" s="7">
        <f t="shared" si="524"/>
        <v>0</v>
      </c>
      <c r="AS496" s="7">
        <f t="shared" si="525"/>
        <v>0</v>
      </c>
      <c r="AT496" s="7">
        <v>0</v>
      </c>
      <c r="AU496" s="7">
        <f>71.02-70.41</f>
        <v>0.60999999999999943</v>
      </c>
      <c r="AV496" s="7">
        <f t="shared" si="526"/>
        <v>71.022779999999997</v>
      </c>
      <c r="AW496">
        <v>0.39400000000000002</v>
      </c>
      <c r="AX496">
        <v>0.38700000000000001</v>
      </c>
      <c r="AY496" s="8">
        <v>1</v>
      </c>
      <c r="AZ496" s="4">
        <f t="shared" si="527"/>
        <v>7.0000000000000062E-3</v>
      </c>
      <c r="BA496" s="4">
        <f t="shared" si="528"/>
        <v>51.422780000000003</v>
      </c>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E496" s="4">
        <v>0</v>
      </c>
      <c r="CF496" s="4">
        <v>0</v>
      </c>
      <c r="CG496" s="4">
        <v>0</v>
      </c>
      <c r="CH496">
        <f t="shared" si="529"/>
        <v>0</v>
      </c>
      <c r="CI496" s="13"/>
      <c r="CK496">
        <v>0</v>
      </c>
      <c r="CL496">
        <v>0</v>
      </c>
      <c r="CM496">
        <f>CK496*CL496</f>
        <v>0</v>
      </c>
      <c r="CN496" s="13"/>
      <c r="CP496">
        <v>0</v>
      </c>
      <c r="CQ496">
        <v>0</v>
      </c>
      <c r="CR496">
        <f>CP496*CQ496</f>
        <v>0</v>
      </c>
      <c r="CU496">
        <v>0</v>
      </c>
      <c r="CV496">
        <v>0</v>
      </c>
      <c r="CW496">
        <f>CU496*CV496</f>
        <v>0</v>
      </c>
      <c r="DM496" s="4">
        <f t="shared" si="530"/>
        <v>0</v>
      </c>
      <c r="DN496" s="9">
        <v>1.2500000000000001E-2</v>
      </c>
      <c r="DO496" s="4">
        <f t="shared" ref="DO496:DO501" si="563">(DM496*DN496)</f>
        <v>0</v>
      </c>
      <c r="DP496" s="4">
        <f t="shared" si="532"/>
        <v>0</v>
      </c>
      <c r="EF496" s="59">
        <v>660</v>
      </c>
      <c r="EG496" s="59">
        <v>6600</v>
      </c>
      <c r="EH496" s="59">
        <v>7.5</v>
      </c>
      <c r="EI496" s="8">
        <v>0.9</v>
      </c>
      <c r="EJ496" s="59">
        <v>2</v>
      </c>
      <c r="EK496" s="59">
        <v>70</v>
      </c>
      <c r="EL496" s="65">
        <f t="shared" si="533"/>
        <v>694.28571428571433</v>
      </c>
      <c r="EU496" s="62">
        <f>ROUNDUP((EG496/EL496+EM496+EX496+EP496+EQ496+ER496+EO496),2)</f>
        <v>9.51</v>
      </c>
      <c r="GR496" s="8">
        <v>0.11</v>
      </c>
      <c r="GS496" s="4">
        <f>ROUNDUP(GR496*(BA496+EU496),2)</f>
        <v>6.71</v>
      </c>
      <c r="GT496" s="9">
        <v>1.2500000000000001E-2</v>
      </c>
      <c r="GU496" s="4">
        <f>ROUNDUP(GT496*(EU496+BA496),2)</f>
        <v>0.77</v>
      </c>
      <c r="GV496" s="8">
        <v>0.02</v>
      </c>
      <c r="GW496" s="4">
        <f>ROUNDUP(GV496*(EU496-EP496-EQ496),2)</f>
        <v>0.2</v>
      </c>
      <c r="GX496" s="4">
        <f t="shared" si="538"/>
        <v>7.6800000000000006</v>
      </c>
      <c r="GY496" t="s">
        <v>130</v>
      </c>
      <c r="GZ496" t="s">
        <v>130</v>
      </c>
      <c r="HA496" s="4">
        <v>810</v>
      </c>
      <c r="HB496" s="4">
        <v>568</v>
      </c>
      <c r="HC496" s="59">
        <v>425</v>
      </c>
      <c r="HD496" s="59">
        <v>10</v>
      </c>
      <c r="HE496" s="59">
        <v>240</v>
      </c>
      <c r="HF496" s="4">
        <f t="shared" si="539"/>
        <v>24</v>
      </c>
      <c r="HG496" s="59">
        <v>5</v>
      </c>
      <c r="HH496" s="4">
        <f t="shared" si="540"/>
        <v>120</v>
      </c>
      <c r="HI496" s="59">
        <v>1100</v>
      </c>
      <c r="HJ496" s="4">
        <f t="shared" si="541"/>
        <v>132000</v>
      </c>
      <c r="HM496" s="4">
        <v>2</v>
      </c>
      <c r="HN496" s="10">
        <f t="shared" si="542"/>
        <v>144000</v>
      </c>
      <c r="HO496" s="62">
        <f>ROUNDUP((IF(GY496="carton box",HI496/HD496,HJ496/HN496)),2)</f>
        <v>0.92</v>
      </c>
      <c r="HP496" s="4">
        <v>160</v>
      </c>
      <c r="HQ496">
        <v>0</v>
      </c>
      <c r="HR496" s="4">
        <v>0</v>
      </c>
      <c r="HS496" s="4">
        <v>0</v>
      </c>
      <c r="HT496" s="4">
        <f t="shared" si="544"/>
        <v>0</v>
      </c>
      <c r="HU496" s="4"/>
      <c r="HV496" s="4">
        <f t="shared" si="545"/>
        <v>0.92</v>
      </c>
      <c r="HW496" s="4"/>
      <c r="HX496" s="4">
        <v>4200</v>
      </c>
      <c r="HY496" s="4">
        <v>1900</v>
      </c>
      <c r="HZ496" s="4">
        <v>1975</v>
      </c>
      <c r="IA496" s="4">
        <f t="shared" si="547"/>
        <v>5</v>
      </c>
      <c r="IB496" s="4">
        <f t="shared" si="548"/>
        <v>3</v>
      </c>
      <c r="IC496" s="4">
        <f t="shared" si="549"/>
        <v>4</v>
      </c>
      <c r="ID496" s="61">
        <v>0.95</v>
      </c>
      <c r="IE496" s="65">
        <f t="shared" si="562"/>
        <v>57</v>
      </c>
      <c r="IF496" s="4">
        <v>500</v>
      </c>
      <c r="IG496" s="62">
        <f>ROUNDUP(IF496/(IE496*HD496),2)</f>
        <v>0.88</v>
      </c>
      <c r="IH496" s="62"/>
    </row>
    <row r="497" spans="1:242">
      <c r="A497">
        <v>486</v>
      </c>
      <c r="B497" t="s">
        <v>468</v>
      </c>
      <c r="C497" s="278" t="s">
        <v>2008</v>
      </c>
      <c r="D497" s="28" t="s">
        <v>1349</v>
      </c>
      <c r="E497" s="28" t="s">
        <v>1350</v>
      </c>
      <c r="F497" s="5" t="s">
        <v>2182</v>
      </c>
      <c r="G497" s="27" t="s">
        <v>90</v>
      </c>
      <c r="I497" s="27" t="s">
        <v>226</v>
      </c>
      <c r="J497" s="28">
        <v>21590</v>
      </c>
      <c r="K497" s="27" t="s">
        <v>397</v>
      </c>
      <c r="L497" s="240"/>
      <c r="M497" s="114"/>
      <c r="N497" s="115"/>
      <c r="O497" s="115"/>
      <c r="P497" s="115"/>
      <c r="Q497" s="13" t="s">
        <v>1890</v>
      </c>
      <c r="R497" s="13" t="s">
        <v>1836</v>
      </c>
      <c r="V497" s="319"/>
      <c r="W497" s="115"/>
      <c r="X497" s="115"/>
      <c r="Y497" s="115"/>
      <c r="Z497" s="115"/>
      <c r="AA497" s="115" t="s">
        <v>971</v>
      </c>
      <c r="AB497" s="121">
        <v>105.56</v>
      </c>
      <c r="AC497" s="114">
        <v>20</v>
      </c>
      <c r="AD497" s="115" t="s">
        <v>1982</v>
      </c>
      <c r="AE497" s="119">
        <f t="shared" si="513"/>
        <v>142.70267999999999</v>
      </c>
      <c r="AF497" s="119"/>
      <c r="AG497" s="119">
        <f t="shared" si="514"/>
        <v>16.98</v>
      </c>
      <c r="AH497" s="119">
        <f t="shared" si="515"/>
        <v>0</v>
      </c>
      <c r="AI497" s="119">
        <f t="shared" si="516"/>
        <v>0</v>
      </c>
      <c r="AJ497" s="119">
        <f t="shared" si="517"/>
        <v>0.34</v>
      </c>
      <c r="AK497" s="119">
        <f t="shared" si="518"/>
        <v>2</v>
      </c>
      <c r="AL497" s="119">
        <f t="shared" si="519"/>
        <v>17.57</v>
      </c>
      <c r="AM497" s="119">
        <f t="shared" si="520"/>
        <v>0.12</v>
      </c>
      <c r="AN497" s="119">
        <f t="shared" si="521"/>
        <v>2.1999999999999997</v>
      </c>
      <c r="AO497" s="119">
        <f t="shared" si="522"/>
        <v>0</v>
      </c>
      <c r="AP497" s="119"/>
      <c r="AQ497" s="119">
        <f t="shared" si="523"/>
        <v>181.91267999999997</v>
      </c>
      <c r="AR497" s="119">
        <f t="shared" si="524"/>
        <v>0</v>
      </c>
      <c r="AS497" s="119">
        <f t="shared" si="525"/>
        <v>0</v>
      </c>
      <c r="AT497" s="119">
        <v>0</v>
      </c>
      <c r="AU497" s="119">
        <v>0</v>
      </c>
      <c r="AV497" s="119">
        <f t="shared" si="526"/>
        <v>181.91267999999997</v>
      </c>
      <c r="AW497" s="114">
        <v>1.353</v>
      </c>
      <c r="AX497" s="114">
        <v>1.347</v>
      </c>
      <c r="AY497" s="120">
        <v>1</v>
      </c>
      <c r="AZ497" s="118">
        <f t="shared" si="527"/>
        <v>6.0000000000000053E-3</v>
      </c>
      <c r="BA497" s="118">
        <f t="shared" si="528"/>
        <v>142.70267999999999</v>
      </c>
      <c r="BB497" s="118"/>
      <c r="BC497" s="118"/>
      <c r="BD497" s="118"/>
      <c r="BE497" s="118"/>
      <c r="BF497" s="118"/>
      <c r="BG497" s="118"/>
      <c r="BH497" s="118"/>
      <c r="BI497" s="118"/>
      <c r="BJ497" s="118"/>
      <c r="BK497" s="118"/>
      <c r="BL497" s="118"/>
      <c r="BM497" s="118"/>
      <c r="BN497" s="118"/>
      <c r="BO497" s="118"/>
      <c r="BP497" s="118"/>
      <c r="BQ497" s="118"/>
      <c r="BR497" s="118"/>
      <c r="BS497" s="118"/>
      <c r="BT497" s="118"/>
      <c r="BU497" s="118"/>
      <c r="BV497" s="118"/>
      <c r="BW497" s="118"/>
      <c r="BX497" s="118"/>
      <c r="BY497" s="118"/>
      <c r="BZ497" s="118"/>
      <c r="CA497" s="118"/>
      <c r="CB497" s="118"/>
      <c r="CC497" s="118"/>
      <c r="CD497" s="114"/>
      <c r="CE497" s="118">
        <v>0</v>
      </c>
      <c r="CF497" s="118">
        <v>0</v>
      </c>
      <c r="CG497" s="118">
        <v>0</v>
      </c>
      <c r="CH497" s="114">
        <f t="shared" si="529"/>
        <v>0</v>
      </c>
      <c r="CI497" s="115"/>
      <c r="CJ497" s="114"/>
      <c r="CK497" s="114">
        <v>0</v>
      </c>
      <c r="CL497" s="114">
        <v>0</v>
      </c>
      <c r="CM497" s="114">
        <f>CK497*CL497</f>
        <v>0</v>
      </c>
      <c r="CN497" s="115"/>
      <c r="CO497" s="114"/>
      <c r="CP497" s="114">
        <v>0</v>
      </c>
      <c r="CQ497" s="114">
        <v>0</v>
      </c>
      <c r="CR497" s="114">
        <f>CP497*CQ497</f>
        <v>0</v>
      </c>
      <c r="CS497" s="114"/>
      <c r="CT497" s="114"/>
      <c r="CU497" s="114">
        <v>0</v>
      </c>
      <c r="CV497" s="114">
        <v>0</v>
      </c>
      <c r="CW497" s="114">
        <f>CU497*CV497</f>
        <v>0</v>
      </c>
      <c r="CX497" s="114"/>
      <c r="CY497" s="114"/>
      <c r="CZ497" s="114"/>
      <c r="DA497" s="114"/>
      <c r="DB497" s="114"/>
      <c r="DC497" s="114"/>
      <c r="DD497" s="114"/>
      <c r="DE497" s="114"/>
      <c r="DF497" s="114"/>
      <c r="DG497" s="114"/>
      <c r="DH497" s="114"/>
      <c r="DI497" s="114"/>
      <c r="DJ497" s="114"/>
      <c r="DK497" s="114"/>
      <c r="DL497" s="114"/>
      <c r="DM497" s="118">
        <f t="shared" si="530"/>
        <v>0</v>
      </c>
      <c r="DN497" s="125">
        <v>1.2500000000000001E-2</v>
      </c>
      <c r="DO497" s="118">
        <f t="shared" si="563"/>
        <v>0</v>
      </c>
      <c r="DP497" s="118">
        <f t="shared" si="532"/>
        <v>0</v>
      </c>
      <c r="DQ497" s="114"/>
      <c r="DR497" s="114"/>
      <c r="DS497" s="114"/>
      <c r="DT497" s="114"/>
      <c r="DU497" s="114"/>
      <c r="DV497" s="114"/>
      <c r="DW497" s="114"/>
      <c r="DX497" s="114"/>
      <c r="DY497" s="114"/>
      <c r="DZ497" s="114"/>
      <c r="EA497" s="114"/>
      <c r="EB497" s="114"/>
      <c r="EC497" s="114"/>
      <c r="ED497" s="114"/>
      <c r="EE497" s="114"/>
      <c r="EF497" s="105">
        <v>550</v>
      </c>
      <c r="EG497" s="105">
        <v>5500</v>
      </c>
      <c r="EH497" s="105">
        <v>7.5</v>
      </c>
      <c r="EI497" s="120">
        <v>0.9</v>
      </c>
      <c r="EJ497" s="105">
        <v>1</v>
      </c>
      <c r="EK497" s="105">
        <v>75</v>
      </c>
      <c r="EL497" s="111">
        <f t="shared" si="533"/>
        <v>324</v>
      </c>
      <c r="EM497" s="114"/>
      <c r="EN497" s="114"/>
      <c r="EO497" s="114"/>
      <c r="EP497" s="114"/>
      <c r="EQ497" s="114"/>
      <c r="ER497" s="114"/>
      <c r="ES497" s="114"/>
      <c r="ET497" s="114"/>
      <c r="EU497" s="109">
        <f>ROUNDUP((EG497/EL497+EM497+EX497+EP497+EQ497+ER497+EO497),2)</f>
        <v>16.98</v>
      </c>
      <c r="EV497" s="114"/>
      <c r="EW497" s="114"/>
      <c r="EX497" s="114"/>
      <c r="EY497" s="114"/>
      <c r="EZ497" s="114"/>
      <c r="FA497" s="114"/>
      <c r="FB497" s="114"/>
      <c r="FC497" s="114"/>
      <c r="FD497" s="114"/>
      <c r="FE497" s="114"/>
      <c r="FF497" s="114"/>
      <c r="FG497" s="114"/>
      <c r="FH497" s="114"/>
      <c r="FI497" s="114"/>
      <c r="FJ497" s="114"/>
      <c r="FK497" s="114"/>
      <c r="FL497" s="114"/>
      <c r="FM497" s="114"/>
      <c r="FN497" s="114"/>
      <c r="FO497" s="114"/>
      <c r="FP497" s="114"/>
      <c r="FQ497" s="114"/>
      <c r="FR497" s="114"/>
      <c r="FS497" s="114"/>
      <c r="FT497" s="114"/>
      <c r="FU497" s="114"/>
      <c r="FV497" s="114"/>
      <c r="FW497" s="114"/>
      <c r="FX497" s="114"/>
      <c r="FY497" s="114"/>
      <c r="FZ497" s="114"/>
      <c r="GA497" s="114"/>
      <c r="GB497" s="114"/>
      <c r="GC497" s="114"/>
      <c r="GD497" s="114"/>
      <c r="GE497" s="114"/>
      <c r="GF497" s="114"/>
      <c r="GG497" s="114"/>
      <c r="GH497" s="114"/>
      <c r="GI497" s="114"/>
      <c r="GJ497" s="114"/>
      <c r="GK497" s="114"/>
      <c r="GL497" s="114"/>
      <c r="GM497" s="114"/>
      <c r="GN497" s="114"/>
      <c r="GO497" s="114"/>
      <c r="GP497" s="114"/>
      <c r="GQ497" s="114"/>
      <c r="GR497" s="120">
        <v>0.11</v>
      </c>
      <c r="GS497" s="118">
        <f>ROUNDUP(GR497*(BA497+EU497),2)</f>
        <v>17.57</v>
      </c>
      <c r="GT497" s="125">
        <v>1.2500000000000001E-2</v>
      </c>
      <c r="GU497" s="118">
        <f>ROUNDUP(GT497*(EU497+BA497),2)</f>
        <v>2</v>
      </c>
      <c r="GV497" s="120">
        <v>0.02</v>
      </c>
      <c r="GW497" s="118">
        <f>ROUNDUP(GV497*(EU497-EP497-EQ497),2)</f>
        <v>0.34</v>
      </c>
      <c r="GX497" s="118">
        <f t="shared" si="538"/>
        <v>19.91</v>
      </c>
      <c r="GY497" s="114" t="s">
        <v>130</v>
      </c>
      <c r="GZ497" s="114" t="s">
        <v>130</v>
      </c>
      <c r="HA497" s="118">
        <v>1000</v>
      </c>
      <c r="HB497" s="118">
        <v>400</v>
      </c>
      <c r="HC497" s="105">
        <v>1800</v>
      </c>
      <c r="HD497" s="105">
        <v>15</v>
      </c>
      <c r="HE497" s="105">
        <v>300</v>
      </c>
      <c r="HF497" s="118">
        <f t="shared" si="539"/>
        <v>20</v>
      </c>
      <c r="HG497" s="105">
        <v>5</v>
      </c>
      <c r="HH497" s="118">
        <f t="shared" si="540"/>
        <v>100</v>
      </c>
      <c r="HI497" s="105">
        <v>200</v>
      </c>
      <c r="HJ497" s="118">
        <f t="shared" si="541"/>
        <v>20000</v>
      </c>
      <c r="HK497" s="114"/>
      <c r="HL497" s="114"/>
      <c r="HM497" s="118">
        <v>2</v>
      </c>
      <c r="HN497" s="126">
        <f t="shared" si="542"/>
        <v>180000</v>
      </c>
      <c r="HO497" s="109">
        <f>ROUNDUP((IF(GY497="carton box",HI497/HD497,HJ497/HN497)),2)</f>
        <v>0.12</v>
      </c>
      <c r="HP497" s="118">
        <v>160</v>
      </c>
      <c r="HQ497" s="114">
        <v>0</v>
      </c>
      <c r="HR497" s="118">
        <v>0</v>
      </c>
      <c r="HS497" s="118">
        <v>0</v>
      </c>
      <c r="HT497" s="118">
        <f t="shared" si="544"/>
        <v>0</v>
      </c>
      <c r="HU497" s="118"/>
      <c r="HV497" s="118">
        <f t="shared" si="545"/>
        <v>0.12</v>
      </c>
      <c r="HW497" s="118"/>
      <c r="HX497" s="118">
        <v>4200</v>
      </c>
      <c r="HY497" s="118">
        <v>1900</v>
      </c>
      <c r="HZ497" s="118">
        <v>1975</v>
      </c>
      <c r="IA497" s="118">
        <f t="shared" si="547"/>
        <v>4</v>
      </c>
      <c r="IB497" s="118">
        <f t="shared" si="548"/>
        <v>4</v>
      </c>
      <c r="IC497" s="118">
        <f t="shared" si="549"/>
        <v>1</v>
      </c>
      <c r="ID497" s="108">
        <v>0.95</v>
      </c>
      <c r="IE497" s="111">
        <f t="shared" si="562"/>
        <v>15.2</v>
      </c>
      <c r="IF497" s="118">
        <v>500</v>
      </c>
      <c r="IG497" s="109">
        <f>ROUNDUP(IF497/(IE497*HD497),2)</f>
        <v>2.1999999999999997</v>
      </c>
      <c r="IH497" s="62"/>
    </row>
    <row r="498" spans="1:242">
      <c r="A498">
        <v>492</v>
      </c>
      <c r="B498" t="s">
        <v>468</v>
      </c>
      <c r="C498" s="334" t="s">
        <v>2009</v>
      </c>
      <c r="D498" s="28" t="s">
        <v>660</v>
      </c>
      <c r="E498" s="28" t="s">
        <v>156</v>
      </c>
      <c r="F498" s="5" t="s">
        <v>2182</v>
      </c>
      <c r="G498" s="27" t="s">
        <v>90</v>
      </c>
      <c r="I498" s="27" t="s">
        <v>121</v>
      </c>
      <c r="J498" s="28">
        <v>21677</v>
      </c>
      <c r="K498" s="27" t="s">
        <v>228</v>
      </c>
      <c r="L498" s="379">
        <v>21401</v>
      </c>
      <c r="M498" t="s">
        <v>121</v>
      </c>
      <c r="Q498" s="13" t="s">
        <v>1786</v>
      </c>
      <c r="R498" s="13" t="s">
        <v>1769</v>
      </c>
      <c r="W498" s="239" t="s">
        <v>2010</v>
      </c>
      <c r="X498" s="239"/>
      <c r="Y498" s="239"/>
      <c r="Z498" s="239"/>
      <c r="AA498" s="13" t="s">
        <v>2011</v>
      </c>
      <c r="AB498" s="57">
        <v>95.6</v>
      </c>
      <c r="AC498">
        <v>0</v>
      </c>
      <c r="AD498" s="13" t="s">
        <v>285</v>
      </c>
      <c r="AE498" s="7">
        <f t="shared" si="513"/>
        <v>20.566427999999998</v>
      </c>
      <c r="AF498" s="7"/>
      <c r="AG498" s="7">
        <f t="shared" si="514"/>
        <v>7.6754385964912277</v>
      </c>
      <c r="AH498" s="7">
        <f t="shared" si="515"/>
        <v>9</v>
      </c>
      <c r="AI498" s="7">
        <f t="shared" si="516"/>
        <v>0.1125</v>
      </c>
      <c r="AJ498" s="7">
        <f t="shared" si="517"/>
        <v>0.15350877192982457</v>
      </c>
      <c r="AK498" s="7">
        <f t="shared" si="518"/>
        <v>0.35302333245614037</v>
      </c>
      <c r="AL498" s="7">
        <f t="shared" si="519"/>
        <v>3.1066053256140349</v>
      </c>
      <c r="AM498" s="7">
        <f t="shared" si="520"/>
        <v>0.18333333333333332</v>
      </c>
      <c r="AN498" s="7">
        <f t="shared" si="521"/>
        <v>0.1111111111111111</v>
      </c>
      <c r="AO498" s="7">
        <f t="shared" si="522"/>
        <v>0</v>
      </c>
      <c r="AP498" s="7"/>
      <c r="AQ498" s="7">
        <f t="shared" si="523"/>
        <v>41.261948470935664</v>
      </c>
      <c r="AR498" s="7">
        <f t="shared" si="524"/>
        <v>0</v>
      </c>
      <c r="AS498" s="7">
        <f t="shared" si="525"/>
        <v>0</v>
      </c>
      <c r="AT498" s="7">
        <v>0</v>
      </c>
      <c r="AU498" s="7">
        <v>0</v>
      </c>
      <c r="AV498" s="7">
        <f t="shared" si="526"/>
        <v>41.261948470935664</v>
      </c>
      <c r="AW498" s="14">
        <v>0.21512999999999999</v>
      </c>
      <c r="AX498" s="14">
        <v>0.21512999999999999</v>
      </c>
      <c r="AY498" s="8">
        <v>0</v>
      </c>
      <c r="AZ498" s="4">
        <f t="shared" si="527"/>
        <v>0</v>
      </c>
      <c r="BA498" s="4">
        <f t="shared" si="528"/>
        <v>20.566427999999998</v>
      </c>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E498" s="4">
        <v>0</v>
      </c>
      <c r="CF498" s="4">
        <v>5</v>
      </c>
      <c r="CG498" s="4">
        <v>1.8</v>
      </c>
      <c r="CH498" s="4">
        <f t="shared" si="529"/>
        <v>9</v>
      </c>
      <c r="DM498" s="4">
        <f t="shared" si="530"/>
        <v>9</v>
      </c>
      <c r="DN498" s="9">
        <v>1.2500000000000001E-2</v>
      </c>
      <c r="DO498" s="4">
        <f t="shared" si="563"/>
        <v>0.1125</v>
      </c>
      <c r="DP498" s="4">
        <f t="shared" si="532"/>
        <v>9.1125000000000007</v>
      </c>
      <c r="EF498" s="59">
        <v>350</v>
      </c>
      <c r="EG498" s="59">
        <v>3500</v>
      </c>
      <c r="EH498" s="59">
        <v>8</v>
      </c>
      <c r="EI498" s="8">
        <v>0.95</v>
      </c>
      <c r="EJ498" s="59">
        <v>2</v>
      </c>
      <c r="EK498" s="59">
        <v>120</v>
      </c>
      <c r="EL498" s="65">
        <f t="shared" si="533"/>
        <v>456</v>
      </c>
      <c r="EU498" s="62">
        <f>(EG498/EL498+EM498+EX498+EP498+EQ498+ER498+EO498)</f>
        <v>7.6754385964912277</v>
      </c>
      <c r="GR498" s="8">
        <v>0.11</v>
      </c>
      <c r="GS498" s="4">
        <f>GR498*(BA498+EU498)</f>
        <v>3.1066053256140349</v>
      </c>
      <c r="GT498" s="9">
        <v>1.2500000000000001E-2</v>
      </c>
      <c r="GU498" s="4">
        <f>GT498*(EU498+BA498)</f>
        <v>0.35302333245614037</v>
      </c>
      <c r="GV498" s="8">
        <v>0.02</v>
      </c>
      <c r="GW498" s="4">
        <f>GV498*(EU498-EP498-EQ498)</f>
        <v>0.15350877192982457</v>
      </c>
      <c r="GX498" s="4">
        <f t="shared" si="538"/>
        <v>3.6131374299999997</v>
      </c>
      <c r="GY498" t="s">
        <v>130</v>
      </c>
      <c r="GZ498" t="s">
        <v>130</v>
      </c>
      <c r="HA498" s="4">
        <v>810</v>
      </c>
      <c r="HB498" s="4">
        <v>568</v>
      </c>
      <c r="HC498" s="59">
        <v>425</v>
      </c>
      <c r="HD498" s="59">
        <v>50</v>
      </c>
      <c r="HE498" s="59">
        <v>1000</v>
      </c>
      <c r="HF498" s="4">
        <f t="shared" si="539"/>
        <v>20</v>
      </c>
      <c r="HG498" s="59">
        <v>5</v>
      </c>
      <c r="HH498" s="4">
        <f t="shared" si="540"/>
        <v>100</v>
      </c>
      <c r="HI498" s="59">
        <v>1100</v>
      </c>
      <c r="HJ498" s="4">
        <f t="shared" si="541"/>
        <v>110000</v>
      </c>
      <c r="HM498" s="4">
        <v>2</v>
      </c>
      <c r="HN498" s="10">
        <f t="shared" si="542"/>
        <v>600000</v>
      </c>
      <c r="HO498" s="62">
        <f t="shared" ref="HO498:HO504" si="564">(IF(GY498="carton box",HI498/HD498,HJ498/HN498))</f>
        <v>0.18333333333333332</v>
      </c>
      <c r="HP498" s="4">
        <v>160</v>
      </c>
      <c r="HQ498">
        <v>0</v>
      </c>
      <c r="HR498" s="4">
        <v>0</v>
      </c>
      <c r="HS498" s="4">
        <v>0</v>
      </c>
      <c r="HT498" s="4">
        <f t="shared" si="544"/>
        <v>0</v>
      </c>
      <c r="HU498" s="4"/>
      <c r="HV498" s="4">
        <f t="shared" si="545"/>
        <v>0.18333333333333332</v>
      </c>
      <c r="HW498" s="4"/>
      <c r="HX498" s="4">
        <v>5016</v>
      </c>
      <c r="HY498" s="4">
        <v>1976</v>
      </c>
      <c r="HZ498" s="4">
        <v>2280</v>
      </c>
      <c r="IA498" s="4">
        <f t="shared" si="547"/>
        <v>6</v>
      </c>
      <c r="IB498" s="4">
        <f t="shared" si="548"/>
        <v>3</v>
      </c>
      <c r="IC498" s="4">
        <f t="shared" si="549"/>
        <v>5</v>
      </c>
      <c r="ID498" s="61">
        <v>1</v>
      </c>
      <c r="IE498" s="65">
        <f t="shared" si="562"/>
        <v>90</v>
      </c>
      <c r="IF498" s="4">
        <v>500</v>
      </c>
      <c r="IG498" s="62">
        <f t="shared" ref="IG498:IG504" si="565">IF498/(IE498*HD498)</f>
        <v>0.1111111111111111</v>
      </c>
      <c r="IH498" s="62"/>
    </row>
    <row r="499" spans="1:242">
      <c r="A499">
        <v>494</v>
      </c>
      <c r="B499" t="s">
        <v>468</v>
      </c>
      <c r="C499" s="278" t="s">
        <v>2012</v>
      </c>
      <c r="D499" s="28" t="s">
        <v>661</v>
      </c>
      <c r="E499" s="28" t="s">
        <v>158</v>
      </c>
      <c r="F499" s="5" t="s">
        <v>2182</v>
      </c>
      <c r="G499" s="27" t="s">
        <v>90</v>
      </c>
      <c r="I499" s="27" t="s">
        <v>121</v>
      </c>
      <c r="J499" s="28">
        <v>21677</v>
      </c>
      <c r="K499" s="27" t="s">
        <v>228</v>
      </c>
      <c r="L499" s="240">
        <v>21401</v>
      </c>
      <c r="M499" s="114" t="s">
        <v>121</v>
      </c>
      <c r="N499" s="115"/>
      <c r="O499" s="115"/>
      <c r="P499" s="115"/>
      <c r="Q499" s="13" t="s">
        <v>1786</v>
      </c>
      <c r="R499" s="13" t="s">
        <v>1769</v>
      </c>
      <c r="V499" s="319"/>
      <c r="W499" s="238" t="s">
        <v>2010</v>
      </c>
      <c r="X499" s="238"/>
      <c r="Y499" s="238"/>
      <c r="Z499" s="238"/>
      <c r="AA499" s="115" t="s">
        <v>2011</v>
      </c>
      <c r="AB499" s="201">
        <v>95.6</v>
      </c>
      <c r="AC499" s="114">
        <v>20</v>
      </c>
      <c r="AD499" s="115" t="s">
        <v>285</v>
      </c>
      <c r="AE499" s="119">
        <f t="shared" si="513"/>
        <v>3.8996</v>
      </c>
      <c r="AF499" s="119"/>
      <c r="AG499" s="119">
        <f t="shared" si="514"/>
        <v>1.2335526315789473</v>
      </c>
      <c r="AH499" s="119">
        <f t="shared" si="515"/>
        <v>0</v>
      </c>
      <c r="AI499" s="119">
        <f t="shared" si="516"/>
        <v>0</v>
      </c>
      <c r="AJ499" s="119">
        <f t="shared" si="517"/>
        <v>2.4671052631578948E-2</v>
      </c>
      <c r="AK499" s="119">
        <f t="shared" si="518"/>
        <v>6.4164407894736847E-2</v>
      </c>
      <c r="AL499" s="119">
        <f t="shared" si="519"/>
        <v>0.56464678947368419</v>
      </c>
      <c r="AM499" s="119">
        <f t="shared" si="520"/>
        <v>2.75E-2</v>
      </c>
      <c r="AN499" s="119">
        <f t="shared" si="521"/>
        <v>1.3888888888888888E-2</v>
      </c>
      <c r="AO499" s="119">
        <f t="shared" si="522"/>
        <v>0</v>
      </c>
      <c r="AP499" s="119"/>
      <c r="AQ499" s="119">
        <f t="shared" si="523"/>
        <v>5.8280237704678362</v>
      </c>
      <c r="AR499" s="119">
        <f t="shared" si="524"/>
        <v>0</v>
      </c>
      <c r="AS499" s="119">
        <f t="shared" si="525"/>
        <v>0</v>
      </c>
      <c r="AT499" s="119">
        <v>0</v>
      </c>
      <c r="AU499" s="119">
        <v>0</v>
      </c>
      <c r="AV499" s="119">
        <f t="shared" si="526"/>
        <v>5.8280237704678362</v>
      </c>
      <c r="AW499" s="114">
        <v>4.1000000000000002E-2</v>
      </c>
      <c r="AX499" s="124">
        <v>0.04</v>
      </c>
      <c r="AY499" s="120">
        <v>1</v>
      </c>
      <c r="AZ499" s="118">
        <f t="shared" si="527"/>
        <v>1.0000000000000009E-3</v>
      </c>
      <c r="BA499" s="118">
        <f t="shared" si="528"/>
        <v>3.8996</v>
      </c>
      <c r="BB499" s="118"/>
      <c r="BC499" s="118"/>
      <c r="BD499" s="118"/>
      <c r="BE499" s="118"/>
      <c r="BF499" s="118"/>
      <c r="BG499" s="118"/>
      <c r="BH499" s="118"/>
      <c r="BI499" s="118"/>
      <c r="BJ499" s="118"/>
      <c r="BK499" s="118"/>
      <c r="BL499" s="118"/>
      <c r="BM499" s="118"/>
      <c r="BN499" s="118"/>
      <c r="BO499" s="118"/>
      <c r="BP499" s="118"/>
      <c r="BQ499" s="118"/>
      <c r="BR499" s="118"/>
      <c r="BS499" s="118"/>
      <c r="BT499" s="118"/>
      <c r="BU499" s="118"/>
      <c r="BV499" s="118"/>
      <c r="BW499" s="118"/>
      <c r="BX499" s="118"/>
      <c r="BY499" s="118"/>
      <c r="BZ499" s="118"/>
      <c r="CA499" s="118"/>
      <c r="CB499" s="118"/>
      <c r="CC499" s="118"/>
      <c r="CD499" s="114"/>
      <c r="CE499" s="118">
        <v>0</v>
      </c>
      <c r="CF499" s="118">
        <v>0</v>
      </c>
      <c r="CG499" s="118">
        <v>0</v>
      </c>
      <c r="CH499" s="114">
        <f t="shared" si="529"/>
        <v>0</v>
      </c>
      <c r="CI499" s="115"/>
      <c r="CJ499" s="114"/>
      <c r="CK499" s="114">
        <v>0</v>
      </c>
      <c r="CL499" s="114">
        <v>0</v>
      </c>
      <c r="CM499" s="114">
        <f>CK499*CL499</f>
        <v>0</v>
      </c>
      <c r="CN499" s="115"/>
      <c r="CO499" s="114"/>
      <c r="CP499" s="114">
        <v>0</v>
      </c>
      <c r="CQ499" s="114">
        <v>0</v>
      </c>
      <c r="CR499" s="114">
        <f>CP499*CQ499</f>
        <v>0</v>
      </c>
      <c r="CS499" s="114"/>
      <c r="CT499" s="114"/>
      <c r="CU499" s="114">
        <v>0</v>
      </c>
      <c r="CV499" s="114">
        <v>0</v>
      </c>
      <c r="CW499" s="114">
        <f>CU499*CV499</f>
        <v>0</v>
      </c>
      <c r="CX499" s="114"/>
      <c r="CY499" s="114"/>
      <c r="CZ499" s="114"/>
      <c r="DA499" s="114"/>
      <c r="DB499" s="114"/>
      <c r="DC499" s="114"/>
      <c r="DD499" s="114"/>
      <c r="DE499" s="114"/>
      <c r="DF499" s="114"/>
      <c r="DG499" s="114"/>
      <c r="DH499" s="114"/>
      <c r="DI499" s="114"/>
      <c r="DJ499" s="114"/>
      <c r="DK499" s="114"/>
      <c r="DL499" s="114"/>
      <c r="DM499" s="118">
        <f t="shared" si="530"/>
        <v>0</v>
      </c>
      <c r="DN499" s="125">
        <v>1.2500000000000001E-2</v>
      </c>
      <c r="DO499" s="118">
        <f t="shared" si="563"/>
        <v>0</v>
      </c>
      <c r="DP499" s="118">
        <f t="shared" si="532"/>
        <v>0</v>
      </c>
      <c r="DQ499" s="114"/>
      <c r="DR499" s="114"/>
      <c r="DS499" s="114"/>
      <c r="DT499" s="114"/>
      <c r="DU499" s="114"/>
      <c r="DV499" s="114"/>
      <c r="DW499" s="114"/>
      <c r="DX499" s="114"/>
      <c r="DY499" s="114"/>
      <c r="DZ499" s="114"/>
      <c r="EA499" s="114"/>
      <c r="EB499" s="114"/>
      <c r="EC499" s="114"/>
      <c r="ED499" s="114"/>
      <c r="EE499" s="114"/>
      <c r="EF499" s="105">
        <v>150</v>
      </c>
      <c r="EG499" s="105">
        <v>1500</v>
      </c>
      <c r="EH499" s="105">
        <v>8</v>
      </c>
      <c r="EI499" s="120">
        <v>0.95</v>
      </c>
      <c r="EJ499" s="105">
        <v>2</v>
      </c>
      <c r="EK499" s="105">
        <v>45</v>
      </c>
      <c r="EL499" s="111">
        <f t="shared" si="533"/>
        <v>1216</v>
      </c>
      <c r="EM499" s="114"/>
      <c r="EN499" s="114"/>
      <c r="EO499" s="114"/>
      <c r="EP499" s="114"/>
      <c r="EQ499" s="114"/>
      <c r="ER499" s="114"/>
      <c r="ES499" s="114"/>
      <c r="ET499" s="114"/>
      <c r="EU499" s="109">
        <f>(EG499/EL499+EM499+EX499+EP499+EQ499+ER499+EO499)</f>
        <v>1.2335526315789473</v>
      </c>
      <c r="EV499" s="114"/>
      <c r="EW499" s="114"/>
      <c r="EX499" s="114"/>
      <c r="EY499" s="114"/>
      <c r="EZ499" s="114"/>
      <c r="FA499" s="114"/>
      <c r="FB499" s="114"/>
      <c r="FC499" s="114"/>
      <c r="FD499" s="114"/>
      <c r="FE499" s="114"/>
      <c r="FF499" s="114"/>
      <c r="FG499" s="114"/>
      <c r="FH499" s="114"/>
      <c r="FI499" s="114"/>
      <c r="FJ499" s="114"/>
      <c r="FK499" s="114"/>
      <c r="FL499" s="114"/>
      <c r="FM499" s="114"/>
      <c r="FN499" s="114"/>
      <c r="FO499" s="114"/>
      <c r="FP499" s="114"/>
      <c r="FQ499" s="114"/>
      <c r="FR499" s="114"/>
      <c r="FS499" s="114"/>
      <c r="FT499" s="114"/>
      <c r="FU499" s="114"/>
      <c r="FV499" s="114"/>
      <c r="FW499" s="114"/>
      <c r="FX499" s="114"/>
      <c r="FY499" s="114"/>
      <c r="FZ499" s="114"/>
      <c r="GA499" s="114"/>
      <c r="GB499" s="114"/>
      <c r="GC499" s="114"/>
      <c r="GD499" s="114"/>
      <c r="GE499" s="114"/>
      <c r="GF499" s="114"/>
      <c r="GG499" s="114"/>
      <c r="GH499" s="114"/>
      <c r="GI499" s="114"/>
      <c r="GJ499" s="114"/>
      <c r="GK499" s="114"/>
      <c r="GL499" s="114"/>
      <c r="GM499" s="114"/>
      <c r="GN499" s="114"/>
      <c r="GO499" s="114"/>
      <c r="GP499" s="114"/>
      <c r="GQ499" s="114"/>
      <c r="GR499" s="120">
        <v>0.11</v>
      </c>
      <c r="GS499" s="118">
        <f>GR499*(BA499+EU499)</f>
        <v>0.56464678947368419</v>
      </c>
      <c r="GT499" s="125">
        <v>1.2500000000000001E-2</v>
      </c>
      <c r="GU499" s="118">
        <f>GT499*(EU499+BA499)</f>
        <v>6.4164407894736847E-2</v>
      </c>
      <c r="GV499" s="120">
        <v>0.02</v>
      </c>
      <c r="GW499" s="118">
        <f>GV499*(EU499-EP499-EQ499)</f>
        <v>2.4671052631578948E-2</v>
      </c>
      <c r="GX499" s="118">
        <f t="shared" si="538"/>
        <v>0.65348225000000004</v>
      </c>
      <c r="GY499" s="114" t="s">
        <v>43</v>
      </c>
      <c r="GZ499" s="114" t="s">
        <v>87</v>
      </c>
      <c r="HA499" s="118">
        <v>810</v>
      </c>
      <c r="HB499" s="118">
        <v>568</v>
      </c>
      <c r="HC499" s="105">
        <v>425</v>
      </c>
      <c r="HD499" s="105">
        <v>400</v>
      </c>
      <c r="HE499" s="105">
        <v>1000</v>
      </c>
      <c r="HF499" s="118">
        <f t="shared" si="539"/>
        <v>3</v>
      </c>
      <c r="HG499" s="105">
        <v>5</v>
      </c>
      <c r="HH499" s="118">
        <f t="shared" si="540"/>
        <v>15</v>
      </c>
      <c r="HI499" s="105">
        <v>1100</v>
      </c>
      <c r="HJ499" s="118">
        <f t="shared" si="541"/>
        <v>16500</v>
      </c>
      <c r="HK499" s="114"/>
      <c r="HL499" s="114"/>
      <c r="HM499" s="118">
        <v>2</v>
      </c>
      <c r="HN499" s="126">
        <f t="shared" si="542"/>
        <v>600000</v>
      </c>
      <c r="HO499" s="109">
        <f t="shared" si="564"/>
        <v>2.75E-2</v>
      </c>
      <c r="HP499" s="118">
        <v>160</v>
      </c>
      <c r="HQ499" s="114">
        <v>0</v>
      </c>
      <c r="HR499" s="118">
        <v>0</v>
      </c>
      <c r="HS499" s="118">
        <v>0</v>
      </c>
      <c r="HT499" s="118">
        <f t="shared" si="544"/>
        <v>0</v>
      </c>
      <c r="HU499" s="118"/>
      <c r="HV499" s="118">
        <f t="shared" si="545"/>
        <v>2.75E-2</v>
      </c>
      <c r="HW499" s="118"/>
      <c r="HX499" s="118">
        <v>5016</v>
      </c>
      <c r="HY499" s="118">
        <v>1976</v>
      </c>
      <c r="HZ499" s="118">
        <v>2280</v>
      </c>
      <c r="IA499" s="118">
        <f t="shared" si="547"/>
        <v>6</v>
      </c>
      <c r="IB499" s="118">
        <f t="shared" si="548"/>
        <v>3</v>
      </c>
      <c r="IC499" s="118">
        <f t="shared" si="549"/>
        <v>5</v>
      </c>
      <c r="ID499" s="108">
        <v>1</v>
      </c>
      <c r="IE499" s="111">
        <f t="shared" si="562"/>
        <v>90</v>
      </c>
      <c r="IF499" s="118">
        <v>500</v>
      </c>
      <c r="IG499" s="109">
        <f t="shared" si="565"/>
        <v>1.3888888888888888E-2</v>
      </c>
      <c r="IH499" s="62"/>
    </row>
    <row r="500" spans="1:242" ht="30">
      <c r="A500">
        <v>496</v>
      </c>
      <c r="B500" t="s">
        <v>468</v>
      </c>
      <c r="C500" s="373" t="s">
        <v>2017</v>
      </c>
      <c r="D500" s="28" t="s">
        <v>1354</v>
      </c>
      <c r="E500" s="28" t="s">
        <v>114</v>
      </c>
      <c r="F500" s="5" t="s">
        <v>2182</v>
      </c>
      <c r="G500" s="27" t="s">
        <v>90</v>
      </c>
      <c r="I500" s="27" t="s">
        <v>121</v>
      </c>
      <c r="J500" s="28">
        <v>21677</v>
      </c>
      <c r="K500" s="27" t="s">
        <v>228</v>
      </c>
      <c r="L500" s="379"/>
      <c r="Q500" s="13" t="s">
        <v>1035</v>
      </c>
      <c r="R500" s="13" t="s">
        <v>1778</v>
      </c>
      <c r="W500" s="53" t="s">
        <v>2013</v>
      </c>
      <c r="X500" s="53"/>
      <c r="Y500" s="53"/>
      <c r="Z500" s="53"/>
      <c r="AA500" s="13" t="s">
        <v>2014</v>
      </c>
      <c r="AE500" s="7">
        <f>CC500</f>
        <v>17.013599999999997</v>
      </c>
      <c r="AF500" s="7"/>
      <c r="AG500" s="7">
        <f>EU500+EM500</f>
        <v>5.8379616551724141</v>
      </c>
      <c r="AH500" s="7">
        <f t="shared" si="515"/>
        <v>0</v>
      </c>
      <c r="AI500" s="7">
        <f t="shared" si="516"/>
        <v>0</v>
      </c>
      <c r="AJ500" s="7">
        <f t="shared" si="517"/>
        <v>0</v>
      </c>
      <c r="AK500" s="7">
        <f t="shared" si="518"/>
        <v>0.8960612413793102</v>
      </c>
      <c r="AL500" s="7">
        <f t="shared" si="519"/>
        <v>3.1362143448275859</v>
      </c>
      <c r="AM500" s="7">
        <f t="shared" si="520"/>
        <v>0.171875</v>
      </c>
      <c r="AN500" s="7">
        <f t="shared" si="521"/>
        <v>0.1875</v>
      </c>
      <c r="AO500" s="7">
        <f t="shared" si="522"/>
        <v>0</v>
      </c>
      <c r="AP500" s="7"/>
      <c r="AQ500" s="7">
        <f t="shared" si="523"/>
        <v>27.243212241379307</v>
      </c>
      <c r="AR500" s="7">
        <f t="shared" si="524"/>
        <v>0</v>
      </c>
      <c r="AS500" s="7">
        <f t="shared" si="525"/>
        <v>0.1</v>
      </c>
      <c r="AT500" s="7">
        <v>0</v>
      </c>
      <c r="AU500" s="7">
        <f>27.38-27.34</f>
        <v>3.9999999999999147E-2</v>
      </c>
      <c r="AV500" s="7">
        <f t="shared" si="526"/>
        <v>27.383212241379308</v>
      </c>
      <c r="BM500" t="s">
        <v>2015</v>
      </c>
      <c r="BN500">
        <v>120</v>
      </c>
      <c r="BO500">
        <v>92.82</v>
      </c>
      <c r="BP500">
        <v>85</v>
      </c>
      <c r="BQ500" s="8">
        <v>0</v>
      </c>
      <c r="BR500">
        <f>(BO500-BP500)*BQ500</f>
        <v>0</v>
      </c>
      <c r="BS500">
        <f>BO500-BR500</f>
        <v>92.82</v>
      </c>
      <c r="BT500" s="4">
        <f>BS500*BN500/1000</f>
        <v>11.138399999999999</v>
      </c>
      <c r="BU500" t="s">
        <v>2016</v>
      </c>
      <c r="BV500">
        <v>144</v>
      </c>
      <c r="BW500">
        <v>40.799999999999997</v>
      </c>
      <c r="BX500">
        <v>35</v>
      </c>
      <c r="BY500" s="8">
        <v>0</v>
      </c>
      <c r="BZ500">
        <f>(BW500-BX500)*BY500</f>
        <v>0</v>
      </c>
      <c r="CA500">
        <f>BW500-BZ500</f>
        <v>40.799999999999997</v>
      </c>
      <c r="CB500" s="4">
        <f>CA500*BV500/1000</f>
        <v>5.8751999999999995</v>
      </c>
      <c r="CC500" s="4">
        <f>CB500+BT500</f>
        <v>17.013599999999997</v>
      </c>
      <c r="CE500" s="4">
        <v>0</v>
      </c>
      <c r="CF500" s="4">
        <v>0</v>
      </c>
      <c r="CG500" s="4">
        <v>0</v>
      </c>
      <c r="CH500">
        <f t="shared" si="529"/>
        <v>0</v>
      </c>
      <c r="CI500" s="13"/>
      <c r="CK500">
        <v>0</v>
      </c>
      <c r="CL500">
        <v>0</v>
      </c>
      <c r="CM500">
        <f>CK500*CL500</f>
        <v>0</v>
      </c>
      <c r="CN500" s="13"/>
      <c r="CP500">
        <v>0</v>
      </c>
      <c r="CQ500">
        <v>0</v>
      </c>
      <c r="CR500">
        <f>CP500*CQ500</f>
        <v>0</v>
      </c>
      <c r="CU500">
        <v>0</v>
      </c>
      <c r="CV500">
        <v>0</v>
      </c>
      <c r="CW500">
        <f>CU500*CV500</f>
        <v>0</v>
      </c>
      <c r="DM500" s="4">
        <f t="shared" si="530"/>
        <v>0</v>
      </c>
      <c r="DN500" s="9">
        <v>0.02</v>
      </c>
      <c r="DO500" s="4">
        <f t="shared" si="563"/>
        <v>0</v>
      </c>
      <c r="DP500" s="4">
        <f t="shared" si="532"/>
        <v>0</v>
      </c>
      <c r="EF500">
        <v>150</v>
      </c>
      <c r="EG500">
        <v>3600</v>
      </c>
      <c r="EH500">
        <v>8</v>
      </c>
      <c r="EI500" s="8">
        <v>0.87</v>
      </c>
      <c r="EJ500">
        <v>2</v>
      </c>
      <c r="EK500">
        <v>75</v>
      </c>
      <c r="EL500" s="10">
        <f t="shared" si="533"/>
        <v>668.16</v>
      </c>
      <c r="EM500" s="4">
        <f>2%*(EO500+CC500+EU500)</f>
        <v>0.45003062068965516</v>
      </c>
      <c r="EN500" s="4"/>
      <c r="EO500" s="4">
        <v>0.1</v>
      </c>
      <c r="EU500" s="4">
        <f>(EG500/EL500+EX500+EP500+EQ500+ER500)</f>
        <v>5.3879310344827589</v>
      </c>
      <c r="GR500" s="8">
        <v>0.14000000000000001</v>
      </c>
      <c r="GS500" s="4">
        <f>GR500*(CC500+EU500)</f>
        <v>3.1362143448275859</v>
      </c>
      <c r="GT500" s="9">
        <v>0.04</v>
      </c>
      <c r="GU500" s="4">
        <f>GT500*(CC500+EU500)</f>
        <v>0.8960612413793102</v>
      </c>
      <c r="GX500" s="4">
        <f t="shared" si="538"/>
        <v>4.0322755862068957</v>
      </c>
      <c r="GY500" t="s">
        <v>130</v>
      </c>
      <c r="GZ500" t="s">
        <v>130</v>
      </c>
      <c r="HA500" s="4">
        <v>650</v>
      </c>
      <c r="HB500" s="4">
        <v>450</v>
      </c>
      <c r="HC500">
        <v>225</v>
      </c>
      <c r="HD500">
        <v>80</v>
      </c>
      <c r="HE500">
        <v>1200</v>
      </c>
      <c r="HF500" s="4">
        <f t="shared" si="539"/>
        <v>15</v>
      </c>
      <c r="HG500">
        <v>5</v>
      </c>
      <c r="HH500" s="4">
        <f t="shared" si="540"/>
        <v>75</v>
      </c>
      <c r="HI500">
        <v>850</v>
      </c>
      <c r="HJ500" s="4">
        <f t="shared" si="541"/>
        <v>63750</v>
      </c>
      <c r="HM500" s="4">
        <v>2</v>
      </c>
      <c r="HN500" s="10">
        <f t="shared" si="542"/>
        <v>720000</v>
      </c>
      <c r="HO500" s="4">
        <f t="shared" si="564"/>
        <v>8.8541666666666671E-2</v>
      </c>
      <c r="HP500" s="4">
        <v>160</v>
      </c>
      <c r="HQ500">
        <v>0</v>
      </c>
      <c r="HR500" s="4">
        <f>150/72</f>
        <v>2.0833333333333335</v>
      </c>
      <c r="HS500" s="4">
        <v>25</v>
      </c>
      <c r="HT500" s="4">
        <f t="shared" si="544"/>
        <v>8.3333333333333343E-2</v>
      </c>
      <c r="HU500" s="4"/>
      <c r="HV500" s="4">
        <f t="shared" si="545"/>
        <v>0.171875</v>
      </c>
      <c r="HW500" s="4"/>
      <c r="HX500" s="4">
        <v>5016</v>
      </c>
      <c r="HY500" s="4">
        <v>1976</v>
      </c>
      <c r="HZ500" s="4">
        <v>2280</v>
      </c>
      <c r="IA500" s="4">
        <f t="shared" si="547"/>
        <v>7</v>
      </c>
      <c r="IB500" s="4">
        <f t="shared" si="548"/>
        <v>4</v>
      </c>
      <c r="IC500" s="4">
        <f t="shared" si="549"/>
        <v>10</v>
      </c>
      <c r="ID500" s="8">
        <v>1</v>
      </c>
      <c r="IE500" s="10">
        <f>PRODUCT(IA500:ID500)-230</f>
        <v>50</v>
      </c>
      <c r="IF500">
        <v>750</v>
      </c>
      <c r="IG500" s="4">
        <f t="shared" si="565"/>
        <v>0.1875</v>
      </c>
      <c r="IH500" s="4"/>
    </row>
    <row r="501" spans="1:242" ht="30">
      <c r="A501">
        <v>497</v>
      </c>
      <c r="B501" t="s">
        <v>468</v>
      </c>
      <c r="C501" s="283" t="s">
        <v>2017</v>
      </c>
      <c r="D501" s="28" t="s">
        <v>1354</v>
      </c>
      <c r="E501" s="28" t="s">
        <v>114</v>
      </c>
      <c r="F501" s="5" t="s">
        <v>2182</v>
      </c>
      <c r="G501" s="27" t="s">
        <v>90</v>
      </c>
      <c r="I501" s="27" t="s">
        <v>94</v>
      </c>
      <c r="J501" s="28">
        <v>21677</v>
      </c>
      <c r="K501" s="27" t="s">
        <v>228</v>
      </c>
      <c r="L501" s="240"/>
      <c r="M501" s="114"/>
      <c r="N501" s="115"/>
      <c r="O501" s="115"/>
      <c r="P501" s="115"/>
      <c r="Q501" s="13" t="s">
        <v>1035</v>
      </c>
      <c r="R501" s="13" t="s">
        <v>1778</v>
      </c>
      <c r="V501" s="319"/>
      <c r="W501" s="218" t="s">
        <v>2013</v>
      </c>
      <c r="X501" s="218"/>
      <c r="Y501" s="218"/>
      <c r="Z501" s="218"/>
      <c r="AA501" s="115" t="s">
        <v>2014</v>
      </c>
      <c r="AB501" s="121"/>
      <c r="AC501" s="114"/>
      <c r="AD501" s="115"/>
      <c r="AE501" s="119">
        <f>CC501</f>
        <v>17.013599999999997</v>
      </c>
      <c r="AF501" s="119"/>
      <c r="AG501" s="119">
        <f>EU501+EM501</f>
        <v>5.8379616551724141</v>
      </c>
      <c r="AH501" s="119">
        <f t="shared" si="515"/>
        <v>0</v>
      </c>
      <c r="AI501" s="119">
        <f t="shared" si="516"/>
        <v>0</v>
      </c>
      <c r="AJ501" s="119">
        <f t="shared" si="517"/>
        <v>0</v>
      </c>
      <c r="AK501" s="119">
        <f t="shared" si="518"/>
        <v>0.8960612413793102</v>
      </c>
      <c r="AL501" s="119">
        <f t="shared" si="519"/>
        <v>3.1362143448275859</v>
      </c>
      <c r="AM501" s="119">
        <f t="shared" si="520"/>
        <v>0.171875</v>
      </c>
      <c r="AN501" s="119">
        <f t="shared" si="521"/>
        <v>0.1875</v>
      </c>
      <c r="AO501" s="119">
        <f t="shared" si="522"/>
        <v>0</v>
      </c>
      <c r="AP501" s="119"/>
      <c r="AQ501" s="119">
        <f t="shared" si="523"/>
        <v>27.243212241379307</v>
      </c>
      <c r="AR501" s="119">
        <f t="shared" si="524"/>
        <v>0</v>
      </c>
      <c r="AS501" s="119">
        <f t="shared" si="525"/>
        <v>0.1</v>
      </c>
      <c r="AT501" s="119">
        <v>0</v>
      </c>
      <c r="AU501" s="119">
        <f>27.38-27.34</f>
        <v>3.9999999999999147E-2</v>
      </c>
      <c r="AV501" s="119">
        <f t="shared" si="526"/>
        <v>27.383212241379308</v>
      </c>
      <c r="AW501" s="114"/>
      <c r="AX501" s="114"/>
      <c r="AY501" s="114"/>
      <c r="AZ501" s="114"/>
      <c r="BA501" s="114"/>
      <c r="BB501" s="114"/>
      <c r="BC501" s="114"/>
      <c r="BD501" s="114"/>
      <c r="BE501" s="114"/>
      <c r="BF501" s="114"/>
      <c r="BG501" s="114"/>
      <c r="BH501" s="114"/>
      <c r="BI501" s="114"/>
      <c r="BJ501" s="114"/>
      <c r="BK501" s="114"/>
      <c r="BL501" s="114"/>
      <c r="BM501" s="114" t="s">
        <v>2015</v>
      </c>
      <c r="BN501" s="114">
        <v>120</v>
      </c>
      <c r="BO501" s="114">
        <v>92.82</v>
      </c>
      <c r="BP501" s="114">
        <v>85</v>
      </c>
      <c r="BQ501" s="120">
        <v>0</v>
      </c>
      <c r="BR501" s="114">
        <f>(BO501-BP501)*BQ501</f>
        <v>0</v>
      </c>
      <c r="BS501" s="114">
        <f>BO501-BR501</f>
        <v>92.82</v>
      </c>
      <c r="BT501" s="118">
        <f>BS501*BN501/1000</f>
        <v>11.138399999999999</v>
      </c>
      <c r="BU501" s="114" t="s">
        <v>2016</v>
      </c>
      <c r="BV501" s="114">
        <v>144</v>
      </c>
      <c r="BW501" s="114">
        <v>40.799999999999997</v>
      </c>
      <c r="BX501" s="114">
        <v>35</v>
      </c>
      <c r="BY501" s="120">
        <v>0</v>
      </c>
      <c r="BZ501" s="114">
        <f>(BW501-BX501)*BY501</f>
        <v>0</v>
      </c>
      <c r="CA501" s="114">
        <f>BW501-BZ501</f>
        <v>40.799999999999997</v>
      </c>
      <c r="CB501" s="118">
        <f>CA501*BV501/1000</f>
        <v>5.8751999999999995</v>
      </c>
      <c r="CC501" s="118">
        <f>CB501+BT501</f>
        <v>17.013599999999997</v>
      </c>
      <c r="CD501" s="114"/>
      <c r="CE501" s="118">
        <v>0</v>
      </c>
      <c r="CF501" s="118">
        <v>0</v>
      </c>
      <c r="CG501" s="118">
        <v>0</v>
      </c>
      <c r="CH501" s="114">
        <f t="shared" si="529"/>
        <v>0</v>
      </c>
      <c r="CI501" s="115"/>
      <c r="CJ501" s="114"/>
      <c r="CK501" s="114">
        <v>0</v>
      </c>
      <c r="CL501" s="114">
        <v>0</v>
      </c>
      <c r="CM501" s="114">
        <f>CK501*CL501</f>
        <v>0</v>
      </c>
      <c r="CN501" s="115"/>
      <c r="CO501" s="114"/>
      <c r="CP501" s="114">
        <v>0</v>
      </c>
      <c r="CQ501" s="114">
        <v>0</v>
      </c>
      <c r="CR501" s="114">
        <f>CP501*CQ501</f>
        <v>0</v>
      </c>
      <c r="CS501" s="114"/>
      <c r="CT501" s="114"/>
      <c r="CU501" s="114">
        <v>0</v>
      </c>
      <c r="CV501" s="114">
        <v>0</v>
      </c>
      <c r="CW501" s="114">
        <f>CU501*CV501</f>
        <v>0</v>
      </c>
      <c r="CX501" s="114"/>
      <c r="CY501" s="114"/>
      <c r="CZ501" s="114"/>
      <c r="DA501" s="114"/>
      <c r="DB501" s="114"/>
      <c r="DC501" s="114"/>
      <c r="DD501" s="114"/>
      <c r="DE501" s="114"/>
      <c r="DF501" s="114"/>
      <c r="DG501" s="114"/>
      <c r="DH501" s="114"/>
      <c r="DI501" s="114"/>
      <c r="DJ501" s="114"/>
      <c r="DK501" s="114"/>
      <c r="DL501" s="114"/>
      <c r="DM501" s="118">
        <f t="shared" si="530"/>
        <v>0</v>
      </c>
      <c r="DN501" s="125">
        <v>0.02</v>
      </c>
      <c r="DO501" s="118">
        <f t="shared" si="563"/>
        <v>0</v>
      </c>
      <c r="DP501" s="118">
        <f t="shared" si="532"/>
        <v>0</v>
      </c>
      <c r="DQ501" s="114"/>
      <c r="DR501" s="114"/>
      <c r="DS501" s="114"/>
      <c r="DT501" s="114"/>
      <c r="DU501" s="114"/>
      <c r="DV501" s="114"/>
      <c r="DW501" s="114"/>
      <c r="DX501" s="114"/>
      <c r="DY501" s="114"/>
      <c r="DZ501" s="114"/>
      <c r="EA501" s="114"/>
      <c r="EB501" s="114"/>
      <c r="EC501" s="114"/>
      <c r="ED501" s="114"/>
      <c r="EE501" s="114"/>
      <c r="EF501" s="114">
        <v>150</v>
      </c>
      <c r="EG501" s="114">
        <v>3600</v>
      </c>
      <c r="EH501" s="114">
        <v>8</v>
      </c>
      <c r="EI501" s="120">
        <v>0.87</v>
      </c>
      <c r="EJ501" s="114">
        <v>2</v>
      </c>
      <c r="EK501" s="114">
        <v>75</v>
      </c>
      <c r="EL501" s="126">
        <f t="shared" si="533"/>
        <v>668.16</v>
      </c>
      <c r="EM501" s="118">
        <f>2%*(EO501+CC501+EU501)</f>
        <v>0.45003062068965516</v>
      </c>
      <c r="EN501" s="118"/>
      <c r="EO501" s="118">
        <v>0.1</v>
      </c>
      <c r="EP501" s="114"/>
      <c r="EQ501" s="114"/>
      <c r="ER501" s="114"/>
      <c r="ES501" s="114"/>
      <c r="ET501" s="114"/>
      <c r="EU501" s="118">
        <f>(EG501/EL501+EX501+EP501+EQ501+ER501)</f>
        <v>5.3879310344827589</v>
      </c>
      <c r="EV501" s="114"/>
      <c r="EW501" s="114"/>
      <c r="EX501" s="114"/>
      <c r="EY501" s="114"/>
      <c r="EZ501" s="114"/>
      <c r="FA501" s="114"/>
      <c r="FB501" s="114"/>
      <c r="FC501" s="114"/>
      <c r="FD501" s="114"/>
      <c r="FE501" s="114"/>
      <c r="FF501" s="114"/>
      <c r="FG501" s="114"/>
      <c r="FH501" s="114"/>
      <c r="FI501" s="114"/>
      <c r="FJ501" s="114"/>
      <c r="FK501" s="114"/>
      <c r="FL501" s="114"/>
      <c r="FM501" s="114"/>
      <c r="FN501" s="114"/>
      <c r="FO501" s="114"/>
      <c r="FP501" s="114"/>
      <c r="FQ501" s="114"/>
      <c r="FR501" s="114"/>
      <c r="FS501" s="114"/>
      <c r="FT501" s="114"/>
      <c r="FU501" s="114"/>
      <c r="FV501" s="114"/>
      <c r="FW501" s="114"/>
      <c r="FX501" s="114"/>
      <c r="FY501" s="114"/>
      <c r="FZ501" s="114"/>
      <c r="GA501" s="114"/>
      <c r="GB501" s="114"/>
      <c r="GC501" s="114"/>
      <c r="GD501" s="114"/>
      <c r="GE501" s="114"/>
      <c r="GF501" s="114"/>
      <c r="GG501" s="114"/>
      <c r="GH501" s="114"/>
      <c r="GI501" s="114"/>
      <c r="GJ501" s="114"/>
      <c r="GK501" s="114"/>
      <c r="GL501" s="114"/>
      <c r="GM501" s="114"/>
      <c r="GN501" s="114"/>
      <c r="GO501" s="114"/>
      <c r="GP501" s="114"/>
      <c r="GQ501" s="114"/>
      <c r="GR501" s="120">
        <v>0.14000000000000001</v>
      </c>
      <c r="GS501" s="118">
        <f>GR501*(CC501+EU501)</f>
        <v>3.1362143448275859</v>
      </c>
      <c r="GT501" s="125">
        <v>0.04</v>
      </c>
      <c r="GU501" s="118">
        <f>GT501*(CC501+EU501)</f>
        <v>0.8960612413793102</v>
      </c>
      <c r="GV501" s="114"/>
      <c r="GW501" s="114"/>
      <c r="GX501" s="118">
        <f t="shared" si="538"/>
        <v>4.0322755862068957</v>
      </c>
      <c r="GY501" s="114" t="s">
        <v>130</v>
      </c>
      <c r="GZ501" s="114" t="s">
        <v>130</v>
      </c>
      <c r="HA501" s="118">
        <v>650</v>
      </c>
      <c r="HB501" s="118">
        <v>450</v>
      </c>
      <c r="HC501" s="114">
        <v>225</v>
      </c>
      <c r="HD501" s="114">
        <v>80</v>
      </c>
      <c r="HE501" s="114">
        <v>1200</v>
      </c>
      <c r="HF501" s="118">
        <f t="shared" si="539"/>
        <v>15</v>
      </c>
      <c r="HG501" s="114">
        <v>5</v>
      </c>
      <c r="HH501" s="118">
        <f t="shared" si="540"/>
        <v>75</v>
      </c>
      <c r="HI501" s="114">
        <v>850</v>
      </c>
      <c r="HJ501" s="118">
        <f t="shared" si="541"/>
        <v>63750</v>
      </c>
      <c r="HK501" s="114"/>
      <c r="HL501" s="114"/>
      <c r="HM501" s="118">
        <v>2</v>
      </c>
      <c r="HN501" s="126">
        <f t="shared" si="542"/>
        <v>720000</v>
      </c>
      <c r="HO501" s="118">
        <f t="shared" si="564"/>
        <v>8.8541666666666671E-2</v>
      </c>
      <c r="HP501" s="118">
        <v>160</v>
      </c>
      <c r="HQ501" s="114">
        <v>0</v>
      </c>
      <c r="HR501" s="118">
        <f>150/72</f>
        <v>2.0833333333333335</v>
      </c>
      <c r="HS501" s="118">
        <v>25</v>
      </c>
      <c r="HT501" s="118">
        <f t="shared" si="544"/>
        <v>8.3333333333333343E-2</v>
      </c>
      <c r="HU501" s="118"/>
      <c r="HV501" s="118">
        <f t="shared" si="545"/>
        <v>0.171875</v>
      </c>
      <c r="HW501" s="118"/>
      <c r="HX501" s="118">
        <v>5016</v>
      </c>
      <c r="HY501" s="118">
        <v>1976</v>
      </c>
      <c r="HZ501" s="118">
        <v>2280</v>
      </c>
      <c r="IA501" s="118">
        <f t="shared" si="547"/>
        <v>7</v>
      </c>
      <c r="IB501" s="118">
        <f t="shared" si="548"/>
        <v>4</v>
      </c>
      <c r="IC501" s="118">
        <f t="shared" si="549"/>
        <v>10</v>
      </c>
      <c r="ID501" s="120">
        <v>1</v>
      </c>
      <c r="IE501" s="126">
        <f>PRODUCT(IA501:ID501)-230</f>
        <v>50</v>
      </c>
      <c r="IF501" s="114">
        <v>750</v>
      </c>
      <c r="IG501" s="118">
        <f t="shared" si="565"/>
        <v>0.1875</v>
      </c>
      <c r="IH501" s="4"/>
    </row>
    <row r="502" spans="1:242" ht="60">
      <c r="A502">
        <v>498</v>
      </c>
      <c r="B502" t="s">
        <v>468</v>
      </c>
      <c r="C502" s="373" t="s">
        <v>2018</v>
      </c>
      <c r="D502" s="28" t="s">
        <v>1355</v>
      </c>
      <c r="E502" s="28" t="s">
        <v>1356</v>
      </c>
      <c r="F502" s="5" t="s">
        <v>2182</v>
      </c>
      <c r="G502" s="27" t="s">
        <v>90</v>
      </c>
      <c r="I502" s="27" t="s">
        <v>121</v>
      </c>
      <c r="J502" s="28">
        <v>21677</v>
      </c>
      <c r="K502" s="27" t="s">
        <v>228</v>
      </c>
      <c r="L502" s="379"/>
      <c r="Q502" s="13" t="s">
        <v>1035</v>
      </c>
      <c r="R502" s="13" t="s">
        <v>1778</v>
      </c>
      <c r="W502" s="53" t="s">
        <v>2019</v>
      </c>
      <c r="X502" s="53"/>
      <c r="Y502" s="53"/>
      <c r="Z502" s="53"/>
      <c r="AA502" s="13" t="s">
        <v>2014</v>
      </c>
      <c r="AE502" s="7">
        <f>CC502</f>
        <v>12.876480000000001</v>
      </c>
      <c r="AF502" s="7"/>
      <c r="AG502" s="7">
        <f>EU502+EM502</f>
        <v>5.9796239613348687</v>
      </c>
      <c r="AH502" s="7">
        <f t="shared" si="515"/>
        <v>10.49</v>
      </c>
      <c r="AI502" s="7">
        <f t="shared" si="516"/>
        <v>0</v>
      </c>
      <c r="AJ502" s="7">
        <f t="shared" si="517"/>
        <v>0</v>
      </c>
      <c r="AK502" s="7">
        <f t="shared" si="518"/>
        <v>0.73945505730724981</v>
      </c>
      <c r="AL502" s="7">
        <f t="shared" si="519"/>
        <v>2.5880927005753742</v>
      </c>
      <c r="AM502" s="7">
        <f t="shared" si="520"/>
        <v>0.171875</v>
      </c>
      <c r="AN502" s="7">
        <f t="shared" si="521"/>
        <v>0.1875</v>
      </c>
      <c r="AO502" s="7">
        <f t="shared" si="522"/>
        <v>0</v>
      </c>
      <c r="AP502" s="7"/>
      <c r="AQ502" s="7">
        <f t="shared" si="523"/>
        <v>33.033026719217496</v>
      </c>
      <c r="AR502" s="7">
        <f t="shared" si="524"/>
        <v>0</v>
      </c>
      <c r="AS502" s="7">
        <f t="shared" si="525"/>
        <v>0</v>
      </c>
      <c r="AT502" s="7">
        <v>0</v>
      </c>
      <c r="AU502" s="7">
        <f>35.3-33.03</f>
        <v>2.269999999999996</v>
      </c>
      <c r="AV502" s="7">
        <f t="shared" si="526"/>
        <v>35.303026719217492</v>
      </c>
      <c r="BM502" t="s">
        <v>2015</v>
      </c>
      <c r="BN502">
        <v>120</v>
      </c>
      <c r="BO502" s="45">
        <v>69.36</v>
      </c>
      <c r="BP502" s="45">
        <v>62</v>
      </c>
      <c r="BQ502" s="8">
        <v>0</v>
      </c>
      <c r="BR502">
        <f>(BO502-BP502)*BQ502</f>
        <v>0</v>
      </c>
      <c r="BS502">
        <f>BO502-BR502</f>
        <v>69.36</v>
      </c>
      <c r="BT502" s="4">
        <f>BS502*BN502/1000</f>
        <v>8.3231999999999999</v>
      </c>
      <c r="BU502" t="s">
        <v>2016</v>
      </c>
      <c r="BV502">
        <v>144</v>
      </c>
      <c r="BW502">
        <v>31.62</v>
      </c>
      <c r="BX502">
        <v>26</v>
      </c>
      <c r="BY502" s="8">
        <v>0</v>
      </c>
      <c r="BZ502">
        <f>(BW502-BX502)*BY502</f>
        <v>0</v>
      </c>
      <c r="CA502">
        <f>BW502-BZ502</f>
        <v>31.62</v>
      </c>
      <c r="CB502" s="4">
        <f>CA502*BV502/1000</f>
        <v>4.55328</v>
      </c>
      <c r="CC502" s="4">
        <f>CB502+BT502</f>
        <v>12.876480000000001</v>
      </c>
      <c r="CI502" t="s">
        <v>2020</v>
      </c>
      <c r="CJ502" t="s">
        <v>2021</v>
      </c>
      <c r="CK502">
        <v>1</v>
      </c>
      <c r="CL502">
        <v>10.49</v>
      </c>
      <c r="CM502">
        <f>CK502*CL502</f>
        <v>10.49</v>
      </c>
      <c r="DM502" s="4">
        <f t="shared" si="530"/>
        <v>10.49</v>
      </c>
      <c r="DN502" s="9">
        <v>1.2999999999999999E-2</v>
      </c>
      <c r="DO502" s="4">
        <v>0</v>
      </c>
      <c r="DP502" s="4">
        <f t="shared" si="532"/>
        <v>10.49</v>
      </c>
      <c r="EF502" s="59">
        <v>150</v>
      </c>
      <c r="EG502" s="59">
        <v>3600</v>
      </c>
      <c r="EH502" s="59">
        <v>8</v>
      </c>
      <c r="EI502" s="8">
        <v>0.86899999999999999</v>
      </c>
      <c r="EJ502" s="59">
        <v>2</v>
      </c>
      <c r="EK502" s="59">
        <v>78</v>
      </c>
      <c r="EL502" s="65">
        <f t="shared" si="533"/>
        <v>641.72307692307686</v>
      </c>
      <c r="EM502" s="4">
        <f>2%*(EO502+CC502+EU502)</f>
        <v>0.3697275286536249</v>
      </c>
      <c r="EN502" s="4"/>
      <c r="EU502" s="4">
        <f>(EG502/EL502+EX502+EP502+EQ502+ER502)</f>
        <v>5.6098964326812437</v>
      </c>
      <c r="GR502" s="8">
        <v>0.14000000000000001</v>
      </c>
      <c r="GS502" s="4">
        <f>GR502*(CC502+EU502)</f>
        <v>2.5880927005753742</v>
      </c>
      <c r="GT502" s="9">
        <v>0.04</v>
      </c>
      <c r="GU502" s="4">
        <f>GT502*(CC502+EU502)</f>
        <v>0.73945505730724981</v>
      </c>
      <c r="GX502" s="4">
        <f t="shared" si="538"/>
        <v>3.3275477578826242</v>
      </c>
      <c r="GY502" t="s">
        <v>43</v>
      </c>
      <c r="GZ502" t="s">
        <v>87</v>
      </c>
      <c r="HA502" s="4">
        <v>650</v>
      </c>
      <c r="HB502" s="4">
        <v>450</v>
      </c>
      <c r="HC502" s="59">
        <v>225</v>
      </c>
      <c r="HD502" s="59">
        <v>80</v>
      </c>
      <c r="HE502" s="59">
        <v>1200</v>
      </c>
      <c r="HF502" s="4">
        <f t="shared" si="539"/>
        <v>15</v>
      </c>
      <c r="HG502" s="59">
        <v>5</v>
      </c>
      <c r="HH502" s="4">
        <f t="shared" si="540"/>
        <v>75</v>
      </c>
      <c r="HI502" s="59">
        <v>850</v>
      </c>
      <c r="HJ502" s="4">
        <f t="shared" si="541"/>
        <v>63750</v>
      </c>
      <c r="HM502" s="4">
        <v>2</v>
      </c>
      <c r="HN502" s="10">
        <f t="shared" si="542"/>
        <v>720000</v>
      </c>
      <c r="HO502" s="62">
        <f t="shared" si="564"/>
        <v>8.8541666666666671E-2</v>
      </c>
      <c r="HP502" s="4">
        <v>160</v>
      </c>
      <c r="HQ502">
        <v>0</v>
      </c>
      <c r="HR502" s="4">
        <f>150/72</f>
        <v>2.0833333333333335</v>
      </c>
      <c r="HS502" s="4">
        <v>25</v>
      </c>
      <c r="HT502" s="4">
        <f t="shared" si="544"/>
        <v>8.3333333333333343E-2</v>
      </c>
      <c r="HU502" s="4"/>
      <c r="HV502" s="4">
        <f t="shared" si="545"/>
        <v>0.171875</v>
      </c>
      <c r="HW502" s="4"/>
      <c r="HX502" s="4">
        <v>5016</v>
      </c>
      <c r="HY502" s="4">
        <v>1976</v>
      </c>
      <c r="HZ502" s="4">
        <v>2280</v>
      </c>
      <c r="IA502" s="4">
        <f t="shared" si="547"/>
        <v>7</v>
      </c>
      <c r="IB502" s="4">
        <f t="shared" si="548"/>
        <v>4</v>
      </c>
      <c r="IC502" s="4">
        <f t="shared" si="549"/>
        <v>10</v>
      </c>
      <c r="ID502" s="61">
        <v>1</v>
      </c>
      <c r="IE502" s="10">
        <f>PRODUCT(IA502:ID502)-230</f>
        <v>50</v>
      </c>
      <c r="IF502" s="4">
        <v>750</v>
      </c>
      <c r="IG502" s="62">
        <f t="shared" si="565"/>
        <v>0.1875</v>
      </c>
      <c r="IH502" s="62"/>
    </row>
    <row r="503" spans="1:242" ht="60">
      <c r="A503">
        <v>499</v>
      </c>
      <c r="B503" t="s">
        <v>468</v>
      </c>
      <c r="C503" s="283" t="s">
        <v>2018</v>
      </c>
      <c r="D503" s="28" t="s">
        <v>1355</v>
      </c>
      <c r="E503" s="28" t="s">
        <v>1356</v>
      </c>
      <c r="F503" s="5" t="s">
        <v>2182</v>
      </c>
      <c r="G503" s="27" t="s">
        <v>90</v>
      </c>
      <c r="I503" s="27" t="s">
        <v>94</v>
      </c>
      <c r="J503" s="28">
        <v>21677</v>
      </c>
      <c r="K503" s="27" t="s">
        <v>228</v>
      </c>
      <c r="L503" s="240"/>
      <c r="M503" s="114"/>
      <c r="N503" s="115"/>
      <c r="O503" s="115"/>
      <c r="P503" s="115"/>
      <c r="Q503" s="13" t="s">
        <v>1035</v>
      </c>
      <c r="R503" s="13" t="s">
        <v>1778</v>
      </c>
      <c r="V503" s="319"/>
      <c r="W503" s="218" t="s">
        <v>2019</v>
      </c>
      <c r="X503" s="218"/>
      <c r="Y503" s="218"/>
      <c r="Z503" s="218"/>
      <c r="AA503" s="115" t="s">
        <v>2014</v>
      </c>
      <c r="AB503" s="121"/>
      <c r="AC503" s="114"/>
      <c r="AD503" s="115"/>
      <c r="AE503" s="119">
        <f>CC503</f>
        <v>12.876480000000001</v>
      </c>
      <c r="AF503" s="119"/>
      <c r="AG503" s="119">
        <f>EU503+EM503</f>
        <v>5.9796239613348687</v>
      </c>
      <c r="AH503" s="119">
        <f t="shared" si="515"/>
        <v>10.49</v>
      </c>
      <c r="AI503" s="119">
        <f t="shared" si="516"/>
        <v>0</v>
      </c>
      <c r="AJ503" s="119">
        <f t="shared" si="517"/>
        <v>0</v>
      </c>
      <c r="AK503" s="119">
        <f t="shared" si="518"/>
        <v>0.73945505730724981</v>
      </c>
      <c r="AL503" s="119">
        <f t="shared" si="519"/>
        <v>2.5880927005753742</v>
      </c>
      <c r="AM503" s="119">
        <f t="shared" si="520"/>
        <v>0.171875</v>
      </c>
      <c r="AN503" s="119">
        <f t="shared" si="521"/>
        <v>0.1875</v>
      </c>
      <c r="AO503" s="119">
        <f t="shared" si="522"/>
        <v>0</v>
      </c>
      <c r="AP503" s="119"/>
      <c r="AQ503" s="119">
        <f t="shared" si="523"/>
        <v>33.033026719217496</v>
      </c>
      <c r="AR503" s="119">
        <f t="shared" si="524"/>
        <v>0</v>
      </c>
      <c r="AS503" s="119">
        <f t="shared" si="525"/>
        <v>0</v>
      </c>
      <c r="AT503" s="119">
        <v>0</v>
      </c>
      <c r="AU503" s="119">
        <f>35.3-33.03</f>
        <v>2.269999999999996</v>
      </c>
      <c r="AV503" s="119">
        <f t="shared" si="526"/>
        <v>35.303026719217492</v>
      </c>
      <c r="AW503" s="114"/>
      <c r="AX503" s="114"/>
      <c r="AY503" s="114"/>
      <c r="AZ503" s="114"/>
      <c r="BA503" s="114"/>
      <c r="BB503" s="114"/>
      <c r="BC503" s="114"/>
      <c r="BD503" s="114"/>
      <c r="BE503" s="114"/>
      <c r="BF503" s="114"/>
      <c r="BG503" s="114"/>
      <c r="BH503" s="114"/>
      <c r="BI503" s="114"/>
      <c r="BJ503" s="114"/>
      <c r="BK503" s="114"/>
      <c r="BL503" s="114"/>
      <c r="BM503" s="114" t="s">
        <v>2015</v>
      </c>
      <c r="BN503" s="114">
        <v>120</v>
      </c>
      <c r="BO503" s="243">
        <v>69.36</v>
      </c>
      <c r="BP503" s="243">
        <v>62</v>
      </c>
      <c r="BQ503" s="120">
        <v>0</v>
      </c>
      <c r="BR503" s="114">
        <f>(BO503-BP503)*BQ503</f>
        <v>0</v>
      </c>
      <c r="BS503" s="114">
        <f>BO503-BR503</f>
        <v>69.36</v>
      </c>
      <c r="BT503" s="118">
        <f>BS503*BN503/1000</f>
        <v>8.3231999999999999</v>
      </c>
      <c r="BU503" s="114" t="s">
        <v>2016</v>
      </c>
      <c r="BV503" s="114">
        <v>144</v>
      </c>
      <c r="BW503" s="114">
        <v>31.62</v>
      </c>
      <c r="BX503" s="114">
        <v>26</v>
      </c>
      <c r="BY503" s="120">
        <v>0</v>
      </c>
      <c r="BZ503" s="114">
        <f>(BW503-BX503)*BY503</f>
        <v>0</v>
      </c>
      <c r="CA503" s="114">
        <f>BW503-BZ503</f>
        <v>31.62</v>
      </c>
      <c r="CB503" s="118">
        <f>CA503*BV503/1000</f>
        <v>4.55328</v>
      </c>
      <c r="CC503" s="118">
        <f>CB503+BT503</f>
        <v>12.876480000000001</v>
      </c>
      <c r="CD503" s="114"/>
      <c r="CE503" s="114"/>
      <c r="CF503" s="114"/>
      <c r="CG503" s="114"/>
      <c r="CH503" s="114"/>
      <c r="CI503" s="114" t="s">
        <v>2020</v>
      </c>
      <c r="CJ503" s="114" t="s">
        <v>2021</v>
      </c>
      <c r="CK503" s="114">
        <v>1</v>
      </c>
      <c r="CL503" s="114">
        <v>10.49</v>
      </c>
      <c r="CM503" s="114">
        <f>CK503*CL503</f>
        <v>10.49</v>
      </c>
      <c r="CN503" s="114"/>
      <c r="CO503" s="114"/>
      <c r="CP503" s="114"/>
      <c r="CQ503" s="114"/>
      <c r="CR503" s="114"/>
      <c r="CS503" s="114"/>
      <c r="CT503" s="114"/>
      <c r="CU503" s="114"/>
      <c r="CV503" s="114"/>
      <c r="CW503" s="114"/>
      <c r="CX503" s="114"/>
      <c r="CY503" s="114"/>
      <c r="CZ503" s="114"/>
      <c r="DA503" s="114"/>
      <c r="DB503" s="114"/>
      <c r="DC503" s="114"/>
      <c r="DD503" s="114"/>
      <c r="DE503" s="114"/>
      <c r="DF503" s="114"/>
      <c r="DG503" s="114"/>
      <c r="DH503" s="114"/>
      <c r="DI503" s="114"/>
      <c r="DJ503" s="114"/>
      <c r="DK503" s="114"/>
      <c r="DL503" s="114"/>
      <c r="DM503" s="118">
        <f t="shared" si="530"/>
        <v>10.49</v>
      </c>
      <c r="DN503" s="125">
        <v>1.2999999999999999E-2</v>
      </c>
      <c r="DO503" s="118">
        <v>0</v>
      </c>
      <c r="DP503" s="118">
        <f t="shared" si="532"/>
        <v>10.49</v>
      </c>
      <c r="DQ503" s="114"/>
      <c r="DR503" s="114"/>
      <c r="DS503" s="114"/>
      <c r="DT503" s="114"/>
      <c r="DU503" s="114"/>
      <c r="DV503" s="114"/>
      <c r="DW503" s="114"/>
      <c r="DX503" s="114"/>
      <c r="DY503" s="114"/>
      <c r="DZ503" s="114"/>
      <c r="EA503" s="114"/>
      <c r="EB503" s="114"/>
      <c r="EC503" s="114"/>
      <c r="ED503" s="114"/>
      <c r="EE503" s="114"/>
      <c r="EF503" s="105">
        <v>150</v>
      </c>
      <c r="EG503" s="105">
        <v>3600</v>
      </c>
      <c r="EH503" s="105">
        <v>8</v>
      </c>
      <c r="EI503" s="120">
        <v>0.86899999999999999</v>
      </c>
      <c r="EJ503" s="105">
        <v>2</v>
      </c>
      <c r="EK503" s="105">
        <v>78</v>
      </c>
      <c r="EL503" s="111">
        <f t="shared" si="533"/>
        <v>641.72307692307686</v>
      </c>
      <c r="EM503" s="118">
        <f>2%*(EO503+CC503+EU503)</f>
        <v>0.3697275286536249</v>
      </c>
      <c r="EN503" s="118"/>
      <c r="EO503" s="114"/>
      <c r="EP503" s="114"/>
      <c r="EQ503" s="114"/>
      <c r="ER503" s="114"/>
      <c r="ES503" s="114"/>
      <c r="ET503" s="114"/>
      <c r="EU503" s="118">
        <f>(EG503/EL503+EX503+EP503+EQ503+ER503)</f>
        <v>5.6098964326812437</v>
      </c>
      <c r="EV503" s="114"/>
      <c r="EW503" s="114"/>
      <c r="EX503" s="114"/>
      <c r="EY503" s="114"/>
      <c r="EZ503" s="114"/>
      <c r="FA503" s="114"/>
      <c r="FB503" s="114"/>
      <c r="FC503" s="114"/>
      <c r="FD503" s="114"/>
      <c r="FE503" s="114"/>
      <c r="FF503" s="114"/>
      <c r="FG503" s="114"/>
      <c r="FH503" s="114"/>
      <c r="FI503" s="114"/>
      <c r="FJ503" s="114"/>
      <c r="FK503" s="114"/>
      <c r="FL503" s="114"/>
      <c r="FM503" s="114"/>
      <c r="FN503" s="114"/>
      <c r="FO503" s="114"/>
      <c r="FP503" s="114"/>
      <c r="FQ503" s="114"/>
      <c r="FR503" s="114"/>
      <c r="FS503" s="114"/>
      <c r="FT503" s="114"/>
      <c r="FU503" s="114"/>
      <c r="FV503" s="114"/>
      <c r="FW503" s="114"/>
      <c r="FX503" s="114"/>
      <c r="FY503" s="114"/>
      <c r="FZ503" s="114"/>
      <c r="GA503" s="114"/>
      <c r="GB503" s="114"/>
      <c r="GC503" s="114"/>
      <c r="GD503" s="114"/>
      <c r="GE503" s="114"/>
      <c r="GF503" s="114"/>
      <c r="GG503" s="114"/>
      <c r="GH503" s="114"/>
      <c r="GI503" s="114"/>
      <c r="GJ503" s="114"/>
      <c r="GK503" s="114"/>
      <c r="GL503" s="114"/>
      <c r="GM503" s="114"/>
      <c r="GN503" s="114"/>
      <c r="GO503" s="114"/>
      <c r="GP503" s="114"/>
      <c r="GQ503" s="114"/>
      <c r="GR503" s="120">
        <v>0.14000000000000001</v>
      </c>
      <c r="GS503" s="118">
        <f>GR503*(CC503+EU503)</f>
        <v>2.5880927005753742</v>
      </c>
      <c r="GT503" s="125">
        <v>0.04</v>
      </c>
      <c r="GU503" s="118">
        <f>GT503*(CC503+EU503)</f>
        <v>0.73945505730724981</v>
      </c>
      <c r="GV503" s="114"/>
      <c r="GW503" s="114"/>
      <c r="GX503" s="118">
        <f t="shared" si="538"/>
        <v>3.3275477578826242</v>
      </c>
      <c r="GY503" s="114" t="s">
        <v>43</v>
      </c>
      <c r="GZ503" s="114" t="s">
        <v>87</v>
      </c>
      <c r="HA503" s="118">
        <v>650</v>
      </c>
      <c r="HB503" s="118">
        <v>450</v>
      </c>
      <c r="HC503" s="105">
        <v>225</v>
      </c>
      <c r="HD503" s="105">
        <v>80</v>
      </c>
      <c r="HE503" s="105">
        <v>1200</v>
      </c>
      <c r="HF503" s="118">
        <f t="shared" si="539"/>
        <v>15</v>
      </c>
      <c r="HG503" s="105">
        <v>5</v>
      </c>
      <c r="HH503" s="118">
        <f t="shared" si="540"/>
        <v>75</v>
      </c>
      <c r="HI503" s="105">
        <v>850</v>
      </c>
      <c r="HJ503" s="118">
        <f t="shared" si="541"/>
        <v>63750</v>
      </c>
      <c r="HK503" s="114"/>
      <c r="HL503" s="114"/>
      <c r="HM503" s="118">
        <v>2</v>
      </c>
      <c r="HN503" s="126">
        <f t="shared" si="542"/>
        <v>720000</v>
      </c>
      <c r="HO503" s="109">
        <f t="shared" si="564"/>
        <v>8.8541666666666671E-2</v>
      </c>
      <c r="HP503" s="118">
        <v>160</v>
      </c>
      <c r="HQ503" s="114">
        <v>0</v>
      </c>
      <c r="HR503" s="118">
        <f>150/72</f>
        <v>2.0833333333333335</v>
      </c>
      <c r="HS503" s="118">
        <v>25</v>
      </c>
      <c r="HT503" s="118">
        <f t="shared" si="544"/>
        <v>8.3333333333333343E-2</v>
      </c>
      <c r="HU503" s="118"/>
      <c r="HV503" s="118">
        <f t="shared" si="545"/>
        <v>0.171875</v>
      </c>
      <c r="HW503" s="118"/>
      <c r="HX503" s="118">
        <v>5016</v>
      </c>
      <c r="HY503" s="118">
        <v>1976</v>
      </c>
      <c r="HZ503" s="118">
        <v>2280</v>
      </c>
      <c r="IA503" s="118">
        <f t="shared" si="547"/>
        <v>7</v>
      </c>
      <c r="IB503" s="118">
        <f t="shared" si="548"/>
        <v>4</v>
      </c>
      <c r="IC503" s="118">
        <f t="shared" si="549"/>
        <v>10</v>
      </c>
      <c r="ID503" s="108">
        <v>1</v>
      </c>
      <c r="IE503" s="126">
        <f>PRODUCT(IA503:ID503)-230</f>
        <v>50</v>
      </c>
      <c r="IF503" s="118">
        <v>750</v>
      </c>
      <c r="IG503" s="109">
        <f t="shared" si="565"/>
        <v>0.1875</v>
      </c>
      <c r="IH503" s="62"/>
    </row>
    <row r="504" spans="1:242">
      <c r="A504">
        <v>501</v>
      </c>
      <c r="B504" t="s">
        <v>468</v>
      </c>
      <c r="C504" s="334" t="s">
        <v>2022</v>
      </c>
      <c r="D504" s="28" t="s">
        <v>1357</v>
      </c>
      <c r="E504" s="28" t="s">
        <v>1358</v>
      </c>
      <c r="F504" s="5" t="s">
        <v>2182</v>
      </c>
      <c r="G504" s="27" t="s">
        <v>90</v>
      </c>
      <c r="I504" s="27" t="s">
        <v>121</v>
      </c>
      <c r="J504" s="28">
        <v>21677</v>
      </c>
      <c r="K504" s="27" t="s">
        <v>228</v>
      </c>
      <c r="L504" s="379">
        <v>21401</v>
      </c>
      <c r="M504" t="s">
        <v>121</v>
      </c>
      <c r="Q504" s="13" t="s">
        <v>1768</v>
      </c>
      <c r="R504" s="13" t="s">
        <v>1769</v>
      </c>
      <c r="W504" s="239" t="s">
        <v>2010</v>
      </c>
      <c r="X504" s="239"/>
      <c r="Y504" s="239"/>
      <c r="Z504" s="239"/>
      <c r="AA504" s="13" t="s">
        <v>2023</v>
      </c>
      <c r="AB504" s="57">
        <v>78</v>
      </c>
      <c r="AC504">
        <v>20</v>
      </c>
      <c r="AE504" s="7">
        <f>BA504</f>
        <v>25.914000000000001</v>
      </c>
      <c r="AF504" s="7"/>
      <c r="AG504" s="7">
        <f>EU504</f>
        <v>7.0358187134502925</v>
      </c>
      <c r="AH504" s="7">
        <f t="shared" si="515"/>
        <v>0</v>
      </c>
      <c r="AI504" s="7">
        <f t="shared" si="516"/>
        <v>0</v>
      </c>
      <c r="AJ504" s="7">
        <f t="shared" si="517"/>
        <v>0.14071637426900585</v>
      </c>
      <c r="AK504" s="7">
        <f t="shared" si="518"/>
        <v>0.41187273391812868</v>
      </c>
      <c r="AL504" s="7">
        <f t="shared" si="519"/>
        <v>3.624480058479532</v>
      </c>
      <c r="AM504" s="7">
        <f t="shared" si="520"/>
        <v>0.25666666666666665</v>
      </c>
      <c r="AN504" s="7">
        <f t="shared" si="521"/>
        <v>0.34722222222222221</v>
      </c>
      <c r="AO504" s="7">
        <f t="shared" si="522"/>
        <v>0</v>
      </c>
      <c r="AP504" s="7"/>
      <c r="AQ504" s="7">
        <f t="shared" si="523"/>
        <v>37.73077676900585</v>
      </c>
      <c r="AR504" s="7">
        <f t="shared" si="524"/>
        <v>0</v>
      </c>
      <c r="AS504" s="7">
        <f t="shared" si="525"/>
        <v>0</v>
      </c>
      <c r="AT504" s="7">
        <v>0</v>
      </c>
      <c r="AU504" s="7">
        <v>0</v>
      </c>
      <c r="AV504" s="7">
        <f t="shared" si="526"/>
        <v>37.73077676900585</v>
      </c>
      <c r="AW504">
        <v>0.33300000000000002</v>
      </c>
      <c r="AX504" s="14">
        <v>0.33</v>
      </c>
      <c r="AY504" s="8">
        <v>1</v>
      </c>
      <c r="AZ504" s="4">
        <f>(AW504-AX504)*AY504</f>
        <v>3.0000000000000027E-3</v>
      </c>
      <c r="BA504" s="4">
        <f>AW504*AB504-AZ504*AC504</f>
        <v>25.914000000000001</v>
      </c>
      <c r="BB504" s="4"/>
      <c r="BC504" s="4"/>
      <c r="BD504" s="4"/>
      <c r="BE504" s="4"/>
      <c r="BF504" s="4"/>
      <c r="BG504" s="4"/>
      <c r="BH504" s="4"/>
      <c r="BI504" s="4"/>
      <c r="BJ504" s="4"/>
      <c r="BK504" s="4"/>
      <c r="BL504" s="4"/>
      <c r="EF504" s="59">
        <v>350</v>
      </c>
      <c r="EG504" s="59">
        <v>3500</v>
      </c>
      <c r="EH504" s="59">
        <v>8</v>
      </c>
      <c r="EI504" s="8">
        <v>0.95</v>
      </c>
      <c r="EJ504" s="59">
        <v>1</v>
      </c>
      <c r="EK504" s="59">
        <v>55</v>
      </c>
      <c r="EL504" s="65">
        <f t="shared" si="533"/>
        <v>497.45454545454544</v>
      </c>
      <c r="EU504" s="62">
        <f>(EG504/EL504+EM504+EX504+EP504+EQ504+ER504+EO504)</f>
        <v>7.0358187134502925</v>
      </c>
      <c r="GR504" s="8">
        <v>0.11</v>
      </c>
      <c r="GS504" s="4">
        <f>GR504*(BA504+EU504)</f>
        <v>3.624480058479532</v>
      </c>
      <c r="GT504" s="9">
        <v>1.2500000000000001E-2</v>
      </c>
      <c r="GU504" s="4">
        <f>GT504*(EU504+BA504)</f>
        <v>0.41187273391812868</v>
      </c>
      <c r="GV504" s="8">
        <v>0.02</v>
      </c>
      <c r="GW504" s="4">
        <f>GV504*(EU504-EP504-EQ504)</f>
        <v>0.14071637426900585</v>
      </c>
      <c r="GX504" s="4">
        <f t="shared" si="538"/>
        <v>4.1770691666666657</v>
      </c>
      <c r="GY504" t="s">
        <v>43</v>
      </c>
      <c r="GZ504" t="s">
        <v>87</v>
      </c>
      <c r="HA504" s="4">
        <v>805</v>
      </c>
      <c r="HB504" s="4">
        <v>675</v>
      </c>
      <c r="HC504" s="59">
        <v>405</v>
      </c>
      <c r="HD504" s="59">
        <v>24</v>
      </c>
      <c r="HE504" s="59">
        <v>1500</v>
      </c>
      <c r="HF504" s="4">
        <f t="shared" si="539"/>
        <v>63</v>
      </c>
      <c r="HG504" s="59">
        <v>5</v>
      </c>
      <c r="HH504" s="4">
        <f t="shared" si="540"/>
        <v>315</v>
      </c>
      <c r="HI504" s="59">
        <v>1100</v>
      </c>
      <c r="HJ504" s="4">
        <f t="shared" si="541"/>
        <v>346500</v>
      </c>
      <c r="HM504" s="4">
        <v>3</v>
      </c>
      <c r="HN504" s="10">
        <f t="shared" si="542"/>
        <v>1350000</v>
      </c>
      <c r="HO504" s="62">
        <f t="shared" si="564"/>
        <v>0.25666666666666665</v>
      </c>
      <c r="HP504" s="4">
        <v>160</v>
      </c>
      <c r="HQ504">
        <v>0</v>
      </c>
      <c r="HR504" s="4">
        <v>0</v>
      </c>
      <c r="HS504" s="4">
        <v>0</v>
      </c>
      <c r="HT504" s="4">
        <f t="shared" si="544"/>
        <v>0</v>
      </c>
      <c r="HU504" s="4"/>
      <c r="HV504" s="4">
        <f t="shared" si="545"/>
        <v>0.25666666666666665</v>
      </c>
      <c r="HW504" s="4"/>
      <c r="HX504" s="4">
        <v>5016</v>
      </c>
      <c r="HY504" s="4">
        <v>1976</v>
      </c>
      <c r="HZ504" s="4">
        <v>2280</v>
      </c>
      <c r="IA504" s="4">
        <f t="shared" si="547"/>
        <v>6</v>
      </c>
      <c r="IB504" s="4">
        <f t="shared" si="548"/>
        <v>2</v>
      </c>
      <c r="IC504" s="4">
        <f t="shared" si="549"/>
        <v>5</v>
      </c>
      <c r="ID504" s="61">
        <v>1</v>
      </c>
      <c r="IE504" s="65">
        <f>PRODUCT(IA504:ID504)</f>
        <v>60</v>
      </c>
      <c r="IF504" s="4">
        <v>500</v>
      </c>
      <c r="IG504" s="62">
        <f t="shared" si="565"/>
        <v>0.34722222222222221</v>
      </c>
      <c r="IH504" s="62"/>
    </row>
    <row r="505" spans="1:242">
      <c r="A505">
        <v>933</v>
      </c>
      <c r="B505" t="s">
        <v>468</v>
      </c>
      <c r="C505" s="28" t="s">
        <v>4527</v>
      </c>
      <c r="D505" s="28">
        <v>228060</v>
      </c>
      <c r="E505" s="27" t="s">
        <v>2972</v>
      </c>
      <c r="F505" t="s">
        <v>2192</v>
      </c>
      <c r="G505" s="27" t="s">
        <v>90</v>
      </c>
      <c r="H505" t="s">
        <v>4530</v>
      </c>
      <c r="I505" s="27" t="s">
        <v>121</v>
      </c>
      <c r="J505" s="28">
        <v>21589</v>
      </c>
      <c r="K505" s="27" t="s">
        <v>405</v>
      </c>
    </row>
    <row r="506" spans="1:242">
      <c r="A506">
        <v>935</v>
      </c>
      <c r="B506" t="s">
        <v>468</v>
      </c>
      <c r="C506" s="28" t="s">
        <v>4529</v>
      </c>
      <c r="D506" s="28">
        <v>228070</v>
      </c>
      <c r="E506" s="27" t="s">
        <v>2973</v>
      </c>
      <c r="F506" t="s">
        <v>2192</v>
      </c>
      <c r="G506" s="27" t="s">
        <v>90</v>
      </c>
      <c r="H506" t="s">
        <v>4528</v>
      </c>
      <c r="I506" s="27" t="s">
        <v>121</v>
      </c>
      <c r="J506" s="28">
        <v>21205</v>
      </c>
      <c r="K506" s="27" t="s">
        <v>395</v>
      </c>
    </row>
    <row r="507" spans="1:242">
      <c r="A507">
        <v>940</v>
      </c>
      <c r="B507" t="s">
        <v>468</v>
      </c>
      <c r="C507" s="27" t="s">
        <v>4531</v>
      </c>
      <c r="D507" s="28">
        <v>1181150</v>
      </c>
      <c r="E507" s="27" t="s">
        <v>2977</v>
      </c>
      <c r="F507" t="s">
        <v>2192</v>
      </c>
      <c r="G507" s="27" t="s">
        <v>90</v>
      </c>
      <c r="H507" s="27" t="s">
        <v>4532</v>
      </c>
      <c r="I507" s="27" t="s">
        <v>121</v>
      </c>
      <c r="J507" s="28">
        <v>21589</v>
      </c>
      <c r="K507" s="27" t="s">
        <v>405</v>
      </c>
    </row>
    <row r="508" spans="1:242">
      <c r="A508">
        <v>942</v>
      </c>
      <c r="B508" t="s">
        <v>468</v>
      </c>
      <c r="C508" s="27" t="s">
        <v>4531</v>
      </c>
      <c r="D508" s="28">
        <v>1181150</v>
      </c>
      <c r="E508" s="27" t="s">
        <v>2977</v>
      </c>
      <c r="F508" t="s">
        <v>2192</v>
      </c>
      <c r="G508" s="27" t="s">
        <v>90</v>
      </c>
      <c r="H508" t="s">
        <v>4533</v>
      </c>
      <c r="I508" s="27" t="s">
        <v>226</v>
      </c>
      <c r="J508" s="28">
        <v>21628</v>
      </c>
      <c r="K508" s="27" t="s">
        <v>4502</v>
      </c>
    </row>
    <row r="509" spans="1:242">
      <c r="A509">
        <v>944</v>
      </c>
      <c r="B509" t="s">
        <v>468</v>
      </c>
      <c r="C509" s="372" t="s">
        <v>4534</v>
      </c>
      <c r="D509" s="28">
        <v>1228880</v>
      </c>
      <c r="E509" s="27" t="s">
        <v>2978</v>
      </c>
      <c r="F509" t="s">
        <v>2192</v>
      </c>
      <c r="G509" s="27" t="s">
        <v>90</v>
      </c>
      <c r="H509" s="27" t="s">
        <v>4535</v>
      </c>
      <c r="I509" s="27" t="s">
        <v>121</v>
      </c>
      <c r="J509" s="28">
        <v>21589</v>
      </c>
      <c r="K509" s="27" t="s">
        <v>405</v>
      </c>
      <c r="L509" s="114"/>
      <c r="M509" s="114"/>
      <c r="N509" s="115"/>
      <c r="O509" s="115"/>
      <c r="P509" s="115"/>
      <c r="V509" s="319"/>
      <c r="W509" s="115"/>
      <c r="X509" s="115"/>
      <c r="Y509" s="115"/>
      <c r="Z509" s="115"/>
      <c r="AA509" s="115"/>
      <c r="AB509" s="121"/>
      <c r="AC509" s="114"/>
      <c r="AD509" s="115"/>
      <c r="AE509" s="114"/>
      <c r="AF509" s="114"/>
      <c r="AG509" s="114"/>
      <c r="AH509" s="114"/>
      <c r="AI509" s="114"/>
      <c r="AJ509" s="114"/>
      <c r="AK509" s="114"/>
      <c r="AL509" s="114"/>
      <c r="AM509" s="114"/>
      <c r="AN509" s="114"/>
      <c r="AO509" s="114"/>
      <c r="AP509" s="114"/>
      <c r="AQ509" s="114"/>
      <c r="AR509" s="114"/>
      <c r="AS509" s="114"/>
      <c r="AT509" s="114"/>
      <c r="AU509" s="114"/>
      <c r="AV509" s="114"/>
      <c r="AW509" s="114"/>
      <c r="AX509" s="114"/>
      <c r="AY509" s="114"/>
      <c r="AZ509" s="114"/>
      <c r="BA509" s="114"/>
      <c r="BB509" s="114"/>
      <c r="BC509" s="114"/>
      <c r="BD509" s="114"/>
      <c r="BE509" s="114"/>
      <c r="BF509" s="114"/>
      <c r="BG509" s="114"/>
      <c r="BH509" s="114"/>
      <c r="BI509" s="114"/>
      <c r="BJ509" s="114"/>
      <c r="BK509" s="114"/>
      <c r="BL509" s="114"/>
      <c r="BM509" s="114"/>
      <c r="BN509" s="114"/>
      <c r="BO509" s="114"/>
      <c r="BP509" s="114"/>
      <c r="BQ509" s="114"/>
      <c r="BR509" s="114"/>
      <c r="BS509" s="114"/>
      <c r="BT509" s="114"/>
      <c r="BU509" s="114"/>
      <c r="BV509" s="114"/>
      <c r="BW509" s="114"/>
      <c r="BX509" s="114"/>
      <c r="BY509" s="114"/>
      <c r="BZ509" s="114"/>
      <c r="CA509" s="114"/>
      <c r="CB509" s="114"/>
      <c r="CC509" s="114"/>
      <c r="CD509" s="114"/>
      <c r="CE509" s="114"/>
      <c r="CF509" s="114"/>
      <c r="CG509" s="114"/>
      <c r="CH509" s="114"/>
      <c r="CI509" s="114"/>
      <c r="CJ509" s="114"/>
      <c r="CK509" s="114"/>
      <c r="CL509" s="114"/>
      <c r="CM509" s="114"/>
      <c r="CN509" s="114"/>
      <c r="CO509" s="114"/>
      <c r="CP509" s="114"/>
      <c r="CQ509" s="114"/>
      <c r="CR509" s="114"/>
      <c r="CS509" s="114"/>
      <c r="CT509" s="114"/>
      <c r="CU509" s="114"/>
      <c r="CV509" s="114"/>
      <c r="CW509" s="114"/>
      <c r="CX509" s="114"/>
      <c r="CY509" s="114"/>
      <c r="CZ509" s="114"/>
      <c r="DA509" s="114"/>
      <c r="DB509" s="114"/>
      <c r="DC509" s="114"/>
      <c r="DD509" s="114"/>
      <c r="DE509" s="114"/>
      <c r="DF509" s="114"/>
      <c r="DG509" s="114"/>
      <c r="DH509" s="114"/>
      <c r="DI509" s="114"/>
      <c r="DJ509" s="114"/>
      <c r="DK509" s="114"/>
      <c r="DL509" s="114"/>
      <c r="DM509" s="114"/>
      <c r="DN509" s="114"/>
      <c r="DO509" s="114"/>
      <c r="DP509" s="114"/>
      <c r="DQ509" s="114"/>
      <c r="DR509" s="114"/>
      <c r="DS509" s="114"/>
      <c r="DT509" s="114"/>
      <c r="DU509" s="114"/>
      <c r="DV509" s="114"/>
      <c r="DW509" s="114"/>
      <c r="DX509" s="114"/>
      <c r="DY509" s="114"/>
      <c r="DZ509" s="114"/>
      <c r="EA509" s="114"/>
      <c r="EB509" s="114"/>
      <c r="EC509" s="114"/>
      <c r="ED509" s="114"/>
      <c r="EE509" s="114"/>
      <c r="EF509" s="114"/>
      <c r="EG509" s="114"/>
      <c r="EH509" s="114"/>
      <c r="EI509" s="114"/>
      <c r="EJ509" s="114"/>
      <c r="EK509" s="114"/>
      <c r="EL509" s="114"/>
      <c r="EM509" s="114"/>
      <c r="EN509" s="114"/>
      <c r="EO509" s="114"/>
      <c r="EP509" s="114"/>
      <c r="EQ509" s="114"/>
      <c r="ER509" s="114"/>
      <c r="ES509" s="114"/>
      <c r="ET509" s="114"/>
      <c r="EU509" s="114"/>
      <c r="EV509" s="114"/>
      <c r="EW509" s="114"/>
      <c r="EX509" s="114"/>
      <c r="EY509" s="114"/>
      <c r="EZ509" s="114"/>
      <c r="FA509" s="114"/>
      <c r="FB509" s="114"/>
      <c r="FC509" s="114"/>
      <c r="FD509" s="114"/>
      <c r="FE509" s="114"/>
      <c r="FF509" s="114"/>
      <c r="FG509" s="114"/>
      <c r="FH509" s="114"/>
      <c r="FI509" s="114"/>
      <c r="FJ509" s="114"/>
      <c r="FK509" s="114"/>
      <c r="FL509" s="114"/>
      <c r="FM509" s="114"/>
      <c r="FN509" s="114"/>
      <c r="FO509" s="114"/>
      <c r="FP509" s="114"/>
      <c r="FQ509" s="114"/>
      <c r="FR509" s="114"/>
      <c r="FS509" s="114"/>
      <c r="FT509" s="114"/>
      <c r="FU509" s="114"/>
      <c r="FV509" s="114"/>
      <c r="FW509" s="114"/>
      <c r="FX509" s="114"/>
      <c r="FY509" s="114"/>
      <c r="FZ509" s="114"/>
      <c r="GA509" s="114"/>
      <c r="GB509" s="114"/>
      <c r="GC509" s="114"/>
      <c r="GD509" s="114"/>
      <c r="GE509" s="114"/>
      <c r="GF509" s="114"/>
      <c r="GG509" s="114"/>
      <c r="GH509" s="114"/>
      <c r="GI509" s="114"/>
      <c r="GJ509" s="114"/>
      <c r="GK509" s="114"/>
      <c r="GL509" s="114"/>
      <c r="GM509" s="114"/>
      <c r="GN509" s="114"/>
      <c r="GO509" s="114"/>
      <c r="GP509" s="114"/>
      <c r="GQ509" s="114"/>
      <c r="GR509" s="114"/>
      <c r="GS509" s="114"/>
      <c r="GT509" s="114"/>
      <c r="GU509" s="114"/>
      <c r="GV509" s="114"/>
      <c r="GW509" s="114"/>
      <c r="GX509" s="114"/>
      <c r="GY509" s="114"/>
      <c r="GZ509" s="114"/>
      <c r="HA509" s="114"/>
      <c r="HB509" s="114"/>
      <c r="HC509" s="114"/>
      <c r="HD509" s="114"/>
      <c r="HE509" s="114"/>
      <c r="HF509" s="114"/>
      <c r="HG509" s="114"/>
      <c r="HH509" s="114"/>
      <c r="HI509" s="114"/>
      <c r="HJ509" s="114"/>
      <c r="HK509" s="114"/>
      <c r="HL509" s="114"/>
      <c r="HM509" s="114"/>
      <c r="HN509" s="114"/>
      <c r="HO509" s="114"/>
      <c r="HP509" s="114"/>
      <c r="HQ509" s="114"/>
      <c r="HR509" s="114"/>
      <c r="HS509" s="114"/>
      <c r="HT509" s="114"/>
      <c r="HU509" s="114"/>
      <c r="HV509" s="114"/>
      <c r="HW509" s="114"/>
      <c r="HX509" s="114"/>
      <c r="HY509" s="114"/>
      <c r="HZ509" s="114"/>
      <c r="IA509" s="114"/>
      <c r="IB509" s="114"/>
      <c r="IC509" s="114"/>
      <c r="ID509" s="114"/>
      <c r="IE509" s="114"/>
      <c r="IF509" s="114"/>
      <c r="IG509" s="114"/>
    </row>
    <row r="510" spans="1:242">
      <c r="A510">
        <v>946</v>
      </c>
      <c r="B510" t="s">
        <v>468</v>
      </c>
      <c r="C510" s="27" t="s">
        <v>4534</v>
      </c>
      <c r="D510" s="28">
        <v>1228880</v>
      </c>
      <c r="E510" s="27" t="s">
        <v>2978</v>
      </c>
      <c r="F510" t="s">
        <v>2192</v>
      </c>
      <c r="G510" s="27" t="s">
        <v>90</v>
      </c>
      <c r="H510" s="27" t="s">
        <v>4536</v>
      </c>
      <c r="I510" s="27" t="s">
        <v>94</v>
      </c>
      <c r="J510" s="28">
        <v>21589</v>
      </c>
      <c r="K510" s="27" t="s">
        <v>405</v>
      </c>
    </row>
    <row r="511" spans="1:242">
      <c r="A511">
        <v>947</v>
      </c>
      <c r="B511" t="s">
        <v>468</v>
      </c>
      <c r="C511" s="372" t="s">
        <v>4534</v>
      </c>
      <c r="D511" s="28">
        <v>1228880</v>
      </c>
      <c r="E511" s="27" t="s">
        <v>2978</v>
      </c>
      <c r="F511" t="s">
        <v>2192</v>
      </c>
      <c r="G511" s="27" t="s">
        <v>90</v>
      </c>
      <c r="H511" t="s">
        <v>4537</v>
      </c>
      <c r="I511" s="27" t="s">
        <v>226</v>
      </c>
      <c r="J511" s="28">
        <v>21628</v>
      </c>
      <c r="K511" s="27" t="s">
        <v>4502</v>
      </c>
      <c r="L511" s="114"/>
      <c r="M511" s="114"/>
      <c r="N511" s="115"/>
      <c r="O511" s="115"/>
      <c r="P511" s="115"/>
      <c r="V511" s="319"/>
      <c r="W511" s="115"/>
      <c r="X511" s="115"/>
      <c r="Y511" s="115"/>
      <c r="Z511" s="115"/>
      <c r="AA511" s="115"/>
      <c r="AB511" s="121"/>
      <c r="AC511" s="114"/>
      <c r="AD511" s="115"/>
      <c r="AE511" s="114"/>
      <c r="AF511" s="114"/>
      <c r="AG511" s="114"/>
      <c r="AH511" s="114"/>
      <c r="AI511" s="114"/>
      <c r="AJ511" s="114"/>
      <c r="AK511" s="114"/>
      <c r="AL511" s="114"/>
      <c r="AM511" s="114"/>
      <c r="AN511" s="114"/>
      <c r="AO511" s="114"/>
      <c r="AP511" s="114"/>
      <c r="AQ511" s="114"/>
      <c r="AR511" s="114"/>
      <c r="AS511" s="114"/>
      <c r="AT511" s="114"/>
      <c r="AU511" s="114"/>
      <c r="AV511" s="114"/>
      <c r="AW511" s="114"/>
      <c r="AX511" s="114"/>
      <c r="AY511" s="114"/>
      <c r="AZ511" s="114"/>
      <c r="BA511" s="114"/>
      <c r="BB511" s="114"/>
      <c r="BC511" s="114"/>
      <c r="BD511" s="114"/>
      <c r="BE511" s="114"/>
      <c r="BF511" s="114"/>
      <c r="BG511" s="114"/>
      <c r="BH511" s="114"/>
      <c r="BI511" s="114"/>
      <c r="BJ511" s="114"/>
      <c r="BK511" s="114"/>
      <c r="BL511" s="114"/>
      <c r="BM511" s="114"/>
      <c r="BN511" s="114"/>
      <c r="BO511" s="114"/>
      <c r="BP511" s="114"/>
      <c r="BQ511" s="114"/>
      <c r="BR511" s="114"/>
      <c r="BS511" s="114"/>
      <c r="BT511" s="114"/>
      <c r="BU511" s="114"/>
      <c r="BV511" s="114"/>
      <c r="BW511" s="114"/>
      <c r="BX511" s="114"/>
      <c r="BY511" s="114"/>
      <c r="BZ511" s="114"/>
      <c r="CA511" s="114"/>
      <c r="CB511" s="114"/>
      <c r="CC511" s="114"/>
      <c r="CD511" s="114"/>
      <c r="CE511" s="114"/>
      <c r="CF511" s="114"/>
      <c r="CG511" s="114"/>
      <c r="CH511" s="114"/>
      <c r="CI511" s="114"/>
      <c r="CJ511" s="114"/>
      <c r="CK511" s="114"/>
      <c r="CL511" s="114"/>
      <c r="CM511" s="114"/>
      <c r="CN511" s="114"/>
      <c r="CO511" s="114"/>
      <c r="CP511" s="114"/>
      <c r="CQ511" s="114"/>
      <c r="CR511" s="114"/>
      <c r="CS511" s="114"/>
      <c r="CT511" s="114"/>
      <c r="CU511" s="114"/>
      <c r="CV511" s="114"/>
      <c r="CW511" s="114"/>
      <c r="CX511" s="114"/>
      <c r="CY511" s="114"/>
      <c r="CZ511" s="114"/>
      <c r="DA511" s="114"/>
      <c r="DB511" s="114"/>
      <c r="DC511" s="114"/>
      <c r="DD511" s="114"/>
      <c r="DE511" s="114"/>
      <c r="DF511" s="114"/>
      <c r="DG511" s="114"/>
      <c r="DH511" s="114"/>
      <c r="DI511" s="114"/>
      <c r="DJ511" s="114"/>
      <c r="DK511" s="114"/>
      <c r="DL511" s="114"/>
      <c r="DM511" s="114"/>
      <c r="DN511" s="114"/>
      <c r="DO511" s="114"/>
      <c r="DP511" s="114"/>
      <c r="DQ511" s="114"/>
      <c r="DR511" s="114"/>
      <c r="DS511" s="114"/>
      <c r="DT511" s="114"/>
      <c r="DU511" s="114"/>
      <c r="DV511" s="114"/>
      <c r="DW511" s="114"/>
      <c r="DX511" s="114"/>
      <c r="DY511" s="114"/>
      <c r="DZ511" s="114"/>
      <c r="EA511" s="114"/>
      <c r="EB511" s="114"/>
      <c r="EC511" s="114"/>
      <c r="ED511" s="114"/>
      <c r="EE511" s="114"/>
      <c r="EF511" s="114"/>
      <c r="EG511" s="114"/>
      <c r="EH511" s="114"/>
      <c r="EI511" s="114"/>
      <c r="EJ511" s="114"/>
      <c r="EK511" s="114"/>
      <c r="EL511" s="114"/>
      <c r="EM511" s="114"/>
      <c r="EN511" s="114"/>
      <c r="EO511" s="114"/>
      <c r="EP511" s="114"/>
      <c r="EQ511" s="114"/>
      <c r="ER511" s="114"/>
      <c r="ES511" s="114"/>
      <c r="ET511" s="114"/>
      <c r="EU511" s="114"/>
      <c r="EV511" s="114"/>
      <c r="EW511" s="114"/>
      <c r="EX511" s="114"/>
      <c r="EY511" s="114"/>
      <c r="EZ511" s="114"/>
      <c r="FA511" s="114"/>
      <c r="FB511" s="114"/>
      <c r="FC511" s="114"/>
      <c r="FD511" s="114"/>
      <c r="FE511" s="114"/>
      <c r="FF511" s="114"/>
      <c r="FG511" s="114"/>
      <c r="FH511" s="114"/>
      <c r="FI511" s="114"/>
      <c r="FJ511" s="114"/>
      <c r="FK511" s="114"/>
      <c r="FL511" s="114"/>
      <c r="FM511" s="114"/>
      <c r="FN511" s="114"/>
      <c r="FO511" s="114"/>
      <c r="FP511" s="114"/>
      <c r="FQ511" s="114"/>
      <c r="FR511" s="114"/>
      <c r="FS511" s="114"/>
      <c r="FT511" s="114"/>
      <c r="FU511" s="114"/>
      <c r="FV511" s="114"/>
      <c r="FW511" s="114"/>
      <c r="FX511" s="114"/>
      <c r="FY511" s="114"/>
      <c r="FZ511" s="114"/>
      <c r="GA511" s="114"/>
      <c r="GB511" s="114"/>
      <c r="GC511" s="114"/>
      <c r="GD511" s="114"/>
      <c r="GE511" s="114"/>
      <c r="GF511" s="114"/>
      <c r="GG511" s="114"/>
      <c r="GH511" s="114"/>
      <c r="GI511" s="114"/>
      <c r="GJ511" s="114"/>
      <c r="GK511" s="114"/>
      <c r="GL511" s="114"/>
      <c r="GM511" s="114"/>
      <c r="GN511" s="114"/>
      <c r="GO511" s="114"/>
      <c r="GP511" s="114"/>
      <c r="GQ511" s="114"/>
      <c r="GR511" s="114"/>
      <c r="GS511" s="114"/>
      <c r="GT511" s="114"/>
      <c r="GU511" s="114"/>
      <c r="GV511" s="114"/>
      <c r="GW511" s="114"/>
      <c r="GX511" s="114"/>
      <c r="GY511" s="114"/>
      <c r="GZ511" s="114"/>
      <c r="HA511" s="114"/>
      <c r="HB511" s="114"/>
      <c r="HC511" s="114"/>
      <c r="HD511" s="114"/>
      <c r="HE511" s="114"/>
      <c r="HF511" s="114"/>
      <c r="HG511" s="114"/>
      <c r="HH511" s="114"/>
      <c r="HI511" s="114"/>
      <c r="HJ511" s="114"/>
      <c r="HK511" s="114"/>
      <c r="HL511" s="114"/>
      <c r="HM511" s="114"/>
      <c r="HN511" s="114"/>
      <c r="HO511" s="114"/>
      <c r="HP511" s="114"/>
      <c r="HQ511" s="114"/>
      <c r="HR511" s="114"/>
      <c r="HS511" s="114"/>
      <c r="HT511" s="114"/>
      <c r="HU511" s="114"/>
      <c r="HV511" s="114"/>
      <c r="HW511" s="114"/>
      <c r="HX511" s="114"/>
      <c r="HY511" s="114"/>
      <c r="HZ511" s="114"/>
      <c r="IA511" s="114"/>
      <c r="IB511" s="114"/>
      <c r="IC511" s="114"/>
      <c r="ID511" s="114"/>
      <c r="IE511" s="114"/>
      <c r="IF511" s="114"/>
      <c r="IG511" s="114"/>
    </row>
    <row r="512" spans="1:242">
      <c r="A512">
        <v>968</v>
      </c>
      <c r="B512" t="s">
        <v>468</v>
      </c>
      <c r="C512" s="27" t="s">
        <v>4541</v>
      </c>
      <c r="D512" s="28">
        <v>420661000</v>
      </c>
      <c r="E512" s="27" t="s">
        <v>2986</v>
      </c>
      <c r="F512" t="s">
        <v>2192</v>
      </c>
      <c r="G512" s="27" t="s">
        <v>90</v>
      </c>
      <c r="H512" s="27" t="s">
        <v>4542</v>
      </c>
      <c r="I512" s="27" t="s">
        <v>121</v>
      </c>
      <c r="J512" s="28">
        <v>21589</v>
      </c>
      <c r="K512" s="27" t="s">
        <v>405</v>
      </c>
    </row>
    <row r="513" spans="1:242">
      <c r="A513">
        <v>970</v>
      </c>
      <c r="B513" t="s">
        <v>468</v>
      </c>
      <c r="C513" s="372" t="s">
        <v>4541</v>
      </c>
      <c r="D513" s="28">
        <v>420661000</v>
      </c>
      <c r="E513" s="27" t="s">
        <v>2986</v>
      </c>
      <c r="F513" t="s">
        <v>2192</v>
      </c>
      <c r="G513" s="27" t="s">
        <v>90</v>
      </c>
      <c r="H513" t="s">
        <v>4543</v>
      </c>
      <c r="I513" s="27" t="s">
        <v>226</v>
      </c>
      <c r="J513" s="28">
        <v>21628</v>
      </c>
      <c r="K513" s="27" t="s">
        <v>4502</v>
      </c>
      <c r="L513" s="114"/>
      <c r="M513" s="114"/>
      <c r="N513" s="115"/>
      <c r="O513" s="115"/>
      <c r="P513" s="115"/>
      <c r="V513" s="319"/>
      <c r="W513" s="115"/>
      <c r="X513" s="115"/>
      <c r="Y513" s="115"/>
      <c r="Z513" s="115"/>
      <c r="AA513" s="115"/>
      <c r="AB513" s="121"/>
      <c r="AC513" s="114"/>
      <c r="AD513" s="115"/>
      <c r="AE513" s="114"/>
      <c r="AF513" s="114"/>
      <c r="AG513" s="114"/>
      <c r="AH513" s="114"/>
      <c r="AI513" s="114"/>
      <c r="AJ513" s="114"/>
      <c r="AK513" s="114"/>
      <c r="AL513" s="114"/>
      <c r="AM513" s="114"/>
      <c r="AN513" s="114"/>
      <c r="AO513" s="114"/>
      <c r="AP513" s="114"/>
      <c r="AQ513" s="114"/>
      <c r="AR513" s="114"/>
      <c r="AS513" s="114"/>
      <c r="AT513" s="114"/>
      <c r="AU513" s="114"/>
      <c r="AV513" s="114"/>
      <c r="AW513" s="114"/>
      <c r="AX513" s="114"/>
      <c r="AY513" s="114"/>
      <c r="AZ513" s="114"/>
      <c r="BA513" s="114"/>
      <c r="BB513" s="114"/>
      <c r="BC513" s="114"/>
      <c r="BD513" s="114"/>
      <c r="BE513" s="114"/>
      <c r="BF513" s="114"/>
      <c r="BG513" s="114"/>
      <c r="BH513" s="114"/>
      <c r="BI513" s="114"/>
      <c r="BJ513" s="114"/>
      <c r="BK513" s="114"/>
      <c r="BL513" s="114"/>
      <c r="BM513" s="114"/>
      <c r="BN513" s="114"/>
      <c r="BO513" s="114"/>
      <c r="BP513" s="114"/>
      <c r="BQ513" s="114"/>
      <c r="BR513" s="114"/>
      <c r="BS513" s="114"/>
      <c r="BT513" s="114"/>
      <c r="BU513" s="114"/>
      <c r="BV513" s="114"/>
      <c r="BW513" s="114"/>
      <c r="BX513" s="114"/>
      <c r="BY513" s="114"/>
      <c r="BZ513" s="114"/>
      <c r="CA513" s="114"/>
      <c r="CB513" s="114"/>
      <c r="CC513" s="114"/>
      <c r="CD513" s="114"/>
      <c r="CE513" s="114"/>
      <c r="CF513" s="114"/>
      <c r="CG513" s="114"/>
      <c r="CH513" s="114"/>
      <c r="CI513" s="114"/>
      <c r="CJ513" s="114"/>
      <c r="CK513" s="114"/>
      <c r="CL513" s="114"/>
      <c r="CM513" s="114"/>
      <c r="CN513" s="114"/>
      <c r="CO513" s="114"/>
      <c r="CP513" s="114"/>
      <c r="CQ513" s="114"/>
      <c r="CR513" s="114"/>
      <c r="CS513" s="114"/>
      <c r="CT513" s="114"/>
      <c r="CU513" s="114"/>
      <c r="CV513" s="114"/>
      <c r="CW513" s="114"/>
      <c r="CX513" s="114"/>
      <c r="CY513" s="114"/>
      <c r="CZ513" s="114"/>
      <c r="DA513" s="114"/>
      <c r="DB513" s="114"/>
      <c r="DC513" s="114"/>
      <c r="DD513" s="114"/>
      <c r="DE513" s="114"/>
      <c r="DF513" s="114"/>
      <c r="DG513" s="114"/>
      <c r="DH513" s="114"/>
      <c r="DI513" s="114"/>
      <c r="DJ513" s="114"/>
      <c r="DK513" s="114"/>
      <c r="DL513" s="114"/>
      <c r="DM513" s="114"/>
      <c r="DN513" s="114"/>
      <c r="DO513" s="114"/>
      <c r="DP513" s="114"/>
      <c r="DQ513" s="114"/>
      <c r="DR513" s="114"/>
      <c r="DS513" s="114"/>
      <c r="DT513" s="114"/>
      <c r="DU513" s="114"/>
      <c r="DV513" s="114"/>
      <c r="DW513" s="114"/>
      <c r="DX513" s="114"/>
      <c r="DY513" s="114"/>
      <c r="DZ513" s="114"/>
      <c r="EA513" s="114"/>
      <c r="EB513" s="114"/>
      <c r="EC513" s="114"/>
      <c r="ED513" s="114"/>
      <c r="EE513" s="114"/>
      <c r="EF513" s="114"/>
      <c r="EG513" s="114"/>
      <c r="EH513" s="114"/>
      <c r="EI513" s="114"/>
      <c r="EJ513" s="114"/>
      <c r="EK513" s="114"/>
      <c r="EL513" s="114"/>
      <c r="EM513" s="114"/>
      <c r="EN513" s="114"/>
      <c r="EO513" s="114"/>
      <c r="EP513" s="114"/>
      <c r="EQ513" s="114"/>
      <c r="ER513" s="114"/>
      <c r="ES513" s="114"/>
      <c r="ET513" s="114"/>
      <c r="EU513" s="114"/>
      <c r="EV513" s="114"/>
      <c r="EW513" s="114"/>
      <c r="EX513" s="114"/>
      <c r="EY513" s="114"/>
      <c r="EZ513" s="114"/>
      <c r="FA513" s="114"/>
      <c r="FB513" s="114"/>
      <c r="FC513" s="114"/>
      <c r="FD513" s="114"/>
      <c r="FE513" s="114"/>
      <c r="FF513" s="114"/>
      <c r="FG513" s="114"/>
      <c r="FH513" s="114"/>
      <c r="FI513" s="114"/>
      <c r="FJ513" s="114"/>
      <c r="FK513" s="114"/>
      <c r="FL513" s="114"/>
      <c r="FM513" s="114"/>
      <c r="FN513" s="114"/>
      <c r="FO513" s="114"/>
      <c r="FP513" s="114"/>
      <c r="FQ513" s="114"/>
      <c r="FR513" s="114"/>
      <c r="FS513" s="114"/>
      <c r="FT513" s="114"/>
      <c r="FU513" s="114"/>
      <c r="FV513" s="114"/>
      <c r="FW513" s="114"/>
      <c r="FX513" s="114"/>
      <c r="FY513" s="114"/>
      <c r="FZ513" s="114"/>
      <c r="GA513" s="114"/>
      <c r="GB513" s="114"/>
      <c r="GC513" s="114"/>
      <c r="GD513" s="114"/>
      <c r="GE513" s="114"/>
      <c r="GF513" s="114"/>
      <c r="GG513" s="114"/>
      <c r="GH513" s="114"/>
      <c r="GI513" s="114"/>
      <c r="GJ513" s="114"/>
      <c r="GK513" s="114"/>
      <c r="GL513" s="114"/>
      <c r="GM513" s="114"/>
      <c r="GN513" s="114"/>
      <c r="GO513" s="114"/>
      <c r="GP513" s="114"/>
      <c r="GQ513" s="114"/>
      <c r="GR513" s="114"/>
      <c r="GS513" s="114"/>
      <c r="GT513" s="114"/>
      <c r="GU513" s="114"/>
      <c r="GV513" s="114"/>
      <c r="GW513" s="114"/>
      <c r="GX513" s="114"/>
      <c r="GY513" s="114"/>
      <c r="GZ513" s="114"/>
      <c r="HA513" s="114"/>
      <c r="HB513" s="114"/>
      <c r="HC513" s="114"/>
      <c r="HD513" s="114"/>
      <c r="HE513" s="114"/>
      <c r="HF513" s="114"/>
      <c r="HG513" s="114"/>
      <c r="HH513" s="114"/>
      <c r="HI513" s="114"/>
      <c r="HJ513" s="114"/>
      <c r="HK513" s="114"/>
      <c r="HL513" s="114"/>
      <c r="HM513" s="114"/>
      <c r="HN513" s="114"/>
      <c r="HO513" s="114"/>
      <c r="HP513" s="114"/>
      <c r="HQ513" s="114"/>
      <c r="HR513" s="114"/>
      <c r="HS513" s="114"/>
      <c r="HT513" s="114"/>
      <c r="HU513" s="114"/>
      <c r="HV513" s="114"/>
      <c r="HW513" s="114"/>
      <c r="HX513" s="114"/>
      <c r="HY513" s="114"/>
      <c r="HZ513" s="114"/>
      <c r="IA513" s="114"/>
      <c r="IB513" s="114"/>
      <c r="IC513" s="114"/>
      <c r="ID513" s="114"/>
      <c r="IE513" s="114"/>
      <c r="IF513" s="114"/>
      <c r="IG513" s="114"/>
    </row>
    <row r="514" spans="1:242">
      <c r="A514">
        <v>976</v>
      </c>
      <c r="B514" t="s">
        <v>468</v>
      </c>
      <c r="C514" s="372" t="s">
        <v>4544</v>
      </c>
      <c r="D514" s="28" t="s">
        <v>2990</v>
      </c>
      <c r="E514" s="27" t="s">
        <v>2991</v>
      </c>
      <c r="F514" t="s">
        <v>2192</v>
      </c>
      <c r="G514" s="27" t="s">
        <v>90</v>
      </c>
      <c r="H514" s="27" t="s">
        <v>4545</v>
      </c>
      <c r="I514" s="27" t="s">
        <v>121</v>
      </c>
      <c r="J514" s="28">
        <v>21589</v>
      </c>
      <c r="K514" s="27" t="s">
        <v>405</v>
      </c>
      <c r="L514" s="114"/>
      <c r="M514" s="114"/>
      <c r="N514" s="115"/>
      <c r="O514" s="115"/>
      <c r="P514" s="115"/>
      <c r="V514" s="319"/>
      <c r="W514" s="115"/>
      <c r="X514" s="115"/>
      <c r="Y514" s="115"/>
      <c r="Z514" s="115"/>
      <c r="AA514" s="115"/>
      <c r="AB514" s="121"/>
      <c r="AC514" s="114"/>
      <c r="AD514" s="115"/>
      <c r="AE514" s="114"/>
      <c r="AF514" s="114"/>
      <c r="AG514" s="114"/>
      <c r="AH514" s="114"/>
      <c r="AI514" s="114"/>
      <c r="AJ514" s="114"/>
      <c r="AK514" s="114"/>
      <c r="AL514" s="114"/>
      <c r="AM514" s="114"/>
      <c r="AN514" s="114"/>
      <c r="AO514" s="114"/>
      <c r="AP514" s="114"/>
      <c r="AQ514" s="114"/>
      <c r="AR514" s="114"/>
      <c r="AS514" s="114"/>
      <c r="AT514" s="114"/>
      <c r="AU514" s="114"/>
      <c r="AV514" s="114"/>
      <c r="AW514" s="114"/>
      <c r="AX514" s="114"/>
      <c r="AY514" s="114"/>
      <c r="AZ514" s="114"/>
      <c r="BA514" s="114"/>
      <c r="BB514" s="114"/>
      <c r="BC514" s="114"/>
      <c r="BD514" s="114"/>
      <c r="BE514" s="114"/>
      <c r="BF514" s="114"/>
      <c r="BG514" s="114"/>
      <c r="BH514" s="114"/>
      <c r="BI514" s="114"/>
      <c r="BJ514" s="114"/>
      <c r="BK514" s="114"/>
      <c r="BL514" s="114"/>
      <c r="BM514" s="114"/>
      <c r="BN514" s="114"/>
      <c r="BO514" s="114"/>
      <c r="BP514" s="114"/>
      <c r="BQ514" s="114"/>
      <c r="BR514" s="114"/>
      <c r="BS514" s="114"/>
      <c r="BT514" s="114"/>
      <c r="BU514" s="114"/>
      <c r="BV514" s="114"/>
      <c r="BW514" s="114"/>
      <c r="BX514" s="114"/>
      <c r="BY514" s="114"/>
      <c r="BZ514" s="114"/>
      <c r="CA514" s="114"/>
      <c r="CB514" s="114"/>
      <c r="CC514" s="114"/>
      <c r="CD514" s="114"/>
      <c r="CE514" s="114"/>
      <c r="CF514" s="114"/>
      <c r="CG514" s="114"/>
      <c r="CH514" s="114"/>
      <c r="CI514" s="114"/>
      <c r="CJ514" s="114"/>
      <c r="CK514" s="114"/>
      <c r="CL514" s="114"/>
      <c r="CM514" s="114"/>
      <c r="CN514" s="114"/>
      <c r="CO514" s="114"/>
      <c r="CP514" s="114"/>
      <c r="CQ514" s="114"/>
      <c r="CR514" s="114"/>
      <c r="CS514" s="114"/>
      <c r="CT514" s="114"/>
      <c r="CU514" s="114"/>
      <c r="CV514" s="114"/>
      <c r="CW514" s="114"/>
      <c r="CX514" s="114"/>
      <c r="CY514" s="114"/>
      <c r="CZ514" s="114"/>
      <c r="DA514" s="114"/>
      <c r="DB514" s="114"/>
      <c r="DC514" s="114"/>
      <c r="DD514" s="114"/>
      <c r="DE514" s="114"/>
      <c r="DF514" s="114"/>
      <c r="DG514" s="114"/>
      <c r="DH514" s="114"/>
      <c r="DI514" s="114"/>
      <c r="DJ514" s="114"/>
      <c r="DK514" s="114"/>
      <c r="DL514" s="114"/>
      <c r="DM514" s="114"/>
      <c r="DN514" s="114"/>
      <c r="DO514" s="114"/>
      <c r="DP514" s="114"/>
      <c r="DQ514" s="114"/>
      <c r="DR514" s="114"/>
      <c r="DS514" s="114"/>
      <c r="DT514" s="114"/>
      <c r="DU514" s="114"/>
      <c r="DV514" s="114"/>
      <c r="DW514" s="114"/>
      <c r="DX514" s="114"/>
      <c r="DY514" s="114"/>
      <c r="DZ514" s="114"/>
      <c r="EA514" s="114"/>
      <c r="EB514" s="114"/>
      <c r="EC514" s="114"/>
      <c r="ED514" s="114"/>
      <c r="EE514" s="114"/>
      <c r="EF514" s="114"/>
      <c r="EG514" s="114"/>
      <c r="EH514" s="114"/>
      <c r="EI514" s="114"/>
      <c r="EJ514" s="114"/>
      <c r="EK514" s="114"/>
      <c r="EL514" s="114"/>
      <c r="EM514" s="114"/>
      <c r="EN514" s="114"/>
      <c r="EO514" s="114"/>
      <c r="EP514" s="114"/>
      <c r="EQ514" s="114"/>
      <c r="ER514" s="114"/>
      <c r="ES514" s="114"/>
      <c r="ET514" s="114"/>
      <c r="EU514" s="114"/>
      <c r="EV514" s="114"/>
      <c r="EW514" s="114"/>
      <c r="EX514" s="114"/>
      <c r="EY514" s="114"/>
      <c r="EZ514" s="114"/>
      <c r="FA514" s="114"/>
      <c r="FB514" s="114"/>
      <c r="FC514" s="114"/>
      <c r="FD514" s="114"/>
      <c r="FE514" s="114"/>
      <c r="FF514" s="114"/>
      <c r="FG514" s="114"/>
      <c r="FH514" s="114"/>
      <c r="FI514" s="114"/>
      <c r="FJ514" s="114"/>
      <c r="FK514" s="114"/>
      <c r="FL514" s="114"/>
      <c r="FM514" s="114"/>
      <c r="FN514" s="114"/>
      <c r="FO514" s="114"/>
      <c r="FP514" s="114"/>
      <c r="FQ514" s="114"/>
      <c r="FR514" s="114"/>
      <c r="FS514" s="114"/>
      <c r="FT514" s="114"/>
      <c r="FU514" s="114"/>
      <c r="FV514" s="114"/>
      <c r="FW514" s="114"/>
      <c r="FX514" s="114"/>
      <c r="FY514" s="114"/>
      <c r="FZ514" s="114"/>
      <c r="GA514" s="114"/>
      <c r="GB514" s="114"/>
      <c r="GC514" s="114"/>
      <c r="GD514" s="114"/>
      <c r="GE514" s="114"/>
      <c r="GF514" s="114"/>
      <c r="GG514" s="114"/>
      <c r="GH514" s="114"/>
      <c r="GI514" s="114"/>
      <c r="GJ514" s="114"/>
      <c r="GK514" s="114"/>
      <c r="GL514" s="114"/>
      <c r="GM514" s="114"/>
      <c r="GN514" s="114"/>
      <c r="GO514" s="114"/>
      <c r="GP514" s="114"/>
      <c r="GQ514" s="114"/>
      <c r="GR514" s="114"/>
      <c r="GS514" s="114"/>
      <c r="GT514" s="114"/>
      <c r="GU514" s="114"/>
      <c r="GV514" s="114"/>
      <c r="GW514" s="114"/>
      <c r="GX514" s="114"/>
      <c r="GY514" s="114"/>
      <c r="GZ514" s="114"/>
      <c r="HA514" s="114"/>
      <c r="HB514" s="114"/>
      <c r="HC514" s="114"/>
      <c r="HD514" s="114"/>
      <c r="HE514" s="114"/>
      <c r="HF514" s="114"/>
      <c r="HG514" s="114"/>
      <c r="HH514" s="114"/>
      <c r="HI514" s="114"/>
      <c r="HJ514" s="114"/>
      <c r="HK514" s="114"/>
      <c r="HL514" s="114"/>
      <c r="HM514" s="114"/>
      <c r="HN514" s="114"/>
      <c r="HO514" s="114"/>
      <c r="HP514" s="114"/>
      <c r="HQ514" s="114"/>
      <c r="HR514" s="114"/>
      <c r="HS514" s="114"/>
      <c r="HT514" s="114"/>
      <c r="HU514" s="114"/>
      <c r="HV514" s="114"/>
      <c r="HW514" s="114"/>
      <c r="HX514" s="114"/>
      <c r="HY514" s="114"/>
      <c r="HZ514" s="114"/>
      <c r="IA514" s="114"/>
      <c r="IB514" s="114"/>
      <c r="IC514" s="114"/>
      <c r="ID514" s="114"/>
      <c r="IE514" s="114"/>
      <c r="IF514" s="114"/>
      <c r="IG514" s="114"/>
    </row>
    <row r="515" spans="1:242">
      <c r="A515">
        <v>977</v>
      </c>
      <c r="B515" t="s">
        <v>468</v>
      </c>
      <c r="C515" s="372" t="s">
        <v>4544</v>
      </c>
      <c r="D515" s="28" t="s">
        <v>2990</v>
      </c>
      <c r="E515" s="27" t="s">
        <v>2991</v>
      </c>
      <c r="F515" t="s">
        <v>2192</v>
      </c>
      <c r="G515" s="27" t="s">
        <v>90</v>
      </c>
      <c r="H515" s="27" t="s">
        <v>4546</v>
      </c>
      <c r="I515" s="27" t="s">
        <v>226</v>
      </c>
      <c r="J515" s="28">
        <v>21628</v>
      </c>
      <c r="K515" s="27" t="s">
        <v>4502</v>
      </c>
      <c r="L515" s="114"/>
      <c r="M515" s="114"/>
      <c r="N515" s="115"/>
      <c r="O515" s="115"/>
      <c r="P515" s="115"/>
      <c r="V515" s="319"/>
      <c r="W515" s="115"/>
      <c r="X515" s="115"/>
      <c r="Y515" s="115"/>
      <c r="Z515" s="115"/>
      <c r="AA515" s="115"/>
      <c r="AB515" s="121"/>
      <c r="AC515" s="114"/>
      <c r="AD515" s="115"/>
      <c r="AE515" s="114"/>
      <c r="AF515" s="114"/>
      <c r="AG515" s="114"/>
      <c r="AH515" s="114"/>
      <c r="AI515" s="114"/>
      <c r="AJ515" s="114"/>
      <c r="AK515" s="114"/>
      <c r="AL515" s="114"/>
      <c r="AM515" s="114"/>
      <c r="AN515" s="114"/>
      <c r="AO515" s="114"/>
      <c r="AP515" s="114"/>
      <c r="AQ515" s="114"/>
      <c r="AR515" s="114"/>
      <c r="AS515" s="114"/>
      <c r="AT515" s="114"/>
      <c r="AU515" s="114"/>
      <c r="AV515" s="114"/>
      <c r="AW515" s="114"/>
      <c r="AX515" s="114"/>
      <c r="AY515" s="114"/>
      <c r="AZ515" s="114"/>
      <c r="BA515" s="114"/>
      <c r="BB515" s="114"/>
      <c r="BC515" s="114"/>
      <c r="BD515" s="114"/>
      <c r="BE515" s="114"/>
      <c r="BF515" s="114"/>
      <c r="BG515" s="114"/>
      <c r="BH515" s="114"/>
      <c r="BI515" s="114"/>
      <c r="BJ515" s="114"/>
      <c r="BK515" s="114"/>
      <c r="BL515" s="114"/>
      <c r="BM515" s="114"/>
      <c r="BN515" s="114"/>
      <c r="BO515" s="114"/>
      <c r="BP515" s="114"/>
      <c r="BQ515" s="114"/>
      <c r="BR515" s="114"/>
      <c r="BS515" s="114"/>
      <c r="BT515" s="114"/>
      <c r="BU515" s="114"/>
      <c r="BV515" s="114"/>
      <c r="BW515" s="114"/>
      <c r="BX515" s="114"/>
      <c r="BY515" s="114"/>
      <c r="BZ515" s="114"/>
      <c r="CA515" s="114"/>
      <c r="CB515" s="114"/>
      <c r="CC515" s="114"/>
      <c r="CD515" s="114"/>
      <c r="CE515" s="114"/>
      <c r="CF515" s="114"/>
      <c r="CG515" s="114"/>
      <c r="CH515" s="114"/>
      <c r="CI515" s="114"/>
      <c r="CJ515" s="114"/>
      <c r="CK515" s="114"/>
      <c r="CL515" s="114"/>
      <c r="CM515" s="114"/>
      <c r="CN515" s="114"/>
      <c r="CO515" s="114"/>
      <c r="CP515" s="114"/>
      <c r="CQ515" s="114"/>
      <c r="CR515" s="114"/>
      <c r="CS515" s="114"/>
      <c r="CT515" s="114"/>
      <c r="CU515" s="114"/>
      <c r="CV515" s="114"/>
      <c r="CW515" s="114"/>
      <c r="CX515" s="114"/>
      <c r="CY515" s="114"/>
      <c r="CZ515" s="114"/>
      <c r="DA515" s="114"/>
      <c r="DB515" s="114"/>
      <c r="DC515" s="114"/>
      <c r="DD515" s="114"/>
      <c r="DE515" s="114"/>
      <c r="DF515" s="114"/>
      <c r="DG515" s="114"/>
      <c r="DH515" s="114"/>
      <c r="DI515" s="114"/>
      <c r="DJ515" s="114"/>
      <c r="DK515" s="114"/>
      <c r="DL515" s="114"/>
      <c r="DM515" s="114"/>
      <c r="DN515" s="114"/>
      <c r="DO515" s="114"/>
      <c r="DP515" s="114"/>
      <c r="DQ515" s="114"/>
      <c r="DR515" s="114"/>
      <c r="DS515" s="114"/>
      <c r="DT515" s="114"/>
      <c r="DU515" s="114"/>
      <c r="DV515" s="114"/>
      <c r="DW515" s="114"/>
      <c r="DX515" s="114"/>
      <c r="DY515" s="114"/>
      <c r="DZ515" s="114"/>
      <c r="EA515" s="114"/>
      <c r="EB515" s="114"/>
      <c r="EC515" s="114"/>
      <c r="ED515" s="114"/>
      <c r="EE515" s="114"/>
      <c r="EF515" s="114"/>
      <c r="EG515" s="114"/>
      <c r="EH515" s="114"/>
      <c r="EI515" s="114"/>
      <c r="EJ515" s="114"/>
      <c r="EK515" s="114"/>
      <c r="EL515" s="114"/>
      <c r="EM515" s="114"/>
      <c r="EN515" s="114"/>
      <c r="EO515" s="114"/>
      <c r="EP515" s="114"/>
      <c r="EQ515" s="114"/>
      <c r="ER515" s="114"/>
      <c r="ES515" s="114"/>
      <c r="ET515" s="114"/>
      <c r="EU515" s="114"/>
      <c r="EV515" s="114"/>
      <c r="EW515" s="114"/>
      <c r="EX515" s="114"/>
      <c r="EY515" s="114"/>
      <c r="EZ515" s="114"/>
      <c r="FA515" s="114"/>
      <c r="FB515" s="114"/>
      <c r="FC515" s="114"/>
      <c r="FD515" s="114"/>
      <c r="FE515" s="114"/>
      <c r="FF515" s="114"/>
      <c r="FG515" s="114"/>
      <c r="FH515" s="114"/>
      <c r="FI515" s="114"/>
      <c r="FJ515" s="114"/>
      <c r="FK515" s="114"/>
      <c r="FL515" s="114"/>
      <c r="FM515" s="114"/>
      <c r="FN515" s="114"/>
      <c r="FO515" s="114"/>
      <c r="FP515" s="114"/>
      <c r="FQ515" s="114"/>
      <c r="FR515" s="114"/>
      <c r="FS515" s="114"/>
      <c r="FT515" s="114"/>
      <c r="FU515" s="114"/>
      <c r="FV515" s="114"/>
      <c r="FW515" s="114"/>
      <c r="FX515" s="114"/>
      <c r="FY515" s="114"/>
      <c r="FZ515" s="114"/>
      <c r="GA515" s="114"/>
      <c r="GB515" s="114"/>
      <c r="GC515" s="114"/>
      <c r="GD515" s="114"/>
      <c r="GE515" s="114"/>
      <c r="GF515" s="114"/>
      <c r="GG515" s="114"/>
      <c r="GH515" s="114"/>
      <c r="GI515" s="114"/>
      <c r="GJ515" s="114"/>
      <c r="GK515" s="114"/>
      <c r="GL515" s="114"/>
      <c r="GM515" s="114"/>
      <c r="GN515" s="114"/>
      <c r="GO515" s="114"/>
      <c r="GP515" s="114"/>
      <c r="GQ515" s="114"/>
      <c r="GR515" s="114"/>
      <c r="GS515" s="114"/>
      <c r="GT515" s="114"/>
      <c r="GU515" s="114"/>
      <c r="GV515" s="114"/>
      <c r="GW515" s="114"/>
      <c r="GX515" s="114"/>
      <c r="GY515" s="114"/>
      <c r="GZ515" s="114"/>
      <c r="HA515" s="114"/>
      <c r="HB515" s="114"/>
      <c r="HC515" s="114"/>
      <c r="HD515" s="114"/>
      <c r="HE515" s="114"/>
      <c r="HF515" s="114"/>
      <c r="HG515" s="114"/>
      <c r="HH515" s="114"/>
      <c r="HI515" s="114"/>
      <c r="HJ515" s="114"/>
      <c r="HK515" s="114"/>
      <c r="HL515" s="114"/>
      <c r="HM515" s="114"/>
      <c r="HN515" s="114"/>
      <c r="HO515" s="114"/>
      <c r="HP515" s="114"/>
      <c r="HQ515" s="114"/>
      <c r="HR515" s="114"/>
      <c r="HS515" s="114"/>
      <c r="HT515" s="114"/>
      <c r="HU515" s="114"/>
      <c r="HV515" s="114"/>
      <c r="HW515" s="114"/>
      <c r="HX515" s="114"/>
      <c r="HY515" s="114"/>
      <c r="HZ515" s="114"/>
      <c r="IA515" s="114"/>
      <c r="IB515" s="114"/>
      <c r="IC515" s="114"/>
      <c r="ID515" s="114"/>
      <c r="IE515" s="114"/>
      <c r="IF515" s="114"/>
      <c r="IG515" s="114"/>
    </row>
    <row r="516" spans="1:242">
      <c r="A516">
        <v>29</v>
      </c>
      <c r="C516" s="114" t="s">
        <v>458</v>
      </c>
      <c r="D516" s="28" t="s">
        <v>91</v>
      </c>
      <c r="E516" s="27" t="s">
        <v>92</v>
      </c>
      <c r="F516" s="27"/>
      <c r="G516" s="27" t="s">
        <v>90</v>
      </c>
      <c r="H516" s="27"/>
      <c r="I516" s="27" t="s">
        <v>94</v>
      </c>
      <c r="J516" s="28">
        <v>21591</v>
      </c>
      <c r="K516" s="27" t="s">
        <v>97</v>
      </c>
      <c r="L516" s="380"/>
      <c r="M516" s="380"/>
      <c r="N516" s="380"/>
      <c r="O516" s="380"/>
      <c r="P516" s="380"/>
      <c r="Q516" s="28"/>
      <c r="R516" s="28"/>
      <c r="S516" s="27"/>
      <c r="T516" s="27"/>
      <c r="U516" s="27"/>
      <c r="V516" s="382" t="s">
        <v>79</v>
      </c>
      <c r="W516" s="386" t="s">
        <v>304</v>
      </c>
      <c r="X516" s="386"/>
      <c r="Y516" s="386"/>
      <c r="Z516" s="386"/>
      <c r="AA516" s="122"/>
      <c r="AB516" s="121"/>
      <c r="AC516" s="114"/>
      <c r="AD516" s="115"/>
      <c r="AE516" s="114"/>
      <c r="AF516" s="114"/>
      <c r="AG516" s="114"/>
      <c r="AH516" s="114"/>
      <c r="AI516" s="114"/>
      <c r="AJ516" s="114"/>
      <c r="AK516" s="114"/>
      <c r="AL516" s="114"/>
      <c r="AM516" s="114"/>
      <c r="AN516" s="114"/>
      <c r="AO516" s="114"/>
      <c r="AP516" s="114"/>
      <c r="AQ516" s="114"/>
      <c r="AR516" s="114"/>
      <c r="AS516" s="114"/>
      <c r="AT516" s="114"/>
      <c r="AU516" s="114"/>
      <c r="AV516" s="114"/>
      <c r="AW516" s="114"/>
      <c r="AX516" s="114"/>
      <c r="AY516" s="114"/>
      <c r="AZ516" s="114"/>
      <c r="BA516" s="114"/>
      <c r="BB516" s="114"/>
      <c r="BC516" s="114"/>
      <c r="BD516" s="114"/>
      <c r="BE516" s="114"/>
      <c r="BF516" s="114"/>
      <c r="BG516" s="114"/>
      <c r="BH516" s="114"/>
      <c r="BI516" s="114"/>
      <c r="BJ516" s="114"/>
      <c r="BK516" s="114"/>
      <c r="BL516" s="114"/>
      <c r="BM516" s="114"/>
      <c r="BN516" s="114"/>
      <c r="BO516" s="114"/>
      <c r="BP516" s="114"/>
      <c r="BQ516" s="114"/>
      <c r="BR516" s="114"/>
      <c r="BS516" s="114"/>
      <c r="BT516" s="114"/>
      <c r="BU516" s="114"/>
      <c r="BV516" s="114"/>
      <c r="BW516" s="114"/>
      <c r="BX516" s="114"/>
      <c r="BY516" s="114"/>
      <c r="BZ516" s="114"/>
      <c r="CA516" s="114"/>
      <c r="CB516" s="114"/>
      <c r="CC516" s="114"/>
      <c r="CD516" s="114"/>
      <c r="CE516" s="114"/>
      <c r="CF516" s="114"/>
      <c r="CG516" s="114"/>
      <c r="CH516" s="114"/>
      <c r="CI516" s="114"/>
      <c r="CJ516" s="114"/>
      <c r="CK516" s="114"/>
      <c r="CL516" s="114"/>
      <c r="CM516" s="114"/>
      <c r="CN516" s="114"/>
      <c r="CO516" s="114"/>
      <c r="CP516" s="114"/>
      <c r="CQ516" s="114"/>
      <c r="CR516" s="114"/>
      <c r="CS516" s="114"/>
      <c r="CT516" s="114"/>
      <c r="CU516" s="114"/>
      <c r="CV516" s="114"/>
      <c r="CW516" s="114"/>
      <c r="CX516" s="114"/>
      <c r="CY516" s="114"/>
      <c r="CZ516" s="114"/>
      <c r="DA516" s="114"/>
      <c r="DB516" s="114"/>
      <c r="DC516" s="114"/>
      <c r="DD516" s="114"/>
      <c r="DE516" s="114"/>
      <c r="DF516" s="114"/>
      <c r="DG516" s="114"/>
      <c r="DH516" s="114"/>
      <c r="DI516" s="114"/>
      <c r="DJ516" s="114"/>
      <c r="DK516" s="114"/>
      <c r="DL516" s="114"/>
      <c r="DM516" s="114"/>
      <c r="DN516" s="114"/>
      <c r="DO516" s="114"/>
      <c r="DP516" s="114"/>
      <c r="DQ516" s="114"/>
      <c r="DR516" s="114"/>
      <c r="DS516" s="114"/>
      <c r="DT516" s="114"/>
      <c r="DU516" s="114"/>
      <c r="DV516" s="114"/>
      <c r="DW516" s="114"/>
      <c r="DX516" s="114"/>
      <c r="DY516" s="114"/>
      <c r="DZ516" s="114"/>
      <c r="EA516" s="114"/>
      <c r="EB516" s="114"/>
      <c r="EC516" s="114"/>
      <c r="ED516" s="114"/>
      <c r="EE516" s="114"/>
      <c r="EF516" s="114"/>
      <c r="EG516" s="114"/>
      <c r="EH516" s="114"/>
      <c r="EI516" s="114"/>
      <c r="EJ516" s="114"/>
      <c r="EK516" s="114"/>
      <c r="EL516" s="114"/>
      <c r="EM516" s="114"/>
      <c r="EN516" s="114"/>
      <c r="EO516" s="114"/>
      <c r="EP516" s="114"/>
      <c r="EQ516" s="114"/>
      <c r="ER516" s="114"/>
      <c r="ES516" s="114"/>
      <c r="ET516" s="114"/>
      <c r="EU516" s="114"/>
      <c r="EV516" s="114"/>
      <c r="EW516" s="114"/>
      <c r="EX516" s="114"/>
      <c r="EY516" s="114"/>
      <c r="EZ516" s="114"/>
      <c r="FA516" s="114"/>
      <c r="FB516" s="114"/>
      <c r="FC516" s="114"/>
      <c r="FD516" s="114"/>
      <c r="FE516" s="114"/>
      <c r="FF516" s="114"/>
      <c r="FG516" s="114"/>
      <c r="FH516" s="114"/>
      <c r="FI516" s="114"/>
      <c r="FJ516" s="114"/>
      <c r="FK516" s="114"/>
      <c r="FL516" s="114"/>
      <c r="FM516" s="114"/>
      <c r="FN516" s="114"/>
      <c r="FO516" s="114"/>
      <c r="FP516" s="114"/>
      <c r="FQ516" s="114"/>
      <c r="FR516" s="114"/>
      <c r="FS516" s="114"/>
      <c r="FT516" s="114"/>
      <c r="FU516" s="114"/>
      <c r="FV516" s="114"/>
      <c r="FW516" s="114"/>
      <c r="FX516" s="114"/>
      <c r="FY516" s="114"/>
      <c r="FZ516" s="114"/>
      <c r="GA516" s="114"/>
      <c r="GB516" s="114"/>
      <c r="GC516" s="114"/>
      <c r="GD516" s="114"/>
      <c r="GE516" s="114"/>
      <c r="GF516" s="114"/>
      <c r="GG516" s="114"/>
      <c r="GH516" s="114"/>
      <c r="GI516" s="114"/>
      <c r="GJ516" s="114"/>
      <c r="GK516" s="114"/>
      <c r="GL516" s="114"/>
      <c r="GM516" s="114"/>
      <c r="GN516" s="114"/>
      <c r="GO516" s="114"/>
      <c r="GP516" s="114"/>
      <c r="GQ516" s="114"/>
      <c r="GR516" s="114"/>
      <c r="GS516" s="114"/>
      <c r="GT516" s="114"/>
      <c r="GU516" s="114"/>
      <c r="GV516" s="114"/>
      <c r="GW516" s="114"/>
      <c r="GX516" s="114"/>
      <c r="GY516" s="114"/>
      <c r="GZ516" s="114"/>
      <c r="HA516" s="114"/>
      <c r="HB516" s="114"/>
      <c r="HC516" s="114"/>
      <c r="HD516" s="114"/>
      <c r="HE516" s="114"/>
      <c r="HF516" s="114"/>
      <c r="HG516" s="114"/>
      <c r="HH516" s="114"/>
      <c r="HI516" s="114"/>
      <c r="HJ516" s="114"/>
      <c r="HK516" s="114"/>
      <c r="HL516" s="114"/>
      <c r="HM516" s="114"/>
      <c r="HN516" s="114"/>
      <c r="HO516" s="114"/>
      <c r="HP516" s="114"/>
      <c r="HQ516" s="114"/>
      <c r="HR516" s="114"/>
      <c r="HS516" s="114"/>
      <c r="HT516" s="114"/>
      <c r="HU516" s="114"/>
      <c r="HV516" s="114"/>
      <c r="HW516" s="114"/>
      <c r="HX516" s="114"/>
      <c r="HY516" s="114"/>
      <c r="HZ516" s="114"/>
      <c r="IA516" s="114"/>
      <c r="IB516" s="114"/>
      <c r="IC516" s="114"/>
      <c r="ID516" s="114"/>
      <c r="IE516" s="114"/>
      <c r="IF516" s="114"/>
      <c r="IG516" s="114"/>
    </row>
    <row r="517" spans="1:242">
      <c r="A517">
        <v>103</v>
      </c>
      <c r="B517" t="s">
        <v>1947</v>
      </c>
      <c r="D517" s="251" t="s">
        <v>98</v>
      </c>
      <c r="E517" s="27" t="s">
        <v>99</v>
      </c>
      <c r="F517" s="27"/>
      <c r="G517" t="s">
        <v>90</v>
      </c>
      <c r="I517" s="27" t="s">
        <v>121</v>
      </c>
      <c r="J517" s="28">
        <v>21758</v>
      </c>
      <c r="K517" s="27" t="s">
        <v>398</v>
      </c>
      <c r="L517" s="28"/>
      <c r="M517" s="28"/>
      <c r="N517" s="28"/>
      <c r="O517" s="28"/>
      <c r="P517" s="28"/>
      <c r="Q517" s="28"/>
      <c r="R517" s="28"/>
      <c r="S517" s="27"/>
      <c r="T517" s="27"/>
      <c r="U517" s="27"/>
      <c r="V517" s="29" t="s">
        <v>79</v>
      </c>
      <c r="W517"/>
      <c r="X517"/>
      <c r="Y517"/>
      <c r="Z517"/>
      <c r="AA517" s="21"/>
    </row>
    <row r="518" spans="1:242">
      <c r="A518">
        <v>503</v>
      </c>
      <c r="D518" s="28" t="s">
        <v>1361</v>
      </c>
      <c r="E518" s="28" t="s">
        <v>1362</v>
      </c>
      <c r="F518" s="28"/>
      <c r="G518" s="27" t="s">
        <v>101</v>
      </c>
      <c r="I518" s="27" t="s">
        <v>121</v>
      </c>
      <c r="J518" s="28">
        <v>21697</v>
      </c>
      <c r="K518" s="27" t="s">
        <v>227</v>
      </c>
      <c r="N518" s="13" t="s">
        <v>1884</v>
      </c>
      <c r="O518" s="13" t="s">
        <v>1763</v>
      </c>
      <c r="P518" s="13" t="s">
        <v>2250</v>
      </c>
      <c r="W518" t="s">
        <v>439</v>
      </c>
    </row>
    <row r="519" spans="1:242">
      <c r="A519">
        <v>504</v>
      </c>
      <c r="B519" t="s">
        <v>468</v>
      </c>
      <c r="C519" t="s">
        <v>2254</v>
      </c>
      <c r="D519" s="28" t="s">
        <v>1363</v>
      </c>
      <c r="E519" s="28" t="s">
        <v>1364</v>
      </c>
      <c r="F519" s="28" t="s">
        <v>2182</v>
      </c>
      <c r="G519" s="27" t="s">
        <v>101</v>
      </c>
      <c r="I519" s="27" t="s">
        <v>121</v>
      </c>
      <c r="J519" s="28">
        <v>21677</v>
      </c>
      <c r="K519" s="27" t="s">
        <v>228</v>
      </c>
      <c r="L519">
        <v>21401</v>
      </c>
      <c r="M519" t="s">
        <v>121</v>
      </c>
      <c r="N519" s="5"/>
      <c r="O519" s="5"/>
      <c r="Q519" s="5" t="s">
        <v>1768</v>
      </c>
      <c r="R519" s="5" t="s">
        <v>1769</v>
      </c>
      <c r="S519" s="5"/>
      <c r="T519" s="5" t="s">
        <v>2251</v>
      </c>
      <c r="U519" s="5"/>
      <c r="V519" s="29" t="s">
        <v>2252</v>
      </c>
      <c r="W519" s="5" t="s">
        <v>2253</v>
      </c>
      <c r="X519" s="5"/>
      <c r="Y519" s="5"/>
      <c r="Z519" s="5"/>
      <c r="AA519" s="51" t="s">
        <v>583</v>
      </c>
      <c r="AB519" s="66">
        <v>149.06</v>
      </c>
      <c r="AC519">
        <v>20</v>
      </c>
      <c r="AD519"/>
      <c r="AE519" s="7">
        <f>BA519</f>
        <v>59.065880000000007</v>
      </c>
      <c r="AF519" s="7"/>
      <c r="AG519" s="7">
        <f>EU519+EX519</f>
        <v>10.461842105263157</v>
      </c>
      <c r="AH519" s="7">
        <f>DM519</f>
        <v>6.6</v>
      </c>
      <c r="AI519" s="7">
        <f>DO519</f>
        <v>8.2500000000000004E-2</v>
      </c>
      <c r="AJ519" s="7">
        <f>GW519</f>
        <v>0.20723684210526316</v>
      </c>
      <c r="AK519" s="7">
        <f>GU519</f>
        <v>0.86784652631578973</v>
      </c>
      <c r="AL519" s="7">
        <f>GS519</f>
        <v>7.6370494315789488</v>
      </c>
      <c r="AM519" s="7">
        <f>HV519</f>
        <v>1.6296296296296295</v>
      </c>
      <c r="AN519" s="7">
        <f>IG519</f>
        <v>0.7142857142857143</v>
      </c>
      <c r="AO519" s="6">
        <v>0</v>
      </c>
      <c r="AP519" s="6"/>
      <c r="AQ519" s="7">
        <f>SUM(AE519:AP519)</f>
        <v>87.26627024917849</v>
      </c>
      <c r="AR519" s="7"/>
      <c r="AS519" s="7"/>
      <c r="AT519" s="6">
        <v>0</v>
      </c>
      <c r="AV519" s="7">
        <f>AQ519+AT519+AU519</f>
        <v>87.26627024917849</v>
      </c>
      <c r="AW519">
        <v>0.39800000000000002</v>
      </c>
      <c r="AX519">
        <v>0.38500000000000001</v>
      </c>
      <c r="AY519" s="8">
        <v>1</v>
      </c>
      <c r="AZ519">
        <f>(AW519-AX519)*AY519</f>
        <v>1.3000000000000012E-2</v>
      </c>
      <c r="BA519" s="4">
        <f>AW519*AB519-AZ519*AC519</f>
        <v>59.065880000000007</v>
      </c>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F519">
        <v>4</v>
      </c>
      <c r="CG519">
        <v>1.65</v>
      </c>
      <c r="CH519">
        <f>CF519*CG519</f>
        <v>6.6</v>
      </c>
      <c r="DM519">
        <f>CH519+CM519+CR519+DB519+DG519+DL519</f>
        <v>6.6</v>
      </c>
      <c r="DN519" s="9">
        <v>1.2500000000000001E-2</v>
      </c>
      <c r="DO519" s="4">
        <f>DM519*DN519</f>
        <v>8.2500000000000004E-2</v>
      </c>
      <c r="DP519" s="4">
        <f>DM519+DO519</f>
        <v>6.6824999999999992</v>
      </c>
      <c r="DQ519" s="4"/>
      <c r="DR519" s="4"/>
      <c r="DS519" s="4"/>
      <c r="DT519" s="4"/>
      <c r="DU519" s="4"/>
      <c r="DV519" s="4"/>
      <c r="DW519" s="4"/>
      <c r="DX519" s="4"/>
      <c r="DY519" s="4"/>
      <c r="DZ519" s="4"/>
      <c r="EA519" s="4"/>
      <c r="EB519" s="4"/>
      <c r="EC519" s="4"/>
      <c r="ED519" s="4"/>
      <c r="EE519" s="4"/>
      <c r="EF519">
        <v>450</v>
      </c>
      <c r="EG519">
        <v>4500</v>
      </c>
      <c r="EH519">
        <v>8</v>
      </c>
      <c r="EI519" s="8">
        <v>0.95</v>
      </c>
      <c r="EJ519">
        <v>1</v>
      </c>
      <c r="EK519">
        <v>63</v>
      </c>
      <c r="EL519" s="10">
        <f>3600/EK519*EH519*EJ519*EI519</f>
        <v>434.28571428571428</v>
      </c>
      <c r="EU519" s="4">
        <f>EG519/EL519</f>
        <v>10.361842105263158</v>
      </c>
      <c r="EV519" s="4"/>
      <c r="EW519" s="4"/>
      <c r="EX519">
        <v>0.1</v>
      </c>
      <c r="FA519" s="4">
        <f>EX519+EZ519</f>
        <v>0.1</v>
      </c>
      <c r="FB519" s="4"/>
      <c r="FC519" s="4"/>
      <c r="FD519" s="4"/>
      <c r="FE519" s="4"/>
      <c r="FF519" s="4"/>
      <c r="FG519" s="4"/>
      <c r="FH519" s="4"/>
      <c r="FI519" s="4"/>
      <c r="FJ519" s="4"/>
      <c r="FK519" s="4"/>
      <c r="FL519" s="4"/>
      <c r="FM519" s="4"/>
      <c r="FN519" s="4"/>
      <c r="FO519" s="4"/>
      <c r="FP519" s="4"/>
      <c r="FQ519" s="4"/>
      <c r="FR519" s="4"/>
      <c r="FS519" s="4"/>
      <c r="FT519" s="4"/>
      <c r="FU519" s="4"/>
      <c r="FV519" s="4"/>
      <c r="FW519" s="4"/>
      <c r="FX519" s="4"/>
      <c r="FY519" s="4"/>
      <c r="FZ519" s="4"/>
      <c r="GA519" s="4"/>
      <c r="GB519" s="4"/>
      <c r="GC519" s="4"/>
      <c r="GD519" s="4"/>
      <c r="GE519" s="4"/>
      <c r="GF519" s="4"/>
      <c r="GG519" s="4"/>
      <c r="GH519" s="4"/>
      <c r="GI519" s="4"/>
      <c r="GJ519" s="4"/>
      <c r="GK519" s="4"/>
      <c r="GL519" s="4"/>
      <c r="GM519" s="4"/>
      <c r="GN519" s="4"/>
      <c r="GO519" s="4"/>
      <c r="GP519" s="4"/>
      <c r="GQ519" s="4"/>
      <c r="GR519" s="8">
        <v>0.11</v>
      </c>
      <c r="GS519" s="4">
        <f>GR519*(BA519+EU519)</f>
        <v>7.6370494315789488</v>
      </c>
      <c r="GT519" s="9">
        <v>1.2500000000000001E-2</v>
      </c>
      <c r="GU519" s="4">
        <f>GT519*(BA519+EU519)</f>
        <v>0.86784652631578973</v>
      </c>
      <c r="GV519" s="8">
        <v>0.02</v>
      </c>
      <c r="GW519" s="4">
        <f>(GV519*EU519)</f>
        <v>0.20723684210526316</v>
      </c>
      <c r="GX519" s="4">
        <f>GS519+GU519+GW519</f>
        <v>8.7121328000000027</v>
      </c>
      <c r="GY519" t="s">
        <v>130</v>
      </c>
      <c r="GZ519" t="s">
        <v>130</v>
      </c>
      <c r="HA519">
        <v>1350</v>
      </c>
      <c r="HB519">
        <v>950</v>
      </c>
      <c r="HC519">
        <v>1800</v>
      </c>
      <c r="HD519">
        <v>70</v>
      </c>
      <c r="HE519">
        <v>1500</v>
      </c>
      <c r="HF519" s="4">
        <f>ROUNDUP(HE519/HD519,0)</f>
        <v>22</v>
      </c>
      <c r="HG519">
        <v>5</v>
      </c>
      <c r="HH519" s="4">
        <f>HF519*HG519</f>
        <v>110</v>
      </c>
      <c r="HI519">
        <v>20000</v>
      </c>
      <c r="HJ519" s="4">
        <f>HH519*HI519</f>
        <v>2200000</v>
      </c>
      <c r="HM519" s="4">
        <v>3</v>
      </c>
      <c r="HN519" s="10">
        <f>HM519*12*25*HE519</f>
        <v>1350000</v>
      </c>
      <c r="HO519" s="4">
        <f>IF(GY519="carton box",HI519/HD519,HJ519/HN519)</f>
        <v>1.6296296296296295</v>
      </c>
      <c r="HP519" s="4">
        <v>160</v>
      </c>
      <c r="HV519" s="4">
        <f>(HO519+HT519)</f>
        <v>1.6296296296296295</v>
      </c>
      <c r="HW519" s="4"/>
      <c r="HX519">
        <v>5016</v>
      </c>
      <c r="HY519" s="4">
        <v>1976</v>
      </c>
      <c r="HZ519" s="4">
        <v>2280</v>
      </c>
      <c r="IA519" s="4">
        <f>ROUNDDOWN(HX519/HA519,0)</f>
        <v>3</v>
      </c>
      <c r="IB519" s="4">
        <f>ROUNDDOWN(HY519/HB519,0)</f>
        <v>2</v>
      </c>
      <c r="IC519" s="4">
        <f>ROUNDDOWN(HZ519/HC519,0)</f>
        <v>1</v>
      </c>
      <c r="ID519" s="8">
        <v>1</v>
      </c>
      <c r="IE519" s="4">
        <f>ROUND(PRODUCT(IA519:ID519),0)+4</f>
        <v>10</v>
      </c>
      <c r="IF519" s="4">
        <v>500</v>
      </c>
      <c r="IG519" s="4">
        <f>IF519/(IE519*HD519)</f>
        <v>0.7142857142857143</v>
      </c>
      <c r="IH519" s="4"/>
    </row>
    <row r="520" spans="1:242">
      <c r="A520">
        <v>505</v>
      </c>
      <c r="B520" s="301" t="s">
        <v>1947</v>
      </c>
      <c r="D520" s="28" t="s">
        <v>1363</v>
      </c>
      <c r="E520" s="28" t="s">
        <v>1364</v>
      </c>
      <c r="F520" s="28"/>
      <c r="G520" s="27" t="s">
        <v>101</v>
      </c>
      <c r="I520" s="27" t="s">
        <v>121</v>
      </c>
      <c r="J520" s="28">
        <v>29010</v>
      </c>
      <c r="K520" s="27" t="s">
        <v>229</v>
      </c>
    </row>
    <row r="521" spans="1:242">
      <c r="A521">
        <v>506</v>
      </c>
      <c r="B521" t="s">
        <v>1947</v>
      </c>
      <c r="D521" s="28" t="s">
        <v>1363</v>
      </c>
      <c r="E521" s="28" t="s">
        <v>1364</v>
      </c>
      <c r="F521" s="28"/>
      <c r="G521" s="27" t="s">
        <v>101</v>
      </c>
      <c r="I521" s="27" t="s">
        <v>121</v>
      </c>
      <c r="J521" s="28">
        <v>20178</v>
      </c>
      <c r="K521" s="27" t="s">
        <v>1243</v>
      </c>
    </row>
    <row r="522" spans="1:242">
      <c r="A522">
        <v>507</v>
      </c>
      <c r="B522" t="s">
        <v>468</v>
      </c>
      <c r="C522" t="s">
        <v>2255</v>
      </c>
      <c r="D522" s="28" t="s">
        <v>1365</v>
      </c>
      <c r="E522" s="28" t="s">
        <v>1366</v>
      </c>
      <c r="F522" s="28" t="s">
        <v>2182</v>
      </c>
      <c r="G522" s="27" t="s">
        <v>101</v>
      </c>
      <c r="I522" s="27" t="s">
        <v>121</v>
      </c>
      <c r="J522" s="28">
        <v>21677</v>
      </c>
      <c r="K522" s="27" t="s">
        <v>228</v>
      </c>
      <c r="L522">
        <v>21401</v>
      </c>
      <c r="M522" t="s">
        <v>121</v>
      </c>
      <c r="N522" s="5"/>
      <c r="O522" s="5"/>
      <c r="Q522" s="5" t="s">
        <v>1768</v>
      </c>
      <c r="R522" s="5" t="s">
        <v>1769</v>
      </c>
      <c r="S522" s="5"/>
      <c r="T522" s="5" t="s">
        <v>2251</v>
      </c>
      <c r="U522" s="5"/>
      <c r="V522" s="29" t="s">
        <v>2252</v>
      </c>
      <c r="W522" s="5" t="s">
        <v>2256</v>
      </c>
      <c r="X522" s="5"/>
      <c r="Y522" s="5"/>
      <c r="Z522" s="5"/>
      <c r="AA522" s="51" t="s">
        <v>583</v>
      </c>
      <c r="AB522" s="66">
        <v>149.06</v>
      </c>
      <c r="AC522">
        <v>20</v>
      </c>
      <c r="AD522"/>
      <c r="AE522" s="7">
        <f>BA522</f>
        <v>106.72320000000001</v>
      </c>
      <c r="AF522" s="7"/>
      <c r="AG522" s="7">
        <f>EU522+EX522</f>
        <v>14.967105263157896</v>
      </c>
      <c r="AH522" s="7">
        <f>DM522</f>
        <v>0</v>
      </c>
      <c r="AI522" s="7">
        <f>DO522</f>
        <v>0</v>
      </c>
      <c r="AJ522" s="7">
        <f>GW522</f>
        <v>0.29934210526315791</v>
      </c>
      <c r="AK522" s="7">
        <f>GU522</f>
        <v>1.5211288157894738</v>
      </c>
      <c r="AL522" s="7">
        <f>GS522</f>
        <v>13.385933578947368</v>
      </c>
      <c r="AM522" s="7">
        <f>HV522</f>
        <v>2.1481481481481484</v>
      </c>
      <c r="AN522" s="7">
        <f>IG522</f>
        <v>0.96153846153846156</v>
      </c>
      <c r="AO522" s="6">
        <v>0</v>
      </c>
      <c r="AP522" s="6"/>
      <c r="AQ522" s="7">
        <f>SUM(AE522:AP522)</f>
        <v>140.00639637284451</v>
      </c>
      <c r="AR522" s="7"/>
      <c r="AS522" s="7"/>
      <c r="AT522" s="6">
        <v>0</v>
      </c>
      <c r="AV522" s="7">
        <f>AQ522+AT522+AU522</f>
        <v>140.00639637284451</v>
      </c>
      <c r="AW522">
        <v>0.72</v>
      </c>
      <c r="AX522">
        <v>0.69</v>
      </c>
      <c r="AY522" s="8">
        <v>1</v>
      </c>
      <c r="AZ522">
        <f>(AW522-AX522)*AY522</f>
        <v>3.0000000000000027E-2</v>
      </c>
      <c r="BA522" s="4">
        <f>AW522*AB522-AZ522*AC522</f>
        <v>106.72320000000001</v>
      </c>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DP522" s="4">
        <f>DM522+DO522</f>
        <v>0</v>
      </c>
      <c r="DQ522" s="4"/>
      <c r="DR522" s="4"/>
      <c r="DS522" s="4"/>
      <c r="DT522" s="4"/>
      <c r="DU522" s="4"/>
      <c r="DV522" s="4"/>
      <c r="DW522" s="4"/>
      <c r="DX522" s="4"/>
      <c r="DY522" s="4"/>
      <c r="DZ522" s="4"/>
      <c r="EA522" s="4"/>
      <c r="EB522" s="4"/>
      <c r="EC522" s="4"/>
      <c r="ED522" s="4"/>
      <c r="EE522" s="4"/>
      <c r="EF522">
        <v>650</v>
      </c>
      <c r="EG522">
        <v>6500</v>
      </c>
      <c r="EH522">
        <v>8</v>
      </c>
      <c r="EI522" s="8">
        <v>0.95</v>
      </c>
      <c r="EJ522">
        <v>1</v>
      </c>
      <c r="EK522">
        <v>63</v>
      </c>
      <c r="EL522" s="10">
        <f>3600/EK522*EH522*EJ522*EI522</f>
        <v>434.28571428571428</v>
      </c>
      <c r="EU522" s="4">
        <f>EG522/EL522</f>
        <v>14.967105263157896</v>
      </c>
      <c r="EV522" s="4"/>
      <c r="EW522" s="4"/>
      <c r="FA522" s="4">
        <f>EX522+EZ522</f>
        <v>0</v>
      </c>
      <c r="FB522" s="4"/>
      <c r="FC522" s="4"/>
      <c r="FD522" s="4"/>
      <c r="FE522" s="4"/>
      <c r="FF522" s="4"/>
      <c r="FG522" s="4"/>
      <c r="FH522" s="4"/>
      <c r="FI522" s="4"/>
      <c r="FJ522" s="4"/>
      <c r="FK522" s="4"/>
      <c r="FL522" s="4"/>
      <c r="FM522" s="4"/>
      <c r="FN522" s="4"/>
      <c r="FO522" s="4"/>
      <c r="FP522" s="4"/>
      <c r="FQ522" s="4"/>
      <c r="FR522" s="4"/>
      <c r="FS522" s="4"/>
      <c r="FT522" s="4"/>
      <c r="FU522" s="4"/>
      <c r="FV522" s="4"/>
      <c r="FW522" s="4"/>
      <c r="FX522" s="4"/>
      <c r="FY522" s="4"/>
      <c r="FZ522" s="4"/>
      <c r="GA522" s="4"/>
      <c r="GB522" s="4"/>
      <c r="GC522" s="4"/>
      <c r="GD522" s="4"/>
      <c r="GE522" s="4"/>
      <c r="GF522" s="4"/>
      <c r="GG522" s="4"/>
      <c r="GH522" s="4"/>
      <c r="GI522" s="4"/>
      <c r="GJ522" s="4"/>
      <c r="GK522" s="4"/>
      <c r="GL522" s="4"/>
      <c r="GM522" s="4"/>
      <c r="GN522" s="4"/>
      <c r="GO522" s="4"/>
      <c r="GP522" s="4"/>
      <c r="GQ522" s="4"/>
      <c r="GR522" s="8">
        <v>0.11</v>
      </c>
      <c r="GS522" s="4">
        <f>GR522*(BA522+EU522)</f>
        <v>13.385933578947368</v>
      </c>
      <c r="GT522" s="9">
        <v>1.2500000000000001E-2</v>
      </c>
      <c r="GU522" s="4">
        <f>GT522*(BA522+EU522)</f>
        <v>1.5211288157894738</v>
      </c>
      <c r="GV522" s="8">
        <v>0.02</v>
      </c>
      <c r="GW522" s="4">
        <f>(GV522*EU522)</f>
        <v>0.29934210526315791</v>
      </c>
      <c r="GX522" s="4">
        <f>GS522+GU522+GW522</f>
        <v>15.2064045</v>
      </c>
      <c r="GY522" t="s">
        <v>130</v>
      </c>
      <c r="GZ522" t="s">
        <v>130</v>
      </c>
      <c r="HA522">
        <v>1350</v>
      </c>
      <c r="HB522">
        <v>950</v>
      </c>
      <c r="HC522">
        <v>1800</v>
      </c>
      <c r="HD522">
        <v>52</v>
      </c>
      <c r="HE522">
        <v>1500</v>
      </c>
      <c r="HF522" s="4">
        <f>ROUNDUP(HE522/HD522,0)</f>
        <v>29</v>
      </c>
      <c r="HG522">
        <v>5</v>
      </c>
      <c r="HH522" s="4">
        <f>HF522*HG522</f>
        <v>145</v>
      </c>
      <c r="HI522">
        <v>20000</v>
      </c>
      <c r="HJ522" s="4">
        <f>HH522*HI522</f>
        <v>2900000</v>
      </c>
      <c r="HM522" s="4">
        <v>3</v>
      </c>
      <c r="HN522" s="10">
        <f>HM522*12*25*HE522</f>
        <v>1350000</v>
      </c>
      <c r="HO522" s="4">
        <f>IF(GY522="carton box",HI522/HD522,HJ522/HN522)</f>
        <v>2.1481481481481484</v>
      </c>
      <c r="HP522" s="4">
        <v>160</v>
      </c>
      <c r="HV522" s="4">
        <f>(HO522+HT522)</f>
        <v>2.1481481481481484</v>
      </c>
      <c r="HW522" s="4"/>
      <c r="HX522">
        <v>5016</v>
      </c>
      <c r="HY522" s="4">
        <v>1976</v>
      </c>
      <c r="HZ522" s="4">
        <v>2280</v>
      </c>
      <c r="IA522" s="4">
        <f>ROUNDDOWN(HX522/HA522,0)</f>
        <v>3</v>
      </c>
      <c r="IB522" s="4">
        <f>ROUNDDOWN(HY522/HB522,0)</f>
        <v>2</v>
      </c>
      <c r="IC522" s="4">
        <f>ROUNDDOWN(HZ522/HC522,0)</f>
        <v>1</v>
      </c>
      <c r="ID522" s="8">
        <v>1</v>
      </c>
      <c r="IE522" s="4">
        <f>ROUND(PRODUCT(IA522:ID522),0)+4</f>
        <v>10</v>
      </c>
      <c r="IF522" s="4">
        <v>500</v>
      </c>
      <c r="IG522" s="4">
        <f>IF522/(IE522*HD522)</f>
        <v>0.96153846153846156</v>
      </c>
      <c r="IH522" s="4"/>
    </row>
    <row r="523" spans="1:242">
      <c r="A523">
        <v>508</v>
      </c>
      <c r="B523" s="301" t="s">
        <v>1947</v>
      </c>
      <c r="D523" s="28" t="s">
        <v>1365</v>
      </c>
      <c r="E523" s="28" t="s">
        <v>1366</v>
      </c>
      <c r="F523" s="28"/>
      <c r="G523" s="27" t="s">
        <v>101</v>
      </c>
      <c r="I523" s="27" t="s">
        <v>121</v>
      </c>
      <c r="J523" s="28">
        <v>29010</v>
      </c>
      <c r="K523" s="27" t="s">
        <v>229</v>
      </c>
    </row>
    <row r="524" spans="1:242">
      <c r="A524">
        <v>509</v>
      </c>
      <c r="B524" t="s">
        <v>1947</v>
      </c>
      <c r="D524" s="28" t="s">
        <v>1365</v>
      </c>
      <c r="E524" s="28" t="s">
        <v>1366</v>
      </c>
      <c r="F524" s="28"/>
      <c r="G524" s="27" t="s">
        <v>101</v>
      </c>
      <c r="I524" s="27" t="s">
        <v>121</v>
      </c>
      <c r="J524" s="28">
        <v>20178</v>
      </c>
      <c r="K524" s="27" t="s">
        <v>1243</v>
      </c>
    </row>
    <row r="525" spans="1:242">
      <c r="A525">
        <v>510</v>
      </c>
      <c r="B525" t="s">
        <v>468</v>
      </c>
      <c r="C525" s="294" t="s">
        <v>2257</v>
      </c>
      <c r="D525" s="28" t="s">
        <v>1367</v>
      </c>
      <c r="E525" s="28" t="s">
        <v>1368</v>
      </c>
      <c r="F525" s="28" t="s">
        <v>2182</v>
      </c>
      <c r="G525" s="27" t="s">
        <v>101</v>
      </c>
      <c r="I525" s="27" t="s">
        <v>121</v>
      </c>
      <c r="J525" s="28">
        <v>21677</v>
      </c>
      <c r="K525" s="27" t="s">
        <v>228</v>
      </c>
      <c r="L525">
        <v>21401</v>
      </c>
      <c r="M525" t="s">
        <v>121</v>
      </c>
      <c r="N525" s="5"/>
      <c r="O525" s="5"/>
      <c r="Q525" s="5" t="s">
        <v>1768</v>
      </c>
      <c r="R525" s="5" t="s">
        <v>1769</v>
      </c>
      <c r="S525" s="5"/>
      <c r="T525" s="5" t="s">
        <v>2251</v>
      </c>
      <c r="U525" s="5"/>
      <c r="V525" s="29" t="s">
        <v>2252</v>
      </c>
      <c r="W525" s="5" t="s">
        <v>2256</v>
      </c>
      <c r="X525" s="5"/>
      <c r="Y525" s="5"/>
      <c r="Z525" s="5"/>
      <c r="AA525" s="51" t="s">
        <v>583</v>
      </c>
      <c r="AB525" s="66">
        <v>149.06</v>
      </c>
      <c r="AC525">
        <v>20</v>
      </c>
      <c r="AD525"/>
      <c r="AE525" s="7">
        <f>BA525</f>
        <v>85.351379999999992</v>
      </c>
      <c r="AF525" s="7"/>
      <c r="AG525" s="7">
        <f>EU525+EX525</f>
        <v>14.254385964912281</v>
      </c>
      <c r="AH525" s="7">
        <f>DM525</f>
        <v>0</v>
      </c>
      <c r="AI525" s="7">
        <f>DO525</f>
        <v>0</v>
      </c>
      <c r="AJ525" s="7">
        <f>GW525</f>
        <v>0.28508771929824561</v>
      </c>
      <c r="AK525" s="7">
        <f>GU525</f>
        <v>1.2450720745614037</v>
      </c>
      <c r="AL525" s="7">
        <f>GS525</f>
        <v>10.956634256140351</v>
      </c>
      <c r="AM525" s="7">
        <f>HV525</f>
        <v>2.1481481481481484</v>
      </c>
      <c r="AN525" s="7">
        <f>IG525</f>
        <v>0.96153846153846156</v>
      </c>
      <c r="AO525" s="6">
        <v>0</v>
      </c>
      <c r="AP525" s="6"/>
      <c r="AQ525" s="7">
        <f>SUM(AE525:AP525)</f>
        <v>115.2022466245989</v>
      </c>
      <c r="AR525" s="7"/>
      <c r="AS525" s="7"/>
      <c r="AT525" s="6">
        <v>0</v>
      </c>
      <c r="AV525" s="7">
        <f>AQ525+AT525+AU525</f>
        <v>115.2022466245989</v>
      </c>
      <c r="AW525">
        <v>0.57299999999999995</v>
      </c>
      <c r="AX525">
        <v>0.56999999999999995</v>
      </c>
      <c r="AY525" s="8">
        <v>1</v>
      </c>
      <c r="AZ525">
        <f>(AW525-AX525)*AY525</f>
        <v>3.0000000000000027E-3</v>
      </c>
      <c r="BA525" s="4">
        <f>AW525*AB525-AZ525*AC525</f>
        <v>85.351379999999992</v>
      </c>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DP525" s="4">
        <f>DM525+DO525</f>
        <v>0</v>
      </c>
      <c r="DQ525" s="4"/>
      <c r="DR525" s="4"/>
      <c r="DS525" s="4"/>
      <c r="DT525" s="4"/>
      <c r="DU525" s="4"/>
      <c r="DV525" s="4"/>
      <c r="DW525" s="4"/>
      <c r="DX525" s="4"/>
      <c r="DY525" s="4"/>
      <c r="DZ525" s="4"/>
      <c r="EA525" s="4"/>
      <c r="EB525" s="4"/>
      <c r="EC525" s="4"/>
      <c r="ED525" s="4"/>
      <c r="EE525" s="4"/>
      <c r="EF525">
        <v>650</v>
      </c>
      <c r="EG525">
        <v>6500</v>
      </c>
      <c r="EH525">
        <v>8</v>
      </c>
      <c r="EI525" s="8">
        <v>0.95</v>
      </c>
      <c r="EJ525">
        <v>1</v>
      </c>
      <c r="EK525">
        <v>60</v>
      </c>
      <c r="EL525" s="10">
        <f>3600/EK525*EH525*EJ525*EI525</f>
        <v>456</v>
      </c>
      <c r="EU525" s="4">
        <f>EG525/EL525</f>
        <v>14.254385964912281</v>
      </c>
      <c r="EV525" s="4"/>
      <c r="EW525" s="4"/>
      <c r="FA525" s="4">
        <f>EX525+EZ525</f>
        <v>0</v>
      </c>
      <c r="FB525" s="4"/>
      <c r="FC525" s="4"/>
      <c r="FD525" s="4"/>
      <c r="FE525" s="4"/>
      <c r="FF525" s="4"/>
      <c r="FG525" s="4"/>
      <c r="FH525" s="4"/>
      <c r="FI525" s="4"/>
      <c r="FJ525" s="4"/>
      <c r="FK525" s="4"/>
      <c r="FL525" s="4"/>
      <c r="FM525" s="4"/>
      <c r="FN525" s="4"/>
      <c r="FO525" s="4"/>
      <c r="FP525" s="4"/>
      <c r="FQ525" s="4"/>
      <c r="FR525" s="4"/>
      <c r="FS525" s="4"/>
      <c r="FT525" s="4"/>
      <c r="FU525" s="4"/>
      <c r="FV525" s="4"/>
      <c r="FW525" s="4"/>
      <c r="FX525" s="4"/>
      <c r="FY525" s="4"/>
      <c r="FZ525" s="4"/>
      <c r="GA525" s="4"/>
      <c r="GB525" s="4"/>
      <c r="GC525" s="4"/>
      <c r="GD525" s="4"/>
      <c r="GE525" s="4"/>
      <c r="GF525" s="4"/>
      <c r="GG525" s="4"/>
      <c r="GH525" s="4"/>
      <c r="GI525" s="4"/>
      <c r="GJ525" s="4"/>
      <c r="GK525" s="4"/>
      <c r="GL525" s="4"/>
      <c r="GM525" s="4"/>
      <c r="GN525" s="4"/>
      <c r="GO525" s="4"/>
      <c r="GP525" s="4"/>
      <c r="GQ525" s="4"/>
      <c r="GR525" s="8">
        <v>0.11</v>
      </c>
      <c r="GS525" s="4">
        <f>GR525*(BA525+EU525)</f>
        <v>10.956634256140351</v>
      </c>
      <c r="GT525" s="9">
        <v>1.2500000000000001E-2</v>
      </c>
      <c r="GU525" s="4">
        <f>GT525*(BA525+EU525)</f>
        <v>1.2450720745614037</v>
      </c>
      <c r="GV525" s="8">
        <v>0.02</v>
      </c>
      <c r="GW525" s="4">
        <f>(GV525*EU525)</f>
        <v>0.28508771929824561</v>
      </c>
      <c r="GX525" s="4">
        <f>GS525+GU525+GW525</f>
        <v>12.486794049999999</v>
      </c>
      <c r="GY525" t="s">
        <v>130</v>
      </c>
      <c r="GZ525" t="s">
        <v>130</v>
      </c>
      <c r="HA525">
        <v>1350</v>
      </c>
      <c r="HB525">
        <v>950</v>
      </c>
      <c r="HC525">
        <v>1800</v>
      </c>
      <c r="HD525">
        <v>52</v>
      </c>
      <c r="HE525">
        <v>1500</v>
      </c>
      <c r="HF525" s="4">
        <f>ROUNDUP(HE525/HD525,0)</f>
        <v>29</v>
      </c>
      <c r="HG525">
        <v>5</v>
      </c>
      <c r="HH525" s="4">
        <f>HF525*HG525</f>
        <v>145</v>
      </c>
      <c r="HI525">
        <v>20000</v>
      </c>
      <c r="HJ525" s="4">
        <f>HH525*HI525</f>
        <v>2900000</v>
      </c>
      <c r="HM525" s="4">
        <v>3</v>
      </c>
      <c r="HN525" s="10">
        <f>HM525*12*25*HE525</f>
        <v>1350000</v>
      </c>
      <c r="HO525" s="4">
        <f>IF(GY525="carton box",HI525/HD525,HJ525/HN525)</f>
        <v>2.1481481481481484</v>
      </c>
      <c r="HP525" s="4">
        <v>160</v>
      </c>
      <c r="HV525" s="4">
        <f>(HO525+HT525)</f>
        <v>2.1481481481481484</v>
      </c>
      <c r="HW525" s="4"/>
      <c r="HX525">
        <v>5016</v>
      </c>
      <c r="HY525" s="4">
        <v>1976</v>
      </c>
      <c r="HZ525" s="4">
        <v>2280</v>
      </c>
      <c r="IA525" s="4">
        <f>ROUNDDOWN(HX525/HA525,0)</f>
        <v>3</v>
      </c>
      <c r="IB525" s="4">
        <f>ROUNDDOWN(HY525/HB525,0)</f>
        <v>2</v>
      </c>
      <c r="IC525" s="4">
        <f>ROUNDDOWN(HZ525/HC525,0)</f>
        <v>1</v>
      </c>
      <c r="ID525" s="8">
        <v>1</v>
      </c>
      <c r="IE525" s="4">
        <f>ROUND(PRODUCT(IA525:ID525),0)+4</f>
        <v>10</v>
      </c>
      <c r="IF525" s="4">
        <v>500</v>
      </c>
      <c r="IG525" s="4">
        <f>IF525/(IE525*HD525)</f>
        <v>0.96153846153846156</v>
      </c>
      <c r="IH525" s="4"/>
    </row>
    <row r="526" spans="1:242">
      <c r="A526">
        <v>511</v>
      </c>
      <c r="B526" s="301" t="s">
        <v>1947</v>
      </c>
      <c r="D526" s="28" t="s">
        <v>1367</v>
      </c>
      <c r="E526" s="28" t="s">
        <v>1368</v>
      </c>
      <c r="F526" s="28"/>
      <c r="G526" s="27" t="s">
        <v>101</v>
      </c>
      <c r="I526" s="27" t="s">
        <v>121</v>
      </c>
      <c r="J526" s="28">
        <v>29010</v>
      </c>
      <c r="K526" s="27" t="s">
        <v>229</v>
      </c>
    </row>
    <row r="527" spans="1:242">
      <c r="A527">
        <v>512</v>
      </c>
      <c r="B527" t="s">
        <v>1947</v>
      </c>
      <c r="D527" s="28" t="s">
        <v>1367</v>
      </c>
      <c r="E527" s="28" t="s">
        <v>1368</v>
      </c>
      <c r="F527" s="28"/>
      <c r="G527" s="27" t="s">
        <v>101</v>
      </c>
      <c r="I527" s="27" t="s">
        <v>121</v>
      </c>
      <c r="J527" s="28">
        <v>20178</v>
      </c>
      <c r="K527" s="27" t="s">
        <v>1243</v>
      </c>
    </row>
    <row r="528" spans="1:242">
      <c r="A528">
        <v>513</v>
      </c>
      <c r="B528" t="s">
        <v>468</v>
      </c>
      <c r="C528" t="s">
        <v>2258</v>
      </c>
      <c r="D528" s="28" t="s">
        <v>1369</v>
      </c>
      <c r="E528" s="28" t="s">
        <v>1370</v>
      </c>
      <c r="F528" s="28" t="s">
        <v>2182</v>
      </c>
      <c r="G528" s="27" t="s">
        <v>101</v>
      </c>
      <c r="I528" s="27" t="s">
        <v>121</v>
      </c>
      <c r="J528" s="28">
        <v>21677</v>
      </c>
      <c r="K528" s="27" t="s">
        <v>228</v>
      </c>
      <c r="L528">
        <v>21401</v>
      </c>
      <c r="M528" t="s">
        <v>121</v>
      </c>
      <c r="N528" s="5"/>
      <c r="O528" s="5"/>
      <c r="Q528" s="5" t="s">
        <v>1768</v>
      </c>
      <c r="R528" s="5" t="s">
        <v>1769</v>
      </c>
      <c r="S528" s="5"/>
      <c r="T528" s="5" t="s">
        <v>2251</v>
      </c>
      <c r="U528" s="5"/>
      <c r="V528" s="29" t="s">
        <v>2252</v>
      </c>
      <c r="W528" s="5" t="s">
        <v>2256</v>
      </c>
      <c r="X528" s="5"/>
      <c r="Y528" s="5"/>
      <c r="Z528" s="5"/>
      <c r="AA528" s="51" t="s">
        <v>1168</v>
      </c>
      <c r="AB528" s="66">
        <v>108</v>
      </c>
      <c r="AC528">
        <v>20</v>
      </c>
      <c r="AD528"/>
      <c r="AE528" s="7">
        <f>BA528</f>
        <v>60.192000000000007</v>
      </c>
      <c r="AF528" s="7"/>
      <c r="AG528" s="7">
        <f>EU528+EX528</f>
        <v>15.442251461988304</v>
      </c>
      <c r="AH528" s="7">
        <f>DM528</f>
        <v>1.5</v>
      </c>
      <c r="AI528" s="7">
        <f>DO528</f>
        <v>1.8750000000000003E-2</v>
      </c>
      <c r="AJ528" s="7">
        <f>GW528</f>
        <v>0.30884502923976609</v>
      </c>
      <c r="AK528" s="7">
        <f>GU528</f>
        <v>0.94542814327485392</v>
      </c>
      <c r="AL528" s="7">
        <f>GS528</f>
        <v>8.3197676608187141</v>
      </c>
      <c r="AM528" s="7">
        <f>HV528</f>
        <v>1.037037037037037</v>
      </c>
      <c r="AN528" s="7">
        <f>IG528</f>
        <v>0.46296296296296297</v>
      </c>
      <c r="AO528" s="6">
        <v>0</v>
      </c>
      <c r="AP528" s="6"/>
      <c r="AQ528" s="7">
        <f>SUM(AE528:AP528)</f>
        <v>88.227042295321638</v>
      </c>
      <c r="AR528" s="7"/>
      <c r="AS528" s="7"/>
      <c r="AT528" s="6">
        <v>0</v>
      </c>
      <c r="AV528" s="7">
        <f>AQ528+AT528+AU528</f>
        <v>88.227042295321638</v>
      </c>
      <c r="AW528">
        <v>0.55900000000000005</v>
      </c>
      <c r="AX528">
        <v>0.55000000000000004</v>
      </c>
      <c r="AY528" s="8">
        <v>1</v>
      </c>
      <c r="AZ528">
        <f>(AW528-AX528)*AY528</f>
        <v>9.000000000000008E-3</v>
      </c>
      <c r="BA528" s="4">
        <f>AW528*AB528-AZ528*AC528</f>
        <v>60.192000000000007</v>
      </c>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F528">
        <v>1</v>
      </c>
      <c r="CG528">
        <v>1.5</v>
      </c>
      <c r="CH528">
        <f>CF528*CG528</f>
        <v>1.5</v>
      </c>
      <c r="DM528">
        <f>CH528+CM528+CR528+DB528+DG528+DL528</f>
        <v>1.5</v>
      </c>
      <c r="DN528" s="9">
        <v>1.2500000000000001E-2</v>
      </c>
      <c r="DO528" s="4">
        <f>DM528*DN528</f>
        <v>1.8750000000000003E-2</v>
      </c>
      <c r="DP528" s="4">
        <f>DM528+DO528</f>
        <v>1.51875</v>
      </c>
      <c r="DQ528" s="4"/>
      <c r="DR528" s="4"/>
      <c r="DS528" s="4"/>
      <c r="DT528" s="4"/>
      <c r="DU528" s="4"/>
      <c r="DV528" s="4"/>
      <c r="DW528" s="4"/>
      <c r="DX528" s="4"/>
      <c r="DY528" s="4"/>
      <c r="DZ528" s="4"/>
      <c r="EA528" s="4"/>
      <c r="EB528" s="4"/>
      <c r="EC528" s="4"/>
      <c r="ED528" s="4"/>
      <c r="EE528" s="4"/>
      <c r="EF528">
        <v>650</v>
      </c>
      <c r="EG528">
        <v>6500</v>
      </c>
      <c r="EH528">
        <v>8</v>
      </c>
      <c r="EI528" s="8">
        <v>0.95</v>
      </c>
      <c r="EJ528">
        <v>1</v>
      </c>
      <c r="EK528">
        <v>65</v>
      </c>
      <c r="EL528" s="10">
        <f>3600/EK528*EH528*EJ528*EI528</f>
        <v>420.92307692307691</v>
      </c>
      <c r="EU528" s="4">
        <f>EG528/EL528</f>
        <v>15.442251461988304</v>
      </c>
      <c r="EV528" s="4"/>
      <c r="EW528" s="4"/>
      <c r="FA528" s="4">
        <f>EX528+EZ528</f>
        <v>0</v>
      </c>
      <c r="FB528" s="4"/>
      <c r="FC528" s="4"/>
      <c r="FD528" s="4"/>
      <c r="FE528" s="4"/>
      <c r="FF528" s="4"/>
      <c r="FG528" s="4"/>
      <c r="FH528" s="4"/>
      <c r="FI528" s="4"/>
      <c r="FJ528" s="4"/>
      <c r="FK528" s="4"/>
      <c r="FL528" s="4"/>
      <c r="FM528" s="4"/>
      <c r="FN528" s="4"/>
      <c r="FO528" s="4"/>
      <c r="FP528" s="4"/>
      <c r="FQ528" s="4"/>
      <c r="FR528" s="4"/>
      <c r="FS528" s="4"/>
      <c r="FT528" s="4"/>
      <c r="FU528" s="4"/>
      <c r="FV528" s="4"/>
      <c r="FW528" s="4"/>
      <c r="FX528" s="4"/>
      <c r="FY528" s="4"/>
      <c r="FZ528" s="4"/>
      <c r="GA528" s="4"/>
      <c r="GB528" s="4"/>
      <c r="GC528" s="4"/>
      <c r="GD528" s="4"/>
      <c r="GE528" s="4"/>
      <c r="GF528" s="4"/>
      <c r="GG528" s="4"/>
      <c r="GH528" s="4"/>
      <c r="GI528" s="4"/>
      <c r="GJ528" s="4"/>
      <c r="GK528" s="4"/>
      <c r="GL528" s="4"/>
      <c r="GM528" s="4"/>
      <c r="GN528" s="4"/>
      <c r="GO528" s="4"/>
      <c r="GP528" s="4"/>
      <c r="GQ528" s="4"/>
      <c r="GR528" s="8">
        <v>0.11</v>
      </c>
      <c r="GS528" s="4">
        <f>GR528*(BA528+EU528)</f>
        <v>8.3197676608187141</v>
      </c>
      <c r="GT528" s="9">
        <v>1.2500000000000001E-2</v>
      </c>
      <c r="GU528" s="4">
        <f>GT528*(BA528+EU528)</f>
        <v>0.94542814327485392</v>
      </c>
      <c r="GV528" s="8">
        <v>0.02</v>
      </c>
      <c r="GW528" s="4">
        <f>(GV528*EU528)</f>
        <v>0.30884502923976609</v>
      </c>
      <c r="GX528" s="4">
        <f>GS528+GU528+GW528</f>
        <v>9.5740408333333349</v>
      </c>
      <c r="GY528" t="s">
        <v>130</v>
      </c>
      <c r="GZ528" t="s">
        <v>130</v>
      </c>
      <c r="HA528">
        <v>805</v>
      </c>
      <c r="HB528">
        <v>675</v>
      </c>
      <c r="HC528">
        <v>405</v>
      </c>
      <c r="HD528">
        <v>108</v>
      </c>
      <c r="HE528">
        <v>1500</v>
      </c>
      <c r="HF528" s="4">
        <f>ROUNDUP(HE528/HD528,0)</f>
        <v>14</v>
      </c>
      <c r="HG528">
        <v>5</v>
      </c>
      <c r="HH528" s="4">
        <f>HF528*HG528</f>
        <v>70</v>
      </c>
      <c r="HI528">
        <v>20000</v>
      </c>
      <c r="HJ528" s="4">
        <f>HH528*HI528</f>
        <v>1400000</v>
      </c>
      <c r="HM528" s="4">
        <v>3</v>
      </c>
      <c r="HN528" s="10">
        <f>HM528*12*25*HE528</f>
        <v>1350000</v>
      </c>
      <c r="HO528" s="4">
        <f>IF(GY528="carton box",HI528/HD528,HJ528/HN528)</f>
        <v>1.037037037037037</v>
      </c>
      <c r="HP528" s="4">
        <v>160</v>
      </c>
      <c r="HV528" s="4">
        <f>(HO528+HT528)</f>
        <v>1.037037037037037</v>
      </c>
      <c r="HW528" s="4"/>
      <c r="HX528">
        <v>5016</v>
      </c>
      <c r="HY528" s="4">
        <v>1976</v>
      </c>
      <c r="HZ528" s="4">
        <v>2280</v>
      </c>
      <c r="IA528" s="4">
        <f t="shared" ref="IA528:IC529" si="566">ROUNDDOWN(HX528/HA528,0)</f>
        <v>6</v>
      </c>
      <c r="IB528" s="4">
        <f t="shared" si="566"/>
        <v>2</v>
      </c>
      <c r="IC528" s="4">
        <f t="shared" si="566"/>
        <v>5</v>
      </c>
      <c r="ID528" s="8">
        <v>1</v>
      </c>
      <c r="IE528" s="4">
        <f>ROUND(PRODUCT(IA528:ID528),0)-50</f>
        <v>10</v>
      </c>
      <c r="IF528" s="4">
        <v>500</v>
      </c>
      <c r="IG528" s="4">
        <f>IF528/(IE528*HD528)</f>
        <v>0.46296296296296297</v>
      </c>
      <c r="IH528" s="4"/>
    </row>
    <row r="529" spans="1:302">
      <c r="A529">
        <v>514</v>
      </c>
      <c r="B529" t="s">
        <v>468</v>
      </c>
      <c r="C529" t="s">
        <v>2259</v>
      </c>
      <c r="D529" s="28" t="s">
        <v>1371</v>
      </c>
      <c r="E529" s="28" t="s">
        <v>1372</v>
      </c>
      <c r="F529" s="28" t="s">
        <v>2182</v>
      </c>
      <c r="G529" s="27" t="s">
        <v>101</v>
      </c>
      <c r="I529" s="27" t="s">
        <v>121</v>
      </c>
      <c r="J529" s="28">
        <v>21677</v>
      </c>
      <c r="K529" s="27" t="s">
        <v>228</v>
      </c>
      <c r="L529">
        <v>21401</v>
      </c>
      <c r="M529" t="s">
        <v>121</v>
      </c>
      <c r="N529" s="5"/>
      <c r="O529" s="5"/>
      <c r="Q529" s="5" t="s">
        <v>1768</v>
      </c>
      <c r="R529" s="5" t="s">
        <v>1769</v>
      </c>
      <c r="S529" s="5"/>
      <c r="T529" s="5" t="s">
        <v>2251</v>
      </c>
      <c r="U529" s="5"/>
      <c r="V529" s="29" t="s">
        <v>2252</v>
      </c>
      <c r="W529" s="5" t="s">
        <v>2256</v>
      </c>
      <c r="X529" s="5"/>
      <c r="Y529" s="5"/>
      <c r="Z529" s="5"/>
      <c r="AA529" s="51" t="s">
        <v>583</v>
      </c>
      <c r="AB529" s="66">
        <v>149.06</v>
      </c>
      <c r="AC529">
        <v>20</v>
      </c>
      <c r="AD529"/>
      <c r="AE529" s="7">
        <f>BA529</f>
        <v>33.865680000000005</v>
      </c>
      <c r="AF529" s="7"/>
      <c r="AG529" s="7">
        <f>EU529+EX529</f>
        <v>5.1809210526315788</v>
      </c>
      <c r="AH529" s="7">
        <f>DM529</f>
        <v>0</v>
      </c>
      <c r="AI529" s="7">
        <f>DO529</f>
        <v>0</v>
      </c>
      <c r="AJ529" s="7">
        <f>GW529</f>
        <v>0.10361842105263158</v>
      </c>
      <c r="AK529" s="7">
        <f>GU529</f>
        <v>0.48808251315789486</v>
      </c>
      <c r="AL529" s="7">
        <f>GS529</f>
        <v>4.2951261157894747</v>
      </c>
      <c r="AM529" s="7">
        <f>HV529</f>
        <v>0.66666666666666663</v>
      </c>
      <c r="AN529" s="7">
        <f>IG529</f>
        <v>0.27777777777777779</v>
      </c>
      <c r="AO529" s="6">
        <v>0</v>
      </c>
      <c r="AP529" s="6"/>
      <c r="AQ529" s="7">
        <f>SUM(AE529:AP529)</f>
        <v>44.877872547076024</v>
      </c>
      <c r="AR529" s="7"/>
      <c r="AS529" s="7"/>
      <c r="AT529" s="6">
        <v>0</v>
      </c>
      <c r="AV529" s="7">
        <f>AQ529+AT529+AU529</f>
        <v>44.877872547076024</v>
      </c>
      <c r="AW529">
        <v>0.22800000000000001</v>
      </c>
      <c r="AX529">
        <v>0.222</v>
      </c>
      <c r="AY529" s="8">
        <v>1</v>
      </c>
      <c r="AZ529">
        <f>(AW529-AX529)*AY529</f>
        <v>6.0000000000000053E-3</v>
      </c>
      <c r="BA529" s="4">
        <f>AW529*AB529-AZ529*AC529</f>
        <v>33.865680000000005</v>
      </c>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EF529">
        <v>450</v>
      </c>
      <c r="EG529">
        <v>4500</v>
      </c>
      <c r="EH529">
        <v>8</v>
      </c>
      <c r="EI529" s="8">
        <v>0.95</v>
      </c>
      <c r="EJ529">
        <v>2</v>
      </c>
      <c r="EK529">
        <v>63</v>
      </c>
      <c r="EL529" s="10">
        <f>3600/EK529*EH529*EJ529*EI529</f>
        <v>868.57142857142856</v>
      </c>
      <c r="EU529" s="4">
        <f>EG529/EL529</f>
        <v>5.1809210526315788</v>
      </c>
      <c r="EV529" s="4"/>
      <c r="EW529" s="4"/>
      <c r="FA529" s="4">
        <f>EX529+EZ529</f>
        <v>0</v>
      </c>
      <c r="FB529" s="4"/>
      <c r="FC529" s="4"/>
      <c r="FD529" s="4"/>
      <c r="FE529" s="4"/>
      <c r="FF529" s="4"/>
      <c r="FG529" s="4"/>
      <c r="FH529" s="4"/>
      <c r="FI529" s="4"/>
      <c r="FJ529" s="4"/>
      <c r="FK529" s="4"/>
      <c r="FL529" s="4"/>
      <c r="FM529" s="4"/>
      <c r="FN529" s="4"/>
      <c r="FO529" s="4"/>
      <c r="FP529" s="4"/>
      <c r="FQ529" s="4"/>
      <c r="FR529" s="4"/>
      <c r="FS529" s="4"/>
      <c r="FT529" s="4"/>
      <c r="FU529" s="4"/>
      <c r="FV529" s="4"/>
      <c r="FW529" s="4"/>
      <c r="FX529" s="4"/>
      <c r="FY529" s="4"/>
      <c r="FZ529" s="4"/>
      <c r="GA529" s="4"/>
      <c r="GB529" s="4"/>
      <c r="GC529" s="4"/>
      <c r="GD529" s="4"/>
      <c r="GE529" s="4"/>
      <c r="GF529" s="4"/>
      <c r="GG529" s="4"/>
      <c r="GH529" s="4"/>
      <c r="GI529" s="4"/>
      <c r="GJ529" s="4"/>
      <c r="GK529" s="4"/>
      <c r="GL529" s="4"/>
      <c r="GM529" s="4"/>
      <c r="GN529" s="4"/>
      <c r="GO529" s="4"/>
      <c r="GP529" s="4"/>
      <c r="GQ529" s="4"/>
      <c r="GR529" s="8">
        <v>0.11</v>
      </c>
      <c r="GS529" s="4">
        <f>GR529*(BA529+EU529)</f>
        <v>4.2951261157894747</v>
      </c>
      <c r="GT529" s="9">
        <v>1.2500000000000001E-2</v>
      </c>
      <c r="GU529" s="4">
        <f>GT529*(BA529+EU529)</f>
        <v>0.48808251315789486</v>
      </c>
      <c r="GV529" s="8">
        <v>0.02</v>
      </c>
      <c r="GW529" s="4">
        <f>(GV529*EU529)</f>
        <v>0.10361842105263158</v>
      </c>
      <c r="GX529" s="4">
        <f>GS529+GU529+GW529</f>
        <v>4.8868270500000017</v>
      </c>
      <c r="GY529" t="s">
        <v>130</v>
      </c>
      <c r="GZ529" t="s">
        <v>130</v>
      </c>
      <c r="HA529">
        <v>1350</v>
      </c>
      <c r="HB529">
        <v>950</v>
      </c>
      <c r="HC529">
        <v>1800</v>
      </c>
      <c r="HD529">
        <v>180</v>
      </c>
      <c r="HE529">
        <v>1500</v>
      </c>
      <c r="HF529" s="4">
        <f>ROUNDUP(HE529/HD529,0)</f>
        <v>9</v>
      </c>
      <c r="HG529">
        <v>5</v>
      </c>
      <c r="HH529" s="4">
        <f>HF529*HG529</f>
        <v>45</v>
      </c>
      <c r="HI529">
        <v>20000</v>
      </c>
      <c r="HJ529" s="4">
        <f>HH529*HI529</f>
        <v>900000</v>
      </c>
      <c r="HM529" s="4">
        <v>3</v>
      </c>
      <c r="HN529" s="10">
        <f>HM529*12*25*HE529</f>
        <v>1350000</v>
      </c>
      <c r="HO529" s="4">
        <f>IF(GY529="carton box",HI529/HD529,HJ529/HN529)</f>
        <v>0.66666666666666663</v>
      </c>
      <c r="HP529" s="4">
        <v>160</v>
      </c>
      <c r="HV529" s="4">
        <f>(HO529+HT529)</f>
        <v>0.66666666666666663</v>
      </c>
      <c r="HW529" s="4"/>
      <c r="HX529">
        <v>5016</v>
      </c>
      <c r="HY529" s="4">
        <v>1976</v>
      </c>
      <c r="HZ529" s="4">
        <v>2280</v>
      </c>
      <c r="IA529" s="4">
        <f t="shared" si="566"/>
        <v>3</v>
      </c>
      <c r="IB529" s="4">
        <f t="shared" si="566"/>
        <v>2</v>
      </c>
      <c r="IC529" s="4">
        <f t="shared" si="566"/>
        <v>1</v>
      </c>
      <c r="ID529" s="8">
        <v>1</v>
      </c>
      <c r="IE529" s="4">
        <f>ROUND(PRODUCT(IA529:ID529),0)+4</f>
        <v>10</v>
      </c>
      <c r="IF529" s="4">
        <v>500</v>
      </c>
      <c r="IG529" s="4">
        <f>IF529/(IE529*HD529)</f>
        <v>0.27777777777777779</v>
      </c>
      <c r="IH529" s="4"/>
    </row>
    <row r="530" spans="1:302">
      <c r="A530">
        <v>515</v>
      </c>
      <c r="B530" s="301" t="s">
        <v>1947</v>
      </c>
      <c r="D530" s="28" t="s">
        <v>1371</v>
      </c>
      <c r="E530" s="28" t="s">
        <v>1372</v>
      </c>
      <c r="F530" s="28"/>
      <c r="G530" s="27" t="s">
        <v>101</v>
      </c>
      <c r="I530" s="27" t="s">
        <v>121</v>
      </c>
      <c r="J530" s="28">
        <v>29010</v>
      </c>
      <c r="K530" s="27" t="s">
        <v>229</v>
      </c>
    </row>
    <row r="531" spans="1:302">
      <c r="A531">
        <v>516</v>
      </c>
      <c r="B531" t="s">
        <v>1947</v>
      </c>
      <c r="D531" s="28" t="s">
        <v>1371</v>
      </c>
      <c r="E531" s="28" t="s">
        <v>1372</v>
      </c>
      <c r="F531" s="28"/>
      <c r="G531" s="27" t="s">
        <v>101</v>
      </c>
      <c r="I531" s="27" t="s">
        <v>121</v>
      </c>
      <c r="J531" s="28">
        <v>20178</v>
      </c>
      <c r="K531" s="27" t="s">
        <v>1243</v>
      </c>
    </row>
    <row r="532" spans="1:302">
      <c r="A532">
        <v>517</v>
      </c>
      <c r="B532" t="s">
        <v>468</v>
      </c>
      <c r="C532" t="s">
        <v>2260</v>
      </c>
      <c r="D532" s="28" t="s">
        <v>1373</v>
      </c>
      <c r="E532" s="28" t="s">
        <v>1374</v>
      </c>
      <c r="F532" s="28" t="s">
        <v>2182</v>
      </c>
      <c r="G532" s="27" t="s">
        <v>101</v>
      </c>
      <c r="I532" s="27" t="s">
        <v>121</v>
      </c>
      <c r="J532" s="28">
        <v>21677</v>
      </c>
      <c r="K532" s="27" t="s">
        <v>228</v>
      </c>
      <c r="L532">
        <v>21401</v>
      </c>
      <c r="M532" t="s">
        <v>121</v>
      </c>
      <c r="N532" s="5"/>
      <c r="O532" s="5"/>
      <c r="Q532" s="5" t="s">
        <v>1768</v>
      </c>
      <c r="R532" s="5" t="s">
        <v>1769</v>
      </c>
      <c r="S532" s="5"/>
      <c r="T532" s="5" t="s">
        <v>2251</v>
      </c>
      <c r="U532" s="5"/>
      <c r="V532" s="29" t="s">
        <v>2252</v>
      </c>
      <c r="W532" s="5" t="s">
        <v>2256</v>
      </c>
      <c r="X532" s="5"/>
      <c r="Y532" s="5"/>
      <c r="Z532" s="5"/>
      <c r="AA532" s="51" t="s">
        <v>583</v>
      </c>
      <c r="AB532" s="66">
        <v>149.06</v>
      </c>
      <c r="AC532">
        <v>20</v>
      </c>
      <c r="AD532"/>
      <c r="AE532" s="7">
        <f>BA532</f>
        <v>33.865680000000005</v>
      </c>
      <c r="AF532" s="7"/>
      <c r="AG532" s="7">
        <f>EU532+EX532</f>
        <v>5.1809210526315788</v>
      </c>
      <c r="AH532" s="7">
        <f>DM532</f>
        <v>0</v>
      </c>
      <c r="AI532" s="7">
        <f>DO532</f>
        <v>0</v>
      </c>
      <c r="AJ532" s="7">
        <f>GW532</f>
        <v>0.10361842105263158</v>
      </c>
      <c r="AK532" s="7">
        <f>GU532</f>
        <v>0.48808251315789486</v>
      </c>
      <c r="AL532" s="7">
        <f>GS532</f>
        <v>4.2951261157894747</v>
      </c>
      <c r="AM532" s="7">
        <f>HV532</f>
        <v>0.66666666666666663</v>
      </c>
      <c r="AN532" s="7">
        <f>IG532</f>
        <v>0.27777777777777779</v>
      </c>
      <c r="AO532" s="6">
        <v>0</v>
      </c>
      <c r="AP532" s="6"/>
      <c r="AQ532" s="7">
        <f>SUM(AE532:AP532)</f>
        <v>44.877872547076024</v>
      </c>
      <c r="AR532" s="7"/>
      <c r="AS532" s="7"/>
      <c r="AT532" s="6">
        <v>0</v>
      </c>
      <c r="AV532" s="7">
        <f>AQ532+AT532+AU532</f>
        <v>44.877872547076024</v>
      </c>
      <c r="AW532">
        <v>0.22800000000000001</v>
      </c>
      <c r="AX532">
        <v>0.222</v>
      </c>
      <c r="AY532" s="8">
        <v>1</v>
      </c>
      <c r="AZ532">
        <f>(AW532-AX532)*AY532</f>
        <v>6.0000000000000053E-3</v>
      </c>
      <c r="BA532" s="4">
        <f>AW532*AB532-AZ532*AC532</f>
        <v>33.865680000000005</v>
      </c>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EF532">
        <v>450</v>
      </c>
      <c r="EG532">
        <v>4500</v>
      </c>
      <c r="EH532">
        <v>8</v>
      </c>
      <c r="EI532" s="8">
        <v>0.95</v>
      </c>
      <c r="EJ532">
        <v>2</v>
      </c>
      <c r="EK532">
        <v>63</v>
      </c>
      <c r="EL532" s="10">
        <f>3600/EK532*EH532*EJ532*EI532</f>
        <v>868.57142857142856</v>
      </c>
      <c r="EU532" s="4">
        <f>EG532/EL532</f>
        <v>5.1809210526315788</v>
      </c>
      <c r="EV532" s="4"/>
      <c r="EW532" s="4"/>
      <c r="FA532" s="4">
        <f>EX532+EZ532</f>
        <v>0</v>
      </c>
      <c r="FB532" s="4"/>
      <c r="FC532" s="4"/>
      <c r="FD532" s="4"/>
      <c r="FE532" s="4"/>
      <c r="FF532" s="4"/>
      <c r="FG532" s="4"/>
      <c r="FH532" s="4"/>
      <c r="FI532" s="4"/>
      <c r="FJ532" s="4"/>
      <c r="FK532" s="4"/>
      <c r="FL532" s="4"/>
      <c r="FM532" s="4"/>
      <c r="FN532" s="4"/>
      <c r="FO532" s="4"/>
      <c r="FP532" s="4"/>
      <c r="FQ532" s="4"/>
      <c r="FR532" s="4"/>
      <c r="FS532" s="4"/>
      <c r="FT532" s="4"/>
      <c r="FU532" s="4"/>
      <c r="FV532" s="4"/>
      <c r="FW532" s="4"/>
      <c r="FX532" s="4"/>
      <c r="FY532" s="4"/>
      <c r="FZ532" s="4"/>
      <c r="GA532" s="4"/>
      <c r="GB532" s="4"/>
      <c r="GC532" s="4"/>
      <c r="GD532" s="4"/>
      <c r="GE532" s="4"/>
      <c r="GF532" s="4"/>
      <c r="GG532" s="4"/>
      <c r="GH532" s="4"/>
      <c r="GI532" s="4"/>
      <c r="GJ532" s="4"/>
      <c r="GK532" s="4"/>
      <c r="GL532" s="4"/>
      <c r="GM532" s="4"/>
      <c r="GN532" s="4"/>
      <c r="GO532" s="4"/>
      <c r="GP532" s="4"/>
      <c r="GQ532" s="4"/>
      <c r="GR532" s="8">
        <v>0.11</v>
      </c>
      <c r="GS532" s="4">
        <f>GR532*(BA532+EU532)</f>
        <v>4.2951261157894747</v>
      </c>
      <c r="GT532" s="9">
        <v>1.2500000000000001E-2</v>
      </c>
      <c r="GU532" s="4">
        <f>GT532*(BA532+EU532)</f>
        <v>0.48808251315789486</v>
      </c>
      <c r="GV532" s="8">
        <v>0.02</v>
      </c>
      <c r="GW532" s="4">
        <f>(GV532*EU532)</f>
        <v>0.10361842105263158</v>
      </c>
      <c r="GX532" s="4">
        <f>GS532+GU532+GW532</f>
        <v>4.8868270500000017</v>
      </c>
      <c r="GY532" t="s">
        <v>130</v>
      </c>
      <c r="GZ532" t="s">
        <v>130</v>
      </c>
      <c r="HA532">
        <v>1350</v>
      </c>
      <c r="HB532">
        <v>950</v>
      </c>
      <c r="HC532">
        <v>1800</v>
      </c>
      <c r="HD532">
        <v>180</v>
      </c>
      <c r="HE532">
        <v>1500</v>
      </c>
      <c r="HF532" s="4">
        <f>ROUNDUP(HE532/HD532,0)</f>
        <v>9</v>
      </c>
      <c r="HG532">
        <v>5</v>
      </c>
      <c r="HH532" s="4">
        <f>HF532*HG532</f>
        <v>45</v>
      </c>
      <c r="HI532">
        <v>20000</v>
      </c>
      <c r="HJ532" s="4">
        <f>HH532*HI532</f>
        <v>900000</v>
      </c>
      <c r="HM532" s="4">
        <v>3</v>
      </c>
      <c r="HN532" s="10">
        <f>HM532*12*25*HE532</f>
        <v>1350000</v>
      </c>
      <c r="HO532" s="4">
        <f>IF(GY532="carton box",HI532/HD532,HJ532/HN532)</f>
        <v>0.66666666666666663</v>
      </c>
      <c r="HP532" s="4">
        <v>160</v>
      </c>
      <c r="HV532" s="4">
        <f>(HO532+HT532)</f>
        <v>0.66666666666666663</v>
      </c>
      <c r="HW532" s="4"/>
      <c r="HX532">
        <v>5016</v>
      </c>
      <c r="HY532" s="4">
        <v>1976</v>
      </c>
      <c r="HZ532" s="4">
        <v>2280</v>
      </c>
      <c r="IA532" s="4">
        <f>ROUNDDOWN(HX532/HA532,0)</f>
        <v>3</v>
      </c>
      <c r="IB532" s="4">
        <f>ROUNDDOWN(HY532/HB532,0)</f>
        <v>2</v>
      </c>
      <c r="IC532" s="4">
        <f>ROUNDDOWN(HZ532/HC532,0)</f>
        <v>1</v>
      </c>
      <c r="ID532" s="8">
        <v>1</v>
      </c>
      <c r="IE532" s="4">
        <f>ROUND(PRODUCT(IA532:ID532),0)+4</f>
        <v>10</v>
      </c>
      <c r="IF532" s="4">
        <v>500</v>
      </c>
      <c r="IG532" s="4">
        <f>IF532/(IE532*HD532)</f>
        <v>0.27777777777777779</v>
      </c>
      <c r="IH532" s="4"/>
    </row>
    <row r="533" spans="1:302">
      <c r="A533">
        <v>518</v>
      </c>
      <c r="B533" s="301" t="s">
        <v>1947</v>
      </c>
      <c r="D533" s="28" t="s">
        <v>1373</v>
      </c>
      <c r="E533" s="28" t="s">
        <v>1374</v>
      </c>
      <c r="F533" s="28"/>
      <c r="G533" s="27" t="s">
        <v>101</v>
      </c>
      <c r="I533" s="27" t="s">
        <v>121</v>
      </c>
      <c r="J533" s="28">
        <v>29010</v>
      </c>
      <c r="K533" s="27" t="s">
        <v>229</v>
      </c>
    </row>
    <row r="534" spans="1:302">
      <c r="A534">
        <v>519</v>
      </c>
      <c r="B534" t="s">
        <v>1947</v>
      </c>
      <c r="D534" s="28" t="s">
        <v>1373</v>
      </c>
      <c r="E534" s="28" t="s">
        <v>1374</v>
      </c>
      <c r="F534" s="28"/>
      <c r="G534" s="27" t="s">
        <v>101</v>
      </c>
      <c r="I534" s="27" t="s">
        <v>121</v>
      </c>
      <c r="J534" s="28">
        <v>20178</v>
      </c>
      <c r="K534" s="27" t="s">
        <v>1243</v>
      </c>
    </row>
    <row r="535" spans="1:302">
      <c r="A535">
        <v>520</v>
      </c>
      <c r="B535" t="s">
        <v>468</v>
      </c>
      <c r="C535" t="s">
        <v>2261</v>
      </c>
      <c r="D535" s="28" t="s">
        <v>1375</v>
      </c>
      <c r="E535" s="28" t="s">
        <v>1376</v>
      </c>
      <c r="F535" s="28" t="s">
        <v>2182</v>
      </c>
      <c r="G535" s="27" t="s">
        <v>101</v>
      </c>
      <c r="I535" s="27" t="s">
        <v>121</v>
      </c>
      <c r="J535" s="28">
        <v>21677</v>
      </c>
      <c r="K535" s="27" t="s">
        <v>228</v>
      </c>
      <c r="L535">
        <v>21401</v>
      </c>
      <c r="M535" t="s">
        <v>121</v>
      </c>
      <c r="N535" s="5"/>
      <c r="O535" s="5"/>
      <c r="Q535" s="5" t="s">
        <v>1768</v>
      </c>
      <c r="R535" s="5" t="s">
        <v>1769</v>
      </c>
      <c r="S535" s="5"/>
      <c r="T535" s="5" t="s">
        <v>2251</v>
      </c>
      <c r="U535" s="5"/>
      <c r="V535" s="29" t="s">
        <v>2252</v>
      </c>
      <c r="W535" s="5" t="s">
        <v>2256</v>
      </c>
      <c r="X535" s="5"/>
      <c r="Y535" s="5"/>
      <c r="Z535" s="5"/>
      <c r="AA535" s="51" t="s">
        <v>583</v>
      </c>
      <c r="AB535" s="66">
        <v>149.06</v>
      </c>
      <c r="AC535">
        <v>20</v>
      </c>
      <c r="AD535"/>
      <c r="AE535" s="7">
        <f>BA535</f>
        <v>26.034559999999999</v>
      </c>
      <c r="AF535" s="7"/>
      <c r="AG535" s="7">
        <f>EU535+EX535</f>
        <v>5.0292397660818713</v>
      </c>
      <c r="AH535" s="7">
        <f>DM535</f>
        <v>0</v>
      </c>
      <c r="AI535" s="7">
        <f>DO535</f>
        <v>0</v>
      </c>
      <c r="AJ535" s="7">
        <f>GW535</f>
        <v>0.10058479532163743</v>
      </c>
      <c r="AK535" s="7">
        <f>GU535</f>
        <v>0.3882974970760234</v>
      </c>
      <c r="AL535" s="7">
        <f>GS535</f>
        <v>3.4170179742690059</v>
      </c>
      <c r="AM535" s="7">
        <f>HV535</f>
        <v>0.30555555555555558</v>
      </c>
      <c r="AN535" s="7">
        <f>IG535</f>
        <v>0.1388888888888889</v>
      </c>
      <c r="AO535" s="6">
        <v>0</v>
      </c>
      <c r="AP535" s="6"/>
      <c r="AQ535" s="7">
        <f>SUM(AE535:AP535)</f>
        <v>35.414144477192984</v>
      </c>
      <c r="AR535" s="7"/>
      <c r="AS535" s="7"/>
      <c r="AT535" s="6">
        <v>0</v>
      </c>
      <c r="AV535" s="7">
        <f>AQ535+AT535+AU535</f>
        <v>35.414144477192984</v>
      </c>
      <c r="AW535">
        <v>0.17599999999999999</v>
      </c>
      <c r="AX535">
        <v>0.16600000000000001</v>
      </c>
      <c r="AY535" s="8">
        <v>1</v>
      </c>
      <c r="AZ535">
        <f>(AW535-AX535)*AY535</f>
        <v>9.9999999999999811E-3</v>
      </c>
      <c r="BA535" s="4">
        <f>AW535*AB535-AZ535*AC535</f>
        <v>26.034559999999999</v>
      </c>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EF535">
        <v>320</v>
      </c>
      <c r="EG535">
        <v>3200</v>
      </c>
      <c r="EH535">
        <v>8</v>
      </c>
      <c r="EI535" s="8">
        <v>0.95</v>
      </c>
      <c r="EJ535">
        <v>1</v>
      </c>
      <c r="EK535">
        <v>43</v>
      </c>
      <c r="EL535" s="10">
        <f>3600/EK535*EH535*EJ535*EI535</f>
        <v>636.27906976744191</v>
      </c>
      <c r="EU535" s="4">
        <f>EG535/EL535</f>
        <v>5.0292397660818713</v>
      </c>
      <c r="EV535" s="4"/>
      <c r="EW535" s="4"/>
      <c r="FA535" s="4">
        <f>EX535+EZ535</f>
        <v>0</v>
      </c>
      <c r="FB535" s="4"/>
      <c r="FC535" s="4"/>
      <c r="FD535" s="4"/>
      <c r="FE535" s="4"/>
      <c r="FF535" s="4"/>
      <c r="FG535" s="4"/>
      <c r="FH535" s="4"/>
      <c r="FI535" s="4"/>
      <c r="FJ535" s="4"/>
      <c r="FK535" s="4"/>
      <c r="FL535" s="4"/>
      <c r="FM535" s="4"/>
      <c r="FN535" s="4"/>
      <c r="FO535" s="4"/>
      <c r="FP535" s="4"/>
      <c r="FQ535" s="4"/>
      <c r="FR535" s="4"/>
      <c r="FS535" s="4"/>
      <c r="FT535" s="4"/>
      <c r="FU535" s="4"/>
      <c r="FV535" s="4"/>
      <c r="FW535" s="4"/>
      <c r="FX535" s="4"/>
      <c r="FY535" s="4"/>
      <c r="FZ535" s="4"/>
      <c r="GA535" s="4"/>
      <c r="GB535" s="4"/>
      <c r="GC535" s="4"/>
      <c r="GD535" s="4"/>
      <c r="GE535" s="4"/>
      <c r="GF535" s="4"/>
      <c r="GG535" s="4"/>
      <c r="GH535" s="4"/>
      <c r="GI535" s="4"/>
      <c r="GJ535" s="4"/>
      <c r="GK535" s="4"/>
      <c r="GL535" s="4"/>
      <c r="GM535" s="4"/>
      <c r="GN535" s="4"/>
      <c r="GO535" s="4"/>
      <c r="GP535" s="4"/>
      <c r="GQ535" s="4"/>
      <c r="GR535" s="8">
        <v>0.11</v>
      </c>
      <c r="GS535" s="4">
        <f>GR535*(BA535+EU535)</f>
        <v>3.4170179742690059</v>
      </c>
      <c r="GT535" s="9">
        <v>1.2500000000000001E-2</v>
      </c>
      <c r="GU535" s="4">
        <f>GT535*(BA535+EU535)</f>
        <v>0.3882974970760234</v>
      </c>
      <c r="GV535" s="8">
        <v>0.02</v>
      </c>
      <c r="GW535" s="4">
        <f>(GV535*EU535)</f>
        <v>0.10058479532163743</v>
      </c>
      <c r="GX535" s="4">
        <f>GS535+GU535+GW535</f>
        <v>3.9059002666666669</v>
      </c>
      <c r="GY535" t="s">
        <v>130</v>
      </c>
      <c r="GZ535" t="s">
        <v>130</v>
      </c>
      <c r="HA535">
        <v>805</v>
      </c>
      <c r="HB535">
        <v>675</v>
      </c>
      <c r="HC535">
        <v>405</v>
      </c>
      <c r="HD535">
        <v>30</v>
      </c>
      <c r="HE535">
        <v>1500</v>
      </c>
      <c r="HF535" s="4">
        <f>ROUNDUP(HE535/HD535,0)</f>
        <v>50</v>
      </c>
      <c r="HG535">
        <v>5</v>
      </c>
      <c r="HH535" s="4">
        <f>HF535*HG535</f>
        <v>250</v>
      </c>
      <c r="HI535">
        <v>1100</v>
      </c>
      <c r="HJ535" s="4">
        <f>HH535*HI535</f>
        <v>275000</v>
      </c>
      <c r="HM535" s="4">
        <v>2</v>
      </c>
      <c r="HN535" s="10">
        <f>HM535*12*25*HE535</f>
        <v>900000</v>
      </c>
      <c r="HO535" s="4">
        <f>IF(GY535="carton box",HI535/HD535,HJ535/HN535)</f>
        <v>0.30555555555555558</v>
      </c>
      <c r="HP535" s="4">
        <v>160</v>
      </c>
      <c r="HV535" s="4">
        <f>(HO535+HT535)</f>
        <v>0.30555555555555558</v>
      </c>
      <c r="HW535" s="4"/>
      <c r="HX535">
        <v>5016</v>
      </c>
      <c r="HY535" s="4">
        <v>1976</v>
      </c>
      <c r="HZ535" s="4">
        <v>2280</v>
      </c>
      <c r="IA535" s="4">
        <f>ROUNDDOWN(HX535/HA535,0)</f>
        <v>6</v>
      </c>
      <c r="IB535" s="4">
        <f>ROUNDDOWN(HY535/HB535,0)</f>
        <v>2</v>
      </c>
      <c r="IC535" s="4">
        <f>ROUNDDOWN(HZ535/HC535,0)</f>
        <v>5</v>
      </c>
      <c r="ID535" s="8">
        <v>1</v>
      </c>
      <c r="IE535" s="4">
        <f>ROUND(PRODUCT(IA535:ID535),0)+60</f>
        <v>120</v>
      </c>
      <c r="IF535" s="4">
        <v>500</v>
      </c>
      <c r="IG535" s="4">
        <f>IF535/(IE535*HD535)</f>
        <v>0.1388888888888889</v>
      </c>
      <c r="IH535" s="4"/>
    </row>
    <row r="536" spans="1:302">
      <c r="A536">
        <v>521</v>
      </c>
      <c r="B536" s="301" t="s">
        <v>1947</v>
      </c>
      <c r="D536" s="28" t="s">
        <v>1375</v>
      </c>
      <c r="E536" s="28" t="s">
        <v>1376</v>
      </c>
      <c r="F536" s="28"/>
      <c r="G536" s="27" t="s">
        <v>101</v>
      </c>
      <c r="I536" s="27" t="s">
        <v>121</v>
      </c>
      <c r="J536" s="28">
        <v>29010</v>
      </c>
      <c r="K536" s="27" t="s">
        <v>229</v>
      </c>
    </row>
    <row r="537" spans="1:302">
      <c r="A537">
        <v>522</v>
      </c>
      <c r="B537" t="s">
        <v>1947</v>
      </c>
      <c r="D537" s="28" t="s">
        <v>1375</v>
      </c>
      <c r="E537" s="28" t="s">
        <v>1376</v>
      </c>
      <c r="F537" s="28"/>
      <c r="G537" s="27" t="s">
        <v>101</v>
      </c>
      <c r="I537" s="27" t="s">
        <v>121</v>
      </c>
      <c r="J537" s="28">
        <v>20178</v>
      </c>
      <c r="K537" s="27" t="s">
        <v>1243</v>
      </c>
    </row>
    <row r="538" spans="1:302">
      <c r="A538">
        <v>523</v>
      </c>
      <c r="B538" t="s">
        <v>468</v>
      </c>
      <c r="C538" t="s">
        <v>2262</v>
      </c>
      <c r="D538" s="28" t="s">
        <v>1377</v>
      </c>
      <c r="E538" s="28" t="s">
        <v>1378</v>
      </c>
      <c r="F538" s="28" t="s">
        <v>2182</v>
      </c>
      <c r="G538" s="27" t="s">
        <v>101</v>
      </c>
      <c r="I538" s="27" t="s">
        <v>121</v>
      </c>
      <c r="J538" s="28">
        <v>21677</v>
      </c>
      <c r="K538" s="27" t="s">
        <v>228</v>
      </c>
      <c r="L538">
        <v>21401</v>
      </c>
      <c r="M538" t="s">
        <v>121</v>
      </c>
      <c r="N538" s="5"/>
      <c r="O538" s="5"/>
      <c r="Q538" s="5" t="s">
        <v>1768</v>
      </c>
      <c r="R538" s="5" t="s">
        <v>1769</v>
      </c>
      <c r="S538" s="5"/>
      <c r="T538" s="5" t="s">
        <v>2251</v>
      </c>
      <c r="U538" s="5"/>
      <c r="V538" s="29" t="s">
        <v>2252</v>
      </c>
      <c r="W538" s="5" t="s">
        <v>2256</v>
      </c>
      <c r="X538" s="5"/>
      <c r="Y538" s="5"/>
      <c r="Z538" s="5"/>
      <c r="AA538" s="51" t="s">
        <v>971</v>
      </c>
      <c r="AB538" s="66">
        <v>110</v>
      </c>
      <c r="AC538">
        <v>20</v>
      </c>
      <c r="AD538"/>
      <c r="AE538" s="7">
        <f>BA538</f>
        <v>113.11999999999999</v>
      </c>
      <c r="AF538" s="7"/>
      <c r="AG538" s="7">
        <f>EU538+EX538</f>
        <v>14.473684210526315</v>
      </c>
      <c r="AH538" s="7">
        <f>DM538</f>
        <v>0</v>
      </c>
      <c r="AI538" s="7">
        <f>DO538</f>
        <v>0</v>
      </c>
      <c r="AJ538" s="7">
        <f>GW538</f>
        <v>0.28947368421052633</v>
      </c>
      <c r="AK538" s="7">
        <f>GU538</f>
        <v>1.5949210526315789</v>
      </c>
      <c r="AL538" s="7">
        <f>GS538</f>
        <v>14.035305263157893</v>
      </c>
      <c r="AM538" s="7">
        <f>HV538</f>
        <v>2.8148148148148149</v>
      </c>
      <c r="AN538" s="7">
        <f>IG538</f>
        <v>1.25</v>
      </c>
      <c r="AO538" s="6">
        <v>0</v>
      </c>
      <c r="AP538" s="6"/>
      <c r="AQ538" s="7">
        <f>SUM(AE538:AP538)</f>
        <v>147.57819902534109</v>
      </c>
      <c r="AR538" s="7"/>
      <c r="AS538" s="7"/>
      <c r="AT538" s="6">
        <v>0</v>
      </c>
      <c r="AV538" s="7">
        <f>AQ538+AT538+AU538</f>
        <v>147.57819902534109</v>
      </c>
      <c r="AW538">
        <v>1.03</v>
      </c>
      <c r="AX538">
        <v>1.0209999999999999</v>
      </c>
      <c r="AY538" s="8">
        <v>1</v>
      </c>
      <c r="AZ538">
        <f>(AW538-AX538)*AY538</f>
        <v>9.000000000000119E-3</v>
      </c>
      <c r="BA538" s="4">
        <f>AW538*AB538-AZ538*AC538</f>
        <v>113.11999999999999</v>
      </c>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EF538">
        <v>550</v>
      </c>
      <c r="EG538">
        <v>5500</v>
      </c>
      <c r="EH538">
        <v>8</v>
      </c>
      <c r="EI538" s="8">
        <v>0.95</v>
      </c>
      <c r="EJ538">
        <v>1</v>
      </c>
      <c r="EK538">
        <v>72</v>
      </c>
      <c r="EL538" s="10">
        <f>3600/EK538*EH538*EJ538*EI538</f>
        <v>380</v>
      </c>
      <c r="EU538" s="4">
        <f>EG538/EL538</f>
        <v>14.473684210526315</v>
      </c>
      <c r="EV538" s="4"/>
      <c r="EW538" s="4"/>
      <c r="FA538" s="4">
        <f>EX538+EZ538</f>
        <v>0</v>
      </c>
      <c r="FB538" s="4"/>
      <c r="FC538" s="4"/>
      <c r="FD538" s="4"/>
      <c r="FE538" s="4"/>
      <c r="FF538" s="4"/>
      <c r="FG538" s="4"/>
      <c r="FH538" s="4"/>
      <c r="FI538" s="4"/>
      <c r="FJ538" s="4"/>
      <c r="FK538" s="4"/>
      <c r="FL538" s="4"/>
      <c r="FM538" s="4"/>
      <c r="FN538" s="4"/>
      <c r="FO538" s="4"/>
      <c r="FP538" s="4"/>
      <c r="FQ538" s="4"/>
      <c r="FR538" s="4"/>
      <c r="FS538" s="4"/>
      <c r="FT538" s="4"/>
      <c r="FU538" s="4"/>
      <c r="FV538" s="4"/>
      <c r="FW538" s="4"/>
      <c r="FX538" s="4"/>
      <c r="FY538" s="4"/>
      <c r="FZ538" s="4"/>
      <c r="GA538" s="4"/>
      <c r="GB538" s="4"/>
      <c r="GC538" s="4"/>
      <c r="GD538" s="4"/>
      <c r="GE538" s="4"/>
      <c r="GF538" s="4"/>
      <c r="GG538" s="4"/>
      <c r="GH538" s="4"/>
      <c r="GI538" s="4"/>
      <c r="GJ538" s="4"/>
      <c r="GK538" s="4"/>
      <c r="GL538" s="4"/>
      <c r="GM538" s="4"/>
      <c r="GN538" s="4"/>
      <c r="GO538" s="4"/>
      <c r="GP538" s="4"/>
      <c r="GQ538" s="4"/>
      <c r="GR538" s="8">
        <v>0.11</v>
      </c>
      <c r="GS538" s="4">
        <f>GR538*(BA538+EU538)</f>
        <v>14.035305263157893</v>
      </c>
      <c r="GT538" s="9">
        <v>1.2500000000000001E-2</v>
      </c>
      <c r="GU538" s="4">
        <f>GT538*(BA538+EU538)</f>
        <v>1.5949210526315789</v>
      </c>
      <c r="GV538" s="8">
        <v>0.02</v>
      </c>
      <c r="GW538" s="4">
        <f>(GV538*EU538)</f>
        <v>0.28947368421052633</v>
      </c>
      <c r="GX538" s="4">
        <f>GS538+GU538+GW538</f>
        <v>15.919699999999997</v>
      </c>
      <c r="GY538" t="s">
        <v>130</v>
      </c>
      <c r="GZ538" t="s">
        <v>130</v>
      </c>
      <c r="HA538">
        <v>805</v>
      </c>
      <c r="HB538">
        <v>675</v>
      </c>
      <c r="HC538">
        <v>405</v>
      </c>
      <c r="HD538">
        <v>40</v>
      </c>
      <c r="HE538">
        <v>1500</v>
      </c>
      <c r="HF538" s="4">
        <f>ROUNDUP(HE538/HD538,0)</f>
        <v>38</v>
      </c>
      <c r="HG538">
        <v>5</v>
      </c>
      <c r="HH538" s="4">
        <f>HF538*HG538</f>
        <v>190</v>
      </c>
      <c r="HI538">
        <v>20000</v>
      </c>
      <c r="HJ538" s="4">
        <f>HH538*HI538</f>
        <v>3800000</v>
      </c>
      <c r="HM538" s="4">
        <v>3</v>
      </c>
      <c r="HN538" s="10">
        <f>HM538*12*25*HE538</f>
        <v>1350000</v>
      </c>
      <c r="HO538" s="4">
        <f>IF(GY538="carton box",HI538/HD538,HJ538/HN538)</f>
        <v>2.8148148148148149</v>
      </c>
      <c r="HP538" s="4">
        <v>160</v>
      </c>
      <c r="HV538" s="4">
        <f>(HO538+HT538)</f>
        <v>2.8148148148148149</v>
      </c>
      <c r="HW538" s="4"/>
      <c r="HX538">
        <v>5016</v>
      </c>
      <c r="HY538" s="4">
        <v>1976</v>
      </c>
      <c r="HZ538" s="4">
        <v>2280</v>
      </c>
      <c r="IA538" s="4">
        <f>ROUNDDOWN(HX538/HA538,0)</f>
        <v>6</v>
      </c>
      <c r="IB538" s="4">
        <f>ROUNDDOWN(HY538/HB538,0)</f>
        <v>2</v>
      </c>
      <c r="IC538" s="4">
        <f>ROUNDDOWN(HZ538/HC538,0)</f>
        <v>5</v>
      </c>
      <c r="ID538" s="8">
        <v>1</v>
      </c>
      <c r="IE538" s="4">
        <f>ROUND(PRODUCT(IA538:ID538),0)-50</f>
        <v>10</v>
      </c>
      <c r="IF538" s="4">
        <v>500</v>
      </c>
      <c r="IG538" s="4">
        <f>IF538/(IE538*HD538)</f>
        <v>1.25</v>
      </c>
      <c r="IH538" s="4"/>
    </row>
    <row r="539" spans="1:302">
      <c r="A539">
        <v>524</v>
      </c>
      <c r="B539" t="s">
        <v>1947</v>
      </c>
      <c r="D539" s="28" t="s">
        <v>1377</v>
      </c>
      <c r="E539" s="28" t="s">
        <v>1378</v>
      </c>
      <c r="F539" s="28"/>
      <c r="G539" s="27" t="s">
        <v>101</v>
      </c>
      <c r="I539" s="27" t="s">
        <v>121</v>
      </c>
      <c r="J539" s="28">
        <v>29010</v>
      </c>
      <c r="K539" s="27" t="s">
        <v>229</v>
      </c>
    </row>
    <row r="540" spans="1:302">
      <c r="A540">
        <v>525</v>
      </c>
      <c r="B540" t="s">
        <v>468</v>
      </c>
      <c r="C540" t="s">
        <v>2263</v>
      </c>
      <c r="D540" s="28" t="s">
        <v>1379</v>
      </c>
      <c r="E540" s="28" t="s">
        <v>1266</v>
      </c>
      <c r="F540" s="28" t="s">
        <v>2182</v>
      </c>
      <c r="G540" s="27" t="s">
        <v>101</v>
      </c>
      <c r="I540" s="27" t="s">
        <v>121</v>
      </c>
      <c r="J540" s="28">
        <v>21677</v>
      </c>
      <c r="K540" s="27" t="s">
        <v>228</v>
      </c>
      <c r="L540">
        <v>21401</v>
      </c>
      <c r="M540" t="s">
        <v>121</v>
      </c>
      <c r="N540" s="5"/>
      <c r="O540" s="5"/>
      <c r="Q540" s="5" t="s">
        <v>1768</v>
      </c>
      <c r="R540" s="5" t="s">
        <v>1769</v>
      </c>
      <c r="S540" s="5"/>
      <c r="T540" s="5" t="s">
        <v>2251</v>
      </c>
      <c r="U540" s="5"/>
      <c r="V540" s="29" t="s">
        <v>2252</v>
      </c>
      <c r="W540" s="5" t="s">
        <v>2256</v>
      </c>
      <c r="X540" s="5"/>
      <c r="Y540" s="5"/>
      <c r="Z540" s="5"/>
      <c r="AA540" s="51" t="s">
        <v>2264</v>
      </c>
      <c r="AB540" s="66">
        <v>110</v>
      </c>
      <c r="AC540">
        <v>20</v>
      </c>
      <c r="AD540"/>
      <c r="AE540" s="7">
        <f>BA540</f>
        <v>51.150000000000006</v>
      </c>
      <c r="AF540" s="7"/>
      <c r="AG540" s="7">
        <f>EU540+EX540</f>
        <v>10.946812865497076</v>
      </c>
      <c r="AH540" s="7">
        <f>DM540</f>
        <v>9.23</v>
      </c>
      <c r="AI540" s="7">
        <f>DO540</f>
        <v>0.11537500000000001</v>
      </c>
      <c r="AJ540" s="7">
        <f>GW540</f>
        <v>0.20533625730994154</v>
      </c>
      <c r="AK540" s="7">
        <f>GU540</f>
        <v>0.76771016081871357</v>
      </c>
      <c r="AL540" s="7">
        <f>GS540</f>
        <v>6.7558494152046791</v>
      </c>
      <c r="AM540" s="7">
        <f>HV540</f>
        <v>1.0666666666666667</v>
      </c>
      <c r="AN540" s="7">
        <f>IG540</f>
        <v>0.69444444444444442</v>
      </c>
      <c r="AO540" s="6">
        <v>0</v>
      </c>
      <c r="AP540" s="6"/>
      <c r="AQ540" s="7">
        <f>SUM(AE540:AP540)</f>
        <v>80.932194809941521</v>
      </c>
      <c r="AR540" s="7"/>
      <c r="AS540" s="7"/>
      <c r="AT540" s="6">
        <v>0</v>
      </c>
      <c r="AV540" s="7">
        <f>AQ540+AT540+AU540</f>
        <v>80.932194809941521</v>
      </c>
      <c r="AW540">
        <v>0.46500000000000002</v>
      </c>
      <c r="AX540">
        <v>0.46500000000000002</v>
      </c>
      <c r="AY540" s="8">
        <v>1</v>
      </c>
      <c r="AZ540">
        <f>(AW540-AX540)*AY540</f>
        <v>0</v>
      </c>
      <c r="BA540" s="4">
        <f>AW540*AB540-AZ540*AC540</f>
        <v>51.150000000000006</v>
      </c>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F540">
        <v>1</v>
      </c>
      <c r="CG540">
        <v>9.23</v>
      </c>
      <c r="CH540">
        <f>CF540*CG540</f>
        <v>9.23</v>
      </c>
      <c r="DM540">
        <f>CH540+CM540+CR540+DB540+DG540+DL540</f>
        <v>9.23</v>
      </c>
      <c r="DN540" s="9">
        <v>1.2500000000000001E-2</v>
      </c>
      <c r="DO540" s="4">
        <f>DM540*DN540</f>
        <v>0.11537500000000001</v>
      </c>
      <c r="DP540" s="4">
        <f>DM540+DO540</f>
        <v>9.3453750000000007</v>
      </c>
      <c r="DQ540" s="295"/>
      <c r="DR540" s="4"/>
      <c r="DS540" s="4"/>
      <c r="DT540" s="4"/>
      <c r="DU540" s="4"/>
      <c r="DV540" s="4"/>
      <c r="DW540" s="4"/>
      <c r="DX540" s="4"/>
      <c r="DY540" s="4"/>
      <c r="DZ540" s="4"/>
      <c r="EA540" s="4"/>
      <c r="EB540" s="4"/>
      <c r="EC540" s="4"/>
      <c r="ED540" s="4"/>
      <c r="EE540" s="4"/>
      <c r="EF540">
        <v>530</v>
      </c>
      <c r="EG540">
        <v>5300</v>
      </c>
      <c r="EH540">
        <v>8</v>
      </c>
      <c r="EI540" s="8">
        <v>0.95</v>
      </c>
      <c r="EJ540">
        <v>1</v>
      </c>
      <c r="EK540">
        <v>53</v>
      </c>
      <c r="EL540" s="10">
        <f>3600/EK540*EH540*EJ540*EI540</f>
        <v>516.22641509433959</v>
      </c>
      <c r="EU540" s="4">
        <f>EG540/EL540</f>
        <v>10.266812865497077</v>
      </c>
      <c r="EV540" s="4"/>
      <c r="EW540" s="4"/>
      <c r="EX540">
        <v>0.68</v>
      </c>
      <c r="FA540" s="4">
        <f>EX540+EZ540</f>
        <v>0.68</v>
      </c>
      <c r="FB540" s="4"/>
      <c r="FC540" s="4"/>
      <c r="FD540" s="4"/>
      <c r="FE540" s="4"/>
      <c r="FF540" s="4"/>
      <c r="FG540" s="4"/>
      <c r="FH540" s="4"/>
      <c r="FI540" s="4"/>
      <c r="FJ540" s="4"/>
      <c r="FK540" s="4"/>
      <c r="FL540" s="4"/>
      <c r="FM540" s="4"/>
      <c r="FN540" s="4"/>
      <c r="FO540" s="4"/>
      <c r="FP540" s="4"/>
      <c r="FQ540" s="4"/>
      <c r="FR540" s="4"/>
      <c r="FS540" s="4"/>
      <c r="FT540" s="4"/>
      <c r="FU540" s="4"/>
      <c r="FV540" s="4"/>
      <c r="FW540" s="4"/>
      <c r="FX540" s="4"/>
      <c r="FY540" s="4"/>
      <c r="FZ540" s="4"/>
      <c r="GA540" s="4"/>
      <c r="GB540" s="4"/>
      <c r="GC540" s="4"/>
      <c r="GD540" s="4"/>
      <c r="GE540" s="4"/>
      <c r="GF540" s="4"/>
      <c r="GG540" s="4"/>
      <c r="GH540" s="4"/>
      <c r="GI540" s="4"/>
      <c r="GJ540" s="4"/>
      <c r="GK540" s="4"/>
      <c r="GL540" s="4"/>
      <c r="GM540" s="4"/>
      <c r="GN540" s="4"/>
      <c r="GO540" s="4"/>
      <c r="GP540" s="4"/>
      <c r="GQ540" s="4"/>
      <c r="GR540" s="8">
        <v>0.11</v>
      </c>
      <c r="GS540" s="4">
        <f>GR540*(BA540+EU540)</f>
        <v>6.7558494152046791</v>
      </c>
      <c r="GT540" s="9">
        <v>1.2500000000000001E-2</v>
      </c>
      <c r="GU540" s="4">
        <f>GT540*(BA540+EU540)</f>
        <v>0.76771016081871357</v>
      </c>
      <c r="GV540" s="8">
        <v>0.02</v>
      </c>
      <c r="GW540" s="4">
        <f>(GV540*EU540)</f>
        <v>0.20533625730994154</v>
      </c>
      <c r="GX540" s="4">
        <f>GS540+GU540+GW540</f>
        <v>7.7288958333333344</v>
      </c>
      <c r="GY540" t="s">
        <v>130</v>
      </c>
      <c r="GZ540" t="s">
        <v>130</v>
      </c>
      <c r="HA540">
        <v>1350</v>
      </c>
      <c r="HB540">
        <v>950</v>
      </c>
      <c r="HC540">
        <v>1800</v>
      </c>
      <c r="HD540">
        <v>72</v>
      </c>
      <c r="HE540">
        <v>1500</v>
      </c>
      <c r="HF540" s="4">
        <f>ROUNDUP(HE540/HD540,0)</f>
        <v>21</v>
      </c>
      <c r="HG540">
        <v>5</v>
      </c>
      <c r="HH540" s="4">
        <f>(HF540*HG540)-33</f>
        <v>72</v>
      </c>
      <c r="HI540">
        <v>20000</v>
      </c>
      <c r="HJ540" s="4">
        <f>HH540*HI540</f>
        <v>1440000</v>
      </c>
      <c r="HM540" s="4">
        <v>3</v>
      </c>
      <c r="HN540" s="10">
        <f>HM540*12*25*HE540</f>
        <v>1350000</v>
      </c>
      <c r="HO540" s="4">
        <f>IF(GY540="carton box",HI540/HD540,HJ540/HN540)</f>
        <v>1.0666666666666667</v>
      </c>
      <c r="HP540" s="4">
        <v>160</v>
      </c>
      <c r="HV540" s="4">
        <f>(HO540+HT540)</f>
        <v>1.0666666666666667</v>
      </c>
      <c r="HW540" s="4"/>
      <c r="HX540">
        <v>5016</v>
      </c>
      <c r="HY540" s="4">
        <v>1976</v>
      </c>
      <c r="HZ540" s="4">
        <v>2280</v>
      </c>
      <c r="IA540" s="4">
        <f>ROUNDDOWN(HX540/HA540,0)</f>
        <v>3</v>
      </c>
      <c r="IB540" s="4">
        <f>ROUNDDOWN(HY540/HB540,0)</f>
        <v>2</v>
      </c>
      <c r="IC540" s="4">
        <f>ROUNDDOWN(HZ540/HC540,0)</f>
        <v>1</v>
      </c>
      <c r="ID540" s="8">
        <v>1</v>
      </c>
      <c r="IE540" s="4">
        <f>ROUND(PRODUCT(IA540:ID540),0)+4</f>
        <v>10</v>
      </c>
      <c r="IF540" s="4">
        <v>500</v>
      </c>
      <c r="IG540" s="4">
        <f>IF540/(IE540*HD540)</f>
        <v>0.69444444444444442</v>
      </c>
      <c r="IH540" s="4"/>
    </row>
    <row r="541" spans="1:302">
      <c r="A541">
        <v>526</v>
      </c>
      <c r="B541" t="s">
        <v>1947</v>
      </c>
      <c r="D541" s="28" t="s">
        <v>1379</v>
      </c>
      <c r="E541" s="28" t="s">
        <v>1266</v>
      </c>
      <c r="F541" s="28"/>
      <c r="G541" s="27" t="s">
        <v>101</v>
      </c>
      <c r="I541" s="27" t="s">
        <v>121</v>
      </c>
      <c r="J541" s="28">
        <v>29010</v>
      </c>
      <c r="K541" s="27" t="s">
        <v>229</v>
      </c>
    </row>
    <row r="542" spans="1:302">
      <c r="A542">
        <v>527</v>
      </c>
      <c r="B542" t="s">
        <v>468</v>
      </c>
      <c r="C542" t="s">
        <v>2265</v>
      </c>
      <c r="D542" s="28" t="s">
        <v>1380</v>
      </c>
      <c r="E542" s="28" t="s">
        <v>1381</v>
      </c>
      <c r="F542" s="28" t="s">
        <v>2182</v>
      </c>
      <c r="G542" s="27" t="s">
        <v>101</v>
      </c>
      <c r="I542" s="27" t="s">
        <v>121</v>
      </c>
      <c r="J542" s="28">
        <v>21677</v>
      </c>
      <c r="K542" s="27" t="s">
        <v>228</v>
      </c>
      <c r="L542">
        <v>21401</v>
      </c>
      <c r="M542" t="s">
        <v>121</v>
      </c>
      <c r="Q542" s="5" t="s">
        <v>1768</v>
      </c>
      <c r="R542" s="5" t="s">
        <v>1769</v>
      </c>
      <c r="S542" s="5"/>
      <c r="T542" s="5" t="s">
        <v>2251</v>
      </c>
      <c r="U542" s="5"/>
      <c r="V542" s="29" t="s">
        <v>2252</v>
      </c>
      <c r="W542" s="5" t="s">
        <v>2256</v>
      </c>
      <c r="X542" s="5"/>
      <c r="Y542" s="5"/>
      <c r="Z542" s="5"/>
      <c r="AA542" s="51" t="s">
        <v>1953</v>
      </c>
      <c r="AB542" s="66">
        <v>92.13</v>
      </c>
      <c r="AC542">
        <v>20</v>
      </c>
      <c r="AD542"/>
      <c r="AE542" s="7">
        <f>BA542</f>
        <v>34.849400000000003</v>
      </c>
      <c r="AF542" s="7">
        <f>DU542</f>
        <v>16.33637384210526</v>
      </c>
      <c r="AG542" s="7">
        <f>EU542+EX542</f>
        <v>9.0460526315789469</v>
      </c>
      <c r="AH542" s="7">
        <f>DM542</f>
        <v>0</v>
      </c>
      <c r="AI542" s="7">
        <f>DO542</f>
        <v>0</v>
      </c>
      <c r="AJ542" s="7">
        <f>GW542</f>
        <v>0.18092105263157895</v>
      </c>
      <c r="AK542" s="7">
        <f>GU542</f>
        <v>0.54869315789473683</v>
      </c>
      <c r="AL542" s="7">
        <f>GS542</f>
        <v>4.8284997894736845</v>
      </c>
      <c r="AM542" s="7">
        <f>HV542</f>
        <v>1.2222222222222223</v>
      </c>
      <c r="AN542" s="7">
        <f>IG542</f>
        <v>1.25</v>
      </c>
      <c r="AO542" s="6">
        <v>0</v>
      </c>
      <c r="AP542" s="6"/>
      <c r="AQ542" s="7">
        <f>SUM(AE542:AP542)</f>
        <v>68.26216269590644</v>
      </c>
      <c r="AR542" s="7"/>
      <c r="AS542" s="7"/>
      <c r="AT542" s="6">
        <v>0</v>
      </c>
      <c r="AV542" s="7">
        <f>AQ542+AT542+AU542</f>
        <v>68.26216269590644</v>
      </c>
      <c r="AW542">
        <v>0.38</v>
      </c>
      <c r="AX542">
        <v>0.372</v>
      </c>
      <c r="AY542" s="8">
        <v>1</v>
      </c>
      <c r="AZ542">
        <f>(AW542-AX542)*AY542</f>
        <v>8.0000000000000071E-3</v>
      </c>
      <c r="BA542" s="4">
        <f>AW542*AB542-AZ542*AC542</f>
        <v>34.849400000000003</v>
      </c>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DQ542" t="s">
        <v>2266</v>
      </c>
      <c r="DR542" t="s">
        <v>2267</v>
      </c>
      <c r="DS542">
        <v>1</v>
      </c>
      <c r="DT542" s="4">
        <f>KP542</f>
        <v>16.33637384210526</v>
      </c>
      <c r="DU542" s="4">
        <f>DS542*DT542</f>
        <v>16.33637384210526</v>
      </c>
      <c r="DV542" s="4"/>
      <c r="DW542" s="4"/>
      <c r="DX542" s="4"/>
      <c r="DY542" s="4"/>
      <c r="DZ542" s="4"/>
      <c r="EA542" s="4"/>
      <c r="EB542" s="4"/>
      <c r="EC542" s="4"/>
      <c r="ED542" s="4"/>
      <c r="EE542" s="4"/>
      <c r="EF542">
        <v>450</v>
      </c>
      <c r="EG542">
        <v>4500</v>
      </c>
      <c r="EH542">
        <v>8</v>
      </c>
      <c r="EI542" s="8">
        <v>0.95</v>
      </c>
      <c r="EJ542">
        <v>1</v>
      </c>
      <c r="EK542">
        <v>55</v>
      </c>
      <c r="EL542" s="10">
        <f>3600/EK542*EH542*EJ542*EI542</f>
        <v>497.45454545454544</v>
      </c>
      <c r="EU542" s="4">
        <f>EG542/EL542</f>
        <v>9.0460526315789469</v>
      </c>
      <c r="EV542" s="4"/>
      <c r="EW542" s="4"/>
      <c r="GR542" s="8">
        <v>0.11</v>
      </c>
      <c r="GS542" s="4">
        <f>GR542*(BA542+EU542)</f>
        <v>4.8284997894736845</v>
      </c>
      <c r="GT542" s="9">
        <v>1.2500000000000001E-2</v>
      </c>
      <c r="GU542" s="4">
        <f>GT542*(BA542+EU542)</f>
        <v>0.54869315789473683</v>
      </c>
      <c r="GV542" s="8">
        <v>0.02</v>
      </c>
      <c r="GW542" s="4">
        <f>(GV542*EU542)</f>
        <v>0.18092105263157895</v>
      </c>
      <c r="GX542" s="4">
        <f>GS542+GU542+GW542</f>
        <v>5.5581139999999998</v>
      </c>
      <c r="GY542" t="s">
        <v>130</v>
      </c>
      <c r="GZ542" t="s">
        <v>130</v>
      </c>
      <c r="HA542">
        <v>805</v>
      </c>
      <c r="HB542">
        <v>675</v>
      </c>
      <c r="HC542">
        <v>405</v>
      </c>
      <c r="HD542">
        <v>5</v>
      </c>
      <c r="HE542">
        <v>1200</v>
      </c>
      <c r="HF542" s="4">
        <f>ROUNDUP(HE542/HD542,0)</f>
        <v>240</v>
      </c>
      <c r="HG542">
        <v>5</v>
      </c>
      <c r="HH542" s="4">
        <f>HF542*HG542</f>
        <v>1200</v>
      </c>
      <c r="HI542">
        <v>1100</v>
      </c>
      <c r="HJ542" s="4">
        <f>HH542*HI542</f>
        <v>1320000</v>
      </c>
      <c r="HM542" s="4">
        <v>3</v>
      </c>
      <c r="HN542" s="10">
        <f>HM542*12*25*HE542</f>
        <v>1080000</v>
      </c>
      <c r="HO542" s="4">
        <f>IF(GY542="carton box",HI542/HD542,HJ542/HN542)</f>
        <v>1.2222222222222223</v>
      </c>
      <c r="HP542" s="4">
        <v>160</v>
      </c>
      <c r="HV542" s="4">
        <f>(HO542+HT542)</f>
        <v>1.2222222222222223</v>
      </c>
      <c r="HW542" s="4"/>
      <c r="HX542">
        <v>5016</v>
      </c>
      <c r="HY542" s="4">
        <v>1976</v>
      </c>
      <c r="HZ542" s="4">
        <v>2280</v>
      </c>
      <c r="IA542" s="4">
        <f t="shared" ref="IA542:IC545" si="567">ROUNDDOWN(HX542/HA542,0)</f>
        <v>6</v>
      </c>
      <c r="IB542" s="4">
        <f t="shared" si="567"/>
        <v>2</v>
      </c>
      <c r="IC542" s="4">
        <f t="shared" si="567"/>
        <v>5</v>
      </c>
      <c r="ID542" s="8">
        <v>1</v>
      </c>
      <c r="IE542" s="4">
        <f>ROUND(PRODUCT(IA542:ID542),0)+20</f>
        <v>80</v>
      </c>
      <c r="IF542" s="4">
        <v>500</v>
      </c>
      <c r="IG542" s="4">
        <f>IF542/(IE542*HD542)</f>
        <v>1.25</v>
      </c>
      <c r="IH542" s="4"/>
      <c r="IM542" s="4" t="s">
        <v>483</v>
      </c>
      <c r="IN542">
        <v>204.16</v>
      </c>
      <c r="IO542">
        <v>20</v>
      </c>
      <c r="IQ542">
        <v>2.5999999999999999E-2</v>
      </c>
      <c r="IR542">
        <v>2.1999999999999999E-2</v>
      </c>
      <c r="IS542" s="8">
        <v>1</v>
      </c>
      <c r="IT542">
        <f>(IQ542-IR542)*IS542</f>
        <v>4.0000000000000001E-3</v>
      </c>
      <c r="IU542" s="4">
        <f>IQ542*IN542-IT542*IO542</f>
        <v>5.2281599999999999</v>
      </c>
      <c r="IV542" s="4">
        <v>1</v>
      </c>
      <c r="IW542" s="4">
        <v>8.85</v>
      </c>
      <c r="IX542" s="4">
        <f>IV542*IW542</f>
        <v>8.85</v>
      </c>
      <c r="IY542" s="4"/>
      <c r="IZ542" s="4"/>
      <c r="JA542" s="4"/>
      <c r="JB542" s="4"/>
      <c r="JC542" s="4"/>
      <c r="JD542" s="4"/>
      <c r="JE542" s="4"/>
      <c r="JF542" s="4"/>
      <c r="JG542" s="4"/>
      <c r="JH542" s="4"/>
      <c r="JI542" s="4"/>
      <c r="JJ542" s="4"/>
      <c r="JK542" s="4"/>
      <c r="JL542" s="4"/>
      <c r="JM542" s="4"/>
      <c r="JN542" s="4"/>
      <c r="JO542" s="4"/>
      <c r="JP542" s="4"/>
      <c r="JQ542" s="4"/>
      <c r="JR542" s="4"/>
      <c r="JS542" s="4"/>
      <c r="JT542" s="4">
        <v>1.2500000000000001E-2</v>
      </c>
      <c r="JU542" s="4">
        <f>IX542*JT542</f>
        <v>0.110625</v>
      </c>
      <c r="JV542" s="4">
        <f>IX542+JU542</f>
        <v>8.9606250000000003</v>
      </c>
      <c r="JW542">
        <v>120</v>
      </c>
      <c r="JX542">
        <v>1200</v>
      </c>
      <c r="JY542">
        <v>8</v>
      </c>
      <c r="JZ542" s="8">
        <v>0.95</v>
      </c>
      <c r="KA542">
        <v>2</v>
      </c>
      <c r="KC542" s="72">
        <v>60</v>
      </c>
      <c r="KD542" s="72">
        <f>3600/KC542*JY542*KA542*JZ542</f>
        <v>912</v>
      </c>
      <c r="KE542" s="97">
        <f>JX542/KD542</f>
        <v>1.3157894736842106</v>
      </c>
      <c r="KF542" s="4"/>
      <c r="KG542" s="8">
        <v>0.11</v>
      </c>
      <c r="KH542">
        <f>ROUNDUP((IU542+KE542)*KG542,2)</f>
        <v>0.72</v>
      </c>
      <c r="KI542" s="9">
        <v>1.2500000000000001E-2</v>
      </c>
      <c r="KJ542" s="4">
        <f>(IU542+KE542)*KI542</f>
        <v>8.1799368421052635E-2</v>
      </c>
      <c r="KK542" s="4"/>
      <c r="KL542" s="4"/>
      <c r="KM542" s="4"/>
      <c r="KN542" s="8">
        <v>0.02</v>
      </c>
      <c r="KO542">
        <f>ROUNDUP(KE542*KN542,2)</f>
        <v>0.03</v>
      </c>
      <c r="KP542" s="4">
        <f>KO542+KJ542+KH542+IU542+KE542+IX542+JU542</f>
        <v>16.33637384210526</v>
      </c>
    </row>
    <row r="543" spans="1:302">
      <c r="A543">
        <v>528</v>
      </c>
      <c r="B543" t="s">
        <v>468</v>
      </c>
      <c r="C543" t="s">
        <v>2268</v>
      </c>
      <c r="D543" s="28" t="s">
        <v>1382</v>
      </c>
      <c r="E543" s="28" t="s">
        <v>1383</v>
      </c>
      <c r="F543" s="28" t="s">
        <v>2182</v>
      </c>
      <c r="G543" s="27" t="s">
        <v>101</v>
      </c>
      <c r="I543" s="27" t="s">
        <v>121</v>
      </c>
      <c r="J543" s="28">
        <v>21677</v>
      </c>
      <c r="K543" s="27" t="s">
        <v>228</v>
      </c>
      <c r="L543">
        <v>21401</v>
      </c>
      <c r="M543" t="s">
        <v>121</v>
      </c>
      <c r="N543" s="5"/>
      <c r="O543" s="5"/>
      <c r="Q543" s="5" t="s">
        <v>1768</v>
      </c>
      <c r="R543" s="5" t="s">
        <v>1769</v>
      </c>
      <c r="S543" s="5"/>
      <c r="T543" s="5" t="s">
        <v>2251</v>
      </c>
      <c r="U543" s="5"/>
      <c r="V543" s="29" t="s">
        <v>2252</v>
      </c>
      <c r="W543" s="5" t="s">
        <v>2256</v>
      </c>
      <c r="X543" s="5"/>
      <c r="Y543" s="5"/>
      <c r="Z543" s="5"/>
      <c r="AA543" s="51" t="s">
        <v>1168</v>
      </c>
      <c r="AB543" s="66">
        <v>92.13</v>
      </c>
      <c r="AC543">
        <v>20</v>
      </c>
      <c r="AD543"/>
      <c r="AE543" s="7">
        <f>BA543</f>
        <v>10.35069</v>
      </c>
      <c r="AF543" s="7">
        <f>DU543</f>
        <v>11.878732046783625</v>
      </c>
      <c r="AG543" s="7">
        <f>EU543+EX543</f>
        <v>3.700657894736842</v>
      </c>
      <c r="AH543" s="7">
        <f>DM543</f>
        <v>0</v>
      </c>
      <c r="AI543" s="7">
        <f>DO543</f>
        <v>0</v>
      </c>
      <c r="AJ543" s="7">
        <f>GW543</f>
        <v>7.4013157894736836E-2</v>
      </c>
      <c r="AK543" s="7">
        <f>GU543</f>
        <v>0.17564184868421054</v>
      </c>
      <c r="AL543" s="7">
        <f>GS543</f>
        <v>1.5456482684210526</v>
      </c>
      <c r="AM543" s="7">
        <f>HV543</f>
        <v>0.11611111111111111</v>
      </c>
      <c r="AN543" s="7">
        <f>IG543</f>
        <v>6.25E-2</v>
      </c>
      <c r="AO543" s="6">
        <v>0</v>
      </c>
      <c r="AP543" s="6"/>
      <c r="AQ543" s="7">
        <f>SUM(AE543:AP543)</f>
        <v>27.90399432763158</v>
      </c>
      <c r="AR543" s="7"/>
      <c r="AS543" s="7"/>
      <c r="AT543" s="6">
        <v>0</v>
      </c>
      <c r="AV543" s="7">
        <f>AQ543+AT543+AU543</f>
        <v>27.90399432763158</v>
      </c>
      <c r="AW543">
        <v>0.113</v>
      </c>
      <c r="AX543">
        <v>0.11</v>
      </c>
      <c r="AY543" s="8">
        <v>1</v>
      </c>
      <c r="AZ543">
        <f>(AW543-AX543)*AY543</f>
        <v>3.0000000000000027E-3</v>
      </c>
      <c r="BA543" s="4">
        <f>AW543*AB543-AZ543*AC543</f>
        <v>10.35069</v>
      </c>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DQ543" t="s">
        <v>2270</v>
      </c>
      <c r="DR543" t="s">
        <v>2271</v>
      </c>
      <c r="DS543">
        <v>1</v>
      </c>
      <c r="DT543" s="4">
        <f>KP543</f>
        <v>11.878732046783625</v>
      </c>
      <c r="DU543" s="4">
        <f>DS543*DT543</f>
        <v>11.878732046783625</v>
      </c>
      <c r="DV543" s="4"/>
      <c r="DW543" s="4"/>
      <c r="DX543" s="4"/>
      <c r="DY543" s="4"/>
      <c r="DZ543" s="4"/>
      <c r="EA543" s="4"/>
      <c r="EB543" s="4"/>
      <c r="EC543" s="4"/>
      <c r="ED543" s="4"/>
      <c r="EE543" s="4"/>
      <c r="EF543">
        <v>450</v>
      </c>
      <c r="EG543">
        <v>4500</v>
      </c>
      <c r="EH543">
        <v>8</v>
      </c>
      <c r="EI543" s="8">
        <v>0.95</v>
      </c>
      <c r="EJ543">
        <v>2</v>
      </c>
      <c r="EK543">
        <v>45</v>
      </c>
      <c r="EL543" s="10">
        <f>3600/EK543*EH543*EJ543*EI543</f>
        <v>1216</v>
      </c>
      <c r="EU543" s="4">
        <f>EG543/EL543</f>
        <v>3.700657894736842</v>
      </c>
      <c r="EV543" s="4"/>
      <c r="EW543" s="4"/>
      <c r="GR543" s="8">
        <v>0.11</v>
      </c>
      <c r="GS543" s="4">
        <f>GR543*(BA543+EU543)</f>
        <v>1.5456482684210526</v>
      </c>
      <c r="GT543" s="9">
        <v>1.2500000000000001E-2</v>
      </c>
      <c r="GU543" s="4">
        <f>GT543*(BA543+EU543)</f>
        <v>0.17564184868421054</v>
      </c>
      <c r="GV543" s="8">
        <v>0.02</v>
      </c>
      <c r="GW543" s="4">
        <f>(GV543*EU543)</f>
        <v>7.4013157894736836E-2</v>
      </c>
      <c r="GX543" s="4">
        <f>GS543+GU543+GW543</f>
        <v>1.7953032750000002</v>
      </c>
      <c r="GY543" t="s">
        <v>130</v>
      </c>
      <c r="GZ543" t="s">
        <v>130</v>
      </c>
      <c r="HA543">
        <v>805</v>
      </c>
      <c r="HB543">
        <v>675</v>
      </c>
      <c r="HC543">
        <v>405</v>
      </c>
      <c r="HD543">
        <v>80</v>
      </c>
      <c r="HE543">
        <v>1500</v>
      </c>
      <c r="HF543" s="4">
        <f>ROUNDUP(HE543/HD543,0)</f>
        <v>19</v>
      </c>
      <c r="HG543">
        <v>5</v>
      </c>
      <c r="HH543" s="4">
        <f>HF543*HG543</f>
        <v>95</v>
      </c>
      <c r="HI543">
        <v>1100</v>
      </c>
      <c r="HJ543" s="4">
        <f>HH543*HI543</f>
        <v>104500</v>
      </c>
      <c r="HM543" s="4">
        <v>2</v>
      </c>
      <c r="HN543" s="10">
        <f>HM543*12*25*HE543</f>
        <v>900000</v>
      </c>
      <c r="HO543" s="4">
        <f>IF(GY543="carton box",HI543/HD543,HJ543/HN543)</f>
        <v>0.11611111111111111</v>
      </c>
      <c r="HP543" s="4">
        <v>160</v>
      </c>
      <c r="HV543" s="4">
        <f>(HO543+HT543)</f>
        <v>0.11611111111111111</v>
      </c>
      <c r="HW543" s="4"/>
      <c r="HX543">
        <v>5016</v>
      </c>
      <c r="HY543" s="4">
        <v>1976</v>
      </c>
      <c r="HZ543" s="4">
        <v>2280</v>
      </c>
      <c r="IA543" s="4">
        <f t="shared" si="567"/>
        <v>6</v>
      </c>
      <c r="IB543" s="4">
        <f t="shared" si="567"/>
        <v>2</v>
      </c>
      <c r="IC543" s="4">
        <f t="shared" si="567"/>
        <v>5</v>
      </c>
      <c r="ID543" s="8">
        <v>1</v>
      </c>
      <c r="IE543" s="4">
        <f>ROUND(PRODUCT(IA543:ID543),0)+40</f>
        <v>100</v>
      </c>
      <c r="IF543" s="4">
        <v>500</v>
      </c>
      <c r="IG543" s="4">
        <f>IF543/(IE543*HD543)</f>
        <v>6.25E-2</v>
      </c>
      <c r="IH543" s="4"/>
      <c r="IM543" s="4" t="s">
        <v>1168</v>
      </c>
      <c r="IN543">
        <v>108</v>
      </c>
      <c r="IO543">
        <v>20</v>
      </c>
      <c r="IQ543">
        <v>4.1000000000000002E-2</v>
      </c>
      <c r="IR543">
        <v>3.3000000000000002E-2</v>
      </c>
      <c r="IS543" s="8">
        <v>1</v>
      </c>
      <c r="IT543">
        <f>(IQ543-IR543)*IS543</f>
        <v>8.0000000000000002E-3</v>
      </c>
      <c r="IU543" s="4">
        <f>IQ543*IN543-IT543*IO543</f>
        <v>4.2679999999999998</v>
      </c>
      <c r="IV543">
        <v>1</v>
      </c>
      <c r="IW543">
        <v>5</v>
      </c>
      <c r="IX543">
        <f>IV543*IW543</f>
        <v>5</v>
      </c>
      <c r="JW543">
        <v>250</v>
      </c>
      <c r="JX543">
        <v>2500</v>
      </c>
      <c r="JY543">
        <v>8</v>
      </c>
      <c r="JZ543" s="8">
        <v>0.95</v>
      </c>
      <c r="KA543">
        <v>2</v>
      </c>
      <c r="KC543" s="72">
        <v>40</v>
      </c>
      <c r="KD543" s="72">
        <f>3600/KC543*JY543*KA543*JZ543</f>
        <v>1368</v>
      </c>
      <c r="KE543" s="97">
        <f>JX543/KD543</f>
        <v>1.827485380116959</v>
      </c>
      <c r="KF543" s="4"/>
      <c r="KG543" s="8">
        <v>0.11</v>
      </c>
      <c r="KH543" s="4">
        <f>(IU543+KE543)*KG543</f>
        <v>0.67050339181286545</v>
      </c>
      <c r="KI543" s="9">
        <v>1.2500000000000001E-2</v>
      </c>
      <c r="KJ543" s="4">
        <f>(IU543+KE543)*KI543</f>
        <v>7.619356725146198E-2</v>
      </c>
      <c r="KK543" s="4"/>
      <c r="KL543" s="4"/>
      <c r="KM543" s="4"/>
      <c r="KN543" s="8">
        <v>0.02</v>
      </c>
      <c r="KO543" s="4">
        <f>KE543*KN543</f>
        <v>3.6549707602339179E-2</v>
      </c>
      <c r="KP543" s="4">
        <f>KO543+KJ543+KH543+IU543+KE543+IX543+JU543</f>
        <v>11.878732046783625</v>
      </c>
    </row>
    <row r="544" spans="1:302">
      <c r="A544">
        <v>529</v>
      </c>
      <c r="B544" t="s">
        <v>468</v>
      </c>
      <c r="C544" t="s">
        <v>2269</v>
      </c>
      <c r="D544" s="28" t="s">
        <v>1384</v>
      </c>
      <c r="E544" s="28" t="s">
        <v>1385</v>
      </c>
      <c r="F544" s="28" t="s">
        <v>2182</v>
      </c>
      <c r="G544" s="27" t="s">
        <v>101</v>
      </c>
      <c r="I544" s="27" t="s">
        <v>121</v>
      </c>
      <c r="J544" s="28">
        <v>21677</v>
      </c>
      <c r="K544" s="27" t="s">
        <v>228</v>
      </c>
      <c r="L544">
        <v>21401</v>
      </c>
      <c r="M544" t="s">
        <v>121</v>
      </c>
      <c r="N544" s="5"/>
      <c r="O544" s="5"/>
      <c r="Q544" s="5" t="s">
        <v>1768</v>
      </c>
      <c r="R544" s="5" t="s">
        <v>1769</v>
      </c>
      <c r="S544" s="5"/>
      <c r="T544" s="5" t="s">
        <v>2251</v>
      </c>
      <c r="U544" s="5"/>
      <c r="V544" s="29" t="s">
        <v>2252</v>
      </c>
      <c r="W544" s="5" t="s">
        <v>2256</v>
      </c>
      <c r="X544" s="5"/>
      <c r="Y544" s="5"/>
      <c r="Z544" s="5"/>
      <c r="AA544" s="51" t="s">
        <v>1168</v>
      </c>
      <c r="AB544" s="66">
        <v>92.13</v>
      </c>
      <c r="AC544">
        <v>20</v>
      </c>
      <c r="AD544"/>
      <c r="AE544" s="7">
        <f>BA544</f>
        <v>10.35069</v>
      </c>
      <c r="AF544" s="7">
        <f>DU544</f>
        <v>11.878732046783625</v>
      </c>
      <c r="AG544" s="7">
        <f>EU544+EX544</f>
        <v>3.700657894736842</v>
      </c>
      <c r="AH544" s="7">
        <f>DM544</f>
        <v>0</v>
      </c>
      <c r="AI544" s="7">
        <f>DO544</f>
        <v>0</v>
      </c>
      <c r="AJ544" s="7">
        <f>GW544</f>
        <v>7.4013157894736836E-2</v>
      </c>
      <c r="AK544" s="7">
        <f>GU544</f>
        <v>0.17564184868421054</v>
      </c>
      <c r="AL544" s="7">
        <f>GS544</f>
        <v>1.5456482684210526</v>
      </c>
      <c r="AM544" s="7">
        <f>HV544</f>
        <v>0.11611111111111111</v>
      </c>
      <c r="AN544" s="7">
        <f>IG544</f>
        <v>6.25E-2</v>
      </c>
      <c r="AO544" s="6">
        <v>0</v>
      </c>
      <c r="AP544" s="6"/>
      <c r="AQ544" s="7">
        <f>SUM(AE544:AP544)</f>
        <v>27.90399432763158</v>
      </c>
      <c r="AR544" s="7"/>
      <c r="AS544" s="7"/>
      <c r="AT544" s="6">
        <v>0</v>
      </c>
      <c r="AV544" s="7">
        <f>AQ544+AT544+AU544</f>
        <v>27.90399432763158</v>
      </c>
      <c r="AW544">
        <v>0.113</v>
      </c>
      <c r="AX544">
        <v>0.11</v>
      </c>
      <c r="AY544" s="8">
        <v>1</v>
      </c>
      <c r="AZ544">
        <f>(AW544-AX544)*AY544</f>
        <v>3.0000000000000027E-3</v>
      </c>
      <c r="BA544" s="4">
        <f>AW544*AB544-AZ544*AC544</f>
        <v>10.35069</v>
      </c>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DQ544" t="s">
        <v>2272</v>
      </c>
      <c r="DR544" t="s">
        <v>2273</v>
      </c>
      <c r="DS544">
        <v>1</v>
      </c>
      <c r="DT544" s="4">
        <f>KP544</f>
        <v>11.878732046783625</v>
      </c>
      <c r="DU544" s="4">
        <f>DS544*DT544</f>
        <v>11.878732046783625</v>
      </c>
      <c r="DV544" s="4"/>
      <c r="DW544" s="4"/>
      <c r="DX544" s="4"/>
      <c r="DY544" s="4"/>
      <c r="DZ544" s="4"/>
      <c r="EA544" s="4"/>
      <c r="EB544" s="4"/>
      <c r="EC544" s="4"/>
      <c r="ED544" s="4"/>
      <c r="EE544" s="4"/>
      <c r="EF544">
        <v>450</v>
      </c>
      <c r="EG544">
        <v>4500</v>
      </c>
      <c r="EH544">
        <v>8</v>
      </c>
      <c r="EI544" s="8">
        <v>0.95</v>
      </c>
      <c r="EJ544">
        <v>2</v>
      </c>
      <c r="EK544">
        <v>45</v>
      </c>
      <c r="EL544" s="10">
        <f>3600/EK544*EH544*EJ544*EI544</f>
        <v>1216</v>
      </c>
      <c r="EU544" s="4">
        <f>EG544/EL544</f>
        <v>3.700657894736842</v>
      </c>
      <c r="EV544" s="4"/>
      <c r="EW544" s="4"/>
      <c r="GR544" s="8">
        <v>0.11</v>
      </c>
      <c r="GS544" s="4">
        <f>GR544*(BA544+EU544)</f>
        <v>1.5456482684210526</v>
      </c>
      <c r="GT544" s="9">
        <v>1.2500000000000001E-2</v>
      </c>
      <c r="GU544" s="4">
        <f>GT544*(BA544+EU544)</f>
        <v>0.17564184868421054</v>
      </c>
      <c r="GV544" s="8">
        <v>0.02</v>
      </c>
      <c r="GW544" s="4">
        <f>(GV544*EU544)</f>
        <v>7.4013157894736836E-2</v>
      </c>
      <c r="GX544" s="4">
        <f>GS544+GU544+GW544</f>
        <v>1.7953032750000002</v>
      </c>
      <c r="GY544" t="s">
        <v>130</v>
      </c>
      <c r="GZ544" t="s">
        <v>130</v>
      </c>
      <c r="HA544">
        <v>805</v>
      </c>
      <c r="HB544">
        <v>675</v>
      </c>
      <c r="HC544">
        <v>405</v>
      </c>
      <c r="HD544">
        <v>80</v>
      </c>
      <c r="HE544">
        <v>1500</v>
      </c>
      <c r="HF544" s="4">
        <f>ROUNDUP(HE544/HD544,0)</f>
        <v>19</v>
      </c>
      <c r="HG544">
        <v>5</v>
      </c>
      <c r="HH544" s="4">
        <f>HF544*HG544</f>
        <v>95</v>
      </c>
      <c r="HI544">
        <v>1100</v>
      </c>
      <c r="HJ544" s="4">
        <f>HH544*HI544</f>
        <v>104500</v>
      </c>
      <c r="HM544" s="4">
        <v>2</v>
      </c>
      <c r="HN544" s="10">
        <f>HM544*12*25*HE544</f>
        <v>900000</v>
      </c>
      <c r="HO544" s="4">
        <f>IF(GY544="carton box",HI544/HD544,HJ544/HN544)</f>
        <v>0.11611111111111111</v>
      </c>
      <c r="HP544" s="4">
        <v>160</v>
      </c>
      <c r="HV544" s="4">
        <f>(HO544+HT544)</f>
        <v>0.11611111111111111</v>
      </c>
      <c r="HW544" s="4"/>
      <c r="HX544">
        <v>5016</v>
      </c>
      <c r="HY544" s="4">
        <v>1976</v>
      </c>
      <c r="HZ544" s="4">
        <v>2280</v>
      </c>
      <c r="IA544" s="4">
        <f t="shared" si="567"/>
        <v>6</v>
      </c>
      <c r="IB544" s="4">
        <f t="shared" si="567"/>
        <v>2</v>
      </c>
      <c r="IC544" s="4">
        <f t="shared" si="567"/>
        <v>5</v>
      </c>
      <c r="ID544" s="8">
        <v>1</v>
      </c>
      <c r="IE544" s="4">
        <f>ROUND(PRODUCT(IA544:ID544),0)+40</f>
        <v>100</v>
      </c>
      <c r="IF544" s="4">
        <v>500</v>
      </c>
      <c r="IG544" s="4">
        <f>IF544/(IE544*HD544)</f>
        <v>6.25E-2</v>
      </c>
      <c r="IH544" s="4"/>
      <c r="IM544" s="4" t="s">
        <v>1168</v>
      </c>
      <c r="IN544">
        <v>108</v>
      </c>
      <c r="IO544">
        <v>20</v>
      </c>
      <c r="IQ544">
        <v>4.1000000000000002E-2</v>
      </c>
      <c r="IR544">
        <v>3.3000000000000002E-2</v>
      </c>
      <c r="IS544" s="8">
        <v>1</v>
      </c>
      <c r="IT544">
        <f>(IQ544-IR544)*IS544</f>
        <v>8.0000000000000002E-3</v>
      </c>
      <c r="IU544" s="4">
        <f>IQ544*IN544-IT544*IO544</f>
        <v>4.2679999999999998</v>
      </c>
      <c r="IV544">
        <v>1</v>
      </c>
      <c r="IW544">
        <v>5</v>
      </c>
      <c r="IX544">
        <f>IV544*IW544</f>
        <v>5</v>
      </c>
      <c r="JW544">
        <v>250</v>
      </c>
      <c r="JX544">
        <v>2500</v>
      </c>
      <c r="JY544">
        <v>8</v>
      </c>
      <c r="JZ544" s="8">
        <v>0.95</v>
      </c>
      <c r="KA544">
        <v>2</v>
      </c>
      <c r="KC544" s="72">
        <v>40</v>
      </c>
      <c r="KD544" s="72">
        <f>3600/KC544*JY544*KA544*JZ544</f>
        <v>1368</v>
      </c>
      <c r="KE544" s="97">
        <f>JX544/KD544</f>
        <v>1.827485380116959</v>
      </c>
      <c r="KF544" s="4"/>
      <c r="KG544" s="8">
        <v>0.11</v>
      </c>
      <c r="KH544" s="4">
        <f>(IU544+KE544)*KG544</f>
        <v>0.67050339181286545</v>
      </c>
      <c r="KI544" s="9">
        <v>1.2500000000000001E-2</v>
      </c>
      <c r="KJ544" s="4">
        <f>(IU544+KE544)*KI544</f>
        <v>7.619356725146198E-2</v>
      </c>
      <c r="KK544" s="4"/>
      <c r="KL544" s="4"/>
      <c r="KM544" s="4"/>
      <c r="KN544" s="8">
        <v>0.02</v>
      </c>
      <c r="KO544" s="4">
        <f>KE544*KN544</f>
        <v>3.6549707602339179E-2</v>
      </c>
      <c r="KP544" s="4">
        <f>KO544+KJ544+KH544+IU544+KE544+IX544+JU544</f>
        <v>11.878732046783625</v>
      </c>
    </row>
    <row r="545" spans="1:242">
      <c r="A545">
        <v>530</v>
      </c>
      <c r="B545" t="s">
        <v>468</v>
      </c>
      <c r="C545" t="s">
        <v>2274</v>
      </c>
      <c r="D545" s="28" t="s">
        <v>1386</v>
      </c>
      <c r="E545" s="28" t="s">
        <v>148</v>
      </c>
      <c r="F545" s="28" t="s">
        <v>2182</v>
      </c>
      <c r="G545" s="27" t="s">
        <v>101</v>
      </c>
      <c r="I545" s="27" t="s">
        <v>121</v>
      </c>
      <c r="J545" s="28">
        <v>21677</v>
      </c>
      <c r="K545" s="27" t="s">
        <v>228</v>
      </c>
      <c r="L545">
        <v>21401</v>
      </c>
      <c r="M545" t="s">
        <v>121</v>
      </c>
      <c r="N545" s="5"/>
      <c r="O545" s="5"/>
      <c r="Q545" s="5" t="s">
        <v>1768</v>
      </c>
      <c r="R545" s="5" t="s">
        <v>1769</v>
      </c>
      <c r="S545" s="5"/>
      <c r="T545" s="5" t="s">
        <v>2251</v>
      </c>
      <c r="U545" s="5"/>
      <c r="V545" s="29" t="s">
        <v>2252</v>
      </c>
      <c r="W545" s="5" t="s">
        <v>2256</v>
      </c>
      <c r="X545" s="5"/>
      <c r="Y545" s="5"/>
      <c r="Z545" s="5"/>
      <c r="AA545" s="51" t="s">
        <v>2275</v>
      </c>
      <c r="AB545" s="66">
        <v>92.13</v>
      </c>
      <c r="AC545">
        <v>20</v>
      </c>
      <c r="AD545"/>
      <c r="AE545" s="7">
        <f>BA545</f>
        <v>16.543399999999998</v>
      </c>
      <c r="AF545" s="7">
        <f>DU545</f>
        <v>2.0499999999999998</v>
      </c>
      <c r="AG545" s="7">
        <f>EU545+EX545</f>
        <v>4.1118421052631575</v>
      </c>
      <c r="AH545" s="7">
        <f>DM545</f>
        <v>0</v>
      </c>
      <c r="AI545" s="7">
        <f>DO545</f>
        <v>0</v>
      </c>
      <c r="AJ545" s="7">
        <f>GW545</f>
        <v>8.223684210526315E-2</v>
      </c>
      <c r="AK545" s="7">
        <f>GU545</f>
        <v>0.25819052631578948</v>
      </c>
      <c r="AL545" s="7">
        <f>GS545</f>
        <v>2.2720766315789471</v>
      </c>
      <c r="AM545" s="7">
        <f>HV545</f>
        <v>0.31</v>
      </c>
      <c r="AN545" s="7">
        <f>IG545</f>
        <v>0.14000000000000001</v>
      </c>
      <c r="AO545" s="6">
        <v>0</v>
      </c>
      <c r="AP545" s="6"/>
      <c r="AQ545" s="7">
        <f>SUM(AE545:AP545)</f>
        <v>25.767746105263157</v>
      </c>
      <c r="AR545" s="7"/>
      <c r="AS545" s="7"/>
      <c r="AT545" s="6">
        <v>0</v>
      </c>
      <c r="AV545" s="7">
        <f>AQ545+AT545+AU545</f>
        <v>25.767746105263157</v>
      </c>
      <c r="AW545">
        <v>0.18</v>
      </c>
      <c r="AX545">
        <v>0.17799999999999999</v>
      </c>
      <c r="AY545" s="8">
        <v>1</v>
      </c>
      <c r="AZ545">
        <f>(AW545-AX545)*AY545</f>
        <v>2.0000000000000018E-3</v>
      </c>
      <c r="BA545" s="4">
        <f>AW545*AB545-AZ545*AC545</f>
        <v>16.543399999999998</v>
      </c>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DQ545" t="s">
        <v>2276</v>
      </c>
      <c r="DR545" t="s">
        <v>2277</v>
      </c>
      <c r="DS545">
        <v>1</v>
      </c>
      <c r="DT545">
        <v>2.0499999999999998</v>
      </c>
      <c r="DU545">
        <f>DS545*DT545</f>
        <v>2.0499999999999998</v>
      </c>
      <c r="EF545">
        <v>250</v>
      </c>
      <c r="EG545">
        <v>2500</v>
      </c>
      <c r="EH545">
        <v>8</v>
      </c>
      <c r="EI545" s="8">
        <v>0.95</v>
      </c>
      <c r="EJ545">
        <v>1</v>
      </c>
      <c r="EK545">
        <v>45</v>
      </c>
      <c r="EL545" s="10">
        <f>3600/EK545*EH545*EJ545*EI545</f>
        <v>608</v>
      </c>
      <c r="EU545" s="4">
        <f>EG545/EL545</f>
        <v>4.1118421052631575</v>
      </c>
      <c r="EV545" s="4"/>
      <c r="EW545" s="4"/>
      <c r="GR545" s="8">
        <v>0.11</v>
      </c>
      <c r="GS545" s="4">
        <f>GR545*(BA545+EU545)</f>
        <v>2.2720766315789471</v>
      </c>
      <c r="GT545" s="9">
        <v>1.2500000000000001E-2</v>
      </c>
      <c r="GU545" s="4">
        <f>GT545*(BA545+EU545)</f>
        <v>0.25819052631578948</v>
      </c>
      <c r="GV545" s="8">
        <v>0.02</v>
      </c>
      <c r="GW545" s="4">
        <f>(GV545*EU545)</f>
        <v>8.223684210526315E-2</v>
      </c>
      <c r="GX545" s="4">
        <f>GS545+GU545+GW545</f>
        <v>2.6125039999999999</v>
      </c>
      <c r="GY545" t="s">
        <v>130</v>
      </c>
      <c r="GZ545" t="s">
        <v>130</v>
      </c>
      <c r="HA545">
        <v>805</v>
      </c>
      <c r="HB545">
        <v>675</v>
      </c>
      <c r="HC545">
        <v>405</v>
      </c>
      <c r="HD545">
        <v>30</v>
      </c>
      <c r="HE545">
        <v>1500</v>
      </c>
      <c r="HF545" s="4">
        <f>ROUNDUP(HE545/HD545,0)</f>
        <v>50</v>
      </c>
      <c r="HG545">
        <v>5</v>
      </c>
      <c r="HH545" s="4">
        <f>HF545*HG545</f>
        <v>250</v>
      </c>
      <c r="HI545">
        <v>1100</v>
      </c>
      <c r="HJ545" s="4">
        <f>HH545*HI545</f>
        <v>275000</v>
      </c>
      <c r="HM545" s="4">
        <v>2</v>
      </c>
      <c r="HN545" s="10">
        <f>HM545*12*25*HE545</f>
        <v>900000</v>
      </c>
      <c r="HO545" s="4">
        <f>IF(GY545="carton box",HI545/HD545,HJ545/HN545)</f>
        <v>0.30555555555555558</v>
      </c>
      <c r="HP545" s="4">
        <v>160</v>
      </c>
      <c r="HV545" s="4">
        <f>ROUNDUP(HO545+HT545,2)</f>
        <v>0.31</v>
      </c>
      <c r="HW545" s="4"/>
      <c r="HX545">
        <v>5016</v>
      </c>
      <c r="HY545" s="4">
        <v>1976</v>
      </c>
      <c r="HZ545" s="4">
        <v>2280</v>
      </c>
      <c r="IA545" s="4">
        <f t="shared" si="567"/>
        <v>6</v>
      </c>
      <c r="IB545" s="4">
        <f t="shared" si="567"/>
        <v>2</v>
      </c>
      <c r="IC545" s="4">
        <f t="shared" si="567"/>
        <v>5</v>
      </c>
      <c r="ID545" s="8">
        <v>1</v>
      </c>
      <c r="IE545" s="4">
        <f>ROUND(PRODUCT(IA545:ID545),0)+60</f>
        <v>120</v>
      </c>
      <c r="IF545" s="4">
        <v>500</v>
      </c>
      <c r="IG545" s="4">
        <f>ROUNDUP(IF545/(IE545*HD545),2)</f>
        <v>0.14000000000000001</v>
      </c>
      <c r="IH545" s="4"/>
    </row>
    <row r="546" spans="1:242">
      <c r="A546">
        <v>531</v>
      </c>
      <c r="B546" s="301" t="s">
        <v>1947</v>
      </c>
      <c r="D546" s="28" t="s">
        <v>1386</v>
      </c>
      <c r="E546" s="28" t="s">
        <v>148</v>
      </c>
      <c r="F546" s="28"/>
      <c r="G546" s="27" t="s">
        <v>101</v>
      </c>
      <c r="I546" s="27" t="s">
        <v>121</v>
      </c>
      <c r="J546" s="28">
        <v>29010</v>
      </c>
      <c r="K546" s="27" t="s">
        <v>229</v>
      </c>
    </row>
    <row r="547" spans="1:242">
      <c r="A547">
        <v>532</v>
      </c>
      <c r="B547" t="s">
        <v>1947</v>
      </c>
      <c r="D547" s="28" t="s">
        <v>1386</v>
      </c>
      <c r="E547" s="28" t="s">
        <v>148</v>
      </c>
      <c r="F547" s="28"/>
      <c r="G547" s="27" t="s">
        <v>101</v>
      </c>
      <c r="I547" s="27" t="s">
        <v>121</v>
      </c>
      <c r="J547" s="28">
        <v>20178</v>
      </c>
      <c r="K547" s="27" t="s">
        <v>1243</v>
      </c>
    </row>
    <row r="548" spans="1:242">
      <c r="A548">
        <v>533</v>
      </c>
      <c r="B548" s="301" t="s">
        <v>1947</v>
      </c>
      <c r="D548" s="28" t="s">
        <v>1387</v>
      </c>
      <c r="E548" s="28" t="s">
        <v>1388</v>
      </c>
      <c r="F548" s="28"/>
      <c r="G548" s="27" t="s">
        <v>101</v>
      </c>
      <c r="I548" s="27" t="s">
        <v>121</v>
      </c>
      <c r="J548" s="28">
        <v>21677</v>
      </c>
      <c r="K548" s="27" t="s">
        <v>228</v>
      </c>
    </row>
    <row r="549" spans="1:242">
      <c r="A549">
        <v>534</v>
      </c>
      <c r="B549" s="301" t="s">
        <v>1947</v>
      </c>
      <c r="D549" s="28" t="s">
        <v>1387</v>
      </c>
      <c r="E549" s="28" t="s">
        <v>1388</v>
      </c>
      <c r="F549" s="28"/>
      <c r="G549" s="27" t="s">
        <v>101</v>
      </c>
      <c r="I549" s="27" t="s">
        <v>121</v>
      </c>
      <c r="J549" s="28">
        <v>29010</v>
      </c>
      <c r="K549" s="27" t="s">
        <v>229</v>
      </c>
    </row>
    <row r="550" spans="1:242" ht="30">
      <c r="A550">
        <v>535</v>
      </c>
      <c r="C550" t="s">
        <v>2280</v>
      </c>
      <c r="D550" s="28" t="s">
        <v>1389</v>
      </c>
      <c r="E550" s="28" t="s">
        <v>1390</v>
      </c>
      <c r="F550" s="28"/>
      <c r="G550" s="27" t="s">
        <v>101</v>
      </c>
      <c r="I550" s="27" t="s">
        <v>121</v>
      </c>
      <c r="J550" s="28">
        <v>21697</v>
      </c>
      <c r="K550" s="27" t="s">
        <v>227</v>
      </c>
      <c r="L550">
        <v>20089</v>
      </c>
      <c r="M550" t="s">
        <v>121</v>
      </c>
      <c r="N550" s="13" t="s">
        <v>2281</v>
      </c>
      <c r="O550" s="13" t="s">
        <v>2282</v>
      </c>
      <c r="P550" s="332">
        <v>44144</v>
      </c>
      <c r="W550" s="72" t="s">
        <v>2283</v>
      </c>
    </row>
    <row r="551" spans="1:242">
      <c r="A551">
        <v>536</v>
      </c>
      <c r="B551" t="s">
        <v>468</v>
      </c>
      <c r="C551" t="s">
        <v>2278</v>
      </c>
      <c r="D551" s="28" t="s">
        <v>1391</v>
      </c>
      <c r="E551" s="28" t="s">
        <v>1392</v>
      </c>
      <c r="F551" s="28" t="s">
        <v>2182</v>
      </c>
      <c r="G551" s="27" t="s">
        <v>101</v>
      </c>
      <c r="I551" s="27" t="s">
        <v>121</v>
      </c>
      <c r="J551" s="28">
        <v>21697</v>
      </c>
      <c r="K551" s="27" t="s">
        <v>227</v>
      </c>
      <c r="L551">
        <v>20089</v>
      </c>
      <c r="M551" t="s">
        <v>121</v>
      </c>
      <c r="N551" s="5"/>
      <c r="O551" s="5"/>
      <c r="Q551" s="5" t="s">
        <v>1786</v>
      </c>
      <c r="R551" s="5" t="s">
        <v>1769</v>
      </c>
      <c r="S551" s="5"/>
      <c r="T551" s="5" t="s">
        <v>2251</v>
      </c>
      <c r="U551" s="5"/>
      <c r="V551" s="29" t="s">
        <v>2252</v>
      </c>
      <c r="W551" s="5" t="s">
        <v>2279</v>
      </c>
      <c r="X551" s="5"/>
      <c r="Y551" s="5"/>
      <c r="Z551" s="5"/>
      <c r="AA551" s="51" t="s">
        <v>469</v>
      </c>
      <c r="AB551" s="66">
        <v>93.44</v>
      </c>
      <c r="AC551">
        <v>20</v>
      </c>
      <c r="AD551"/>
      <c r="AE551" s="7">
        <f>BA551</f>
        <v>0.42271999999999998</v>
      </c>
      <c r="AF551" s="7"/>
      <c r="AG551" s="7">
        <f>EU551+EX551</f>
        <v>0.64091220850480124</v>
      </c>
      <c r="AH551" s="7">
        <f>DM551</f>
        <v>0</v>
      </c>
      <c r="AI551" s="7">
        <f>DO551</f>
        <v>0</v>
      </c>
      <c r="AJ551" s="7">
        <f>GW551</f>
        <v>1.2818244170096025E-2</v>
      </c>
      <c r="AK551" s="7">
        <f>GU551</f>
        <v>1.5954483127572017E-2</v>
      </c>
      <c r="AL551" s="7">
        <f>GS551</f>
        <v>0.13295402606310014</v>
      </c>
      <c r="AM551" s="7">
        <f>HV551</f>
        <v>0.02</v>
      </c>
      <c r="AN551" s="7">
        <f>IG551</f>
        <v>0.01</v>
      </c>
      <c r="AO551" s="6">
        <v>0</v>
      </c>
      <c r="AP551" s="6"/>
      <c r="AQ551" s="7">
        <f>SUM(AE551:AP551)</f>
        <v>1.2553589618655692</v>
      </c>
      <c r="AR551" s="7"/>
      <c r="AS551" s="7"/>
      <c r="AT551" s="6">
        <v>0</v>
      </c>
      <c r="AV551" s="7">
        <f>AQ551+AT551+AU551</f>
        <v>1.2553589618655692</v>
      </c>
      <c r="AW551" s="14">
        <v>4.6666666666666671E-3</v>
      </c>
      <c r="AX551">
        <v>4.0000000000000001E-3</v>
      </c>
      <c r="AY551" s="8">
        <v>1</v>
      </c>
      <c r="AZ551" s="296">
        <f>(AW551-AX551)*AY551</f>
        <v>6.6666666666666697E-4</v>
      </c>
      <c r="BA551" s="4">
        <f>AW551*AB551-AZ551*AC551</f>
        <v>0.42271999999999998</v>
      </c>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EF551">
        <v>90</v>
      </c>
      <c r="EG551">
        <v>1699</v>
      </c>
      <c r="EH551">
        <v>7.5</v>
      </c>
      <c r="EI551" s="8">
        <v>0.9</v>
      </c>
      <c r="EJ551">
        <v>6</v>
      </c>
      <c r="EK551">
        <v>55</v>
      </c>
      <c r="EL551" s="10">
        <f>3600/EK551*EH551*EJ551*EI551</f>
        <v>2650.9090909090905</v>
      </c>
      <c r="EU551" s="4">
        <f>EG551/EL551</f>
        <v>0.64091220850480124</v>
      </c>
      <c r="EV551" s="4"/>
      <c r="EW551" s="4"/>
      <c r="GR551" s="9">
        <v>0.125</v>
      </c>
      <c r="GS551" s="4">
        <f>GR551*(BA551+EU551)</f>
        <v>0.13295402606310014</v>
      </c>
      <c r="GT551" s="9">
        <v>1.4999999999999999E-2</v>
      </c>
      <c r="GU551" s="4">
        <f>GT551*(BA551+EU551)</f>
        <v>1.5954483127572017E-2</v>
      </c>
      <c r="GV551" s="8">
        <v>0.02</v>
      </c>
      <c r="GW551" s="4">
        <f>(GV551*EU551)</f>
        <v>1.2818244170096025E-2</v>
      </c>
      <c r="GX551" s="4">
        <f>GS551+GU551+GW551</f>
        <v>0.16172675336076819</v>
      </c>
      <c r="GY551" t="s">
        <v>43</v>
      </c>
      <c r="GZ551" t="s">
        <v>87</v>
      </c>
      <c r="HA551">
        <v>650</v>
      </c>
      <c r="HB551">
        <v>450</v>
      </c>
      <c r="HC551">
        <v>330</v>
      </c>
      <c r="HD551">
        <v>3000</v>
      </c>
      <c r="HE551">
        <v>1000</v>
      </c>
      <c r="HF551" s="4">
        <f>ROUNDUP(HE551/HD551,0)</f>
        <v>1</v>
      </c>
      <c r="HG551">
        <v>5</v>
      </c>
      <c r="HH551" s="4">
        <f>HF551*HG551</f>
        <v>5</v>
      </c>
      <c r="HI551">
        <v>650</v>
      </c>
      <c r="HJ551" s="4">
        <f>HH551*HI551</f>
        <v>3250</v>
      </c>
      <c r="HM551" s="4">
        <v>2</v>
      </c>
      <c r="HN551" s="10">
        <f>HM551*12*25*HE551</f>
        <v>600000</v>
      </c>
      <c r="HO551" s="4">
        <f>IF(GY551="carton box",HI551/HD551,HJ551/HN551)</f>
        <v>5.4166666666666669E-3</v>
      </c>
      <c r="HP551" s="4">
        <v>160</v>
      </c>
      <c r="HR551">
        <v>2</v>
      </c>
      <c r="HS551">
        <v>250</v>
      </c>
      <c r="HT551" s="4">
        <f>HR551/HS551</f>
        <v>8.0000000000000002E-3</v>
      </c>
      <c r="HU551" s="4"/>
      <c r="HV551" s="4">
        <f>ROUNDUP((HO551+HT551),2)</f>
        <v>0.02</v>
      </c>
      <c r="HW551" s="4"/>
      <c r="HX551">
        <v>4200</v>
      </c>
      <c r="HY551">
        <v>1900</v>
      </c>
      <c r="HZ551">
        <v>1975</v>
      </c>
      <c r="IA551" s="4">
        <f>ROUNDDOWN(HX551/HA551,0)</f>
        <v>6</v>
      </c>
      <c r="IB551" s="4">
        <f>ROUNDDOWN(HY551/HB551,0)</f>
        <v>4</v>
      </c>
      <c r="IC551" s="4">
        <f>ROUNDDOWN(HZ551/HC551,0)</f>
        <v>5</v>
      </c>
      <c r="ID551" s="8">
        <v>1</v>
      </c>
      <c r="IE551" s="4">
        <f>ROUND(PRODUCT(IA551:ID551),0)+60</f>
        <v>180</v>
      </c>
      <c r="IF551" s="4">
        <v>1240</v>
      </c>
      <c r="IG551" s="4">
        <f>ROUNDUP(IF551/(IE551*HD551),2)</f>
        <v>0.01</v>
      </c>
      <c r="IH551" s="4"/>
    </row>
    <row r="552" spans="1:242">
      <c r="A552">
        <v>537</v>
      </c>
      <c r="D552" s="28" t="s">
        <v>1393</v>
      </c>
      <c r="E552" s="28" t="s">
        <v>1394</v>
      </c>
      <c r="F552" s="28"/>
      <c r="G552" s="27" t="s">
        <v>101</v>
      </c>
      <c r="I552" s="27" t="s">
        <v>121</v>
      </c>
      <c r="J552" s="28">
        <v>21697</v>
      </c>
      <c r="K552" s="27" t="s">
        <v>227</v>
      </c>
    </row>
    <row r="553" spans="1:242">
      <c r="A553">
        <v>538</v>
      </c>
      <c r="B553" t="s">
        <v>1947</v>
      </c>
      <c r="D553" s="28" t="s">
        <v>1395</v>
      </c>
      <c r="E553" s="28" t="s">
        <v>188</v>
      </c>
      <c r="F553" s="28"/>
      <c r="G553" s="27" t="s">
        <v>101</v>
      </c>
      <c r="I553" s="27" t="s">
        <v>121</v>
      </c>
      <c r="J553" s="28">
        <v>29010</v>
      </c>
      <c r="K553" s="27" t="s">
        <v>229</v>
      </c>
    </row>
    <row r="554" spans="1:242">
      <c r="A554">
        <v>539</v>
      </c>
      <c r="B554" t="s">
        <v>468</v>
      </c>
      <c r="C554" t="s">
        <v>2284</v>
      </c>
      <c r="D554" s="28" t="s">
        <v>1395</v>
      </c>
      <c r="E554" s="28" t="s">
        <v>188</v>
      </c>
      <c r="F554" s="28" t="s">
        <v>2182</v>
      </c>
      <c r="G554" s="27" t="s">
        <v>101</v>
      </c>
      <c r="I554" s="27" t="s">
        <v>121</v>
      </c>
      <c r="J554" s="28">
        <v>21677</v>
      </c>
      <c r="K554" s="27" t="s">
        <v>228</v>
      </c>
      <c r="L554">
        <v>21401</v>
      </c>
      <c r="M554" t="s">
        <v>121</v>
      </c>
      <c r="Q554" s="5" t="s">
        <v>1786</v>
      </c>
      <c r="R554" s="5" t="s">
        <v>1769</v>
      </c>
      <c r="S554" s="5"/>
      <c r="T554" s="5" t="s">
        <v>2251</v>
      </c>
      <c r="U554" s="5"/>
      <c r="V554" s="29" t="s">
        <v>2252</v>
      </c>
      <c r="W554" s="5" t="s">
        <v>2326</v>
      </c>
      <c r="X554" s="5"/>
      <c r="Y554" s="5"/>
      <c r="Z554" s="5"/>
      <c r="AA554" s="51" t="s">
        <v>939</v>
      </c>
      <c r="AB554" s="339">
        <v>95.6</v>
      </c>
      <c r="AC554" s="51">
        <v>20</v>
      </c>
      <c r="AD554" s="51" t="s">
        <v>285</v>
      </c>
      <c r="AE554" s="7">
        <f>BA554</f>
        <v>107.2632</v>
      </c>
      <c r="AF554" s="7"/>
      <c r="AG554" s="7">
        <f>EU554</f>
        <v>14.125887635756056</v>
      </c>
      <c r="AH554" s="7">
        <f>DM554</f>
        <v>16.281199999999998</v>
      </c>
      <c r="AI554" s="7">
        <f>DO554</f>
        <v>0.203515</v>
      </c>
      <c r="AJ554" s="7">
        <f>GW554</f>
        <v>0.26133040935672514</v>
      </c>
      <c r="AK554" s="7">
        <f>GU554</f>
        <v>1.5041215058479533</v>
      </c>
      <c r="AL554" s="7">
        <f>GS554</f>
        <v>13.236269251461987</v>
      </c>
      <c r="AM554" s="7">
        <f>HV554</f>
        <v>1.9444444444444444</v>
      </c>
      <c r="AN554" s="7">
        <f>IG554</f>
        <v>2.3148148148148149</v>
      </c>
      <c r="AO554" s="6">
        <v>0</v>
      </c>
      <c r="AP554" s="6"/>
      <c r="AQ554" s="7">
        <f>SUM(AE554:AP554)</f>
        <v>157.13478306168199</v>
      </c>
      <c r="AR554" s="7"/>
      <c r="AS554" s="7"/>
      <c r="AT554" s="6">
        <v>0</v>
      </c>
      <c r="AV554" s="7">
        <f>AQ554+AT554+AU554</f>
        <v>157.13478306168199</v>
      </c>
      <c r="AW554">
        <v>1.1220000000000001</v>
      </c>
      <c r="AX554">
        <v>1.1220000000000001</v>
      </c>
      <c r="AY554" s="8">
        <v>1</v>
      </c>
      <c r="AZ554" s="14">
        <f>(AW554-AX554)*AY554</f>
        <v>0</v>
      </c>
      <c r="BA554" s="4">
        <f>AW554*AB554-AZ554*AC554</f>
        <v>107.2632</v>
      </c>
      <c r="BB554" s="4"/>
      <c r="BC554" s="4"/>
      <c r="BD554" s="4"/>
      <c r="BE554" s="4"/>
      <c r="BF554" s="4"/>
      <c r="BG554" s="4"/>
      <c r="BH554" s="4"/>
      <c r="BI554" s="4"/>
      <c r="CI554" t="s">
        <v>513</v>
      </c>
      <c r="CJ554" t="s">
        <v>514</v>
      </c>
      <c r="CK554">
        <v>1</v>
      </c>
      <c r="CL554">
        <f>10.36*1.01</f>
        <v>10.4636</v>
      </c>
      <c r="CM554" s="4">
        <f>CK554*CL554</f>
        <v>10.4636</v>
      </c>
      <c r="CN554" t="s">
        <v>515</v>
      </c>
      <c r="CO554" t="s">
        <v>597</v>
      </c>
      <c r="CP554">
        <v>1</v>
      </c>
      <c r="CQ554">
        <f>5.76*1.01</f>
        <v>5.8175999999999997</v>
      </c>
      <c r="CR554" s="4">
        <f>CP554*CQ554</f>
        <v>5.8175999999999997</v>
      </c>
      <c r="DM554" s="4">
        <f>CH554+CM554+CR554+DB554+DG554+DL554</f>
        <v>16.281199999999998</v>
      </c>
      <c r="DN554" s="9">
        <v>1.2500000000000001E-2</v>
      </c>
      <c r="DO554" s="4">
        <f>DM554*DN554</f>
        <v>0.203515</v>
      </c>
      <c r="DP554" s="4">
        <f>DM554+DO554</f>
        <v>16.484714999999998</v>
      </c>
      <c r="EF554">
        <v>550</v>
      </c>
      <c r="EG554">
        <v>5500</v>
      </c>
      <c r="EH554">
        <v>8</v>
      </c>
      <c r="EI554" s="8">
        <v>0.95</v>
      </c>
      <c r="EJ554">
        <v>1</v>
      </c>
      <c r="EK554">
        <v>65</v>
      </c>
      <c r="EL554" s="10">
        <f>3600/EK554*EH554*EJ554*EI554</f>
        <v>420.92307692307691</v>
      </c>
      <c r="EU554" s="4">
        <f>EG554/EL554+FA554</f>
        <v>14.125887635756056</v>
      </c>
      <c r="EV554" s="4"/>
      <c r="EW554" s="4"/>
      <c r="EX554" s="4">
        <f>550/(3600/45*8*0.95)</f>
        <v>0.90460526315789469</v>
      </c>
      <c r="EY554" s="4">
        <f>130000/(2*300*1400)</f>
        <v>0.15476190476190477</v>
      </c>
      <c r="FA554" s="4">
        <f>EX554+EY554</f>
        <v>1.0593671679197993</v>
      </c>
      <c r="FB554" s="4"/>
      <c r="FC554" s="4"/>
      <c r="FD554" s="4"/>
      <c r="FE554" s="4"/>
      <c r="FF554" s="4"/>
      <c r="FG554" s="4"/>
      <c r="FH554" s="4"/>
      <c r="FI554" s="4"/>
      <c r="FJ554" s="4"/>
      <c r="FK554" s="4"/>
      <c r="FL554" s="4"/>
      <c r="FM554" s="4"/>
      <c r="FN554" s="4"/>
      <c r="FO554" s="4"/>
      <c r="FP554" s="4"/>
      <c r="FQ554" s="4"/>
      <c r="FR554" s="4"/>
      <c r="FS554" s="4"/>
      <c r="FT554" s="4"/>
      <c r="FU554" s="4"/>
      <c r="FV554" s="4"/>
      <c r="FW554" s="4"/>
      <c r="FX554" s="4"/>
      <c r="FY554" s="4"/>
      <c r="FZ554" s="4"/>
      <c r="GA554" s="4"/>
      <c r="GB554" s="4"/>
      <c r="GC554" s="4"/>
      <c r="GD554" s="4"/>
      <c r="GE554" s="4"/>
      <c r="GF554" s="4"/>
      <c r="GG554" s="4"/>
      <c r="GH554" s="4"/>
      <c r="GI554" s="4"/>
      <c r="GJ554" s="4"/>
      <c r="GK554" s="4"/>
      <c r="GL554" s="4"/>
      <c r="GM554" s="4"/>
      <c r="GN554" s="4"/>
      <c r="GO554" s="4"/>
      <c r="GP554" s="4"/>
      <c r="GQ554" s="4"/>
      <c r="GR554" s="8">
        <v>0.11</v>
      </c>
      <c r="GS554" s="4">
        <f>GR554*(BA554+EU554-FA554)</f>
        <v>13.236269251461987</v>
      </c>
      <c r="GT554" s="9">
        <v>1.2500000000000001E-2</v>
      </c>
      <c r="GU554" s="4">
        <f>GT554*(BA554+EU554-FA554)</f>
        <v>1.5041215058479533</v>
      </c>
      <c r="GV554" s="8">
        <v>0.02</v>
      </c>
      <c r="GW554" s="4">
        <f>(GV554*(EU554-FA554))</f>
        <v>0.26133040935672514</v>
      </c>
      <c r="GX554" s="4">
        <f>GS554+GU554+GW554</f>
        <v>15.001721166666666</v>
      </c>
      <c r="GY554" t="s">
        <v>130</v>
      </c>
      <c r="GZ554" t="s">
        <v>130</v>
      </c>
      <c r="HA554">
        <v>1350</v>
      </c>
      <c r="HB554">
        <v>950</v>
      </c>
      <c r="HC554">
        <v>2400</v>
      </c>
      <c r="HD554">
        <v>36</v>
      </c>
      <c r="HE554">
        <v>1000</v>
      </c>
      <c r="HF554" s="4">
        <f>ROUNDUP(HE554/HD554,0)</f>
        <v>28</v>
      </c>
      <c r="HG554">
        <v>5</v>
      </c>
      <c r="HH554" s="4">
        <f>HF554*HG554</f>
        <v>140</v>
      </c>
      <c r="HI554">
        <v>12500</v>
      </c>
      <c r="HJ554" s="4">
        <f>HH554*HI554</f>
        <v>1750000</v>
      </c>
      <c r="HM554" s="4">
        <v>3</v>
      </c>
      <c r="HN554" s="10">
        <f>HM554*12*25*HE554</f>
        <v>900000</v>
      </c>
      <c r="HO554" s="4">
        <f>IF(GY554="carton box",HI554/HD554,HJ554/HN554)</f>
        <v>1.9444444444444444</v>
      </c>
      <c r="HP554" s="4">
        <v>160</v>
      </c>
      <c r="HV554" s="4">
        <f>(HO554+HT554)</f>
        <v>1.9444444444444444</v>
      </c>
      <c r="HW554" s="4"/>
      <c r="HX554">
        <v>5016</v>
      </c>
      <c r="HY554">
        <v>1976</v>
      </c>
      <c r="HZ554">
        <v>2280</v>
      </c>
      <c r="IA554" s="4">
        <f t="shared" ref="IA554:IB558" si="568">ROUNDDOWN(HX554/HA554,0)</f>
        <v>3</v>
      </c>
      <c r="IB554" s="4">
        <f t="shared" si="568"/>
        <v>2</v>
      </c>
      <c r="IC554" s="4">
        <f>ROUNDDOWN(HZ554/HC554,0)+1</f>
        <v>1</v>
      </c>
      <c r="ID554" s="8">
        <v>1</v>
      </c>
      <c r="IE554" s="4">
        <f>ROUND(PRODUCT(IA554:ID554),0)</f>
        <v>6</v>
      </c>
      <c r="IF554" s="4">
        <v>500</v>
      </c>
      <c r="IG554" s="4">
        <f>IF554/(IE554*HD554)</f>
        <v>2.3148148148148149</v>
      </c>
      <c r="IH554" s="4"/>
    </row>
    <row r="555" spans="1:242">
      <c r="A555">
        <v>540</v>
      </c>
      <c r="B555" t="s">
        <v>468</v>
      </c>
      <c r="C555" t="s">
        <v>2285</v>
      </c>
      <c r="D555" s="28" t="s">
        <v>1396</v>
      </c>
      <c r="E555" s="28" t="s">
        <v>1388</v>
      </c>
      <c r="F555" s="28" t="s">
        <v>2182</v>
      </c>
      <c r="G555" s="27" t="s">
        <v>101</v>
      </c>
      <c r="I555" s="27" t="s">
        <v>121</v>
      </c>
      <c r="J555" s="28">
        <v>21677</v>
      </c>
      <c r="K555" s="27" t="s">
        <v>228</v>
      </c>
      <c r="L555">
        <v>21401</v>
      </c>
      <c r="M555" t="s">
        <v>121</v>
      </c>
      <c r="N555" s="5"/>
      <c r="O555" s="5"/>
      <c r="Q555" s="5" t="s">
        <v>1786</v>
      </c>
      <c r="R555" s="5" t="s">
        <v>1769</v>
      </c>
      <c r="S555" s="5"/>
      <c r="T555" s="5" t="s">
        <v>2251</v>
      </c>
      <c r="U555" s="5"/>
      <c r="V555" s="29" t="s">
        <v>2252</v>
      </c>
      <c r="W555" s="5" t="s">
        <v>2326</v>
      </c>
      <c r="X555" s="5"/>
      <c r="Y555" s="5"/>
      <c r="Z555" s="5"/>
      <c r="AA555" s="51" t="s">
        <v>1168</v>
      </c>
      <c r="AB555" s="66">
        <v>98.1</v>
      </c>
      <c r="AC555">
        <v>20</v>
      </c>
      <c r="AD555" t="s">
        <v>1948</v>
      </c>
      <c r="AE555" s="7">
        <f>BA555</f>
        <v>85.346999999999994</v>
      </c>
      <c r="AF555" s="7"/>
      <c r="AG555" s="7">
        <f>EU555+EX555</f>
        <v>15.442251461988304</v>
      </c>
      <c r="AH555" s="7">
        <f>DM555</f>
        <v>13.59</v>
      </c>
      <c r="AI555" s="7">
        <f>DO555</f>
        <v>0.169875</v>
      </c>
      <c r="AJ555" s="7">
        <f>GW555</f>
        <v>0.30884502923976609</v>
      </c>
      <c r="AK555" s="7">
        <f>GU555</f>
        <v>1.2598656432748538</v>
      </c>
      <c r="AL555" s="7">
        <f>GS555</f>
        <v>11.086817660818713</v>
      </c>
      <c r="AM555" s="7">
        <f>HV555</f>
        <v>2.3703703703703702</v>
      </c>
      <c r="AN555" s="7">
        <f>IG555</f>
        <v>1.0416666666666667</v>
      </c>
      <c r="AO555" s="168">
        <f>EY555</f>
        <v>0</v>
      </c>
      <c r="AP555" s="6"/>
      <c r="AQ555" s="7">
        <f>SUM(AE555:AP555)</f>
        <v>130.61669183235867</v>
      </c>
      <c r="AR555" s="7"/>
      <c r="AS555" s="7"/>
      <c r="AT555" s="6">
        <v>0</v>
      </c>
      <c r="AU555" s="14"/>
      <c r="AV555" s="7">
        <f>AQ555+AT555+AU555</f>
        <v>130.61669183235867</v>
      </c>
      <c r="AW555">
        <v>0.87</v>
      </c>
      <c r="AX555">
        <v>0.87</v>
      </c>
      <c r="AY555" s="8">
        <v>1</v>
      </c>
      <c r="AZ555" s="14">
        <f>(AW555-AX555)*AY555</f>
        <v>0</v>
      </c>
      <c r="BA555" s="4">
        <f>AW555*AB555-AZ555*AC555</f>
        <v>85.346999999999994</v>
      </c>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F555">
        <v>1</v>
      </c>
      <c r="CG555">
        <v>13.59</v>
      </c>
      <c r="CH555">
        <f>CF555*CG555</f>
        <v>13.59</v>
      </c>
      <c r="DM555">
        <f>CH555+CM555+CR555+DB555+DG555+DL555</f>
        <v>13.59</v>
      </c>
      <c r="DN555" s="9">
        <v>1.2500000000000001E-2</v>
      </c>
      <c r="DO555" s="4">
        <f>DM555*DN555</f>
        <v>0.169875</v>
      </c>
      <c r="DP555" s="4">
        <f>DM555+DO555</f>
        <v>13.759874999999999</v>
      </c>
      <c r="DQ555" s="4"/>
      <c r="DR555" s="4"/>
      <c r="DS555" s="4"/>
      <c r="DT555" s="4"/>
      <c r="DU555" s="4"/>
      <c r="DV555" s="4"/>
      <c r="DW555" s="4"/>
      <c r="DX555" s="4"/>
      <c r="DY555" s="4"/>
      <c r="DZ555" s="4"/>
      <c r="EA555" s="4"/>
      <c r="EB555" s="4"/>
      <c r="EC555" s="4"/>
      <c r="ED555" s="4"/>
      <c r="EE555" s="4"/>
      <c r="EF555">
        <v>650</v>
      </c>
      <c r="EG555">
        <v>6500</v>
      </c>
      <c r="EH555">
        <v>8</v>
      </c>
      <c r="EI555" s="8">
        <v>0.95</v>
      </c>
      <c r="EJ555">
        <v>1</v>
      </c>
      <c r="EK555">
        <v>65</v>
      </c>
      <c r="EL555" s="10">
        <f>3600/EK555*EH555*EJ555*EI555</f>
        <v>420.92307692307691</v>
      </c>
      <c r="EU555" s="4">
        <f>EG555/EL555</f>
        <v>15.442251461988304</v>
      </c>
      <c r="EV555" s="4"/>
      <c r="EW555" s="4"/>
      <c r="FA555" s="4">
        <f>EX555+EZ555+EY555</f>
        <v>0</v>
      </c>
      <c r="FB555" s="4"/>
      <c r="FC555" s="4"/>
      <c r="FD555" s="4"/>
      <c r="FE555" s="4"/>
      <c r="FF555" s="4"/>
      <c r="FG555" s="4"/>
      <c r="FH555" s="4"/>
      <c r="FI555" s="4"/>
      <c r="FJ555" s="4"/>
      <c r="FK555" s="4"/>
      <c r="FL555" s="4"/>
      <c r="FM555" s="4"/>
      <c r="FN555" s="4"/>
      <c r="FO555" s="4"/>
      <c r="FP555" s="4"/>
      <c r="FQ555" s="4"/>
      <c r="FR555" s="4"/>
      <c r="FS555" s="4"/>
      <c r="FT555" s="4"/>
      <c r="FU555" s="4"/>
      <c r="FV555" s="4"/>
      <c r="FW555" s="4"/>
      <c r="FX555" s="4"/>
      <c r="FY555" s="4"/>
      <c r="FZ555" s="4"/>
      <c r="GA555" s="4"/>
      <c r="GB555" s="4"/>
      <c r="GC555" s="4"/>
      <c r="GD555" s="4"/>
      <c r="GE555" s="4"/>
      <c r="GF555" s="4"/>
      <c r="GG555" s="4"/>
      <c r="GH555" s="4"/>
      <c r="GI555" s="4"/>
      <c r="GJ555" s="4"/>
      <c r="GK555" s="4"/>
      <c r="GL555" s="4"/>
      <c r="GM555" s="4"/>
      <c r="GN555" s="4"/>
      <c r="GO555" s="4"/>
      <c r="GP555" s="4"/>
      <c r="GQ555" s="4"/>
      <c r="GR555" s="8">
        <v>0.11</v>
      </c>
      <c r="GS555" s="4">
        <f>GR555*(BA555+EU555)</f>
        <v>11.086817660818713</v>
      </c>
      <c r="GT555" s="9">
        <v>1.2500000000000001E-2</v>
      </c>
      <c r="GU555" s="4">
        <f>GT555*(BA555+EU555)</f>
        <v>1.2598656432748538</v>
      </c>
      <c r="GV555" s="8">
        <v>0.02</v>
      </c>
      <c r="GW555" s="4">
        <f>(GV555*EU555)</f>
        <v>0.30884502923976609</v>
      </c>
      <c r="GX555" s="4">
        <f>GS555+GU555+GW555</f>
        <v>12.655528333333333</v>
      </c>
      <c r="GY555" t="s">
        <v>130</v>
      </c>
      <c r="GZ555" t="s">
        <v>130</v>
      </c>
      <c r="HA555">
        <v>1350</v>
      </c>
      <c r="HB555">
        <v>950</v>
      </c>
      <c r="HC555">
        <v>1800</v>
      </c>
      <c r="HD555">
        <v>48</v>
      </c>
      <c r="HE555">
        <v>1500</v>
      </c>
      <c r="HF555" s="4">
        <f>ROUNDUP(HE555/HD555,0)</f>
        <v>32</v>
      </c>
      <c r="HG555">
        <v>5</v>
      </c>
      <c r="HH555" s="4">
        <f>HF555*HG555</f>
        <v>160</v>
      </c>
      <c r="HI555">
        <v>20000</v>
      </c>
      <c r="HJ555" s="4">
        <f>HH555*HI555</f>
        <v>3200000</v>
      </c>
      <c r="HM555">
        <v>3</v>
      </c>
      <c r="HN555" s="10">
        <f>HM555*12*25*HE555</f>
        <v>1350000</v>
      </c>
      <c r="HO555" s="4">
        <f>IF(GY555="carton box",HI555/HD555,HJ555/HN555)</f>
        <v>2.3703703703703702</v>
      </c>
      <c r="HP555" s="4">
        <v>160</v>
      </c>
      <c r="HV555" s="4">
        <f>HO555+HT555</f>
        <v>2.3703703703703702</v>
      </c>
      <c r="HW555" s="4"/>
      <c r="HX555">
        <v>5016</v>
      </c>
      <c r="HY555">
        <v>1976</v>
      </c>
      <c r="HZ555">
        <v>2280</v>
      </c>
      <c r="IA555" s="4">
        <f t="shared" si="568"/>
        <v>3</v>
      </c>
      <c r="IB555" s="4">
        <f t="shared" si="568"/>
        <v>2</v>
      </c>
      <c r="IC555" s="4">
        <f>ROUNDDOWN(HZ555/HC555,0)</f>
        <v>1</v>
      </c>
      <c r="ID555" s="8">
        <v>1</v>
      </c>
      <c r="IE555" s="4">
        <f>ROUND(PRODUCT(IA555:ID555),0)+4</f>
        <v>10</v>
      </c>
      <c r="IF555" s="4">
        <v>500</v>
      </c>
      <c r="IG555" s="4">
        <f>IF555/(IE555*HD555)</f>
        <v>1.0416666666666667</v>
      </c>
      <c r="IH555" s="4"/>
    </row>
    <row r="556" spans="1:242">
      <c r="A556">
        <v>541</v>
      </c>
      <c r="B556" t="s">
        <v>468</v>
      </c>
      <c r="C556" t="s">
        <v>2287</v>
      </c>
      <c r="D556" s="28" t="s">
        <v>1397</v>
      </c>
      <c r="E556" s="28" t="s">
        <v>184</v>
      </c>
      <c r="F556" s="28" t="s">
        <v>2182</v>
      </c>
      <c r="G556" s="27" t="s">
        <v>101</v>
      </c>
      <c r="I556" s="27" t="s">
        <v>121</v>
      </c>
      <c r="J556" s="28">
        <v>21677</v>
      </c>
      <c r="K556" s="27" t="s">
        <v>228</v>
      </c>
      <c r="L556">
        <v>21401</v>
      </c>
      <c r="M556" t="s">
        <v>121</v>
      </c>
      <c r="N556" s="5"/>
      <c r="O556" s="5"/>
      <c r="Q556" s="13" t="s">
        <v>1035</v>
      </c>
      <c r="R556" s="13" t="s">
        <v>1769</v>
      </c>
      <c r="T556" s="5" t="s">
        <v>2251</v>
      </c>
      <c r="U556" s="5"/>
      <c r="V556" s="29" t="s">
        <v>2252</v>
      </c>
      <c r="W556" s="5" t="s">
        <v>2326</v>
      </c>
      <c r="X556" s="5"/>
      <c r="Y556" s="5"/>
      <c r="Z556" s="5"/>
      <c r="AA556" s="51" t="s">
        <v>2286</v>
      </c>
      <c r="AB556" s="66">
        <v>105.35</v>
      </c>
      <c r="AC556">
        <v>20</v>
      </c>
      <c r="AD556" t="s">
        <v>1948</v>
      </c>
      <c r="AE556" s="7">
        <f>BA556</f>
        <v>8.641375</v>
      </c>
      <c r="AF556" s="7"/>
      <c r="AG556" s="7">
        <f>EU556+EX556</f>
        <v>2.2843567251461989</v>
      </c>
      <c r="AH556" s="7">
        <f>DM556</f>
        <v>0</v>
      </c>
      <c r="AI556" s="7">
        <f>DO556</f>
        <v>0</v>
      </c>
      <c r="AJ556" s="7">
        <f>GW556</f>
        <v>4.5687134502923978E-2</v>
      </c>
      <c r="AK556" s="7">
        <f>GU556</f>
        <v>0.13657164656432749</v>
      </c>
      <c r="AL556" s="7">
        <f>GS556</f>
        <v>1.2018304897660821</v>
      </c>
      <c r="AM556" s="7">
        <f>HV556</f>
        <v>8.2500000000000004E-2</v>
      </c>
      <c r="AN556" s="7">
        <f>IG556</f>
        <v>8.9285714285714288E-2</v>
      </c>
      <c r="AO556" s="168">
        <f>EY556</f>
        <v>0</v>
      </c>
      <c r="AP556" s="6"/>
      <c r="AQ556" s="7">
        <f>SUM(AE556:AP556)</f>
        <v>12.481606710265245</v>
      </c>
      <c r="AR556" s="7"/>
      <c r="AS556" s="7"/>
      <c r="AT556" s="6">
        <v>0</v>
      </c>
      <c r="AU556" s="14"/>
      <c r="AV556" s="7">
        <f>AQ556+AT556+AU556</f>
        <v>12.481606710265245</v>
      </c>
      <c r="AW556">
        <v>8.2500000000000004E-2</v>
      </c>
      <c r="AX556">
        <v>0.08</v>
      </c>
      <c r="AY556" s="8">
        <v>1</v>
      </c>
      <c r="AZ556" s="14">
        <f>(AW556-AX556)*AY556</f>
        <v>2.5000000000000022E-3</v>
      </c>
      <c r="BA556" s="4">
        <f>AW556*AB556-AZ556*AC556</f>
        <v>8.641375</v>
      </c>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DM556">
        <f>CH556+CM556+CR556+DB556+DG556+DL556</f>
        <v>0</v>
      </c>
      <c r="EF556">
        <v>250</v>
      </c>
      <c r="EG556">
        <v>2500</v>
      </c>
      <c r="EH556">
        <v>8</v>
      </c>
      <c r="EI556" s="8">
        <v>0.95</v>
      </c>
      <c r="EJ556">
        <v>2</v>
      </c>
      <c r="EK556">
        <v>50</v>
      </c>
      <c r="EL556" s="10">
        <f>3600/EK556*EH556*EJ556*EI556</f>
        <v>1094.3999999999999</v>
      </c>
      <c r="EU556" s="4">
        <f>EG556/EL556</f>
        <v>2.2843567251461989</v>
      </c>
      <c r="EV556" s="4"/>
      <c r="EW556" s="4"/>
      <c r="GR556" s="8">
        <v>0.11</v>
      </c>
      <c r="GS556" s="4">
        <f>GR556*(BA556+EU556)</f>
        <v>1.2018304897660821</v>
      </c>
      <c r="GT556" s="9">
        <v>1.2500000000000001E-2</v>
      </c>
      <c r="GU556" s="4">
        <f>GT556*(BA556+EU556)</f>
        <v>0.13657164656432749</v>
      </c>
      <c r="GV556" s="8">
        <v>0.02</v>
      </c>
      <c r="GW556" s="4">
        <f>(GV556*EU556)</f>
        <v>4.5687134502923978E-2</v>
      </c>
      <c r="GX556" s="4">
        <f>GS556+GU556+GW556</f>
        <v>1.3840892708333334</v>
      </c>
      <c r="GY556" t="s">
        <v>130</v>
      </c>
      <c r="GZ556" t="s">
        <v>130</v>
      </c>
      <c r="HA556">
        <v>1350</v>
      </c>
      <c r="HB556">
        <v>950</v>
      </c>
      <c r="HC556">
        <v>4000</v>
      </c>
      <c r="HD556">
        <v>112</v>
      </c>
      <c r="HE556">
        <v>4000</v>
      </c>
      <c r="HF556" s="4">
        <f>ROUNDUP(HE556/HD556,0)</f>
        <v>36</v>
      </c>
      <c r="HG556">
        <v>5</v>
      </c>
      <c r="HH556" s="4">
        <f>HF556*HG556</f>
        <v>180</v>
      </c>
      <c r="HI556">
        <v>1100</v>
      </c>
      <c r="HJ556" s="4">
        <f>HH556*HI556</f>
        <v>198000</v>
      </c>
      <c r="HM556" s="4">
        <v>2</v>
      </c>
      <c r="HN556" s="10">
        <f>HM556*12*25*HE556</f>
        <v>2400000</v>
      </c>
      <c r="HO556" s="4">
        <f>IF(GY556="carton box",HI556/HD556,HJ556/HN556)</f>
        <v>8.2500000000000004E-2</v>
      </c>
      <c r="HP556" s="4">
        <v>160</v>
      </c>
      <c r="HV556" s="4">
        <f>HO556+HT556</f>
        <v>8.2500000000000004E-2</v>
      </c>
      <c r="HW556" s="4"/>
      <c r="HX556">
        <v>5016</v>
      </c>
      <c r="HY556">
        <v>1976</v>
      </c>
      <c r="HZ556">
        <v>2280</v>
      </c>
      <c r="IA556" s="4">
        <f t="shared" si="568"/>
        <v>3</v>
      </c>
      <c r="IB556" s="4">
        <f t="shared" si="568"/>
        <v>2</v>
      </c>
      <c r="IC556" s="4">
        <f>ROUNDDOWN(HZ556/HC556,0)</f>
        <v>0</v>
      </c>
      <c r="ID556" s="8">
        <v>1</v>
      </c>
      <c r="IE556" s="4">
        <f>ROUND(PRODUCT(IA556:ID556),0)+50</f>
        <v>50</v>
      </c>
      <c r="IF556" s="4">
        <v>500</v>
      </c>
      <c r="IG556" s="4">
        <f>IF556/(IE556*HD556)</f>
        <v>8.9285714285714288E-2</v>
      </c>
      <c r="IH556" s="4"/>
    </row>
    <row r="557" spans="1:242" ht="25.5">
      <c r="A557">
        <v>542</v>
      </c>
      <c r="B557" t="s">
        <v>468</v>
      </c>
      <c r="C557" s="187" t="s">
        <v>2288</v>
      </c>
      <c r="D557" s="28" t="s">
        <v>667</v>
      </c>
      <c r="E557" s="28" t="s">
        <v>668</v>
      </c>
      <c r="F557" s="28" t="s">
        <v>2182</v>
      </c>
      <c r="G557" s="27" t="s">
        <v>101</v>
      </c>
      <c r="I557" s="27" t="s">
        <v>121</v>
      </c>
      <c r="J557" s="28">
        <v>21677</v>
      </c>
      <c r="K557" s="27" t="s">
        <v>228</v>
      </c>
      <c r="L557" s="5"/>
      <c r="M557" s="5"/>
      <c r="N557" s="5"/>
      <c r="O557" s="5"/>
      <c r="Q557" s="13" t="s">
        <v>1035</v>
      </c>
      <c r="R557" s="13" t="s">
        <v>1194</v>
      </c>
      <c r="T557" s="5" t="s">
        <v>2251</v>
      </c>
      <c r="U557" s="5"/>
      <c r="V557" s="29" t="s">
        <v>2252</v>
      </c>
      <c r="W557" s="29" t="s">
        <v>2289</v>
      </c>
      <c r="X557" s="5"/>
      <c r="Y557" s="5"/>
      <c r="Z557" s="5"/>
      <c r="AA557" s="51" t="s">
        <v>2290</v>
      </c>
      <c r="AB557" s="66">
        <v>118.8</v>
      </c>
      <c r="AC557">
        <v>20</v>
      </c>
      <c r="AD557" t="s">
        <v>311</v>
      </c>
      <c r="AE557" s="7">
        <f>BA557</f>
        <v>18.799799999999998</v>
      </c>
      <c r="AF557" s="7"/>
      <c r="AG557" s="7">
        <f>EU557+EX557</f>
        <v>3.4795321637426904</v>
      </c>
      <c r="AH557" s="7">
        <f>DM557</f>
        <v>0</v>
      </c>
      <c r="AI557" s="7">
        <f>DO557</f>
        <v>0</v>
      </c>
      <c r="AJ557" s="7">
        <f>GW557</f>
        <v>6.9590643274853814E-2</v>
      </c>
      <c r="AK557" s="7">
        <f>GU557</f>
        <v>0.27849165204678361</v>
      </c>
      <c r="AL557" s="7">
        <f>GS557</f>
        <v>2.4507265380116956</v>
      </c>
      <c r="AM557" s="7">
        <f>HV557</f>
        <v>2.3327008222643895</v>
      </c>
      <c r="AN557" s="7">
        <f>IG557</f>
        <v>0.24193548387096775</v>
      </c>
      <c r="AO557" s="168">
        <f>EY557</f>
        <v>0</v>
      </c>
      <c r="AP557" s="6"/>
      <c r="AQ557" s="7">
        <f>SUM(AE557:AP557)</f>
        <v>27.65277730321138</v>
      </c>
      <c r="AR557" s="7"/>
      <c r="AS557" s="7"/>
      <c r="AT557" s="6">
        <v>0</v>
      </c>
      <c r="AU557" s="4">
        <f>28.13-27.65</f>
        <v>0.48000000000000043</v>
      </c>
      <c r="AV557" s="7">
        <f>AQ557+AT557+AU557</f>
        <v>28.13277730321138</v>
      </c>
      <c r="AW557">
        <v>0.1585</v>
      </c>
      <c r="AX557">
        <v>0.157</v>
      </c>
      <c r="AY557" s="8">
        <v>1</v>
      </c>
      <c r="AZ557" s="14">
        <f>(AW557-AX557)*AY557</f>
        <v>1.5000000000000013E-3</v>
      </c>
      <c r="BA557" s="4">
        <f>AW557*AB557-AZ557*AC557</f>
        <v>18.799799999999998</v>
      </c>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EF557">
        <v>280</v>
      </c>
      <c r="EG557">
        <v>2800</v>
      </c>
      <c r="EH557">
        <v>8</v>
      </c>
      <c r="EI557" s="8">
        <v>0.95</v>
      </c>
      <c r="EJ557">
        <v>2</v>
      </c>
      <c r="EK557">
        <v>68</v>
      </c>
      <c r="EL557" s="10">
        <f>3600/EK557*EH557*EJ557*EI557</f>
        <v>804.7058823529411</v>
      </c>
      <c r="EU557" s="4">
        <f>EG557/EL557</f>
        <v>3.4795321637426904</v>
      </c>
      <c r="EV557" s="4"/>
      <c r="EW557" s="4"/>
      <c r="GR557" s="8">
        <v>0.11</v>
      </c>
      <c r="GS557" s="4">
        <f>GR557*(BA557+EU557)</f>
        <v>2.4507265380116956</v>
      </c>
      <c r="GT557" s="9">
        <v>1.2500000000000001E-2</v>
      </c>
      <c r="GU557" s="4">
        <f>GT557*(BA557+EU557)</f>
        <v>0.27849165204678361</v>
      </c>
      <c r="GV557" s="8">
        <v>0.02</v>
      </c>
      <c r="GW557" s="4">
        <f>(GV557*EU557)</f>
        <v>6.9590643274853814E-2</v>
      </c>
      <c r="GX557" s="4">
        <f>GS557+GU557+GW557</f>
        <v>2.7988088333333327</v>
      </c>
      <c r="GY557" t="s">
        <v>130</v>
      </c>
      <c r="GZ557" t="s">
        <v>130</v>
      </c>
      <c r="HA557">
        <v>805</v>
      </c>
      <c r="HB557">
        <v>570</v>
      </c>
      <c r="HC557">
        <v>425</v>
      </c>
      <c r="HD557">
        <v>62</v>
      </c>
      <c r="HE557">
        <v>1000</v>
      </c>
      <c r="HF557" s="4">
        <f>HE557/HD557</f>
        <v>16.129032258064516</v>
      </c>
      <c r="HG557">
        <v>5</v>
      </c>
      <c r="HH557" s="4">
        <f>HF557*HG557</f>
        <v>80.645161290322577</v>
      </c>
      <c r="HI557">
        <v>1600</v>
      </c>
      <c r="HJ557" s="4">
        <f>HH557*HI557</f>
        <v>129032.25806451612</v>
      </c>
      <c r="HM557" s="4">
        <v>2</v>
      </c>
      <c r="HN557" s="10">
        <f>HM557*12*25*HE557</f>
        <v>600000</v>
      </c>
      <c r="HO557" s="4">
        <f>IF(GY557="carton box",HI557/HD557,HJ557/HN557)</f>
        <v>0.21505376344086019</v>
      </c>
      <c r="HP557" s="4">
        <v>160</v>
      </c>
      <c r="HR557">
        <v>180</v>
      </c>
      <c r="HS557">
        <v>85</v>
      </c>
      <c r="HT557" s="4">
        <f>HR557/HS557</f>
        <v>2.1176470588235294</v>
      </c>
      <c r="HU557" s="4"/>
      <c r="HV557" s="4">
        <f>HO557+HT557</f>
        <v>2.3327008222643895</v>
      </c>
      <c r="HW557" s="4"/>
      <c r="HX557">
        <v>5016</v>
      </c>
      <c r="HY557">
        <v>1976</v>
      </c>
      <c r="HZ557">
        <v>2280</v>
      </c>
      <c r="IA557" s="4">
        <f t="shared" si="568"/>
        <v>6</v>
      </c>
      <c r="IB557" s="4">
        <f t="shared" si="568"/>
        <v>3</v>
      </c>
      <c r="IC557" s="4">
        <f>ROUNDDOWN(HZ557/HC557,0)</f>
        <v>5</v>
      </c>
      <c r="ID557" s="8">
        <v>1</v>
      </c>
      <c r="IE557" s="4">
        <f>ROUND(PRODUCT(IA557:ID557),0)-40</f>
        <v>50</v>
      </c>
      <c r="IF557" s="4">
        <v>750</v>
      </c>
      <c r="IG557" s="4">
        <f>IF557/(IE557*HD557)</f>
        <v>0.24193548387096775</v>
      </c>
      <c r="IH557" s="4"/>
    </row>
    <row r="558" spans="1:242" ht="25.5">
      <c r="A558">
        <v>543</v>
      </c>
      <c r="B558" t="s">
        <v>468</v>
      </c>
      <c r="C558" s="187" t="s">
        <v>2291</v>
      </c>
      <c r="D558" s="28" t="s">
        <v>669</v>
      </c>
      <c r="E558" s="28" t="s">
        <v>670</v>
      </c>
      <c r="F558" s="28" t="s">
        <v>2182</v>
      </c>
      <c r="G558" s="27" t="s">
        <v>101</v>
      </c>
      <c r="I558" s="27" t="s">
        <v>121</v>
      </c>
      <c r="J558" s="28">
        <v>21677</v>
      </c>
      <c r="K558" s="27" t="s">
        <v>228</v>
      </c>
      <c r="L558" s="5"/>
      <c r="M558" s="5"/>
      <c r="N558" s="5"/>
      <c r="O558" s="5"/>
      <c r="Q558" s="13" t="s">
        <v>1035</v>
      </c>
      <c r="R558" s="13" t="s">
        <v>1194</v>
      </c>
      <c r="T558" s="5" t="s">
        <v>2251</v>
      </c>
      <c r="U558" s="5"/>
      <c r="V558" s="29" t="s">
        <v>2252</v>
      </c>
      <c r="W558" s="29" t="s">
        <v>2292</v>
      </c>
      <c r="X558" s="5"/>
      <c r="Y558" s="5"/>
      <c r="Z558" s="5"/>
      <c r="AA558" s="51" t="s">
        <v>2290</v>
      </c>
      <c r="AB558" s="66">
        <v>118.8</v>
      </c>
      <c r="AC558">
        <v>20</v>
      </c>
      <c r="AD558" t="s">
        <v>311</v>
      </c>
      <c r="AE558" s="7">
        <f>BA558</f>
        <v>6.3946000000000005</v>
      </c>
      <c r="AF558" s="7"/>
      <c r="AG558" s="7">
        <f>EU558+EX558</f>
        <v>1.4619883040935675</v>
      </c>
      <c r="AH558" s="7">
        <f>DM558</f>
        <v>0.308</v>
      </c>
      <c r="AI558" s="7">
        <f>DO558</f>
        <v>0</v>
      </c>
      <c r="AJ558" s="7">
        <f>GW558</f>
        <v>2.923976608187135E-2</v>
      </c>
      <c r="AK558" s="7">
        <f>GU558</f>
        <v>9.8207353801169614E-2</v>
      </c>
      <c r="AL558" s="7">
        <f>GS558</f>
        <v>0.8642247134502925</v>
      </c>
      <c r="AM558" s="7">
        <f>HV558</f>
        <v>0.28071428571428575</v>
      </c>
      <c r="AN558" s="7">
        <f>IG558</f>
        <v>7.1428571428571425E-2</v>
      </c>
      <c r="AO558" s="168">
        <f>EY558</f>
        <v>0</v>
      </c>
      <c r="AP558" s="6"/>
      <c r="AQ558" s="7">
        <f>SUM(AE558:AP558)</f>
        <v>9.5084029945697601</v>
      </c>
      <c r="AR558" s="7"/>
      <c r="AS558" s="7"/>
      <c r="AT558" s="6">
        <v>0</v>
      </c>
      <c r="AU558" s="4">
        <f>9.59-9.51</f>
        <v>8.0000000000000071E-2</v>
      </c>
      <c r="AV558" s="7">
        <f>AQ558+AT558+AU558</f>
        <v>9.5884029945697602</v>
      </c>
      <c r="AW558">
        <v>5.4500000000000007E-2</v>
      </c>
      <c r="AX558">
        <v>5.0500000000000003E-2</v>
      </c>
      <c r="AY558" s="8">
        <v>1</v>
      </c>
      <c r="AZ558" s="14">
        <f>(AW558-AX558)*AY558</f>
        <v>4.0000000000000036E-3</v>
      </c>
      <c r="BA558" s="4">
        <f>AW558*AB558-AZ558*AC558</f>
        <v>6.3946000000000005</v>
      </c>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F558">
        <v>1</v>
      </c>
      <c r="CG558">
        <v>0.308</v>
      </c>
      <c r="CH558">
        <f>CF558*CG558</f>
        <v>0.308</v>
      </c>
      <c r="DM558">
        <f>CH558+CM558+CR558+DB558+DG558+DL558</f>
        <v>0.308</v>
      </c>
      <c r="EF558">
        <v>160</v>
      </c>
      <c r="EG558">
        <v>1600</v>
      </c>
      <c r="EH558">
        <v>8</v>
      </c>
      <c r="EI558" s="8">
        <v>0.95</v>
      </c>
      <c r="EJ558">
        <v>2</v>
      </c>
      <c r="EK558">
        <v>50</v>
      </c>
      <c r="EL558" s="10">
        <f>3600/EK558*EH558*EJ558*EI558</f>
        <v>1094.3999999999999</v>
      </c>
      <c r="EU558" s="4">
        <f>EG558/EL558</f>
        <v>1.4619883040935675</v>
      </c>
      <c r="EV558" s="4"/>
      <c r="EW558" s="4"/>
      <c r="GR558" s="8">
        <v>0.11</v>
      </c>
      <c r="GS558" s="4">
        <f>GR558*(BA558+EU558)</f>
        <v>0.8642247134502925</v>
      </c>
      <c r="GT558" s="9">
        <v>1.2500000000000001E-2</v>
      </c>
      <c r="GU558" s="4">
        <f>GT558*(BA558+EU558)</f>
        <v>9.8207353801169614E-2</v>
      </c>
      <c r="GV558" s="8">
        <v>0.02</v>
      </c>
      <c r="GW558" s="4">
        <f>(GV558*EU558)</f>
        <v>2.923976608187135E-2</v>
      </c>
      <c r="GX558" s="4">
        <f>GS558+GU558+GW558</f>
        <v>0.99167183333333353</v>
      </c>
      <c r="GY558" t="s">
        <v>130</v>
      </c>
      <c r="GZ558" t="s">
        <v>130</v>
      </c>
      <c r="HA558">
        <v>805</v>
      </c>
      <c r="HB558">
        <v>570</v>
      </c>
      <c r="HC558">
        <v>425</v>
      </c>
      <c r="HD558">
        <v>210</v>
      </c>
      <c r="HE558">
        <v>1000</v>
      </c>
      <c r="HF558" s="4">
        <f>HE558/HD558</f>
        <v>4.7619047619047619</v>
      </c>
      <c r="HG558">
        <v>5</v>
      </c>
      <c r="HH558" s="4">
        <f>HF558*HG558</f>
        <v>23.80952380952381</v>
      </c>
      <c r="HI558">
        <v>1600</v>
      </c>
      <c r="HJ558" s="4">
        <f>HH558*HI558</f>
        <v>38095.238095238099</v>
      </c>
      <c r="HM558" s="4">
        <v>2</v>
      </c>
      <c r="HN558" s="10">
        <f>HM558*12*25*HE558</f>
        <v>600000</v>
      </c>
      <c r="HO558" s="4">
        <f>IF(GY558="carton box",HI558/HD558,HJ558/HN558)</f>
        <v>6.3492063492063502E-2</v>
      </c>
      <c r="HP558" s="4">
        <v>160</v>
      </c>
      <c r="HR558">
        <v>3.91</v>
      </c>
      <c r="HS558">
        <v>18</v>
      </c>
      <c r="HT558" s="14">
        <f>HR558/HS558</f>
        <v>0.21722222222222223</v>
      </c>
      <c r="HU558" s="14"/>
      <c r="HV558" s="4">
        <f>HO558+HT558</f>
        <v>0.28071428571428575</v>
      </c>
      <c r="HW558" s="4"/>
      <c r="HX558">
        <v>5016</v>
      </c>
      <c r="HY558">
        <v>1976</v>
      </c>
      <c r="HZ558">
        <v>2280</v>
      </c>
      <c r="IA558" s="4">
        <f t="shared" si="568"/>
        <v>6</v>
      </c>
      <c r="IB558" s="4">
        <f t="shared" si="568"/>
        <v>3</v>
      </c>
      <c r="IC558" s="4">
        <f>ROUNDDOWN(HZ558/HC558,0)</f>
        <v>5</v>
      </c>
      <c r="ID558" s="8">
        <v>1</v>
      </c>
      <c r="IE558" s="4">
        <f>ROUND(PRODUCT(IA558:ID558),0)-40</f>
        <v>50</v>
      </c>
      <c r="IF558" s="4">
        <v>750</v>
      </c>
      <c r="IG558" s="4">
        <f>IF558/(IE558*HD558)</f>
        <v>7.1428571428571425E-2</v>
      </c>
      <c r="IH558" s="4"/>
    </row>
    <row r="559" spans="1:242">
      <c r="A559">
        <v>544</v>
      </c>
      <c r="B559" s="301" t="s">
        <v>1947</v>
      </c>
      <c r="D559" s="28" t="s">
        <v>1398</v>
      </c>
      <c r="E559" s="28" t="s">
        <v>1358</v>
      </c>
      <c r="F559" s="28"/>
      <c r="G559" s="27" t="s">
        <v>101</v>
      </c>
      <c r="I559" s="27" t="s">
        <v>121</v>
      </c>
      <c r="J559" s="28">
        <v>21677</v>
      </c>
      <c r="K559" s="27" t="s">
        <v>228</v>
      </c>
    </row>
    <row r="560" spans="1:242">
      <c r="A560">
        <v>545</v>
      </c>
      <c r="B560" t="s">
        <v>468</v>
      </c>
      <c r="C560" t="s">
        <v>2293</v>
      </c>
      <c r="D560" s="28" t="s">
        <v>1398</v>
      </c>
      <c r="E560" s="28" t="s">
        <v>1358</v>
      </c>
      <c r="F560" s="28" t="s">
        <v>2182</v>
      </c>
      <c r="G560" s="27" t="s">
        <v>101</v>
      </c>
      <c r="I560" s="27" t="s">
        <v>121</v>
      </c>
      <c r="J560" s="28">
        <v>21697</v>
      </c>
      <c r="K560" s="27" t="s">
        <v>227</v>
      </c>
      <c r="L560">
        <v>20089</v>
      </c>
      <c r="M560" t="s">
        <v>121</v>
      </c>
      <c r="Q560" s="5" t="s">
        <v>1786</v>
      </c>
      <c r="R560" s="5" t="s">
        <v>1769</v>
      </c>
      <c r="S560" s="5"/>
      <c r="T560" t="s">
        <v>2251</v>
      </c>
      <c r="V560" s="29" t="s">
        <v>2252</v>
      </c>
      <c r="W560" t="s">
        <v>2294</v>
      </c>
      <c r="X560"/>
      <c r="Y560"/>
      <c r="Z560"/>
      <c r="AA560" s="51" t="s">
        <v>469</v>
      </c>
      <c r="AB560" s="66">
        <v>98.97</v>
      </c>
      <c r="AC560">
        <v>20</v>
      </c>
      <c r="AD560" t="s">
        <v>431</v>
      </c>
      <c r="AE560" s="7">
        <f t="shared" ref="AE560:AE565" si="569">BA560</f>
        <v>33.649799999999999</v>
      </c>
      <c r="AF560" s="7"/>
      <c r="AG560" s="7">
        <f>EU560+EX560</f>
        <v>10.185185185185185</v>
      </c>
      <c r="AH560" s="7">
        <f t="shared" ref="AH560:AH565" si="570">DM560</f>
        <v>0</v>
      </c>
      <c r="AI560" s="7">
        <f t="shared" ref="AI560:AI565" si="571">DO560</f>
        <v>0</v>
      </c>
      <c r="AJ560" s="7">
        <f t="shared" ref="AJ560:AJ565" si="572">GW560</f>
        <v>0.20370370370370372</v>
      </c>
      <c r="AK560" s="7">
        <f t="shared" ref="AK560:AK565" si="573">GU560</f>
        <v>0.54793731481481478</v>
      </c>
      <c r="AL560" s="7">
        <f t="shared" ref="AL560:AL565" si="574">GS560</f>
        <v>4.8218483703703701</v>
      </c>
      <c r="AM560" s="7">
        <f t="shared" ref="AM560:AM565" si="575">HV560</f>
        <v>0.65694444444444444</v>
      </c>
      <c r="AN560" s="7">
        <f t="shared" ref="AN560:AN565" si="576">IG560</f>
        <v>0.63</v>
      </c>
      <c r="AO560" s="168">
        <f t="shared" ref="AO560:AO565" si="577">EY560</f>
        <v>0</v>
      </c>
      <c r="AP560" s="6"/>
      <c r="AQ560" s="7">
        <f t="shared" ref="AQ560:AQ565" si="578">SUM(AE560:AP560)</f>
        <v>50.695419018518514</v>
      </c>
      <c r="AR560" s="7"/>
      <c r="AS560" s="7"/>
      <c r="AT560" s="6">
        <v>0</v>
      </c>
      <c r="AU560" s="4"/>
      <c r="AV560" s="7">
        <f>AQ560+AT560+AU560</f>
        <v>50.695419018518514</v>
      </c>
      <c r="AW560">
        <v>0.34</v>
      </c>
      <c r="AX560">
        <v>0.34</v>
      </c>
      <c r="AY560" s="8">
        <v>1</v>
      </c>
      <c r="AZ560" s="14">
        <f t="shared" ref="AZ560:AZ565" si="579">(AW560-AX560)*AY560</f>
        <v>0</v>
      </c>
      <c r="BA560" s="4">
        <f t="shared" ref="BA560:BA565" si="580">AW560*AB560-AZ560*AC560</f>
        <v>33.649799999999999</v>
      </c>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DM560">
        <f>CH560+CM560+CR560+DB560+DG560+DL560</f>
        <v>0</v>
      </c>
      <c r="EF560">
        <v>450</v>
      </c>
      <c r="EG560">
        <v>4500</v>
      </c>
      <c r="EH560">
        <v>7.5</v>
      </c>
      <c r="EI560" s="8">
        <v>0.9</v>
      </c>
      <c r="EJ560">
        <v>1</v>
      </c>
      <c r="EK560">
        <v>55</v>
      </c>
      <c r="EL560" s="10">
        <f t="shared" ref="EL560:EL565" si="581">3600/EK560*EH560*EJ560*EI560</f>
        <v>441.81818181818181</v>
      </c>
      <c r="EU560" s="4">
        <f>EG560/EL560</f>
        <v>10.185185185185185</v>
      </c>
      <c r="EV560" s="4"/>
      <c r="EW560" s="4"/>
      <c r="GR560" s="8">
        <v>0.11</v>
      </c>
      <c r="GS560" s="4">
        <f t="shared" ref="GS560:GS565" si="582">GR560*(BA560+EU560)</f>
        <v>4.8218483703703701</v>
      </c>
      <c r="GT560" s="9">
        <v>1.2500000000000001E-2</v>
      </c>
      <c r="GU560" s="4">
        <f t="shared" ref="GU560:GU565" si="583">GT560*(BA560+EU560)</f>
        <v>0.54793731481481478</v>
      </c>
      <c r="GV560" s="8">
        <v>0.02</v>
      </c>
      <c r="GW560" s="4">
        <f>(GV560*EU560)</f>
        <v>0.20370370370370372</v>
      </c>
      <c r="GX560" s="4">
        <f t="shared" ref="GX560:GX565" si="584">GS560+GU560+GW560</f>
        <v>5.5734893888888895</v>
      </c>
      <c r="GY560" t="s">
        <v>130</v>
      </c>
      <c r="GZ560" t="s">
        <v>130</v>
      </c>
      <c r="HA560">
        <v>810</v>
      </c>
      <c r="HB560">
        <v>568</v>
      </c>
      <c r="HC560">
        <v>425</v>
      </c>
      <c r="HD560">
        <v>14</v>
      </c>
      <c r="HE560">
        <v>1200</v>
      </c>
      <c r="HF560" s="4">
        <f>ROUNDUP(HE560/HD560,0)</f>
        <v>86</v>
      </c>
      <c r="HG560">
        <v>5</v>
      </c>
      <c r="HH560" s="4">
        <f t="shared" ref="HH560:HH565" si="585">HF560*HG560</f>
        <v>430</v>
      </c>
      <c r="HI560">
        <v>1100</v>
      </c>
      <c r="HJ560" s="4">
        <f t="shared" ref="HJ560:HJ565" si="586">HH560*HI560</f>
        <v>473000</v>
      </c>
      <c r="HM560" s="4">
        <v>2</v>
      </c>
      <c r="HN560" s="10">
        <f t="shared" ref="HN560:HN565" si="587">HM560*12*25*HE560</f>
        <v>720000</v>
      </c>
      <c r="HO560" s="4">
        <f t="shared" ref="HO560:HO565" si="588">IF(GY560="carton box",HI560/HD560,HJ560/HN560)</f>
        <v>0.65694444444444444</v>
      </c>
      <c r="HP560" s="4">
        <v>160</v>
      </c>
      <c r="HV560" s="4">
        <f t="shared" ref="HV560:HV565" si="589">HO560+HT560</f>
        <v>0.65694444444444444</v>
      </c>
      <c r="HW560" s="4"/>
      <c r="HX560">
        <v>4200</v>
      </c>
      <c r="HY560">
        <v>1900</v>
      </c>
      <c r="HZ560">
        <v>1800</v>
      </c>
      <c r="IA560" s="4">
        <f t="shared" ref="IA560:IC565" si="590">ROUNDDOWN(HX560/HA560,0)</f>
        <v>5</v>
      </c>
      <c r="IB560" s="4">
        <f t="shared" si="590"/>
        <v>3</v>
      </c>
      <c r="IC560" s="4">
        <f t="shared" si="590"/>
        <v>4</v>
      </c>
      <c r="ID560" s="8">
        <v>0.95</v>
      </c>
      <c r="IE560" s="4">
        <f>ROUND(PRODUCT(IA560:ID560),0)</f>
        <v>57</v>
      </c>
      <c r="IF560">
        <v>500</v>
      </c>
      <c r="IG560" s="4">
        <f>ROUNDUP(IF560/(IE560*HD560),2)</f>
        <v>0.63</v>
      </c>
      <c r="IH560" s="4"/>
    </row>
    <row r="561" spans="1:244">
      <c r="A561">
        <v>546</v>
      </c>
      <c r="B561" t="s">
        <v>468</v>
      </c>
      <c r="C561" s="59" t="s">
        <v>2295</v>
      </c>
      <c r="D561" s="28" t="s">
        <v>1399</v>
      </c>
      <c r="E561" s="28" t="s">
        <v>1400</v>
      </c>
      <c r="F561" s="28" t="s">
        <v>2182</v>
      </c>
      <c r="G561" s="27" t="s">
        <v>101</v>
      </c>
      <c r="I561" s="27" t="s">
        <v>121</v>
      </c>
      <c r="J561" s="28">
        <v>21697</v>
      </c>
      <c r="K561" s="27" t="s">
        <v>227</v>
      </c>
      <c r="L561">
        <v>20089</v>
      </c>
      <c r="M561" t="s">
        <v>121</v>
      </c>
      <c r="Q561" s="297" t="s">
        <v>1786</v>
      </c>
      <c r="R561" s="297" t="s">
        <v>1769</v>
      </c>
      <c r="S561" s="297"/>
      <c r="T561" s="59" t="s">
        <v>2251</v>
      </c>
      <c r="U561" s="59"/>
      <c r="V561" s="321" t="s">
        <v>2252</v>
      </c>
      <c r="W561" t="s">
        <v>2294</v>
      </c>
      <c r="X561"/>
      <c r="Y561"/>
      <c r="Z561"/>
      <c r="AA561" s="51" t="s">
        <v>971</v>
      </c>
      <c r="AB561" s="63">
        <v>116.83</v>
      </c>
      <c r="AC561" s="59">
        <v>20</v>
      </c>
      <c r="AD561" t="s">
        <v>2296</v>
      </c>
      <c r="AE561" s="42">
        <f t="shared" si="569"/>
        <v>121.93052</v>
      </c>
      <c r="AF561" s="42"/>
      <c r="AG561" s="42">
        <f>EU561+EX561</f>
        <v>24.136625514403292</v>
      </c>
      <c r="AH561" s="42">
        <f t="shared" si="570"/>
        <v>0</v>
      </c>
      <c r="AI561" s="42">
        <f t="shared" si="571"/>
        <v>0</v>
      </c>
      <c r="AJ561" s="42">
        <f t="shared" si="572"/>
        <v>0.48273251028806585</v>
      </c>
      <c r="AK561" s="42">
        <f t="shared" si="573"/>
        <v>2.1910071827160493</v>
      </c>
      <c r="AL561" s="42">
        <f t="shared" si="574"/>
        <v>18.258393189300413</v>
      </c>
      <c r="AM561" s="42">
        <f t="shared" si="575"/>
        <v>3.3333333333333335</v>
      </c>
      <c r="AN561" s="42">
        <f t="shared" si="576"/>
        <v>6.05</v>
      </c>
      <c r="AO561" s="298">
        <f t="shared" si="577"/>
        <v>0</v>
      </c>
      <c r="AP561" s="60"/>
      <c r="AQ561" s="42">
        <f t="shared" si="578"/>
        <v>176.38261173004119</v>
      </c>
      <c r="AR561" s="42">
        <f>IJ561</f>
        <v>1.4606714551440332</v>
      </c>
      <c r="AS561" s="42"/>
      <c r="AT561" s="60">
        <v>0</v>
      </c>
      <c r="AU561" s="62"/>
      <c r="AV561" s="42">
        <f>AQ561+AT561+AU561+AR561</f>
        <v>177.84328318518521</v>
      </c>
      <c r="AW561" s="59">
        <v>1.044</v>
      </c>
      <c r="AX561" s="59">
        <v>1.042</v>
      </c>
      <c r="AY561" s="61">
        <v>1</v>
      </c>
      <c r="AZ561" s="69">
        <f t="shared" si="579"/>
        <v>2.0000000000000018E-3</v>
      </c>
      <c r="BA561" s="62">
        <f t="shared" si="580"/>
        <v>121.93052</v>
      </c>
      <c r="BB561" s="62"/>
      <c r="BC561" s="62"/>
      <c r="BD561" s="62"/>
      <c r="BE561" s="62"/>
      <c r="BF561" s="62"/>
      <c r="BG561" s="62"/>
      <c r="BH561" s="62"/>
      <c r="BI561" s="62"/>
      <c r="BJ561" s="62"/>
      <c r="BK561" s="62"/>
      <c r="BL561" s="62"/>
      <c r="BM561" s="4"/>
      <c r="BN561" s="4"/>
      <c r="BO561" s="4"/>
      <c r="BP561" s="4"/>
      <c r="BQ561" s="4"/>
      <c r="BR561" s="4"/>
      <c r="BS561" s="4"/>
      <c r="BT561" s="4"/>
      <c r="BU561" s="4"/>
      <c r="BV561" s="4"/>
      <c r="BW561" s="4"/>
      <c r="BX561" s="4"/>
      <c r="BY561" s="4"/>
      <c r="BZ561" s="4"/>
      <c r="CA561" s="4"/>
      <c r="CB561" s="4"/>
      <c r="CC561" s="4"/>
      <c r="CD561" s="59"/>
      <c r="CE561" s="59"/>
      <c r="CF561" s="59"/>
      <c r="CG561" s="59"/>
      <c r="CH561" s="59"/>
      <c r="CI561" s="59"/>
      <c r="CJ561" s="59"/>
      <c r="CK561" s="59"/>
      <c r="CL561" s="59"/>
      <c r="CM561" s="59"/>
      <c r="CN561" s="59"/>
      <c r="CO561" s="59"/>
      <c r="CP561" s="59"/>
      <c r="CQ561" s="59"/>
      <c r="CR561" s="59"/>
      <c r="CS561" s="59"/>
      <c r="CT561" s="59"/>
      <c r="CU561" s="59"/>
      <c r="CV561" s="59"/>
      <c r="CW561" s="59"/>
      <c r="CX561" s="59"/>
      <c r="CY561" s="59"/>
      <c r="CZ561" s="59"/>
      <c r="DA561" s="59"/>
      <c r="DB561" s="59"/>
      <c r="DC561" s="59"/>
      <c r="DD561" s="59"/>
      <c r="DE561" s="59"/>
      <c r="DF561" s="59"/>
      <c r="DG561" s="59"/>
      <c r="DH561" s="59"/>
      <c r="DI561" s="59"/>
      <c r="DJ561" s="59"/>
      <c r="DK561" s="59"/>
      <c r="DL561" s="59"/>
      <c r="DM561" s="59">
        <f>CH561+CM561+CR561+DB561+DG561+DL561</f>
        <v>0</v>
      </c>
      <c r="DN561" s="59"/>
      <c r="DO561" s="59"/>
      <c r="DP561" s="59"/>
      <c r="DQ561" s="59"/>
      <c r="DR561" s="59"/>
      <c r="DS561" s="59"/>
      <c r="DT561" s="59"/>
      <c r="DU561" s="59"/>
      <c r="EF561" s="59">
        <v>550</v>
      </c>
      <c r="EG561" s="59">
        <v>6500</v>
      </c>
      <c r="EH561" s="59">
        <v>7.5</v>
      </c>
      <c r="EI561" s="61">
        <v>0.9</v>
      </c>
      <c r="EJ561" s="59">
        <v>1</v>
      </c>
      <c r="EK561" s="59">
        <v>85</v>
      </c>
      <c r="EL561" s="65">
        <f t="shared" si="581"/>
        <v>285.88235294117646</v>
      </c>
      <c r="EM561" s="59"/>
      <c r="EN561" s="59"/>
      <c r="EO561" s="59"/>
      <c r="EP561" s="59"/>
      <c r="EQ561" s="59"/>
      <c r="ER561" s="59">
        <v>1.4</v>
      </c>
      <c r="ES561" s="59"/>
      <c r="ET561" s="59"/>
      <c r="EU561" s="62">
        <f>EG561/EL561+ER561</f>
        <v>24.136625514403292</v>
      </c>
      <c r="EV561" s="62"/>
      <c r="EW561" s="62"/>
      <c r="EX561" s="59"/>
      <c r="EY561" s="59"/>
      <c r="EZ561" s="59"/>
      <c r="FA561" s="59"/>
      <c r="FB561" s="59"/>
      <c r="FC561" s="59"/>
      <c r="FD561" s="59"/>
      <c r="FE561" s="59"/>
      <c r="FF561" s="59"/>
      <c r="FG561" s="59"/>
      <c r="FH561" s="59"/>
      <c r="FI561" s="59"/>
      <c r="FJ561" s="59"/>
      <c r="FK561" s="59"/>
      <c r="FL561" s="59"/>
      <c r="FM561" s="59"/>
      <c r="FN561" s="59"/>
      <c r="FO561" s="59"/>
      <c r="FP561" s="59"/>
      <c r="FQ561" s="59"/>
      <c r="FR561" s="59"/>
      <c r="FS561" s="59"/>
      <c r="FT561" s="59"/>
      <c r="FU561" s="59"/>
      <c r="FV561" s="59"/>
      <c r="FW561" s="59"/>
      <c r="FX561" s="59"/>
      <c r="FY561" s="59"/>
      <c r="FZ561" s="59"/>
      <c r="GA561" s="59"/>
      <c r="GB561" s="59"/>
      <c r="GC561" s="59"/>
      <c r="GD561" s="59"/>
      <c r="GE561" s="59"/>
      <c r="GF561" s="59"/>
      <c r="GG561" s="59"/>
      <c r="GH561" s="59"/>
      <c r="GI561" s="59"/>
      <c r="GJ561" s="59"/>
      <c r="GK561" s="59"/>
      <c r="GL561" s="59"/>
      <c r="GM561" s="59"/>
      <c r="GN561" s="59"/>
      <c r="GO561" s="59"/>
      <c r="GP561" s="59"/>
      <c r="GQ561" s="59"/>
      <c r="GR561" s="64">
        <v>0.125</v>
      </c>
      <c r="GS561" s="62">
        <f t="shared" si="582"/>
        <v>18.258393189300413</v>
      </c>
      <c r="GT561" s="64">
        <v>1.4999999999999999E-2</v>
      </c>
      <c r="GU561" s="62">
        <f t="shared" si="583"/>
        <v>2.1910071827160493</v>
      </c>
      <c r="GV561" s="61">
        <v>0.02</v>
      </c>
      <c r="GW561" s="62">
        <f>(GV561*EU561)</f>
        <v>0.48273251028806585</v>
      </c>
      <c r="GX561" s="62">
        <f t="shared" si="584"/>
        <v>20.932132882304529</v>
      </c>
      <c r="GY561" t="s">
        <v>130</v>
      </c>
      <c r="GZ561" t="s">
        <v>130</v>
      </c>
      <c r="HA561" s="59">
        <v>1325</v>
      </c>
      <c r="HB561" s="59">
        <v>800</v>
      </c>
      <c r="HC561" s="59">
        <v>1800</v>
      </c>
      <c r="HD561" s="59">
        <v>36</v>
      </c>
      <c r="HE561" s="59">
        <v>20</v>
      </c>
      <c r="HF561" s="62">
        <f>ROUNDUP(HE561/HD561,0)</f>
        <v>1</v>
      </c>
      <c r="HG561" s="59">
        <v>5</v>
      </c>
      <c r="HH561" s="62">
        <f t="shared" si="585"/>
        <v>5</v>
      </c>
      <c r="HI561" s="59">
        <v>12000</v>
      </c>
      <c r="HJ561" s="62">
        <f t="shared" si="586"/>
        <v>60000</v>
      </c>
      <c r="HK561" s="59"/>
      <c r="HL561" s="59"/>
      <c r="HM561" s="59">
        <v>3</v>
      </c>
      <c r="HN561" s="59">
        <f t="shared" si="587"/>
        <v>18000</v>
      </c>
      <c r="HO561" s="62">
        <f t="shared" si="588"/>
        <v>3.3333333333333335</v>
      </c>
      <c r="HP561" s="62">
        <v>160</v>
      </c>
      <c r="HQ561" s="59"/>
      <c r="HR561" s="59"/>
      <c r="HS561" s="59"/>
      <c r="HT561" s="59"/>
      <c r="HU561" s="59"/>
      <c r="HV561" s="62">
        <f t="shared" si="589"/>
        <v>3.3333333333333335</v>
      </c>
      <c r="HW561" s="62"/>
      <c r="HX561" s="59">
        <v>4200</v>
      </c>
      <c r="HY561" s="59">
        <v>1900</v>
      </c>
      <c r="HZ561" s="59">
        <v>1975</v>
      </c>
      <c r="IA561" s="62">
        <f t="shared" si="590"/>
        <v>3</v>
      </c>
      <c r="IB561" s="62">
        <f t="shared" si="590"/>
        <v>2</v>
      </c>
      <c r="IC561" s="62">
        <f t="shared" si="590"/>
        <v>1</v>
      </c>
      <c r="ID561" s="61">
        <v>0.95</v>
      </c>
      <c r="IE561" s="62">
        <f>ROUNDUP(PRODUCT(IA561:ID561),2)</f>
        <v>5.7</v>
      </c>
      <c r="IF561" s="59">
        <v>1240</v>
      </c>
      <c r="IG561" s="62">
        <f>ROUNDUP(IF561/(IE561*HD561),2)</f>
        <v>6.05</v>
      </c>
      <c r="IH561" s="62"/>
      <c r="II561" s="61">
        <v>0.01</v>
      </c>
      <c r="IJ561" s="62">
        <f>II561*(EU561+BA561)</f>
        <v>1.4606714551440332</v>
      </c>
    </row>
    <row r="562" spans="1:244" ht="38.25">
      <c r="A562">
        <v>547</v>
      </c>
      <c r="B562" t="s">
        <v>468</v>
      </c>
      <c r="C562" s="187" t="s">
        <v>2297</v>
      </c>
      <c r="D562" s="28" t="s">
        <v>1401</v>
      </c>
      <c r="E562" s="28" t="s">
        <v>1402</v>
      </c>
      <c r="F562" s="28" t="s">
        <v>2182</v>
      </c>
      <c r="G562" s="27" t="s">
        <v>101</v>
      </c>
      <c r="I562" s="27" t="s">
        <v>121</v>
      </c>
      <c r="J562" s="28">
        <v>21697</v>
      </c>
      <c r="K562" s="27" t="s">
        <v>227</v>
      </c>
      <c r="Q562" s="13" t="s">
        <v>2298</v>
      </c>
      <c r="R562" s="13" t="s">
        <v>1194</v>
      </c>
      <c r="T562" s="5" t="s">
        <v>2251</v>
      </c>
      <c r="U562" s="5"/>
      <c r="V562" s="29" t="s">
        <v>2252</v>
      </c>
      <c r="W562" s="29" t="s">
        <v>2299</v>
      </c>
      <c r="X562" s="29"/>
      <c r="Y562" s="29"/>
      <c r="Z562" s="29"/>
      <c r="AA562" s="51" t="s">
        <v>971</v>
      </c>
      <c r="AB562" s="66">
        <v>110.67</v>
      </c>
      <c r="AC562">
        <v>20</v>
      </c>
      <c r="AD562" t="s">
        <v>441</v>
      </c>
      <c r="AE562" s="7">
        <f t="shared" si="569"/>
        <v>79.544534000000013</v>
      </c>
      <c r="AF562" s="7"/>
      <c r="AG562" s="7">
        <f>EU562+EX562</f>
        <v>20.37037037037037</v>
      </c>
      <c r="AH562" s="7">
        <f t="shared" si="570"/>
        <v>5.4</v>
      </c>
      <c r="AI562" s="7">
        <f t="shared" si="571"/>
        <v>6.7500000000000004E-2</v>
      </c>
      <c r="AJ562" s="7">
        <f t="shared" si="572"/>
        <v>0.40740740740740744</v>
      </c>
      <c r="AK562" s="7">
        <f t="shared" si="573"/>
        <v>1.2489363046296298</v>
      </c>
      <c r="AL562" s="7">
        <f t="shared" si="574"/>
        <v>10.990639480740741</v>
      </c>
      <c r="AM562" s="7">
        <f t="shared" si="575"/>
        <v>1.1458333333333333</v>
      </c>
      <c r="AN562" s="7">
        <f t="shared" si="576"/>
        <v>1.1000000000000001</v>
      </c>
      <c r="AO562" s="168">
        <f t="shared" si="577"/>
        <v>0</v>
      </c>
      <c r="AP562" s="6"/>
      <c r="AQ562" s="7">
        <f t="shared" si="578"/>
        <v>120.27522089648147</v>
      </c>
      <c r="AR562" s="7">
        <f>IJ562</f>
        <v>1.1533</v>
      </c>
      <c r="AS562" s="7"/>
      <c r="AT562" s="6">
        <v>0</v>
      </c>
      <c r="AU562" s="4">
        <f>122.01-121.43</f>
        <v>0.57999999999999829</v>
      </c>
      <c r="AV562" s="7">
        <f>AQ562+AT562+AU562+AR562</f>
        <v>122.00852089648147</v>
      </c>
      <c r="AW562">
        <v>0.72020000000000006</v>
      </c>
      <c r="AX562">
        <v>0.71220000000000006</v>
      </c>
      <c r="AY562" s="8">
        <v>1</v>
      </c>
      <c r="AZ562" s="14">
        <f t="shared" si="579"/>
        <v>8.0000000000000071E-3</v>
      </c>
      <c r="BA562" s="4">
        <f t="shared" si="580"/>
        <v>79.544534000000013</v>
      </c>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F562">
        <v>2</v>
      </c>
      <c r="CG562">
        <v>2.7</v>
      </c>
      <c r="CH562">
        <f>CF562*CG562</f>
        <v>5.4</v>
      </c>
      <c r="DM562" s="4">
        <f>CH562+CM562+CR562+DB562+DG562+DL562</f>
        <v>5.4</v>
      </c>
      <c r="DN562" s="9">
        <v>1.2500000000000001E-2</v>
      </c>
      <c r="DO562" s="4">
        <f>DM562*DN562</f>
        <v>6.7500000000000004E-2</v>
      </c>
      <c r="EF562">
        <v>450</v>
      </c>
      <c r="EG562">
        <v>4500</v>
      </c>
      <c r="EH562">
        <v>7.5</v>
      </c>
      <c r="EI562" s="8">
        <v>0.9</v>
      </c>
      <c r="EJ562">
        <v>1</v>
      </c>
      <c r="EK562">
        <v>110</v>
      </c>
      <c r="EL562" s="10">
        <f t="shared" si="581"/>
        <v>220.90909090909091</v>
      </c>
      <c r="EU562" s="4">
        <f>EG562/EL562</f>
        <v>20.37037037037037</v>
      </c>
      <c r="EV562" s="4"/>
      <c r="EW562" s="4"/>
      <c r="GR562" s="8">
        <v>0.11</v>
      </c>
      <c r="GS562" s="4">
        <f t="shared" si="582"/>
        <v>10.990639480740741</v>
      </c>
      <c r="GT562" s="9">
        <v>1.2500000000000001E-2</v>
      </c>
      <c r="GU562" s="4">
        <f t="shared" si="583"/>
        <v>1.2489363046296298</v>
      </c>
      <c r="GV562" s="8">
        <v>0.02</v>
      </c>
      <c r="GW562" s="4">
        <f>(GV562*EU562)</f>
        <v>0.40740740740740744</v>
      </c>
      <c r="GX562" s="4">
        <f t="shared" si="584"/>
        <v>12.646983192777778</v>
      </c>
      <c r="GY562" t="s">
        <v>130</v>
      </c>
      <c r="GZ562" t="s">
        <v>130</v>
      </c>
      <c r="HA562">
        <v>810</v>
      </c>
      <c r="HB562">
        <v>568</v>
      </c>
      <c r="HC562">
        <v>425</v>
      </c>
      <c r="HD562">
        <v>8</v>
      </c>
      <c r="HE562">
        <v>40</v>
      </c>
      <c r="HF562" s="4">
        <f>HE562/HD562</f>
        <v>5</v>
      </c>
      <c r="HG562">
        <v>5</v>
      </c>
      <c r="HH562" s="4">
        <f t="shared" si="585"/>
        <v>25</v>
      </c>
      <c r="HI562">
        <v>1100</v>
      </c>
      <c r="HJ562" s="4">
        <f t="shared" si="586"/>
        <v>27500</v>
      </c>
      <c r="HM562" s="4">
        <v>2</v>
      </c>
      <c r="HN562" s="10">
        <f t="shared" si="587"/>
        <v>24000</v>
      </c>
      <c r="HO562" s="4">
        <f t="shared" si="588"/>
        <v>1.1458333333333333</v>
      </c>
      <c r="HP562" s="4">
        <v>160</v>
      </c>
      <c r="HV562" s="4">
        <f t="shared" si="589"/>
        <v>1.1458333333333333</v>
      </c>
      <c r="HW562" s="4"/>
      <c r="HX562">
        <v>4200</v>
      </c>
      <c r="HY562">
        <v>1900</v>
      </c>
      <c r="HZ562">
        <v>1975</v>
      </c>
      <c r="IA562" s="4">
        <f t="shared" si="590"/>
        <v>5</v>
      </c>
      <c r="IB562" s="4">
        <f t="shared" si="590"/>
        <v>3</v>
      </c>
      <c r="IC562" s="4">
        <f t="shared" si="590"/>
        <v>4</v>
      </c>
      <c r="ID562" s="8">
        <v>0.95</v>
      </c>
      <c r="IE562" s="4">
        <f>ROUND(PRODUCT(IA562:ID562),0)</f>
        <v>57</v>
      </c>
      <c r="IF562" s="4">
        <v>500</v>
      </c>
      <c r="IG562" s="4">
        <f>ROUNDUP(IF562/(IE562*HD562),2)</f>
        <v>1.1000000000000001</v>
      </c>
      <c r="IH562" s="4"/>
      <c r="II562" s="8">
        <v>0.01</v>
      </c>
      <c r="IJ562" s="4">
        <f>II562*115.33</f>
        <v>1.1533</v>
      </c>
    </row>
    <row r="563" spans="1:244" ht="30">
      <c r="A563">
        <v>548</v>
      </c>
      <c r="B563" t="s">
        <v>468</v>
      </c>
      <c r="C563" t="s">
        <v>2300</v>
      </c>
      <c r="D563" s="28" t="s">
        <v>1401</v>
      </c>
      <c r="E563" s="28" t="s">
        <v>1402</v>
      </c>
      <c r="F563" s="28" t="s">
        <v>2182</v>
      </c>
      <c r="G563" s="27" t="s">
        <v>101</v>
      </c>
      <c r="I563" s="27" t="s">
        <v>121</v>
      </c>
      <c r="J563" s="28">
        <v>21677</v>
      </c>
      <c r="K563" s="27" t="s">
        <v>228</v>
      </c>
      <c r="Q563" s="13" t="s">
        <v>2301</v>
      </c>
      <c r="R563" s="13" t="s">
        <v>1194</v>
      </c>
      <c r="T563" s="5" t="s">
        <v>2251</v>
      </c>
      <c r="U563" s="5"/>
      <c r="V563" s="29" t="s">
        <v>2252</v>
      </c>
      <c r="W563" s="72" t="s">
        <v>2304</v>
      </c>
      <c r="X563"/>
      <c r="Y563"/>
      <c r="Z563"/>
      <c r="AA563" s="51" t="s">
        <v>2302</v>
      </c>
      <c r="AB563" s="66">
        <v>110.65</v>
      </c>
      <c r="AC563" s="11">
        <v>20</v>
      </c>
      <c r="AD563" t="s">
        <v>2303</v>
      </c>
      <c r="AE563" s="7">
        <f t="shared" si="569"/>
        <v>77.465650000000011</v>
      </c>
      <c r="AF563" s="7"/>
      <c r="AG563" s="7">
        <f>EU563+EX563</f>
        <v>10.690789473684211</v>
      </c>
      <c r="AH563" s="7">
        <f t="shared" si="570"/>
        <v>4.96</v>
      </c>
      <c r="AI563" s="7">
        <f t="shared" si="571"/>
        <v>6.2E-2</v>
      </c>
      <c r="AJ563" s="7">
        <f t="shared" si="572"/>
        <v>0.21381578947368421</v>
      </c>
      <c r="AK563" s="7">
        <f t="shared" si="573"/>
        <v>1.1019554934210527</v>
      </c>
      <c r="AL563" s="7">
        <f t="shared" si="574"/>
        <v>9.6972083421052631</v>
      </c>
      <c r="AM563" s="7">
        <f t="shared" si="575"/>
        <v>0.76388888888888884</v>
      </c>
      <c r="AN563" s="7">
        <f t="shared" si="576"/>
        <v>0.83333333333333337</v>
      </c>
      <c r="AO563" s="168">
        <f t="shared" si="577"/>
        <v>0</v>
      </c>
      <c r="AP563" s="6"/>
      <c r="AQ563" s="7">
        <f t="shared" si="578"/>
        <v>105.78864132090642</v>
      </c>
      <c r="AR563" s="7">
        <f>IJ563</f>
        <v>0</v>
      </c>
      <c r="AS563" s="7"/>
      <c r="AT563" s="6">
        <v>0</v>
      </c>
      <c r="AU563" s="4">
        <f>105.28-105.79</f>
        <v>-0.51000000000000512</v>
      </c>
      <c r="AV563" s="7">
        <f>AQ563+AT563+AU563+AR563</f>
        <v>105.27864132090642</v>
      </c>
      <c r="AW563">
        <v>0.70099999999999996</v>
      </c>
      <c r="AX563">
        <v>0.69599999999999995</v>
      </c>
      <c r="AY563" s="8">
        <v>1</v>
      </c>
      <c r="AZ563" s="14">
        <f t="shared" si="579"/>
        <v>5.0000000000000044E-3</v>
      </c>
      <c r="BA563" s="4">
        <f t="shared" si="580"/>
        <v>77.465650000000011</v>
      </c>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F563">
        <v>2</v>
      </c>
      <c r="CG563">
        <f>2.38+0.2/2</f>
        <v>2.48</v>
      </c>
      <c r="CH563">
        <f>CF563*CG563</f>
        <v>4.96</v>
      </c>
      <c r="DM563" s="4">
        <f>CH563+CM563+CR563+DB563+DG563+DL563</f>
        <v>4.96</v>
      </c>
      <c r="DN563" s="9">
        <v>1.2500000000000001E-2</v>
      </c>
      <c r="DO563" s="4">
        <f>DM563*DN563</f>
        <v>6.2E-2</v>
      </c>
      <c r="DP563" s="4">
        <f>DM563+DO563</f>
        <v>5.0220000000000002</v>
      </c>
      <c r="EF563">
        <v>450</v>
      </c>
      <c r="EG563">
        <v>4500</v>
      </c>
      <c r="EH563">
        <v>8</v>
      </c>
      <c r="EI563" s="8">
        <v>0.95</v>
      </c>
      <c r="EJ563">
        <v>1</v>
      </c>
      <c r="EK563">
        <v>65</v>
      </c>
      <c r="EL563" s="10">
        <f t="shared" si="581"/>
        <v>420.92307692307691</v>
      </c>
      <c r="EU563" s="4">
        <f>EG563/EL563</f>
        <v>10.690789473684211</v>
      </c>
      <c r="EV563" s="4"/>
      <c r="EW563" s="4"/>
      <c r="GR563" s="8">
        <v>0.11</v>
      </c>
      <c r="GS563" s="4">
        <f t="shared" si="582"/>
        <v>9.6972083421052631</v>
      </c>
      <c r="GT563" s="9">
        <v>1.2500000000000001E-2</v>
      </c>
      <c r="GU563" s="4">
        <f t="shared" si="583"/>
        <v>1.1019554934210527</v>
      </c>
      <c r="GV563" s="8">
        <v>0.02</v>
      </c>
      <c r="GW563" s="4">
        <f>(GV563*EU563)</f>
        <v>0.21381578947368421</v>
      </c>
      <c r="GX563" s="4">
        <f t="shared" si="584"/>
        <v>11.012979625</v>
      </c>
      <c r="GY563" t="s">
        <v>130</v>
      </c>
      <c r="GZ563" t="s">
        <v>130</v>
      </c>
      <c r="HA563">
        <v>805</v>
      </c>
      <c r="HB563">
        <v>675</v>
      </c>
      <c r="HC563">
        <v>405</v>
      </c>
      <c r="HD563">
        <v>12</v>
      </c>
      <c r="HE563">
        <v>600</v>
      </c>
      <c r="HF563" s="4">
        <f>HE563/HD563</f>
        <v>50</v>
      </c>
      <c r="HG563">
        <v>5</v>
      </c>
      <c r="HH563" s="4">
        <f t="shared" si="585"/>
        <v>250</v>
      </c>
      <c r="HI563">
        <v>1100</v>
      </c>
      <c r="HJ563" s="4">
        <f t="shared" si="586"/>
        <v>275000</v>
      </c>
      <c r="HM563" s="4">
        <v>2</v>
      </c>
      <c r="HN563" s="10">
        <f t="shared" si="587"/>
        <v>360000</v>
      </c>
      <c r="HO563" s="4">
        <f t="shared" si="588"/>
        <v>0.76388888888888884</v>
      </c>
      <c r="HP563" s="4">
        <v>160</v>
      </c>
      <c r="HV563" s="4">
        <f t="shared" si="589"/>
        <v>0.76388888888888884</v>
      </c>
      <c r="HW563" s="4"/>
      <c r="HX563">
        <v>5016</v>
      </c>
      <c r="HY563">
        <v>1976</v>
      </c>
      <c r="HZ563">
        <v>2280</v>
      </c>
      <c r="IA563" s="4">
        <f t="shared" si="590"/>
        <v>6</v>
      </c>
      <c r="IB563" s="4">
        <f t="shared" si="590"/>
        <v>2</v>
      </c>
      <c r="IC563" s="4">
        <f t="shared" si="590"/>
        <v>5</v>
      </c>
      <c r="ID563" s="8">
        <v>0.95</v>
      </c>
      <c r="IE563" s="4">
        <f>ROUND(PRODUCT(IA563:ID563),0)-7</f>
        <v>50</v>
      </c>
      <c r="IF563" s="4">
        <v>500</v>
      </c>
      <c r="IG563" s="4">
        <f>IF563/(IE563*HD563)</f>
        <v>0.83333333333333337</v>
      </c>
      <c r="IH563" s="4"/>
    </row>
    <row r="564" spans="1:244" ht="30">
      <c r="A564">
        <v>549</v>
      </c>
      <c r="B564" t="s">
        <v>468</v>
      </c>
      <c r="C564" s="187" t="s">
        <v>2305</v>
      </c>
      <c r="D564" s="28" t="s">
        <v>1403</v>
      </c>
      <c r="E564" s="28" t="s">
        <v>628</v>
      </c>
      <c r="F564" s="28" t="s">
        <v>2182</v>
      </c>
      <c r="G564" s="27" t="s">
        <v>101</v>
      </c>
      <c r="I564" s="27" t="s">
        <v>121</v>
      </c>
      <c r="J564" s="28">
        <v>21697</v>
      </c>
      <c r="K564" s="27" t="s">
        <v>227</v>
      </c>
      <c r="Q564" s="13" t="s">
        <v>2298</v>
      </c>
      <c r="R564" s="13" t="s">
        <v>1194</v>
      </c>
      <c r="T564" s="5" t="s">
        <v>2251</v>
      </c>
      <c r="U564" s="5"/>
      <c r="V564" s="29" t="s">
        <v>2252</v>
      </c>
      <c r="W564" s="72" t="s">
        <v>2306</v>
      </c>
      <c r="X564"/>
      <c r="Y564"/>
      <c r="Z564"/>
      <c r="AA564" s="51" t="s">
        <v>971</v>
      </c>
      <c r="AB564" s="66">
        <v>110.67</v>
      </c>
      <c r="AC564">
        <v>20</v>
      </c>
      <c r="AD564" t="s">
        <v>441</v>
      </c>
      <c r="AE564" s="7">
        <f t="shared" si="569"/>
        <v>30.052910000000004</v>
      </c>
      <c r="AF564" s="7"/>
      <c r="AG564" s="7">
        <f>EU564+EX564</f>
        <v>14.814814814814815</v>
      </c>
      <c r="AH564" s="7">
        <f t="shared" si="570"/>
        <v>0</v>
      </c>
      <c r="AI564" s="7">
        <f t="shared" si="571"/>
        <v>0</v>
      </c>
      <c r="AJ564" s="7">
        <f t="shared" si="572"/>
        <v>0.29629629629629628</v>
      </c>
      <c r="AK564" s="7">
        <f t="shared" si="573"/>
        <v>0.56084656018518531</v>
      </c>
      <c r="AL564" s="7">
        <f t="shared" si="574"/>
        <v>4.9354497296296307</v>
      </c>
      <c r="AM564" s="7">
        <f t="shared" si="575"/>
        <v>0.91666666666666663</v>
      </c>
      <c r="AN564" s="7">
        <f t="shared" si="576"/>
        <v>0.74</v>
      </c>
      <c r="AO564" s="168">
        <f t="shared" si="577"/>
        <v>0</v>
      </c>
      <c r="AP564" s="6"/>
      <c r="AQ564" s="7">
        <f t="shared" si="578"/>
        <v>52.3169840675926</v>
      </c>
      <c r="AR564" s="7">
        <f>IJ564</f>
        <v>0.52316984067592598</v>
      </c>
      <c r="AS564" s="7"/>
      <c r="AT564" s="6">
        <v>0</v>
      </c>
      <c r="AU564" s="4">
        <f>53.21-52.84</f>
        <v>0.36999999999999744</v>
      </c>
      <c r="AV564" s="7">
        <f>AQ564+AT564+AU564+AR564</f>
        <v>53.210153908268524</v>
      </c>
      <c r="AW564">
        <v>0.27300000000000002</v>
      </c>
      <c r="AX564">
        <v>0.26500000000000001</v>
      </c>
      <c r="AY564" s="8">
        <v>1</v>
      </c>
      <c r="AZ564" s="14">
        <f t="shared" si="579"/>
        <v>8.0000000000000071E-3</v>
      </c>
      <c r="BA564" s="4">
        <f t="shared" si="580"/>
        <v>30.052910000000004</v>
      </c>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DM564" s="4">
        <f>CH564+CM564+CR564+DB564+DG564+DL564</f>
        <v>0</v>
      </c>
      <c r="EF564">
        <v>450</v>
      </c>
      <c r="EG564">
        <v>4500</v>
      </c>
      <c r="EH564">
        <v>7.5</v>
      </c>
      <c r="EI564" s="8">
        <v>0.9</v>
      </c>
      <c r="EJ564">
        <v>1</v>
      </c>
      <c r="EK564">
        <v>80</v>
      </c>
      <c r="EL564" s="10">
        <f t="shared" si="581"/>
        <v>303.75</v>
      </c>
      <c r="EU564" s="4">
        <f>EG564/EL564</f>
        <v>14.814814814814815</v>
      </c>
      <c r="EV564" s="4"/>
      <c r="EW564" s="4"/>
      <c r="GR564" s="8">
        <v>0.11</v>
      </c>
      <c r="GS564" s="4">
        <f t="shared" si="582"/>
        <v>4.9354497296296307</v>
      </c>
      <c r="GT564" s="9">
        <v>1.2500000000000001E-2</v>
      </c>
      <c r="GU564" s="4">
        <f t="shared" si="583"/>
        <v>0.56084656018518531</v>
      </c>
      <c r="GV564" s="8">
        <v>0.02</v>
      </c>
      <c r="GW564" s="4">
        <f>(GV564*EU564)</f>
        <v>0.29629629629629628</v>
      </c>
      <c r="GX564" s="4">
        <f t="shared" si="584"/>
        <v>5.7925925861111125</v>
      </c>
      <c r="GY564" t="s">
        <v>130</v>
      </c>
      <c r="GZ564" t="s">
        <v>130</v>
      </c>
      <c r="HA564">
        <v>810</v>
      </c>
      <c r="HB564">
        <v>568</v>
      </c>
      <c r="HC564">
        <v>425</v>
      </c>
      <c r="HD564">
        <v>12</v>
      </c>
      <c r="HE564">
        <v>40</v>
      </c>
      <c r="HF564" s="4">
        <f>ROUNDUP(HE564/HD564,0)</f>
        <v>4</v>
      </c>
      <c r="HG564">
        <v>5</v>
      </c>
      <c r="HH564" s="4">
        <f t="shared" si="585"/>
        <v>20</v>
      </c>
      <c r="HI564">
        <v>1100</v>
      </c>
      <c r="HJ564" s="4">
        <f t="shared" si="586"/>
        <v>22000</v>
      </c>
      <c r="HM564" s="4">
        <v>2</v>
      </c>
      <c r="HN564" s="10">
        <f t="shared" si="587"/>
        <v>24000</v>
      </c>
      <c r="HO564" s="4">
        <f t="shared" si="588"/>
        <v>0.91666666666666663</v>
      </c>
      <c r="HP564" s="4">
        <v>160</v>
      </c>
      <c r="HV564" s="4">
        <f t="shared" si="589"/>
        <v>0.91666666666666663</v>
      </c>
      <c r="HW564" s="4"/>
      <c r="HX564">
        <v>4200</v>
      </c>
      <c r="HY564">
        <v>1900</v>
      </c>
      <c r="HZ564">
        <v>1975</v>
      </c>
      <c r="IA564" s="4">
        <f t="shared" si="590"/>
        <v>5</v>
      </c>
      <c r="IB564" s="4">
        <f t="shared" si="590"/>
        <v>3</v>
      </c>
      <c r="IC564" s="4">
        <f t="shared" si="590"/>
        <v>4</v>
      </c>
      <c r="ID564" s="8">
        <v>0.95</v>
      </c>
      <c r="IE564" s="4">
        <f>ROUND(PRODUCT(IA564:ID564),0)</f>
        <v>57</v>
      </c>
      <c r="IF564">
        <v>500</v>
      </c>
      <c r="IG564" s="4">
        <f>ROUNDUP(IF564/(IE564*HD564),2)</f>
        <v>0.74</v>
      </c>
      <c r="IH564" s="4"/>
      <c r="II564" s="8">
        <v>0.01</v>
      </c>
      <c r="IJ564" s="4">
        <f>II564*(IG564+HV564+GW564+GU564+GS564+EU564+BA564+DO564)</f>
        <v>0.52316984067592598</v>
      </c>
    </row>
    <row r="565" spans="1:244" ht="30">
      <c r="A565">
        <v>550</v>
      </c>
      <c r="B565" t="s">
        <v>468</v>
      </c>
      <c r="C565" s="187" t="s">
        <v>2307</v>
      </c>
      <c r="D565" s="28" t="s">
        <v>1404</v>
      </c>
      <c r="E565" s="28" t="s">
        <v>1405</v>
      </c>
      <c r="F565" s="28" t="s">
        <v>2182</v>
      </c>
      <c r="G565" s="27" t="s">
        <v>101</v>
      </c>
      <c r="I565" s="27" t="s">
        <v>121</v>
      </c>
      <c r="J565" s="28">
        <v>21697</v>
      </c>
      <c r="K565" s="27" t="s">
        <v>227</v>
      </c>
      <c r="Q565" s="13" t="s">
        <v>2308</v>
      </c>
      <c r="R565" s="13" t="s">
        <v>1194</v>
      </c>
      <c r="T565" s="5" t="s">
        <v>2251</v>
      </c>
      <c r="U565" s="5"/>
      <c r="V565" s="29" t="s">
        <v>2252</v>
      </c>
      <c r="W565" s="72" t="s">
        <v>2310</v>
      </c>
      <c r="X565"/>
      <c r="Y565"/>
      <c r="Z565"/>
      <c r="AA565" s="51" t="s">
        <v>1953</v>
      </c>
      <c r="AB565" s="66">
        <v>107.52</v>
      </c>
      <c r="AC565">
        <v>20</v>
      </c>
      <c r="AD565" t="s">
        <v>2309</v>
      </c>
      <c r="AE565" s="7">
        <f t="shared" si="569"/>
        <v>34.313919999999996</v>
      </c>
      <c r="AF565" s="7"/>
      <c r="AG565" s="7">
        <f>EU565</f>
        <v>16.033127572016461</v>
      </c>
      <c r="AH565" s="7">
        <f t="shared" si="570"/>
        <v>0</v>
      </c>
      <c r="AI565" s="7">
        <f t="shared" si="571"/>
        <v>0</v>
      </c>
      <c r="AJ565" s="7">
        <f t="shared" si="572"/>
        <v>0.33</v>
      </c>
      <c r="AK565" s="7">
        <f t="shared" si="573"/>
        <v>0.62933809465020574</v>
      </c>
      <c r="AL565" s="7">
        <f t="shared" si="574"/>
        <v>5.5381752329218106</v>
      </c>
      <c r="AM565" s="7">
        <f t="shared" si="575"/>
        <v>0.21</v>
      </c>
      <c r="AN565" s="7">
        <f t="shared" si="576"/>
        <v>0.61</v>
      </c>
      <c r="AO565" s="168">
        <f t="shared" si="577"/>
        <v>0</v>
      </c>
      <c r="AP565" s="6"/>
      <c r="AQ565" s="7">
        <f t="shared" si="578"/>
        <v>57.664560899588473</v>
      </c>
      <c r="AR565" s="7">
        <f>IJ565</f>
        <v>0.5766456089958848</v>
      </c>
      <c r="AS565" s="7"/>
      <c r="AT565" s="6">
        <v>0</v>
      </c>
      <c r="AU565">
        <f>58.33-58.24</f>
        <v>8.9999999999996305E-2</v>
      </c>
      <c r="AV565" s="7">
        <f>AQ565+AT565+AU565+AR565</f>
        <v>58.331206508584351</v>
      </c>
      <c r="AW565">
        <v>0.32100000000000001</v>
      </c>
      <c r="AX565">
        <v>0.311</v>
      </c>
      <c r="AY565" s="8">
        <v>1</v>
      </c>
      <c r="AZ565" s="14">
        <f t="shared" si="579"/>
        <v>1.0000000000000009E-2</v>
      </c>
      <c r="BA565" s="4">
        <f t="shared" si="580"/>
        <v>34.313919999999996</v>
      </c>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DM565">
        <v>0</v>
      </c>
      <c r="EF565">
        <v>350</v>
      </c>
      <c r="EG565">
        <v>3500</v>
      </c>
      <c r="EH565">
        <v>7.5</v>
      </c>
      <c r="EI565" s="8">
        <v>0.9</v>
      </c>
      <c r="EJ565">
        <v>1</v>
      </c>
      <c r="EK565">
        <v>95</v>
      </c>
      <c r="EL565" s="10">
        <f t="shared" si="581"/>
        <v>255.78947368421055</v>
      </c>
      <c r="EU565" s="4">
        <f>EG565/EL565+EX565</f>
        <v>16.033127572016461</v>
      </c>
      <c r="EV565" s="4"/>
      <c r="EW565" s="4"/>
      <c r="EX565">
        <v>2.35</v>
      </c>
      <c r="FA565" s="4">
        <f>EX565+EZ565+EY565</f>
        <v>2.35</v>
      </c>
      <c r="FB565" s="4"/>
      <c r="FC565" s="4"/>
      <c r="FD565" s="4"/>
      <c r="FE565" s="4"/>
      <c r="FF565" s="4"/>
      <c r="FG565" s="4"/>
      <c r="FH565" s="4"/>
      <c r="FI565" s="4"/>
      <c r="FJ565" s="4"/>
      <c r="FK565" s="4"/>
      <c r="FL565" s="4"/>
      <c r="FM565" s="4"/>
      <c r="FN565" s="4"/>
      <c r="FO565" s="4"/>
      <c r="FP565" s="4"/>
      <c r="FQ565" s="4"/>
      <c r="FR565" s="4"/>
      <c r="FS565" s="4"/>
      <c r="FT565" s="4"/>
      <c r="FU565" s="4"/>
      <c r="FV565" s="4"/>
      <c r="FW565" s="4"/>
      <c r="FX565" s="4"/>
      <c r="FY565" s="4"/>
      <c r="FZ565" s="4"/>
      <c r="GA565" s="4"/>
      <c r="GB565" s="4"/>
      <c r="GC565" s="4"/>
      <c r="GD565" s="4"/>
      <c r="GE565" s="4"/>
      <c r="GF565" s="4"/>
      <c r="GG565" s="4"/>
      <c r="GH565" s="4"/>
      <c r="GI565" s="4"/>
      <c r="GJ565" s="4"/>
      <c r="GK565" s="4"/>
      <c r="GL565" s="4"/>
      <c r="GM565" s="4"/>
      <c r="GN565" s="4"/>
      <c r="GO565" s="4"/>
      <c r="GP565" s="4"/>
      <c r="GQ565" s="4"/>
      <c r="GR565" s="8">
        <v>0.11</v>
      </c>
      <c r="GS565" s="4">
        <f t="shared" si="582"/>
        <v>5.5381752329218106</v>
      </c>
      <c r="GT565" s="9">
        <v>1.2500000000000001E-2</v>
      </c>
      <c r="GU565" s="4">
        <f t="shared" si="583"/>
        <v>0.62933809465020574</v>
      </c>
      <c r="GV565" s="8">
        <v>0.02</v>
      </c>
      <c r="GW565" s="4">
        <f>ROUNDUP(GV565*EU565,2)</f>
        <v>0.33</v>
      </c>
      <c r="GX565" s="4">
        <f t="shared" si="584"/>
        <v>6.4975133275720163</v>
      </c>
      <c r="GY565" t="s">
        <v>130</v>
      </c>
      <c r="GZ565" t="s">
        <v>130</v>
      </c>
      <c r="HA565">
        <v>810</v>
      </c>
      <c r="HB565">
        <v>568</v>
      </c>
      <c r="HC565">
        <v>425</v>
      </c>
      <c r="HD565">
        <v>51</v>
      </c>
      <c r="HE565">
        <v>400</v>
      </c>
      <c r="HF565" s="4">
        <f>ROUNDUP(HE565/HD565,0)</f>
        <v>8</v>
      </c>
      <c r="HG565">
        <v>5</v>
      </c>
      <c r="HH565" s="4">
        <f t="shared" si="585"/>
        <v>40</v>
      </c>
      <c r="HI565">
        <v>1260</v>
      </c>
      <c r="HJ565" s="4">
        <f t="shared" si="586"/>
        <v>50400</v>
      </c>
      <c r="HM565" s="4">
        <v>2</v>
      </c>
      <c r="HN565" s="10">
        <f t="shared" si="587"/>
        <v>240000</v>
      </c>
      <c r="HO565" s="4">
        <f t="shared" si="588"/>
        <v>0.21</v>
      </c>
      <c r="HP565" s="4">
        <v>160</v>
      </c>
      <c r="HV565" s="4">
        <f t="shared" si="589"/>
        <v>0.21</v>
      </c>
      <c r="HW565" s="4"/>
      <c r="HX565">
        <v>4200</v>
      </c>
      <c r="HY565">
        <v>1900</v>
      </c>
      <c r="HZ565">
        <v>1975</v>
      </c>
      <c r="IA565" s="4">
        <f t="shared" si="590"/>
        <v>5</v>
      </c>
      <c r="IB565" s="4">
        <f t="shared" si="590"/>
        <v>3</v>
      </c>
      <c r="IC565" s="4">
        <f t="shared" si="590"/>
        <v>4</v>
      </c>
      <c r="ID565" s="8">
        <v>0.95</v>
      </c>
      <c r="IE565" s="4">
        <f>ROUND(PRODUCT(IA565:ID565),0)</f>
        <v>57</v>
      </c>
      <c r="IF565">
        <v>1750</v>
      </c>
      <c r="IG565" s="4">
        <f>ROUNDUP(IF565/(IE565*HD565),2)</f>
        <v>0.61</v>
      </c>
      <c r="IH565" s="4"/>
      <c r="II565" s="8">
        <v>0.01</v>
      </c>
      <c r="IJ565" s="62">
        <f>II565*(IG565+HV565+GW565+GU565+GS565+EU565+BA565+DO565)</f>
        <v>0.5766456089958848</v>
      </c>
    </row>
    <row r="566" spans="1:244">
      <c r="A566">
        <v>551</v>
      </c>
      <c r="B566" t="s">
        <v>458</v>
      </c>
      <c r="D566" s="28" t="s">
        <v>681</v>
      </c>
      <c r="E566" s="28" t="s">
        <v>114</v>
      </c>
      <c r="F566" s="28" t="s">
        <v>458</v>
      </c>
      <c r="G566" s="27" t="s">
        <v>101</v>
      </c>
      <c r="I566" s="27" t="s">
        <v>121</v>
      </c>
      <c r="J566" s="28">
        <v>21480</v>
      </c>
      <c r="K566" s="27" t="s">
        <v>97</v>
      </c>
      <c r="V566" s="29"/>
      <c r="W566"/>
      <c r="X566"/>
      <c r="Y566"/>
      <c r="Z566"/>
      <c r="AA566" s="51"/>
      <c r="AD566"/>
      <c r="AE566" s="7"/>
      <c r="AF566" s="7"/>
      <c r="AG566" s="7"/>
      <c r="AH566" s="7"/>
      <c r="AI566" s="7"/>
      <c r="AJ566" s="7"/>
      <c r="AK566" s="7"/>
      <c r="AL566" s="7"/>
      <c r="AM566" s="7"/>
      <c r="AN566" s="7"/>
      <c r="AO566" s="168"/>
      <c r="AP566" s="6"/>
      <c r="AQ566" s="7"/>
      <c r="AR566" s="7"/>
      <c r="AS566" s="7"/>
      <c r="AT566" s="6"/>
      <c r="AV566" s="7"/>
      <c r="AY566" s="8"/>
      <c r="AZ566" s="1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EI566" s="8"/>
      <c r="EL566" s="10"/>
      <c r="EU566" s="4"/>
      <c r="EV566" s="4"/>
      <c r="EW566" s="4"/>
      <c r="GR566" s="8"/>
      <c r="GS566" s="4"/>
      <c r="GT566" s="9"/>
      <c r="GU566" s="4"/>
      <c r="GV566" s="8"/>
      <c r="GW566" s="4"/>
      <c r="GX566" s="4"/>
      <c r="HF566" s="4"/>
      <c r="HH566" s="4"/>
      <c r="HJ566" s="4"/>
      <c r="HM566" s="4"/>
      <c r="HN566" s="10"/>
      <c r="HO566" s="4"/>
      <c r="HP566" s="4"/>
      <c r="HV566" s="4"/>
      <c r="HW566" s="4"/>
      <c r="IA566" s="4"/>
      <c r="IB566" s="4"/>
      <c r="IC566" s="4"/>
      <c r="ID566" s="8"/>
      <c r="IE566" s="4"/>
      <c r="IG566" s="4"/>
      <c r="IH566" s="4"/>
    </row>
    <row r="567" spans="1:244">
      <c r="A567">
        <v>552</v>
      </c>
      <c r="B567" t="s">
        <v>468</v>
      </c>
      <c r="C567" t="s">
        <v>2311</v>
      </c>
      <c r="D567" s="28" t="s">
        <v>681</v>
      </c>
      <c r="E567" s="28" t="s">
        <v>114</v>
      </c>
      <c r="F567" s="28" t="s">
        <v>2182</v>
      </c>
      <c r="G567" s="27" t="s">
        <v>101</v>
      </c>
      <c r="I567" s="27" t="s">
        <v>121</v>
      </c>
      <c r="J567" s="28">
        <v>21697</v>
      </c>
      <c r="K567" s="27" t="s">
        <v>227</v>
      </c>
      <c r="Q567" s="13" t="s">
        <v>2301</v>
      </c>
      <c r="R567" s="13" t="s">
        <v>1194</v>
      </c>
      <c r="T567" s="5" t="s">
        <v>2251</v>
      </c>
      <c r="U567" s="5"/>
      <c r="V567" s="29" t="s">
        <v>2252</v>
      </c>
      <c r="W567"/>
      <c r="X567"/>
      <c r="Y567"/>
      <c r="Z567"/>
      <c r="AA567" s="51" t="s">
        <v>126</v>
      </c>
      <c r="AB567" s="66">
        <v>127.66</v>
      </c>
      <c r="AC567">
        <v>20</v>
      </c>
      <c r="AD567" t="s">
        <v>2312</v>
      </c>
      <c r="AE567" s="7">
        <f>BA567</f>
        <v>11.369400000000002</v>
      </c>
      <c r="AF567" s="7"/>
      <c r="AG567" s="7">
        <f>EU567+EX567</f>
        <v>2.4099999999999997</v>
      </c>
      <c r="AH567" s="7">
        <f>DM567</f>
        <v>0</v>
      </c>
      <c r="AI567" s="7">
        <f>DO567</f>
        <v>0</v>
      </c>
      <c r="AJ567" s="7">
        <f>GW567</f>
        <v>0.05</v>
      </c>
      <c r="AK567" s="7">
        <f>GU567</f>
        <v>0.18000000000000002</v>
      </c>
      <c r="AL567" s="7">
        <f>GS567</f>
        <v>1.52</v>
      </c>
      <c r="AM567" s="7">
        <f>HV567</f>
        <v>0.03</v>
      </c>
      <c r="AN567" s="7">
        <f>IG567</f>
        <v>0.02</v>
      </c>
      <c r="AO567" s="168">
        <f>EY567</f>
        <v>0</v>
      </c>
      <c r="AP567" s="6"/>
      <c r="AQ567" s="7">
        <f>SUM(AE567:AP567)</f>
        <v>15.579400000000001</v>
      </c>
      <c r="AR567" s="7">
        <f>IJ567</f>
        <v>0</v>
      </c>
      <c r="AS567" s="7"/>
      <c r="AT567" s="6">
        <v>0</v>
      </c>
      <c r="AV567" s="7">
        <f>AQ567+AT567+AU567+AR567</f>
        <v>15.579400000000001</v>
      </c>
      <c r="AW567">
        <v>9.0000000000000011E-2</v>
      </c>
      <c r="AX567">
        <v>8.4000000000000005E-2</v>
      </c>
      <c r="AY567" s="8">
        <v>1</v>
      </c>
      <c r="AZ567" s="14">
        <f>(AW567-AX567)*AY567</f>
        <v>6.0000000000000053E-3</v>
      </c>
      <c r="BA567" s="4">
        <f>AW567*AB567-AZ567*AC567</f>
        <v>11.369400000000002</v>
      </c>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DM567">
        <v>0</v>
      </c>
      <c r="EF567">
        <v>180</v>
      </c>
      <c r="EG567">
        <v>1800</v>
      </c>
      <c r="EH567">
        <v>7.5</v>
      </c>
      <c r="EI567" s="8">
        <v>0.9</v>
      </c>
      <c r="EJ567">
        <v>2</v>
      </c>
      <c r="EK567">
        <v>65</v>
      </c>
      <c r="EL567" s="10">
        <f>3600/EK567*EH567*EJ567*EI567</f>
        <v>747.69230769230774</v>
      </c>
      <c r="EU567" s="4">
        <f>ROUNDUP(EG567/EL567+EX567,2)</f>
        <v>2.4099999999999997</v>
      </c>
      <c r="EV567" s="4"/>
      <c r="EW567" s="4"/>
      <c r="GR567" s="8">
        <v>0.11</v>
      </c>
      <c r="GS567" s="4">
        <f>ROUNDUP(GR567*(BA567+EU567),2)</f>
        <v>1.52</v>
      </c>
      <c r="GT567" s="9">
        <v>1.2500000000000001E-2</v>
      </c>
      <c r="GU567" s="4">
        <f>ROUNDUP(GT567*(BA567+EU567),2)</f>
        <v>0.18000000000000002</v>
      </c>
      <c r="GV567" s="8">
        <v>0.02</v>
      </c>
      <c r="GW567" s="4">
        <f>ROUNDUP(GV567*EU567,2)</f>
        <v>0.05</v>
      </c>
      <c r="GX567" s="4">
        <f>GS567+GU567+GW567</f>
        <v>1.75</v>
      </c>
      <c r="GY567" t="s">
        <v>130</v>
      </c>
      <c r="GZ567" t="s">
        <v>130</v>
      </c>
      <c r="HA567">
        <v>650</v>
      </c>
      <c r="HB567">
        <v>450</v>
      </c>
      <c r="HC567">
        <v>330</v>
      </c>
      <c r="HD567">
        <v>240</v>
      </c>
      <c r="HE567">
        <v>1000</v>
      </c>
      <c r="HF567" s="4">
        <f>ROUNDUP(HE567/HD567,0)</f>
        <v>5</v>
      </c>
      <c r="HG567">
        <v>5</v>
      </c>
      <c r="HH567" s="4">
        <f>HF567*HG567</f>
        <v>25</v>
      </c>
      <c r="HI567">
        <v>650</v>
      </c>
      <c r="HJ567" s="4">
        <f>HH567*HI567</f>
        <v>16250</v>
      </c>
      <c r="HM567" s="4">
        <v>2</v>
      </c>
      <c r="HN567" s="10">
        <f>HM567*12*25*HE567</f>
        <v>600000</v>
      </c>
      <c r="HO567" s="4">
        <f>IF(GY567="carton box",HI567/HD567,HJ567/HN567)</f>
        <v>2.7083333333333334E-2</v>
      </c>
      <c r="HP567" s="4">
        <v>160</v>
      </c>
      <c r="HV567" s="4">
        <f>ROUNDUP(HO567+HT567,2)</f>
        <v>0.03</v>
      </c>
      <c r="HW567" s="4"/>
      <c r="HX567">
        <v>4200</v>
      </c>
      <c r="HY567">
        <v>1900</v>
      </c>
      <c r="HZ567">
        <v>1975</v>
      </c>
      <c r="IA567" s="4">
        <f t="shared" ref="IA567:IC568" si="591">ROUNDDOWN(HX567/HA567,0)</f>
        <v>6</v>
      </c>
      <c r="IB567" s="4">
        <f t="shared" si="591"/>
        <v>4</v>
      </c>
      <c r="IC567" s="4">
        <f t="shared" si="591"/>
        <v>5</v>
      </c>
      <c r="ID567" s="8">
        <v>0.95</v>
      </c>
      <c r="IE567" s="4">
        <f>ROUND(PRODUCT(IA567:ID567),0)</f>
        <v>114</v>
      </c>
      <c r="IF567">
        <v>500</v>
      </c>
      <c r="IG567" s="4">
        <f>ROUNDUP(IF567/(IE567*HD567),2)</f>
        <v>0.02</v>
      </c>
      <c r="IH567" s="4"/>
    </row>
    <row r="568" spans="1:244">
      <c r="A568">
        <v>553</v>
      </c>
      <c r="B568" t="s">
        <v>468</v>
      </c>
      <c r="C568" t="s">
        <v>2314</v>
      </c>
      <c r="D568" s="28" t="s">
        <v>682</v>
      </c>
      <c r="E568" s="28" t="s">
        <v>683</v>
      </c>
      <c r="F568" s="28" t="s">
        <v>2182</v>
      </c>
      <c r="G568" s="27" t="s">
        <v>101</v>
      </c>
      <c r="I568" s="27" t="s">
        <v>121</v>
      </c>
      <c r="J568" s="28">
        <v>21697</v>
      </c>
      <c r="K568" s="27" t="s">
        <v>227</v>
      </c>
      <c r="Q568" s="13" t="s">
        <v>2298</v>
      </c>
      <c r="R568" s="80" t="s">
        <v>1778</v>
      </c>
      <c r="S568" s="59"/>
      <c r="T568" t="s">
        <v>2251</v>
      </c>
      <c r="V568" s="29" t="s">
        <v>2252</v>
      </c>
      <c r="W568"/>
      <c r="X568"/>
      <c r="Y568"/>
      <c r="Z568"/>
      <c r="AA568" s="51" t="s">
        <v>2315</v>
      </c>
      <c r="AB568" s="66">
        <v>84.66</v>
      </c>
      <c r="AC568">
        <v>20</v>
      </c>
      <c r="AD568" t="s">
        <v>2313</v>
      </c>
      <c r="AE568" s="7">
        <f>BA568</f>
        <v>29.83896</v>
      </c>
      <c r="AF568" s="7"/>
      <c r="AG568" s="7">
        <f>EU568</f>
        <v>12.04</v>
      </c>
      <c r="AH568" s="7">
        <f>DM568</f>
        <v>0</v>
      </c>
      <c r="AI568" s="7">
        <f>DO568</f>
        <v>0</v>
      </c>
      <c r="AJ568" s="7">
        <f>GW568</f>
        <v>0.24079999999999999</v>
      </c>
      <c r="AK568" s="7">
        <f>GU568</f>
        <v>0.52348700000000004</v>
      </c>
      <c r="AL568" s="7">
        <f>GS568</f>
        <v>4.6066855999999996</v>
      </c>
      <c r="AM568" s="7">
        <f>HV568</f>
        <v>0.91666666666666663</v>
      </c>
      <c r="AN568" s="7">
        <f>IG568</f>
        <v>0.54824561403508776</v>
      </c>
      <c r="AO568" s="6">
        <v>0</v>
      </c>
      <c r="AP568" s="6"/>
      <c r="AQ568" s="7">
        <f>SUM(AE568:AP568)</f>
        <v>48.714844880701754</v>
      </c>
      <c r="AR568" s="7">
        <f>IJ568</f>
        <v>0.48714844880701758</v>
      </c>
      <c r="AS568" s="7"/>
      <c r="AT568" s="6">
        <v>0</v>
      </c>
      <c r="AV568" s="7">
        <f>AQ568+AT568+AU568+AR568</f>
        <v>49.201993329508774</v>
      </c>
      <c r="AW568">
        <v>0.35600000000000004</v>
      </c>
      <c r="AX568">
        <v>0.34100000000000003</v>
      </c>
      <c r="AY568" s="8">
        <v>1</v>
      </c>
      <c r="AZ568">
        <f>(AW568-AX568)*AY568</f>
        <v>1.5000000000000013E-2</v>
      </c>
      <c r="BA568" s="4">
        <f>AW568*AB568-AZ568*AC568</f>
        <v>29.83896</v>
      </c>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DM568">
        <v>0</v>
      </c>
      <c r="EF568">
        <v>450</v>
      </c>
      <c r="EG568">
        <v>4500</v>
      </c>
      <c r="EH568">
        <v>7.5</v>
      </c>
      <c r="EI568" s="8">
        <v>0.9</v>
      </c>
      <c r="EJ568">
        <v>1</v>
      </c>
      <c r="EK568">
        <v>65</v>
      </c>
      <c r="EL568" s="10">
        <f>ROUND(3600/EK568*EH568*EJ568*EI568,0)</f>
        <v>374</v>
      </c>
      <c r="EU568" s="4">
        <f>ROUNDUP((EG568/EL568+EX568),2)</f>
        <v>12.04</v>
      </c>
      <c r="EV568" s="4"/>
      <c r="EW568" s="4"/>
      <c r="GR568" s="8">
        <v>0.11</v>
      </c>
      <c r="GS568" s="4">
        <f>GR568*(BA568+EU568)</f>
        <v>4.6066855999999996</v>
      </c>
      <c r="GT568" s="9">
        <v>1.2500000000000001E-2</v>
      </c>
      <c r="GU568" s="4">
        <f>GT568*(BA568+EU568)</f>
        <v>0.52348700000000004</v>
      </c>
      <c r="GV568" s="8">
        <v>0.02</v>
      </c>
      <c r="GW568" s="4">
        <f>(GV568*EU568)</f>
        <v>0.24079999999999999</v>
      </c>
      <c r="GX568" s="4">
        <f>GS568+GU568+GW568</f>
        <v>5.3709726</v>
      </c>
      <c r="GY568" t="s">
        <v>130</v>
      </c>
      <c r="GZ568" t="s">
        <v>130</v>
      </c>
      <c r="HA568">
        <v>810</v>
      </c>
      <c r="HB568">
        <v>568</v>
      </c>
      <c r="HC568">
        <v>425</v>
      </c>
      <c r="HD568">
        <v>16</v>
      </c>
      <c r="HE568">
        <v>20</v>
      </c>
      <c r="HF568" s="4">
        <f>ROUNDUP(HE568/HD568,0)</f>
        <v>2</v>
      </c>
      <c r="HG568">
        <v>5</v>
      </c>
      <c r="HH568" s="4">
        <f>HF568*HG568</f>
        <v>10</v>
      </c>
      <c r="HI568">
        <v>1100</v>
      </c>
      <c r="HJ568" s="4">
        <f>HH568*HI568</f>
        <v>11000</v>
      </c>
      <c r="HM568" s="4">
        <v>2</v>
      </c>
      <c r="HN568" s="10">
        <f>HM568*12*25*HE568</f>
        <v>12000</v>
      </c>
      <c r="HO568" s="4">
        <f>IF(GY568="carton box",HI568/HD568,HJ568/HN568)</f>
        <v>0.91666666666666663</v>
      </c>
      <c r="HP568" s="4">
        <v>160</v>
      </c>
      <c r="HV568" s="4">
        <f>HO568+HT568</f>
        <v>0.91666666666666663</v>
      </c>
      <c r="HW568" s="4"/>
      <c r="HX568" s="4">
        <v>4200</v>
      </c>
      <c r="HY568" s="4">
        <v>1900</v>
      </c>
      <c r="HZ568" s="4">
        <v>1975</v>
      </c>
      <c r="IA568" s="4">
        <f t="shared" si="591"/>
        <v>5</v>
      </c>
      <c r="IB568" s="4">
        <f t="shared" si="591"/>
        <v>3</v>
      </c>
      <c r="IC568" s="4">
        <f t="shared" si="591"/>
        <v>4</v>
      </c>
      <c r="ID568" s="8">
        <v>0.95</v>
      </c>
      <c r="IE568" s="4">
        <f>ROUNDUP(PRODUCT(IA568:ID568),0)</f>
        <v>57</v>
      </c>
      <c r="IF568" s="4">
        <v>500</v>
      </c>
      <c r="IG568" s="4">
        <f>IF568/(IE568*HD568)</f>
        <v>0.54824561403508776</v>
      </c>
      <c r="IH568" s="4"/>
      <c r="II568" s="61">
        <v>0.01</v>
      </c>
      <c r="IJ568" s="62">
        <f>II568*(IG568+HV568+GW568+GU568+GS568+EU568+BA568+DO568)</f>
        <v>0.48714844880701758</v>
      </c>
    </row>
    <row r="569" spans="1:244">
      <c r="A569">
        <v>554</v>
      </c>
      <c r="B569" t="s">
        <v>458</v>
      </c>
      <c r="D569" s="28" t="s">
        <v>682</v>
      </c>
      <c r="E569" s="28" t="s">
        <v>683</v>
      </c>
      <c r="F569" s="28" t="s">
        <v>458</v>
      </c>
      <c r="G569" s="27" t="s">
        <v>101</v>
      </c>
      <c r="I569" s="27" t="s">
        <v>121</v>
      </c>
      <c r="J569" s="28">
        <v>21480</v>
      </c>
      <c r="K569" s="27" t="s">
        <v>97</v>
      </c>
    </row>
    <row r="570" spans="1:244">
      <c r="A570">
        <v>555</v>
      </c>
      <c r="B570" t="s">
        <v>468</v>
      </c>
      <c r="C570" t="s">
        <v>2317</v>
      </c>
      <c r="D570" s="28" t="s">
        <v>1406</v>
      </c>
      <c r="E570" s="28" t="s">
        <v>1400</v>
      </c>
      <c r="F570" s="28" t="s">
        <v>2182</v>
      </c>
      <c r="G570" s="27" t="s">
        <v>101</v>
      </c>
      <c r="I570" s="27" t="s">
        <v>121</v>
      </c>
      <c r="J570" s="28">
        <v>21697</v>
      </c>
      <c r="K570" s="27" t="s">
        <v>227</v>
      </c>
      <c r="Q570" s="13" t="s">
        <v>2298</v>
      </c>
      <c r="R570" s="80" t="s">
        <v>1778</v>
      </c>
      <c r="S570" s="59"/>
      <c r="V570" s="29" t="s">
        <v>2252</v>
      </c>
      <c r="W570"/>
      <c r="X570"/>
      <c r="Y570"/>
      <c r="Z570"/>
      <c r="AA570" s="51" t="s">
        <v>2316</v>
      </c>
      <c r="AB570" s="66">
        <v>88.41</v>
      </c>
      <c r="AC570">
        <v>20</v>
      </c>
      <c r="AD570" t="s">
        <v>2313</v>
      </c>
      <c r="AE570" s="7">
        <f>BA570</f>
        <v>108.98926199999998</v>
      </c>
      <c r="AF570" s="7"/>
      <c r="AG570" s="7">
        <f>EU570</f>
        <v>26.192057613168725</v>
      </c>
      <c r="AH570" s="7">
        <f>DM570</f>
        <v>0</v>
      </c>
      <c r="AI570" s="7">
        <f>DO570</f>
        <v>0</v>
      </c>
      <c r="AJ570" s="7">
        <f>GW570</f>
        <v>0.52384115226337447</v>
      </c>
      <c r="AK570" s="7">
        <f>GU570</f>
        <v>1.689766495164609</v>
      </c>
      <c r="AL570" s="7">
        <f>GS570</f>
        <v>14.869945157448559</v>
      </c>
      <c r="AM570" s="7">
        <f>HV570</f>
        <v>3.3333333333333335</v>
      </c>
      <c r="AN570" s="7">
        <f>IG570</f>
        <v>2.44</v>
      </c>
      <c r="AO570" s="6">
        <v>0</v>
      </c>
      <c r="AP570" s="6"/>
      <c r="AQ570" s="7">
        <f>SUM(AE570:AP570)</f>
        <v>158.0382057513786</v>
      </c>
      <c r="AR570" s="7">
        <f>IJ570</f>
        <v>1.5803820575137859</v>
      </c>
      <c r="AS570" s="7"/>
      <c r="AT570" s="6">
        <v>0</v>
      </c>
      <c r="AV570" s="7">
        <f>AQ570+AT570+AU570+AR570</f>
        <v>159.61858780889239</v>
      </c>
      <c r="AW570">
        <v>1.2382</v>
      </c>
      <c r="AX570">
        <v>1.2141999999999999</v>
      </c>
      <c r="AY570" s="8">
        <v>1</v>
      </c>
      <c r="AZ570">
        <f>(AW570-AX570)*AY570</f>
        <v>2.4000000000000021E-2</v>
      </c>
      <c r="BA570" s="4">
        <f>AW570*AB570-AZ570*AC570</f>
        <v>108.98926199999998</v>
      </c>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DM570">
        <v>0</v>
      </c>
      <c r="EF570">
        <v>550</v>
      </c>
      <c r="EG570">
        <v>5500</v>
      </c>
      <c r="EH570">
        <v>7.5</v>
      </c>
      <c r="EI570" s="8">
        <v>0.9</v>
      </c>
      <c r="EJ570">
        <v>1</v>
      </c>
      <c r="EK570">
        <v>95</v>
      </c>
      <c r="EL570" s="10">
        <f>3600/EK570*EH570*EJ570*EI570</f>
        <v>255.78947368421055</v>
      </c>
      <c r="EU570" s="4">
        <f>EG570/EL570+EX570</f>
        <v>26.192057613168725</v>
      </c>
      <c r="EV570" s="4"/>
      <c r="EW570" s="4"/>
      <c r="EX570">
        <v>4.6900000000000004</v>
      </c>
      <c r="FA570" s="4">
        <f>EX570+EZ570+EY570</f>
        <v>4.6900000000000004</v>
      </c>
      <c r="FB570" s="4"/>
      <c r="FC570" s="4"/>
      <c r="FD570" s="4"/>
      <c r="FE570" s="4"/>
      <c r="FF570" s="4"/>
      <c r="FG570" s="4"/>
      <c r="FH570" s="4"/>
      <c r="FI570" s="4"/>
      <c r="FJ570" s="4"/>
      <c r="FK570" s="4"/>
      <c r="FL570" s="4"/>
      <c r="FM570" s="4"/>
      <c r="FN570" s="4"/>
      <c r="FO570" s="4"/>
      <c r="FP570" s="4"/>
      <c r="FQ570" s="4"/>
      <c r="FR570" s="4"/>
      <c r="FS570" s="4"/>
      <c r="FT570" s="4"/>
      <c r="FU570" s="4"/>
      <c r="FV570" s="4"/>
      <c r="FW570" s="4"/>
      <c r="FX570" s="4"/>
      <c r="FY570" s="4"/>
      <c r="FZ570" s="4"/>
      <c r="GA570" s="4"/>
      <c r="GB570" s="4"/>
      <c r="GC570" s="4"/>
      <c r="GD570" s="4"/>
      <c r="GE570" s="4"/>
      <c r="GF570" s="4"/>
      <c r="GG570" s="4"/>
      <c r="GH570" s="4"/>
      <c r="GI570" s="4"/>
      <c r="GJ570" s="4"/>
      <c r="GK570" s="4"/>
      <c r="GL570" s="4"/>
      <c r="GM570" s="4"/>
      <c r="GN570" s="4"/>
      <c r="GO570" s="4"/>
      <c r="GP570" s="4"/>
      <c r="GQ570" s="4"/>
      <c r="GR570" s="8">
        <v>0.11</v>
      </c>
      <c r="GS570" s="4">
        <f>GR570*(BA570+EU570)</f>
        <v>14.869945157448559</v>
      </c>
      <c r="GT570" s="9">
        <v>1.2500000000000001E-2</v>
      </c>
      <c r="GU570" s="4">
        <f>GT570*(BA570+EU570)</f>
        <v>1.689766495164609</v>
      </c>
      <c r="GV570" s="8">
        <v>0.02</v>
      </c>
      <c r="GW570" s="4">
        <f>(GV570*EU570)</f>
        <v>0.52384115226337447</v>
      </c>
      <c r="GX570" s="4">
        <f>GS570+GU570+GW570</f>
        <v>17.083552804876543</v>
      </c>
      <c r="GY570" t="s">
        <v>130</v>
      </c>
      <c r="GZ570" t="s">
        <v>130</v>
      </c>
      <c r="HA570">
        <v>1300</v>
      </c>
      <c r="HB570">
        <v>800</v>
      </c>
      <c r="HC570">
        <v>1800</v>
      </c>
      <c r="HD570">
        <v>36</v>
      </c>
      <c r="HE570">
        <v>20</v>
      </c>
      <c r="HF570" s="4">
        <f>ROUNDUP(HE570/HD570,0)</f>
        <v>1</v>
      </c>
      <c r="HG570">
        <v>5</v>
      </c>
      <c r="HH570" s="4">
        <f>HF570*HG570</f>
        <v>5</v>
      </c>
      <c r="HI570">
        <v>12000</v>
      </c>
      <c r="HJ570" s="4">
        <f>HH570*HI570</f>
        <v>60000</v>
      </c>
      <c r="HM570" s="4">
        <v>3</v>
      </c>
      <c r="HN570" s="10">
        <f>HM570*12*25*HE570</f>
        <v>18000</v>
      </c>
      <c r="HO570" s="4">
        <f>IF(GY570="carton box",HI570/HD570,HJ570/HN570)</f>
        <v>3.3333333333333335</v>
      </c>
      <c r="HP570" s="4">
        <v>160</v>
      </c>
      <c r="HV570" s="4">
        <f>HO570+HT570</f>
        <v>3.3333333333333335</v>
      </c>
      <c r="HW570" s="4"/>
      <c r="HX570" s="4">
        <v>4200</v>
      </c>
      <c r="HY570" s="4">
        <v>1900</v>
      </c>
      <c r="HZ570" s="4">
        <v>1975</v>
      </c>
      <c r="IA570" s="4">
        <f t="shared" ref="IA570:IC571" si="592">ROUNDDOWN(HX570/HA570,0)</f>
        <v>3</v>
      </c>
      <c r="IB570" s="4">
        <f t="shared" si="592"/>
        <v>2</v>
      </c>
      <c r="IC570" s="4">
        <f t="shared" si="592"/>
        <v>1</v>
      </c>
      <c r="ID570" s="8">
        <v>0.95</v>
      </c>
      <c r="IE570" s="4">
        <f>PRODUCT(IA570:ID570)</f>
        <v>5.6999999999999993</v>
      </c>
      <c r="IF570" s="4">
        <v>500</v>
      </c>
      <c r="IG570" s="4">
        <f>ROUNDUP(IF570/(IE570*HD570),2)</f>
        <v>2.44</v>
      </c>
      <c r="IH570" s="4"/>
      <c r="II570" s="61">
        <v>0.01</v>
      </c>
      <c r="IJ570" s="62">
        <f>II570*(IG570+HV570+GW570+GU570+GS570+EU570+BA570+DO570)</f>
        <v>1.5803820575137859</v>
      </c>
    </row>
    <row r="571" spans="1:244">
      <c r="A571">
        <v>556</v>
      </c>
      <c r="B571" t="s">
        <v>468</v>
      </c>
      <c r="C571" s="59" t="s">
        <v>2318</v>
      </c>
      <c r="D571" s="28" t="s">
        <v>1407</v>
      </c>
      <c r="E571" s="28" t="s">
        <v>186</v>
      </c>
      <c r="F571" s="28" t="s">
        <v>2182</v>
      </c>
      <c r="G571" s="27" t="s">
        <v>101</v>
      </c>
      <c r="I571" s="27" t="s">
        <v>121</v>
      </c>
      <c r="J571" s="28">
        <v>21697</v>
      </c>
      <c r="K571" s="27" t="s">
        <v>227</v>
      </c>
      <c r="Q571" s="80" t="s">
        <v>1875</v>
      </c>
      <c r="R571" s="80" t="s">
        <v>1778</v>
      </c>
      <c r="S571" s="59"/>
      <c r="T571" s="59" t="s">
        <v>2251</v>
      </c>
      <c r="U571" s="59"/>
      <c r="V571" s="321" t="s">
        <v>2252</v>
      </c>
      <c r="W571" s="59"/>
      <c r="X571" s="59"/>
      <c r="Y571" s="59"/>
      <c r="Z571" s="59"/>
      <c r="AA571" s="51" t="s">
        <v>423</v>
      </c>
      <c r="AB571" s="63">
        <v>79.97</v>
      </c>
      <c r="AC571" s="59">
        <v>20</v>
      </c>
      <c r="AD571" t="s">
        <v>2313</v>
      </c>
      <c r="AE571" s="42">
        <f>BA571</f>
        <v>31.488150000000001</v>
      </c>
      <c r="AF571" s="42"/>
      <c r="AG571" s="42">
        <f>EU571</f>
        <v>9.3582887700534751</v>
      </c>
      <c r="AH571" s="42">
        <f>DM571</f>
        <v>0</v>
      </c>
      <c r="AI571" s="42">
        <f>DO571</f>
        <v>0</v>
      </c>
      <c r="AJ571" s="42">
        <f>GW571</f>
        <v>0.18716577540106952</v>
      </c>
      <c r="AK571" s="42">
        <f>GU571</f>
        <v>0.51058048462566841</v>
      </c>
      <c r="AL571" s="42">
        <f>GS571</f>
        <v>4.4931082647058824</v>
      </c>
      <c r="AM571" s="42">
        <f>HV571</f>
        <v>0.46</v>
      </c>
      <c r="AN571" s="42">
        <f>IG571</f>
        <v>0.44</v>
      </c>
      <c r="AO571" s="60">
        <v>0</v>
      </c>
      <c r="AP571" s="60"/>
      <c r="AQ571" s="42">
        <f>SUM(AE571:AP571)</f>
        <v>46.937293294786095</v>
      </c>
      <c r="AR571" s="7">
        <f>IJ571</f>
        <v>0.46937293294786098</v>
      </c>
      <c r="AS571" s="7"/>
      <c r="AT571" s="60">
        <v>0</v>
      </c>
      <c r="AU571" s="59"/>
      <c r="AV571" s="7">
        <f>AQ571+AT571+AU571+AR571</f>
        <v>47.406666227733957</v>
      </c>
      <c r="AW571" s="59">
        <v>0.39500000000000002</v>
      </c>
      <c r="AX571" s="59">
        <v>0.39</v>
      </c>
      <c r="AY571" s="61">
        <v>1</v>
      </c>
      <c r="AZ571" s="59">
        <f>(AW571-AX571)*AY571</f>
        <v>5.0000000000000044E-3</v>
      </c>
      <c r="BA571" s="62">
        <f>AW571*AB571-AZ571*AC571</f>
        <v>31.488150000000001</v>
      </c>
      <c r="BB571" s="62"/>
      <c r="BC571" s="62"/>
      <c r="BD571" s="62"/>
      <c r="BE571" s="62"/>
      <c r="BF571" s="62"/>
      <c r="BG571" s="62"/>
      <c r="BH571" s="62"/>
      <c r="BI571" s="62"/>
      <c r="BJ571" s="62"/>
      <c r="BK571" s="62"/>
      <c r="BL571" s="62"/>
      <c r="BM571" s="4"/>
      <c r="BN571" s="4"/>
      <c r="BO571" s="4"/>
      <c r="BP571" s="4"/>
      <c r="BQ571" s="4"/>
      <c r="BR571" s="4"/>
      <c r="BS571" s="4"/>
      <c r="BT571" s="4"/>
      <c r="BU571" s="4"/>
      <c r="BV571" s="4"/>
      <c r="BW571" s="4"/>
      <c r="BX571" s="4"/>
      <c r="BY571" s="4"/>
      <c r="BZ571" s="4"/>
      <c r="CA571" s="4"/>
      <c r="CB571" s="4"/>
      <c r="CC571" s="4"/>
      <c r="CD571" s="59"/>
      <c r="CE571" s="59"/>
      <c r="CF571" s="59"/>
      <c r="CG571" s="59"/>
      <c r="CH571" s="59"/>
      <c r="CI571" s="59"/>
      <c r="CJ571" s="59"/>
      <c r="CK571" s="59"/>
      <c r="CL571" s="59"/>
      <c r="CM571" s="59"/>
      <c r="CN571" s="59"/>
      <c r="CO571" s="59"/>
      <c r="CP571" s="59"/>
      <c r="CQ571" s="59"/>
      <c r="CR571" s="59"/>
      <c r="CS571" s="59"/>
      <c r="CT571" s="59"/>
      <c r="CU571" s="59"/>
      <c r="CV571" s="59"/>
      <c r="CW571" s="59"/>
      <c r="CX571" s="59"/>
      <c r="CY571" s="59"/>
      <c r="CZ571" s="59"/>
      <c r="DA571" s="59"/>
      <c r="DB571" s="59"/>
      <c r="DC571" s="59"/>
      <c r="DD571" s="59"/>
      <c r="DE571" s="59"/>
      <c r="DF571" s="59"/>
      <c r="DG571" s="59"/>
      <c r="DH571" s="59"/>
      <c r="DI571" s="59"/>
      <c r="DJ571" s="59"/>
      <c r="DK571" s="59"/>
      <c r="DL571" s="59"/>
      <c r="DM571" s="59"/>
      <c r="DN571" s="59"/>
      <c r="DO571" s="59"/>
      <c r="DP571" s="59"/>
      <c r="DQ571" s="59"/>
      <c r="DR571" s="59"/>
      <c r="DS571" s="59"/>
      <c r="DT571" s="59"/>
      <c r="DU571" s="59"/>
      <c r="EF571" s="59">
        <v>350</v>
      </c>
      <c r="EG571" s="59">
        <v>3500</v>
      </c>
      <c r="EH571" s="59">
        <v>7.5</v>
      </c>
      <c r="EI571" s="61">
        <v>0.9</v>
      </c>
      <c r="EJ571" s="59">
        <v>1</v>
      </c>
      <c r="EK571" s="59">
        <v>65</v>
      </c>
      <c r="EL571" s="65">
        <f>ROUND(3600/EK571*EH571*EJ571*EI571,0)</f>
        <v>374</v>
      </c>
      <c r="EM571" s="59"/>
      <c r="EN571" s="59"/>
      <c r="EO571" s="59"/>
      <c r="EP571" s="59"/>
      <c r="EQ571" s="59"/>
      <c r="ER571" s="59"/>
      <c r="ES571" s="59"/>
      <c r="ET571" s="59"/>
      <c r="EU571" s="62">
        <f>EG571/EL571+EX571</f>
        <v>9.3582887700534751</v>
      </c>
      <c r="EV571" s="62"/>
      <c r="EW571" s="62"/>
      <c r="EX571" s="59"/>
      <c r="EY571" s="59"/>
      <c r="EZ571" s="59"/>
      <c r="FA571" s="59"/>
      <c r="FB571" s="59"/>
      <c r="FC571" s="59"/>
      <c r="FD571" s="59"/>
      <c r="FE571" s="59"/>
      <c r="FF571" s="59"/>
      <c r="FG571" s="59"/>
      <c r="FH571" s="59"/>
      <c r="FI571" s="59"/>
      <c r="FJ571" s="59"/>
      <c r="FK571" s="59"/>
      <c r="FL571" s="59"/>
      <c r="FM571" s="59"/>
      <c r="FN571" s="59"/>
      <c r="FO571" s="59"/>
      <c r="FP571" s="59"/>
      <c r="FQ571" s="59"/>
      <c r="FR571" s="59"/>
      <c r="FS571" s="59"/>
      <c r="FT571" s="59"/>
      <c r="FU571" s="59"/>
      <c r="FV571" s="59"/>
      <c r="FW571" s="59"/>
      <c r="FX571" s="59"/>
      <c r="FY571" s="59"/>
      <c r="FZ571" s="59"/>
      <c r="GA571" s="59"/>
      <c r="GB571" s="59"/>
      <c r="GC571" s="59"/>
      <c r="GD571" s="59"/>
      <c r="GE571" s="59"/>
      <c r="GF571" s="59"/>
      <c r="GG571" s="59"/>
      <c r="GH571" s="59"/>
      <c r="GI571" s="59"/>
      <c r="GJ571" s="59"/>
      <c r="GK571" s="59"/>
      <c r="GL571" s="59"/>
      <c r="GM571" s="59"/>
      <c r="GN571" s="59"/>
      <c r="GO571" s="59"/>
      <c r="GP571" s="59"/>
      <c r="GQ571" s="59"/>
      <c r="GR571" s="61">
        <v>0.11</v>
      </c>
      <c r="GS571" s="62">
        <f>GR571*(BA571+EU571)</f>
        <v>4.4931082647058824</v>
      </c>
      <c r="GT571" s="64">
        <v>1.2500000000000001E-2</v>
      </c>
      <c r="GU571" s="62">
        <f>GT571*(BA571+EU571)</f>
        <v>0.51058048462566841</v>
      </c>
      <c r="GV571" s="61">
        <v>0.02</v>
      </c>
      <c r="GW571" s="62">
        <f>(GV571*EU571)</f>
        <v>0.18716577540106952</v>
      </c>
      <c r="GX571" s="62">
        <f>GS571+GU571+GW571</f>
        <v>5.1908545247326208</v>
      </c>
      <c r="GY571" s="59" t="s">
        <v>43</v>
      </c>
      <c r="GZ571" s="59" t="s">
        <v>87</v>
      </c>
      <c r="HA571" s="59">
        <v>810</v>
      </c>
      <c r="HB571" s="59">
        <v>568</v>
      </c>
      <c r="HC571" s="59">
        <v>425</v>
      </c>
      <c r="HD571" s="59">
        <v>20</v>
      </c>
      <c r="HE571" s="59">
        <v>20</v>
      </c>
      <c r="HF571" s="62">
        <f>ROUNDUP(HE571/HD571,0)</f>
        <v>1</v>
      </c>
      <c r="HG571" s="59">
        <v>5</v>
      </c>
      <c r="HH571" s="62">
        <f>HF571*HG571</f>
        <v>5</v>
      </c>
      <c r="HI571" s="59">
        <v>1100</v>
      </c>
      <c r="HJ571" s="62">
        <f>HH571*HI571</f>
        <v>5500</v>
      </c>
      <c r="HK571" s="59"/>
      <c r="HL571" s="59"/>
      <c r="HM571" s="59">
        <v>2</v>
      </c>
      <c r="HN571" s="59">
        <f>HM571*12*25*HE571</f>
        <v>12000</v>
      </c>
      <c r="HO571" s="62">
        <f>IF(GY571="carton box",HI571/HD571,HJ571/HN571)</f>
        <v>0.45833333333333331</v>
      </c>
      <c r="HP571" s="62">
        <v>160</v>
      </c>
      <c r="HQ571" s="59"/>
      <c r="HR571" s="59"/>
      <c r="HS571" s="59"/>
      <c r="HT571" s="59"/>
      <c r="HU571" s="59"/>
      <c r="HV571" s="62">
        <f>ROUNDUP(HO571+HT571,2)</f>
        <v>0.46</v>
      </c>
      <c r="HW571" s="62"/>
      <c r="HX571" s="62">
        <v>4200</v>
      </c>
      <c r="HY571" s="62">
        <v>1900</v>
      </c>
      <c r="HZ571" s="62">
        <v>1975</v>
      </c>
      <c r="IA571" s="62">
        <f t="shared" si="592"/>
        <v>5</v>
      </c>
      <c r="IB571" s="62">
        <f t="shared" si="592"/>
        <v>3</v>
      </c>
      <c r="IC571" s="62">
        <f t="shared" si="592"/>
        <v>4</v>
      </c>
      <c r="ID571" s="61">
        <v>0.95</v>
      </c>
      <c r="IE571" s="62">
        <f>ROUNDUP(PRODUCT(IA571:ID571),0)</f>
        <v>57</v>
      </c>
      <c r="IF571" s="62">
        <v>500</v>
      </c>
      <c r="IG571" s="62">
        <f>ROUNDUP(IF571/(IE571*HD571),2)</f>
        <v>0.44</v>
      </c>
      <c r="IH571" s="62"/>
      <c r="II571" s="61">
        <v>0.01</v>
      </c>
      <c r="IJ571" s="62">
        <f>II571*(IG571+HV571+GW571+GU571+GS571+EU571+BA571+DO571)</f>
        <v>0.46937293294786098</v>
      </c>
    </row>
    <row r="572" spans="1:244">
      <c r="A572">
        <v>557</v>
      </c>
      <c r="B572" s="301" t="s">
        <v>1947</v>
      </c>
      <c r="D572" s="28" t="s">
        <v>1408</v>
      </c>
      <c r="E572" s="28" t="s">
        <v>1318</v>
      </c>
      <c r="F572" s="28" t="s">
        <v>1947</v>
      </c>
      <c r="G572" s="27" t="s">
        <v>101</v>
      </c>
      <c r="I572" s="27" t="s">
        <v>121</v>
      </c>
      <c r="J572" s="28">
        <v>29010</v>
      </c>
      <c r="K572" s="27" t="s">
        <v>229</v>
      </c>
    </row>
    <row r="573" spans="1:244">
      <c r="A573">
        <v>558</v>
      </c>
      <c r="B573" t="s">
        <v>468</v>
      </c>
      <c r="C573" t="s">
        <v>2319</v>
      </c>
      <c r="D573" s="28" t="s">
        <v>1408</v>
      </c>
      <c r="E573" s="28" t="s">
        <v>1318</v>
      </c>
      <c r="F573" s="28" t="s">
        <v>2182</v>
      </c>
      <c r="G573" s="27" t="s">
        <v>101</v>
      </c>
      <c r="I573" s="27" t="s">
        <v>121</v>
      </c>
      <c r="J573" s="28">
        <v>21677</v>
      </c>
      <c r="K573" s="27" t="s">
        <v>228</v>
      </c>
      <c r="L573">
        <v>21401</v>
      </c>
      <c r="M573" t="s">
        <v>121</v>
      </c>
      <c r="Q573" s="13" t="s">
        <v>2301</v>
      </c>
      <c r="R573" s="13" t="s">
        <v>1194</v>
      </c>
      <c r="T573" t="s">
        <v>2251</v>
      </c>
      <c r="V573" s="29" t="s">
        <v>2252</v>
      </c>
      <c r="W573" t="s">
        <v>2320</v>
      </c>
      <c r="X573"/>
      <c r="Y573"/>
      <c r="Z573"/>
      <c r="AA573" s="51" t="s">
        <v>2321</v>
      </c>
      <c r="AB573" s="57">
        <v>452</v>
      </c>
      <c r="AC573">
        <v>20</v>
      </c>
      <c r="AD573" t="s">
        <v>310</v>
      </c>
      <c r="AE573" s="7">
        <f>BA573</f>
        <v>76.72</v>
      </c>
      <c r="AF573" s="7"/>
      <c r="AG573" s="7">
        <f>EU573</f>
        <v>7.8947368421052628</v>
      </c>
      <c r="AH573" s="7">
        <f>DM573</f>
        <v>5.4457142857142857</v>
      </c>
      <c r="AI573" s="7">
        <f>DO573</f>
        <v>6.8071428571428574E-2</v>
      </c>
      <c r="AJ573" s="7">
        <f>GW573</f>
        <v>0.15789473684210525</v>
      </c>
      <c r="AK573" s="7">
        <f>GU573</f>
        <v>1.0576842105263158</v>
      </c>
      <c r="AL573" s="7">
        <f>GS573</f>
        <v>9.3076210526315784</v>
      </c>
      <c r="AM573" s="7">
        <f>HV573</f>
        <v>1.6847222222222222</v>
      </c>
      <c r="AN573" s="7">
        <f>IG573</f>
        <v>0.37037037037037035</v>
      </c>
      <c r="AO573" s="6">
        <v>0</v>
      </c>
      <c r="AP573" s="6"/>
      <c r="AQ573" s="7">
        <f>SUM(AE573:AP573)</f>
        <v>102.70681514898357</v>
      </c>
      <c r="AR573" s="7">
        <f>IJ573</f>
        <v>0</v>
      </c>
      <c r="AS573" s="7"/>
      <c r="AT573" s="6">
        <v>0</v>
      </c>
      <c r="AV573" s="7">
        <f>AQ573+AT573+AU573+AR573</f>
        <v>102.70681514898357</v>
      </c>
      <c r="AW573" s="14">
        <v>0.17</v>
      </c>
      <c r="AX573">
        <v>0.16400000000000001</v>
      </c>
      <c r="AY573" s="8">
        <v>1</v>
      </c>
      <c r="AZ573">
        <f>(AW573-AX573)*AY573</f>
        <v>6.0000000000000053E-3</v>
      </c>
      <c r="BA573" s="4">
        <f>AW573*AB573-AZ573*AC573</f>
        <v>76.72</v>
      </c>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F573" s="299">
        <v>1</v>
      </c>
      <c r="CG573" s="4">
        <v>0.2</v>
      </c>
      <c r="CH573">
        <f>CF573*CG573</f>
        <v>0.2</v>
      </c>
      <c r="CI573" t="s">
        <v>2322</v>
      </c>
      <c r="CK573">
        <v>2</v>
      </c>
      <c r="CL573">
        <v>2.08</v>
      </c>
      <c r="CM573">
        <f>CK573*CL573</f>
        <v>4.16</v>
      </c>
      <c r="CO573" t="s">
        <v>2323</v>
      </c>
      <c r="CP573">
        <v>1</v>
      </c>
      <c r="CQ573" s="4">
        <f>380/350</f>
        <v>1.0857142857142856</v>
      </c>
      <c r="CR573" s="4">
        <f>CP573*CQ573</f>
        <v>1.0857142857142856</v>
      </c>
      <c r="DM573" s="4">
        <f>CH573+CM573+CR573+DB573+DG573+DL573</f>
        <v>5.4457142857142857</v>
      </c>
      <c r="DN573" s="9">
        <v>1.2500000000000001E-2</v>
      </c>
      <c r="DO573" s="4">
        <f>DM573*DN573</f>
        <v>6.8071428571428574E-2</v>
      </c>
      <c r="DP573" s="4">
        <f>DM573+DO573</f>
        <v>5.5137857142857145</v>
      </c>
      <c r="EF573">
        <v>360</v>
      </c>
      <c r="EG573">
        <v>3600</v>
      </c>
      <c r="EH573">
        <v>8</v>
      </c>
      <c r="EI573" s="8">
        <v>0.95</v>
      </c>
      <c r="EJ573">
        <v>1</v>
      </c>
      <c r="EK573">
        <v>60</v>
      </c>
      <c r="EL573" s="10">
        <f>ROUND(3600/EK573*EH573*EJ573*EI573,0)</f>
        <v>456</v>
      </c>
      <c r="EU573" s="4">
        <f>EG573/EL573+EX573</f>
        <v>7.8947368421052628</v>
      </c>
      <c r="EV573" s="4"/>
      <c r="EW573" s="4"/>
      <c r="GR573" s="8">
        <v>0.11</v>
      </c>
      <c r="GS573" s="4">
        <f>GR573*(BA573+EU573)</f>
        <v>9.3076210526315784</v>
      </c>
      <c r="GT573" s="9">
        <v>1.2500000000000001E-2</v>
      </c>
      <c r="GU573" s="4">
        <f>GT573*(BA573+EU573)</f>
        <v>1.0576842105263158</v>
      </c>
      <c r="GV573" s="8">
        <v>0.02</v>
      </c>
      <c r="GW573" s="4">
        <f>(GV573*EU573)</f>
        <v>0.15789473684210525</v>
      </c>
      <c r="GX573" s="4">
        <f>GS573+GU573+GW573</f>
        <v>10.523199999999999</v>
      </c>
      <c r="GY573" t="s">
        <v>130</v>
      </c>
      <c r="GZ573" t="s">
        <v>130</v>
      </c>
      <c r="HA573">
        <v>805</v>
      </c>
      <c r="HB573">
        <v>675</v>
      </c>
      <c r="HC573">
        <v>405</v>
      </c>
      <c r="HD573">
        <v>27</v>
      </c>
      <c r="HE573">
        <v>600</v>
      </c>
      <c r="HF573" s="4">
        <f>ROUNDUP(HE573/HD573,0)</f>
        <v>23</v>
      </c>
      <c r="HG573">
        <v>5</v>
      </c>
      <c r="HH573" s="4">
        <f>HF573*HG573</f>
        <v>115</v>
      </c>
      <c r="HI573">
        <v>1100</v>
      </c>
      <c r="HJ573" s="4">
        <f>HH573*HI573</f>
        <v>126500</v>
      </c>
      <c r="HM573">
        <v>2</v>
      </c>
      <c r="HN573">
        <f>HM573*12*25*HE573</f>
        <v>360000</v>
      </c>
      <c r="HO573" s="4">
        <f>IF(GY573="carton box",HI573/HD573,HJ573/HN573)</f>
        <v>0.35138888888888886</v>
      </c>
      <c r="HP573" s="4">
        <v>160</v>
      </c>
      <c r="HR573">
        <v>160</v>
      </c>
      <c r="HS573">
        <v>120</v>
      </c>
      <c r="HT573" s="4">
        <f>HR573/HS573</f>
        <v>1.3333333333333333</v>
      </c>
      <c r="HU573" s="4"/>
      <c r="HV573" s="4">
        <f>HO573+HT573</f>
        <v>1.6847222222222222</v>
      </c>
      <c r="HW573" s="4"/>
      <c r="HX573">
        <v>5016</v>
      </c>
      <c r="HY573">
        <v>1976</v>
      </c>
      <c r="HZ573">
        <v>2280</v>
      </c>
      <c r="IA573" s="4">
        <f>ROUNDDOWN(HX573/HA573,0)</f>
        <v>6</v>
      </c>
      <c r="IB573" s="4">
        <f>ROUNDDOWN(HY573/HB573,0)</f>
        <v>2</v>
      </c>
      <c r="IC573" s="4">
        <f>ROUNDDOWN(HZ573/HC573,0)</f>
        <v>5</v>
      </c>
      <c r="ID573" s="8">
        <v>0.95</v>
      </c>
      <c r="IE573" s="4">
        <f>ROUNDUP(PRODUCT(IA573:ID573),0)-7</f>
        <v>50</v>
      </c>
      <c r="IF573" s="4">
        <v>500</v>
      </c>
      <c r="IG573" s="4">
        <f>IF573/(IE573*HD573)</f>
        <v>0.37037037037037035</v>
      </c>
      <c r="IH573" s="4"/>
    </row>
    <row r="574" spans="1:244">
      <c r="A574">
        <v>559</v>
      </c>
      <c r="B574" s="301" t="s">
        <v>1947</v>
      </c>
      <c r="D574" s="28" t="s">
        <v>1409</v>
      </c>
      <c r="E574" s="28" t="s">
        <v>120</v>
      </c>
      <c r="F574" s="28" t="s">
        <v>1947</v>
      </c>
      <c r="G574" s="27" t="s">
        <v>101</v>
      </c>
      <c r="I574" s="27" t="s">
        <v>121</v>
      </c>
      <c r="J574" s="28">
        <v>29010</v>
      </c>
      <c r="K574" s="27" t="s">
        <v>229</v>
      </c>
    </row>
    <row r="575" spans="1:244" ht="45">
      <c r="A575">
        <v>560</v>
      </c>
      <c r="B575" t="s">
        <v>468</v>
      </c>
      <c r="C575" t="s">
        <v>2324</v>
      </c>
      <c r="D575" s="28" t="s">
        <v>1409</v>
      </c>
      <c r="E575" s="28" t="s">
        <v>120</v>
      </c>
      <c r="F575" s="28" t="s">
        <v>2182</v>
      </c>
      <c r="G575" s="27" t="s">
        <v>101</v>
      </c>
      <c r="I575" s="27" t="s">
        <v>121</v>
      </c>
      <c r="J575" s="28">
        <v>21677</v>
      </c>
      <c r="K575" s="27" t="s">
        <v>228</v>
      </c>
      <c r="L575">
        <v>21401</v>
      </c>
      <c r="M575" t="s">
        <v>121</v>
      </c>
      <c r="Q575" s="13" t="s">
        <v>2301</v>
      </c>
      <c r="R575" s="13" t="s">
        <v>1194</v>
      </c>
      <c r="T575" t="s">
        <v>2251</v>
      </c>
      <c r="V575" s="29" t="s">
        <v>2252</v>
      </c>
      <c r="W575" s="72" t="s">
        <v>2327</v>
      </c>
      <c r="X575" s="72"/>
      <c r="Y575"/>
      <c r="Z575"/>
      <c r="AA575" s="51" t="s">
        <v>2325</v>
      </c>
      <c r="AB575" s="66">
        <v>111.78</v>
      </c>
      <c r="AC575">
        <v>20</v>
      </c>
      <c r="AD575" t="s">
        <v>310</v>
      </c>
      <c r="AE575" s="7">
        <f>BA575</f>
        <v>60.911880000000011</v>
      </c>
      <c r="AF575" s="7"/>
      <c r="AG575" s="7">
        <f>EU575</f>
        <v>14.254385964912281</v>
      </c>
      <c r="AH575" s="7">
        <f>DM575</f>
        <v>0.2</v>
      </c>
      <c r="AI575" s="7">
        <f>DO575</f>
        <v>0</v>
      </c>
      <c r="AJ575" s="7">
        <f>GW575</f>
        <v>0.28508771929824561</v>
      </c>
      <c r="AK575" s="7">
        <f>GU575</f>
        <v>0.93957832456140378</v>
      </c>
      <c r="AL575" s="7">
        <f>GS575</f>
        <v>8.2682892561403527</v>
      </c>
      <c r="AM575" s="7">
        <f>HV575</f>
        <v>2.1611111111111114</v>
      </c>
      <c r="AN575" s="7">
        <f>IG575</f>
        <v>0.66666666666666663</v>
      </c>
      <c r="AO575" s="6">
        <v>0</v>
      </c>
      <c r="AP575" s="6"/>
      <c r="AQ575" s="7">
        <f>SUM(AE575:AP575)</f>
        <v>87.68699904269009</v>
      </c>
      <c r="AR575" s="7">
        <f>IJ575</f>
        <v>0</v>
      </c>
      <c r="AS575" s="7"/>
      <c r="AT575" s="6">
        <v>0</v>
      </c>
      <c r="AU575">
        <f>87.07-87.69</f>
        <v>-0.62000000000000455</v>
      </c>
      <c r="AV575" s="7">
        <f>AQ575+AT575+AU575+AR575</f>
        <v>87.066999042690085</v>
      </c>
      <c r="AW575">
        <v>0.54600000000000004</v>
      </c>
      <c r="AX575">
        <v>0.54</v>
      </c>
      <c r="AY575" s="8">
        <v>1</v>
      </c>
      <c r="AZ575">
        <f>(AW575-AX575)*AY575</f>
        <v>6.0000000000000053E-3</v>
      </c>
      <c r="BA575" s="4">
        <f>AW575*AB575-AZ575*AC575</f>
        <v>60.911880000000011</v>
      </c>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F575">
        <v>1</v>
      </c>
      <c r="CG575">
        <v>0.2</v>
      </c>
      <c r="CH575" s="45">
        <f>CF575*CG575</f>
        <v>0.2</v>
      </c>
      <c r="DM575" s="4">
        <f>CH575+CM575+CR575+DB575+DG575+DL575</f>
        <v>0.2</v>
      </c>
      <c r="EF575">
        <v>650</v>
      </c>
      <c r="EG575">
        <v>6500</v>
      </c>
      <c r="EH575">
        <v>8</v>
      </c>
      <c r="EI575" s="8">
        <v>0.95</v>
      </c>
      <c r="EJ575">
        <v>1</v>
      </c>
      <c r="EK575">
        <v>60</v>
      </c>
      <c r="EL575" s="10">
        <f>ROUND(3600/EK575*EH575*EJ575*EI575,0)</f>
        <v>456</v>
      </c>
      <c r="EU575" s="4">
        <f>EG575/EL575+EX575</f>
        <v>14.254385964912281</v>
      </c>
      <c r="EV575" s="4"/>
      <c r="EW575" s="4"/>
      <c r="GR575" s="8">
        <v>0.11</v>
      </c>
      <c r="GS575" s="4">
        <f>GR575*(BA575+EU575)</f>
        <v>8.2682892561403527</v>
      </c>
      <c r="GT575" s="9">
        <v>1.2500000000000001E-2</v>
      </c>
      <c r="GU575" s="4">
        <f>GT575*(BA575+EU575)</f>
        <v>0.93957832456140378</v>
      </c>
      <c r="GV575" s="8">
        <v>0.02</v>
      </c>
      <c r="GW575" s="4">
        <f>(GV575*EU575)</f>
        <v>0.28508771929824561</v>
      </c>
      <c r="GX575" s="4">
        <f>GS575+GU575+GW575</f>
        <v>9.492955300000002</v>
      </c>
      <c r="GY575" t="s">
        <v>130</v>
      </c>
      <c r="GZ575" t="s">
        <v>130</v>
      </c>
      <c r="HA575">
        <v>805</v>
      </c>
      <c r="HB575">
        <v>675</v>
      </c>
      <c r="HC575">
        <v>405</v>
      </c>
      <c r="HD575">
        <v>15</v>
      </c>
      <c r="HE575">
        <v>600</v>
      </c>
      <c r="HF575" s="4">
        <f>ROUNDUP(HE575/HD575,0)</f>
        <v>40</v>
      </c>
      <c r="HG575">
        <v>5</v>
      </c>
      <c r="HH575" s="4">
        <f>HF575*HG575</f>
        <v>200</v>
      </c>
      <c r="HI575">
        <v>1100</v>
      </c>
      <c r="HJ575" s="4">
        <f>HH575*HI575</f>
        <v>220000</v>
      </c>
      <c r="HM575">
        <v>2</v>
      </c>
      <c r="HN575">
        <f>HM575*12*25*HE575</f>
        <v>360000</v>
      </c>
      <c r="HO575" s="4">
        <f>IF(GY575="carton box",HI575/HD575,HJ575/HN575)</f>
        <v>0.61111111111111116</v>
      </c>
      <c r="HP575" s="4">
        <v>160</v>
      </c>
      <c r="HR575">
        <v>1.55</v>
      </c>
      <c r="HS575">
        <v>1</v>
      </c>
      <c r="HT575" s="14">
        <f>HR575/HS575</f>
        <v>1.55</v>
      </c>
      <c r="HU575" s="14"/>
      <c r="HV575" s="4">
        <f>HO575+HT575</f>
        <v>2.1611111111111114</v>
      </c>
      <c r="HW575" s="4"/>
      <c r="HX575">
        <v>5016</v>
      </c>
      <c r="HY575">
        <v>1976</v>
      </c>
      <c r="HZ575">
        <v>2280</v>
      </c>
      <c r="IA575" s="4">
        <f t="shared" ref="IA575:IC576" si="593">ROUNDDOWN(HX575/HA575,0)</f>
        <v>6</v>
      </c>
      <c r="IB575" s="4">
        <f t="shared" si="593"/>
        <v>2</v>
      </c>
      <c r="IC575" s="4">
        <f t="shared" si="593"/>
        <v>5</v>
      </c>
      <c r="ID575" s="8">
        <v>0.95</v>
      </c>
      <c r="IE575" s="4">
        <f>ROUNDUP(PRODUCT(IA575:ID575),0)-7</f>
        <v>50</v>
      </c>
      <c r="IF575" s="4">
        <v>500</v>
      </c>
      <c r="IG575" s="4">
        <f>IF575/(IE575*HD575)</f>
        <v>0.66666666666666663</v>
      </c>
      <c r="IH575" s="4"/>
    </row>
    <row r="576" spans="1:244">
      <c r="A576">
        <v>561</v>
      </c>
      <c r="B576" t="s">
        <v>468</v>
      </c>
      <c r="C576" t="s">
        <v>2328</v>
      </c>
      <c r="D576" s="28" t="s">
        <v>1410</v>
      </c>
      <c r="E576" s="28" t="s">
        <v>788</v>
      </c>
      <c r="F576" s="28" t="s">
        <v>2182</v>
      </c>
      <c r="G576" s="27" t="s">
        <v>101</v>
      </c>
      <c r="I576" s="27" t="s">
        <v>121</v>
      </c>
      <c r="J576" s="28">
        <v>21697</v>
      </c>
      <c r="K576" s="27" t="s">
        <v>227</v>
      </c>
      <c r="L576">
        <v>20089</v>
      </c>
      <c r="M576" t="s">
        <v>121</v>
      </c>
      <c r="Q576" s="13" t="s">
        <v>1875</v>
      </c>
      <c r="R576" s="13" t="s">
        <v>2329</v>
      </c>
      <c r="T576" t="s">
        <v>2251</v>
      </c>
      <c r="V576" s="29" t="s">
        <v>2252</v>
      </c>
      <c r="W576" t="s">
        <v>2294</v>
      </c>
      <c r="X576"/>
      <c r="Y576"/>
      <c r="Z576"/>
      <c r="AA576" s="51" t="s">
        <v>2330</v>
      </c>
      <c r="AB576" s="66">
        <v>155.26</v>
      </c>
      <c r="AC576">
        <v>20</v>
      </c>
      <c r="AD576" t="s">
        <v>2331</v>
      </c>
      <c r="AE576" s="7">
        <f>BA576</f>
        <v>67.593360000000004</v>
      </c>
      <c r="AF576" s="7"/>
      <c r="AG576" s="7">
        <f>EU576</f>
        <v>13.888888888888889</v>
      </c>
      <c r="AH576" s="7">
        <f>DM576</f>
        <v>0</v>
      </c>
      <c r="AI576" s="7">
        <f>DO576</f>
        <v>0</v>
      </c>
      <c r="AJ576" s="7">
        <f>GW576</f>
        <v>0.27777777777777779</v>
      </c>
      <c r="AK576" s="7">
        <f>GU576</f>
        <v>1.0185281111111111</v>
      </c>
      <c r="AL576" s="7">
        <f>GS576</f>
        <v>8.9630473777777784</v>
      </c>
      <c r="AM576" s="7">
        <f>HV576</f>
        <v>4.13</v>
      </c>
      <c r="AN576" s="7">
        <f>IG576</f>
        <v>0.88</v>
      </c>
      <c r="AO576" s="6">
        <v>0</v>
      </c>
      <c r="AP576" s="6"/>
      <c r="AQ576" s="7">
        <f>SUM(AE576:AP576)</f>
        <v>96.751602155555545</v>
      </c>
      <c r="AR576" s="7">
        <f>IJ576</f>
        <v>0.96751602155555561</v>
      </c>
      <c r="AS576" s="7"/>
      <c r="AT576" s="6">
        <v>0</v>
      </c>
      <c r="AV576" s="7">
        <f>AQ576+AT576+AU576+AR576</f>
        <v>97.719118177111099</v>
      </c>
      <c r="AW576">
        <v>0.436</v>
      </c>
      <c r="AX576">
        <v>0.43099999999999999</v>
      </c>
      <c r="AY576" s="61">
        <v>1</v>
      </c>
      <c r="AZ576" s="59">
        <f>(AW576-AX576)*AY576</f>
        <v>5.0000000000000044E-3</v>
      </c>
      <c r="BA576" s="62">
        <f>AW576*AB576-AZ576*AC576</f>
        <v>67.593360000000004</v>
      </c>
      <c r="BB576" s="62"/>
      <c r="BC576" s="62"/>
      <c r="BD576" s="62"/>
      <c r="BE576" s="62"/>
      <c r="BF576" s="62"/>
      <c r="BG576" s="62"/>
      <c r="BH576" s="62"/>
      <c r="BI576" s="62"/>
      <c r="BJ576" s="62"/>
      <c r="BK576" s="62"/>
      <c r="BL576" s="62"/>
      <c r="BM576" s="4"/>
      <c r="BN576" s="4"/>
      <c r="BO576" s="4"/>
      <c r="BP576" s="4"/>
      <c r="BQ576" s="4"/>
      <c r="BR576" s="4"/>
      <c r="BS576" s="4"/>
      <c r="BT576" s="4"/>
      <c r="BU576" s="4"/>
      <c r="BV576" s="4"/>
      <c r="BW576" s="4"/>
      <c r="BX576" s="4"/>
      <c r="BY576" s="4"/>
      <c r="BZ576" s="4"/>
      <c r="CA576" s="4"/>
      <c r="CB576" s="4"/>
      <c r="CC576" s="4"/>
      <c r="DM576" s="4">
        <f>CH576+CM576+CR576+DB576+DG576+DL576</f>
        <v>0</v>
      </c>
      <c r="EF576">
        <v>450</v>
      </c>
      <c r="EG576">
        <v>4500</v>
      </c>
      <c r="EH576">
        <v>7.5</v>
      </c>
      <c r="EI576" s="61">
        <v>0.9</v>
      </c>
      <c r="EJ576">
        <v>1</v>
      </c>
      <c r="EK576">
        <v>75</v>
      </c>
      <c r="EL576" s="10">
        <f>ROUND(3600/EK576*EH576*EJ576*EI576,0)</f>
        <v>324</v>
      </c>
      <c r="EU576" s="4">
        <f>EG576/EL576+EX576</f>
        <v>13.888888888888889</v>
      </c>
      <c r="EV576" s="4"/>
      <c r="EW576" s="4"/>
      <c r="GR576" s="8">
        <v>0.11</v>
      </c>
      <c r="GS576" s="4">
        <f>GR576*(BA576+EU576)</f>
        <v>8.9630473777777784</v>
      </c>
      <c r="GT576" s="9">
        <v>1.2500000000000001E-2</v>
      </c>
      <c r="GU576" s="4">
        <f>GT576*(BA576+EU576)</f>
        <v>1.0185281111111111</v>
      </c>
      <c r="GV576" s="8">
        <v>0.02</v>
      </c>
      <c r="GW576" s="4">
        <f>(GV576*EU576)</f>
        <v>0.27777777777777779</v>
      </c>
      <c r="GX576" s="4">
        <f>GS576+GU576+GW576</f>
        <v>10.259353266666668</v>
      </c>
      <c r="GY576" t="s">
        <v>130</v>
      </c>
      <c r="GZ576" t="s">
        <v>130</v>
      </c>
      <c r="HA576">
        <v>810</v>
      </c>
      <c r="HB576">
        <v>568</v>
      </c>
      <c r="HC576">
        <v>425</v>
      </c>
      <c r="HD576">
        <v>10</v>
      </c>
      <c r="HE576">
        <v>20</v>
      </c>
      <c r="HF576" s="4">
        <f>ROUNDUP(HE576/HD576,0)</f>
        <v>2</v>
      </c>
      <c r="HG576">
        <v>5</v>
      </c>
      <c r="HH576" s="4">
        <f>HF576*HG576</f>
        <v>10</v>
      </c>
      <c r="HI576">
        <v>1100</v>
      </c>
      <c r="HJ576" s="4">
        <f>HH576*HI576</f>
        <v>11000</v>
      </c>
      <c r="HM576">
        <v>2</v>
      </c>
      <c r="HN576">
        <f>HM576*12*25*HE576</f>
        <v>12000</v>
      </c>
      <c r="HO576" s="4">
        <f>IF(GY576="carton box",HI576/HD576,HJ576/HN576)</f>
        <v>0.91666666666666663</v>
      </c>
      <c r="HP576" s="4">
        <v>160</v>
      </c>
      <c r="HR576">
        <v>3.21</v>
      </c>
      <c r="HS576">
        <v>1</v>
      </c>
      <c r="HT576" s="14">
        <f>HR576/HS576</f>
        <v>3.21</v>
      </c>
      <c r="HU576" s="14"/>
      <c r="HV576" s="4">
        <f>ROUNDUP(HO576+HT576,2)</f>
        <v>4.13</v>
      </c>
      <c r="HW576" s="4"/>
      <c r="HX576" s="62">
        <v>4200</v>
      </c>
      <c r="HY576" s="62">
        <v>1900</v>
      </c>
      <c r="HZ576" s="62">
        <v>1975</v>
      </c>
      <c r="IA576" s="62">
        <f t="shared" si="593"/>
        <v>5</v>
      </c>
      <c r="IB576" s="62">
        <f t="shared" si="593"/>
        <v>3</v>
      </c>
      <c r="IC576" s="62">
        <f t="shared" si="593"/>
        <v>4</v>
      </c>
      <c r="ID576" s="61">
        <v>0.95</v>
      </c>
      <c r="IE576" s="62">
        <f>ROUNDUP(PRODUCT(IA576:ID576),0)</f>
        <v>57</v>
      </c>
      <c r="IF576" s="62">
        <v>500</v>
      </c>
      <c r="IG576" s="4">
        <f>ROUNDUP(IF576/(IE576*HD576),2)</f>
        <v>0.88</v>
      </c>
      <c r="IH576" s="4"/>
      <c r="II576" s="61">
        <v>0.01</v>
      </c>
      <c r="IJ576" s="62">
        <f>II576*(IG576+HV576+GW576+GU576+GS576+EU576+BA576+DO576)</f>
        <v>0.96751602155555561</v>
      </c>
    </row>
    <row r="577" spans="1:244">
      <c r="A577">
        <v>562</v>
      </c>
      <c r="B577" s="301" t="s">
        <v>1947</v>
      </c>
      <c r="D577" s="28" t="s">
        <v>1410</v>
      </c>
      <c r="E577" s="28" t="s">
        <v>788</v>
      </c>
      <c r="F577" s="28" t="s">
        <v>1947</v>
      </c>
      <c r="G577" s="27" t="s">
        <v>101</v>
      </c>
      <c r="I577" s="27" t="s">
        <v>121</v>
      </c>
      <c r="J577" s="28">
        <v>29010</v>
      </c>
      <c r="K577" s="27" t="s">
        <v>229</v>
      </c>
    </row>
    <row r="578" spans="1:244">
      <c r="A578">
        <v>563</v>
      </c>
      <c r="B578" t="s">
        <v>468</v>
      </c>
      <c r="C578" t="s">
        <v>2332</v>
      </c>
      <c r="D578" s="28" t="s">
        <v>687</v>
      </c>
      <c r="E578" s="28" t="s">
        <v>688</v>
      </c>
      <c r="F578" s="28" t="s">
        <v>2182</v>
      </c>
      <c r="G578" s="27" t="s">
        <v>101</v>
      </c>
      <c r="I578" s="27" t="s">
        <v>121</v>
      </c>
      <c r="J578" s="28">
        <v>21697</v>
      </c>
      <c r="K578" s="27" t="s">
        <v>227</v>
      </c>
      <c r="L578">
        <v>20089</v>
      </c>
      <c r="M578" t="s">
        <v>121</v>
      </c>
      <c r="Q578" s="13" t="s">
        <v>1875</v>
      </c>
      <c r="R578" s="13" t="s">
        <v>1769</v>
      </c>
      <c r="T578" t="s">
        <v>2251</v>
      </c>
      <c r="V578" s="29" t="s">
        <v>2252</v>
      </c>
      <c r="W578" t="s">
        <v>2294</v>
      </c>
      <c r="X578"/>
      <c r="Y578"/>
      <c r="Z578"/>
      <c r="AA578" s="51" t="s">
        <v>423</v>
      </c>
      <c r="AB578" s="66">
        <v>95.51</v>
      </c>
      <c r="AC578">
        <v>20</v>
      </c>
      <c r="AD578" t="s">
        <v>2331</v>
      </c>
      <c r="AE578" s="7">
        <f>BA578</f>
        <v>12.889360000000002</v>
      </c>
      <c r="AF578" s="7"/>
      <c r="AG578" s="7">
        <f>EU578</f>
        <v>9.7942386831275723</v>
      </c>
      <c r="AH578" s="7">
        <f>DM578</f>
        <v>0</v>
      </c>
      <c r="AI578" s="7">
        <f>DO578</f>
        <v>0</v>
      </c>
      <c r="AJ578" s="7">
        <f>GW578</f>
        <v>0.19588477366255144</v>
      </c>
      <c r="AK578" s="7">
        <f>GU578</f>
        <v>0.28354498353909469</v>
      </c>
      <c r="AL578" s="7">
        <f>GS578</f>
        <v>2.4951958551440332</v>
      </c>
      <c r="AM578" s="168">
        <f>HV578</f>
        <v>0.54166666666666663</v>
      </c>
      <c r="AN578" s="7">
        <f>IG578</f>
        <v>0.25</v>
      </c>
      <c r="AO578" s="6">
        <v>0</v>
      </c>
      <c r="AP578" s="6"/>
      <c r="AQ578" s="7">
        <f>SUM(AE578:AP578)</f>
        <v>26.449890962139921</v>
      </c>
      <c r="AR578" s="7">
        <f>IJ578</f>
        <v>0.26449890962139916</v>
      </c>
      <c r="AS578" s="7"/>
      <c r="AT578" s="6">
        <v>0</v>
      </c>
      <c r="AV578" s="7">
        <f>AQ578+AT578+AU578+AR578</f>
        <v>26.71438987176132</v>
      </c>
      <c r="AW578">
        <v>0.13600000000000001</v>
      </c>
      <c r="AX578">
        <v>0.13100000000000001</v>
      </c>
      <c r="AY578" s="8">
        <v>1</v>
      </c>
      <c r="AZ578" s="55">
        <f>(AW578-AX578)*AY578</f>
        <v>5.0000000000000044E-3</v>
      </c>
      <c r="BA578" s="4">
        <f>AW578*AB578-AZ578*AC578</f>
        <v>12.889360000000002</v>
      </c>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DM578" s="4">
        <f>CH578+CM578+CR578+DB578+DG578+DL578</f>
        <v>0</v>
      </c>
      <c r="EF578">
        <v>350</v>
      </c>
      <c r="EG578">
        <v>3500</v>
      </c>
      <c r="EH578">
        <v>7.5</v>
      </c>
      <c r="EI578" s="8">
        <v>0.9</v>
      </c>
      <c r="EJ578">
        <v>1</v>
      </c>
      <c r="EK578">
        <v>68</v>
      </c>
      <c r="EL578" s="10">
        <f>3600/EK578*EH578*EJ578*EI578</f>
        <v>357.35294117647055</v>
      </c>
      <c r="EU578" s="4">
        <f>EG578/EL578</f>
        <v>9.7942386831275723</v>
      </c>
      <c r="EV578" s="4"/>
      <c r="EW578" s="4"/>
      <c r="GR578" s="8">
        <v>0.11</v>
      </c>
      <c r="GS578" s="4">
        <f>GR578*(BA578+EU578)</f>
        <v>2.4951958551440332</v>
      </c>
      <c r="GT578" s="9">
        <v>1.2500000000000001E-2</v>
      </c>
      <c r="GU578" s="4">
        <f>GT578*(BA578+EU578)</f>
        <v>0.28354498353909469</v>
      </c>
      <c r="GV578" s="8">
        <v>0.02</v>
      </c>
      <c r="GW578" s="4">
        <f>(GV578*EU578)</f>
        <v>0.19588477366255144</v>
      </c>
      <c r="GX578" s="4">
        <f>GS578+GU578+GW578</f>
        <v>2.9746256123456791</v>
      </c>
      <c r="GY578" t="s">
        <v>43</v>
      </c>
      <c r="GZ578" t="s">
        <v>87</v>
      </c>
      <c r="HA578">
        <v>650</v>
      </c>
      <c r="HB578">
        <v>450</v>
      </c>
      <c r="HC578">
        <v>330</v>
      </c>
      <c r="HD578">
        <v>18</v>
      </c>
      <c r="HE578">
        <v>20</v>
      </c>
      <c r="HF578" s="4">
        <f>ROUNDUP(HE578/HD578,0)</f>
        <v>2</v>
      </c>
      <c r="HG578">
        <v>5</v>
      </c>
      <c r="HH578" s="4">
        <f>HF578*HG578</f>
        <v>10</v>
      </c>
      <c r="HI578">
        <v>650</v>
      </c>
      <c r="HJ578" s="4">
        <f>HH578*HI578</f>
        <v>6500</v>
      </c>
      <c r="HM578" s="4">
        <v>2</v>
      </c>
      <c r="HN578" s="10">
        <f>HM578*12*25*HE578</f>
        <v>12000</v>
      </c>
      <c r="HO578" s="4">
        <f>IF(GY578="carton box",HI578/HD578,HJ578/HN578)</f>
        <v>0.54166666666666663</v>
      </c>
      <c r="HP578" s="4">
        <v>160</v>
      </c>
      <c r="HV578" s="4">
        <f>HO578+HT578</f>
        <v>0.54166666666666663</v>
      </c>
      <c r="HW578" s="4"/>
      <c r="HX578" s="4">
        <v>4200</v>
      </c>
      <c r="HY578" s="4">
        <v>1900</v>
      </c>
      <c r="HZ578" s="4">
        <v>1975</v>
      </c>
      <c r="IA578" s="4">
        <f>ROUNDDOWN(HX578/HA578,0)</f>
        <v>6</v>
      </c>
      <c r="IB578" s="4">
        <f>ROUNDDOWN(HY578/HB578,0)</f>
        <v>4</v>
      </c>
      <c r="IC578" s="4">
        <f>ROUNDDOWN(HZ578/HC578,0)</f>
        <v>5</v>
      </c>
      <c r="ID578" s="8">
        <v>0.95</v>
      </c>
      <c r="IE578" s="4">
        <f>ROUNDUP(PRODUCT(IA578:ID578),0)</f>
        <v>114</v>
      </c>
      <c r="IF578" s="4">
        <v>500</v>
      </c>
      <c r="IG578" s="4">
        <f>ROUNDUP(IF578/(IE578*HD578),2)</f>
        <v>0.25</v>
      </c>
      <c r="IH578" s="4"/>
      <c r="II578" s="8">
        <v>0.01</v>
      </c>
      <c r="IJ578" s="62">
        <f>II578*(IG578+HV578+GW578+GU578+GS578+EU578+BA578+DO578)</f>
        <v>0.26449890962139916</v>
      </c>
    </row>
    <row r="579" spans="1:244">
      <c r="A579">
        <v>564</v>
      </c>
      <c r="B579" s="301" t="s">
        <v>1947</v>
      </c>
      <c r="D579" s="28" t="s">
        <v>687</v>
      </c>
      <c r="E579" s="28" t="s">
        <v>688</v>
      </c>
      <c r="F579" s="28" t="s">
        <v>1947</v>
      </c>
      <c r="G579" s="27" t="s">
        <v>101</v>
      </c>
      <c r="I579" s="27" t="s">
        <v>121</v>
      </c>
      <c r="J579" s="28">
        <v>21480</v>
      </c>
      <c r="K579" s="27" t="s">
        <v>97</v>
      </c>
    </row>
    <row r="580" spans="1:244">
      <c r="A580">
        <v>565</v>
      </c>
      <c r="B580" s="301" t="s">
        <v>1947</v>
      </c>
      <c r="D580" s="28" t="s">
        <v>1411</v>
      </c>
      <c r="E580" s="28" t="s">
        <v>1412</v>
      </c>
      <c r="F580" s="28" t="s">
        <v>1947</v>
      </c>
      <c r="G580" s="27" t="s">
        <v>101</v>
      </c>
      <c r="I580" s="27" t="s">
        <v>121</v>
      </c>
      <c r="J580" s="28">
        <v>20895</v>
      </c>
      <c r="K580" s="27" t="s">
        <v>1242</v>
      </c>
    </row>
    <row r="581" spans="1:244">
      <c r="A581">
        <v>566</v>
      </c>
      <c r="B581" t="s">
        <v>468</v>
      </c>
      <c r="C581" t="s">
        <v>2333</v>
      </c>
      <c r="D581" s="28" t="s">
        <v>1411</v>
      </c>
      <c r="E581" s="28" t="s">
        <v>1412</v>
      </c>
      <c r="F581" s="28" t="s">
        <v>2182</v>
      </c>
      <c r="G581" s="27" t="s">
        <v>101</v>
      </c>
      <c r="I581" s="27" t="s">
        <v>121</v>
      </c>
      <c r="J581" s="28">
        <v>21677</v>
      </c>
      <c r="K581" s="27" t="s">
        <v>228</v>
      </c>
      <c r="L581" s="5"/>
      <c r="M581" s="5"/>
      <c r="Q581" s="13" t="s">
        <v>2301</v>
      </c>
      <c r="R581" s="13" t="s">
        <v>1194</v>
      </c>
      <c r="T581" t="s">
        <v>2251</v>
      </c>
      <c r="V581" s="29" t="s">
        <v>2252</v>
      </c>
      <c r="W581"/>
      <c r="X581"/>
      <c r="Y581"/>
      <c r="Z581"/>
      <c r="AA581" s="51" t="s">
        <v>583</v>
      </c>
      <c r="AB581" s="66">
        <v>188.79</v>
      </c>
      <c r="AC581">
        <v>20</v>
      </c>
      <c r="AD581" t="s">
        <v>310</v>
      </c>
      <c r="AE581" s="7">
        <f>BA581</f>
        <v>53.536359999999995</v>
      </c>
      <c r="AF581" s="7"/>
      <c r="AG581" s="7">
        <f>EU581</f>
        <v>10.197368421052632</v>
      </c>
      <c r="AH581" s="7">
        <f>DM581</f>
        <v>4.5</v>
      </c>
      <c r="AI581" s="7">
        <f>DO581</f>
        <v>5.6250000000000001E-2</v>
      </c>
      <c r="AJ581" s="7">
        <f>GW581</f>
        <v>0.20394736842105265</v>
      </c>
      <c r="AK581" s="7">
        <f>GU581</f>
        <v>0.79667160526315783</v>
      </c>
      <c r="AL581" s="7">
        <f>GS581</f>
        <v>7.0107101263157885</v>
      </c>
      <c r="AM581" s="168">
        <f>HV581</f>
        <v>1.5601851851851851</v>
      </c>
      <c r="AN581" s="7">
        <f>IG581</f>
        <v>1.1111111111111112</v>
      </c>
      <c r="AO581" s="6">
        <v>0</v>
      </c>
      <c r="AP581" s="6"/>
      <c r="AQ581" s="7">
        <f>SUM(AE581:AP581)</f>
        <v>78.97260381734894</v>
      </c>
      <c r="AR581" s="7">
        <f>IJ581</f>
        <v>0</v>
      </c>
      <c r="AS581" s="7"/>
      <c r="AT581" s="6">
        <v>0</v>
      </c>
      <c r="AV581" s="7">
        <f>AQ581+AT581+AU581+AR581</f>
        <v>78.97260381734894</v>
      </c>
      <c r="AW581">
        <v>0.28399999999999997</v>
      </c>
      <c r="AX581">
        <v>0.28000000000000003</v>
      </c>
      <c r="AY581" s="8">
        <v>1</v>
      </c>
      <c r="AZ581" s="55">
        <f>(AW581-AX581)*AY581</f>
        <v>3.999999999999948E-3</v>
      </c>
      <c r="BA581" s="4">
        <f>AW581*AB581-AZ581*AC581</f>
        <v>53.536359999999995</v>
      </c>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F581">
        <v>1</v>
      </c>
      <c r="CG581">
        <v>0.2</v>
      </c>
      <c r="CH581" s="45">
        <f>CF581*CG581</f>
        <v>0.2</v>
      </c>
      <c r="CI581" t="s">
        <v>2334</v>
      </c>
      <c r="CK581">
        <v>2</v>
      </c>
      <c r="CL581">
        <v>2.15</v>
      </c>
      <c r="CM581">
        <f>CK581*CL581</f>
        <v>4.3</v>
      </c>
      <c r="DM581" s="4">
        <f>CH581+CM581+CR581+DB581+DG581+DL581</f>
        <v>4.5</v>
      </c>
      <c r="DN581" s="9">
        <v>1.2500000000000001E-2</v>
      </c>
      <c r="DO581" s="4">
        <f>DM581*DN581</f>
        <v>5.6250000000000001E-2</v>
      </c>
      <c r="DP581" s="4">
        <f>DM581+DO581</f>
        <v>4.5562500000000004</v>
      </c>
      <c r="EF581">
        <v>450</v>
      </c>
      <c r="EG581">
        <v>4500</v>
      </c>
      <c r="EH581">
        <v>8</v>
      </c>
      <c r="EI581" s="8">
        <v>0.95</v>
      </c>
      <c r="EJ581">
        <v>1</v>
      </c>
      <c r="EK581">
        <v>62</v>
      </c>
      <c r="EL581" s="10">
        <f>3600/EK581*EH581*EJ581*EI581</f>
        <v>441.29032258064512</v>
      </c>
      <c r="EU581" s="4">
        <f>EG581/EL581</f>
        <v>10.197368421052632</v>
      </c>
      <c r="EV581" s="4"/>
      <c r="EW581" s="4"/>
      <c r="GR581" s="8">
        <v>0.11</v>
      </c>
      <c r="GS581" s="4">
        <f>GR581*(BA581+EU581)</f>
        <v>7.0107101263157885</v>
      </c>
      <c r="GT581" s="9">
        <v>1.2500000000000001E-2</v>
      </c>
      <c r="GU581" s="4">
        <f>GT581*(BA581+EU581)</f>
        <v>0.79667160526315783</v>
      </c>
      <c r="GV581" s="8">
        <v>0.02</v>
      </c>
      <c r="GW581" s="4">
        <f>(GV581*EU581)</f>
        <v>0.20394736842105265</v>
      </c>
      <c r="GX581" s="4">
        <f>GS581+GU581+GW581</f>
        <v>8.0113290999999993</v>
      </c>
      <c r="GY581" t="s">
        <v>130</v>
      </c>
      <c r="GZ581" t="s">
        <v>130</v>
      </c>
      <c r="HA581">
        <v>1350</v>
      </c>
      <c r="HB581">
        <v>950</v>
      </c>
      <c r="HC581">
        <v>2400</v>
      </c>
      <c r="HD581">
        <v>90</v>
      </c>
      <c r="HE581">
        <v>600</v>
      </c>
      <c r="HF581" s="4">
        <f>ROUNDUP(HE581/HD581,0)</f>
        <v>7</v>
      </c>
      <c r="HG581">
        <v>5</v>
      </c>
      <c r="HH581" s="4">
        <f>HF581*HG581</f>
        <v>35</v>
      </c>
      <c r="HI581">
        <v>17000</v>
      </c>
      <c r="HJ581" s="4">
        <f>HH581*HI581</f>
        <v>595000</v>
      </c>
      <c r="HM581" s="4">
        <v>3</v>
      </c>
      <c r="HN581" s="10">
        <f>HM581*12*25*HE581</f>
        <v>540000</v>
      </c>
      <c r="HO581" s="4">
        <f>IF(GY581="carton box",HI581/HD581,HJ581/HN581)</f>
        <v>1.1018518518518519</v>
      </c>
      <c r="HP581" s="4">
        <v>165</v>
      </c>
      <c r="HQ581">
        <v>0.25</v>
      </c>
      <c r="HR581">
        <f>HP581*HQ581</f>
        <v>41.25</v>
      </c>
      <c r="HS581">
        <v>90</v>
      </c>
      <c r="HT581" s="4">
        <f>HR581/HS581</f>
        <v>0.45833333333333331</v>
      </c>
      <c r="HU581" s="4"/>
      <c r="HV581" s="4">
        <f>HO581+HT581</f>
        <v>1.5601851851851851</v>
      </c>
      <c r="HW581" s="4"/>
      <c r="HX581">
        <v>5016</v>
      </c>
      <c r="HY581">
        <v>1976</v>
      </c>
      <c r="HZ581">
        <v>2280</v>
      </c>
      <c r="IA581" s="4">
        <f t="shared" ref="IA581:IC584" si="594">ROUNDDOWN(HX581/HA581,0)</f>
        <v>3</v>
      </c>
      <c r="IB581" s="4">
        <f t="shared" si="594"/>
        <v>2</v>
      </c>
      <c r="IC581" s="4">
        <f t="shared" si="594"/>
        <v>0</v>
      </c>
      <c r="ID581" s="8">
        <v>0.95</v>
      </c>
      <c r="IE581" s="4">
        <f>ROUNDUP(PRODUCT(IA581:ID581),0)+5</f>
        <v>5</v>
      </c>
      <c r="IF581" s="4">
        <v>500</v>
      </c>
      <c r="IG581" s="4">
        <f>IF581/(IE581*HD581)</f>
        <v>1.1111111111111112</v>
      </c>
      <c r="IH581" s="4"/>
    </row>
    <row r="582" spans="1:244">
      <c r="A582">
        <v>567</v>
      </c>
      <c r="B582" t="s">
        <v>468</v>
      </c>
      <c r="C582" t="s">
        <v>2335</v>
      </c>
      <c r="D582" s="28" t="s">
        <v>1413</v>
      </c>
      <c r="E582" s="28" t="s">
        <v>1414</v>
      </c>
      <c r="F582" s="28" t="s">
        <v>2182</v>
      </c>
      <c r="G582" s="27" t="s">
        <v>101</v>
      </c>
      <c r="I582" s="27" t="s">
        <v>121</v>
      </c>
      <c r="J582" s="28">
        <v>21401</v>
      </c>
      <c r="K582" s="27" t="s">
        <v>1244</v>
      </c>
      <c r="L582" s="5"/>
      <c r="M582" s="5"/>
      <c r="N582" s="5"/>
      <c r="O582" s="5"/>
      <c r="Q582" s="13" t="s">
        <v>2308</v>
      </c>
      <c r="R582" s="13" t="s">
        <v>1194</v>
      </c>
      <c r="T582" t="s">
        <v>2251</v>
      </c>
      <c r="U582" s="5"/>
      <c r="V582" s="29" t="s">
        <v>2252</v>
      </c>
      <c r="W582" s="5"/>
      <c r="X582" s="5"/>
      <c r="Y582" s="5"/>
      <c r="Z582" s="5"/>
      <c r="AA582" s="51" t="s">
        <v>2336</v>
      </c>
      <c r="AB582" s="66">
        <v>101.71</v>
      </c>
      <c r="AC582">
        <v>20</v>
      </c>
      <c r="AD582" t="s">
        <v>310</v>
      </c>
      <c r="AE582" s="7">
        <f>BA582</f>
        <v>0.97744199999999992</v>
      </c>
      <c r="AF582" s="7"/>
      <c r="AG582" s="7">
        <f>EU582</f>
        <v>0.91407678244972579</v>
      </c>
      <c r="AH582" s="7">
        <f>DM582</f>
        <v>0.2</v>
      </c>
      <c r="AI582" s="7">
        <f>DO582</f>
        <v>0</v>
      </c>
      <c r="AJ582" s="7">
        <f>GW582</f>
        <v>1.8281535648994516E-2</v>
      </c>
      <c r="AK582" s="7">
        <f>GU582</f>
        <v>2.3643984780621574E-2</v>
      </c>
      <c r="AL582" s="7">
        <f>GS582</f>
        <v>0.20806706606946984</v>
      </c>
      <c r="AM582" s="168">
        <f>HV582</f>
        <v>0.3116666666666667</v>
      </c>
      <c r="AN582" s="7">
        <f>IG582</f>
        <v>0.1</v>
      </c>
      <c r="AO582" s="6">
        <v>0</v>
      </c>
      <c r="AP582" s="6"/>
      <c r="AQ582" s="7">
        <f>SUM(AE582:AP582)</f>
        <v>2.7531780356154782</v>
      </c>
      <c r="AR582" s="7">
        <f>IJ582</f>
        <v>0</v>
      </c>
      <c r="AS582" s="7"/>
      <c r="AT582" s="6">
        <v>0</v>
      </c>
      <c r="AV582" s="7">
        <f>AQ582+AT582+AU582+AR582</f>
        <v>2.7531780356154782</v>
      </c>
      <c r="AW582">
        <v>1.0200000000000001E-2</v>
      </c>
      <c r="AX582">
        <v>7.1999999999999998E-3</v>
      </c>
      <c r="AY582" s="8">
        <v>1</v>
      </c>
      <c r="AZ582" s="55">
        <f>(AW582-AX582)*AY582</f>
        <v>3.0000000000000009E-3</v>
      </c>
      <c r="BA582" s="4">
        <f>AW582*AB582-AZ582*AC582</f>
        <v>0.97744199999999992</v>
      </c>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F582">
        <v>1</v>
      </c>
      <c r="CG582">
        <v>0.2</v>
      </c>
      <c r="CH582" s="45">
        <f>CF582*CG582</f>
        <v>0.2</v>
      </c>
      <c r="DM582" s="4">
        <f>CH582+CM582+CR582+DB582+DG582+DL582</f>
        <v>0.2</v>
      </c>
      <c r="EF582">
        <v>100</v>
      </c>
      <c r="EG582">
        <v>1000</v>
      </c>
      <c r="EH582">
        <v>8</v>
      </c>
      <c r="EI582" s="8">
        <v>0.95</v>
      </c>
      <c r="EJ582">
        <v>2</v>
      </c>
      <c r="EK582">
        <v>50</v>
      </c>
      <c r="EL582" s="10">
        <f>ROUND(3600/EK582*EH582*EJ582*EI582,0)</f>
        <v>1094</v>
      </c>
      <c r="EU582" s="4">
        <f>EG582/EL582</f>
        <v>0.91407678244972579</v>
      </c>
      <c r="EV582" s="4"/>
      <c r="EW582" s="4"/>
      <c r="GR582" s="8">
        <v>0.11</v>
      </c>
      <c r="GS582" s="4">
        <f>GR582*(BA582+EU582)</f>
        <v>0.20806706606946984</v>
      </c>
      <c r="GT582" s="9">
        <v>1.2500000000000001E-2</v>
      </c>
      <c r="GU582" s="4">
        <f>GT582*(BA582+EU582)</f>
        <v>2.3643984780621574E-2</v>
      </c>
      <c r="GV582" s="8">
        <v>0.02</v>
      </c>
      <c r="GW582" s="4">
        <f>(GV582*EU582)</f>
        <v>1.8281535648994516E-2</v>
      </c>
      <c r="GX582" s="4">
        <f>GS582+GU582+GW582</f>
        <v>0.24999258649908593</v>
      </c>
      <c r="GY582" t="s">
        <v>130</v>
      </c>
      <c r="GZ582" t="s">
        <v>130</v>
      </c>
      <c r="HA582">
        <v>650</v>
      </c>
      <c r="HB582">
        <v>250</v>
      </c>
      <c r="HC582">
        <v>300</v>
      </c>
      <c r="HD582">
        <v>100</v>
      </c>
      <c r="HE582">
        <v>1300</v>
      </c>
      <c r="HF582" s="4">
        <f>ROUNDUP(HE582/HD582,0)</f>
        <v>13</v>
      </c>
      <c r="HG582">
        <v>5</v>
      </c>
      <c r="HH582" s="4">
        <f>HF582*HG582</f>
        <v>65</v>
      </c>
      <c r="HI582">
        <v>1100</v>
      </c>
      <c r="HJ582" s="4">
        <f>HH582*HI582</f>
        <v>71500</v>
      </c>
      <c r="HM582" s="4">
        <v>2</v>
      </c>
      <c r="HN582" s="10">
        <f>HM582*12*25*HE582</f>
        <v>780000</v>
      </c>
      <c r="HO582" s="4">
        <f>IF(GY582="carton box",HI582/HD582,HJ582/HN582)</f>
        <v>9.166666666666666E-2</v>
      </c>
      <c r="HP582" s="4">
        <v>165</v>
      </c>
      <c r="HR582">
        <v>2.2000000000000002</v>
      </c>
      <c r="HS582">
        <v>10</v>
      </c>
      <c r="HT582" s="14">
        <f>HR582/HS582</f>
        <v>0.22000000000000003</v>
      </c>
      <c r="HU582" s="14"/>
      <c r="HV582" s="4">
        <f>HO582+HT582</f>
        <v>0.3116666666666667</v>
      </c>
      <c r="HW582" s="4"/>
      <c r="HX582">
        <v>5016</v>
      </c>
      <c r="HY582">
        <v>1976</v>
      </c>
      <c r="HZ582">
        <v>2280</v>
      </c>
      <c r="IA582" s="4">
        <f t="shared" si="594"/>
        <v>7</v>
      </c>
      <c r="IB582" s="4">
        <f t="shared" si="594"/>
        <v>7</v>
      </c>
      <c r="IC582" s="4">
        <f t="shared" si="594"/>
        <v>7</v>
      </c>
      <c r="ID582" s="8">
        <v>1</v>
      </c>
      <c r="IE582" s="4">
        <f>ROUNDUP(PRODUCT(IA582:ID582),0)-293</f>
        <v>50</v>
      </c>
      <c r="IF582" s="4">
        <v>500</v>
      </c>
      <c r="IG582" s="4">
        <f>IF582/(IE582*HD582)</f>
        <v>0.1</v>
      </c>
      <c r="IH582" s="4"/>
    </row>
    <row r="583" spans="1:244">
      <c r="A583">
        <v>568</v>
      </c>
      <c r="B583" t="s">
        <v>468</v>
      </c>
      <c r="C583" t="s">
        <v>2337</v>
      </c>
      <c r="D583" s="28" t="s">
        <v>1415</v>
      </c>
      <c r="E583" s="28" t="s">
        <v>1416</v>
      </c>
      <c r="F583" s="28" t="s">
        <v>2182</v>
      </c>
      <c r="G583" s="27" t="s">
        <v>101</v>
      </c>
      <c r="I583" s="27" t="s">
        <v>121</v>
      </c>
      <c r="J583" s="28">
        <v>21401</v>
      </c>
      <c r="K583" s="27" t="s">
        <v>1244</v>
      </c>
      <c r="L583" s="5"/>
      <c r="M583" s="5"/>
      <c r="N583" s="5"/>
      <c r="O583" s="5"/>
      <c r="Q583" s="13" t="s">
        <v>2308</v>
      </c>
      <c r="R583" s="13" t="s">
        <v>1194</v>
      </c>
      <c r="T583" t="s">
        <v>2251</v>
      </c>
      <c r="U583" s="5"/>
      <c r="V583" s="29" t="s">
        <v>2252</v>
      </c>
      <c r="W583" s="5"/>
      <c r="X583" s="5"/>
      <c r="Y583" s="5"/>
      <c r="Z583" s="5"/>
      <c r="AA583" s="51" t="s">
        <v>2336</v>
      </c>
      <c r="AB583" s="66">
        <v>101.71</v>
      </c>
      <c r="AC583">
        <v>20</v>
      </c>
      <c r="AD583" t="s">
        <v>310</v>
      </c>
      <c r="AE583" s="7">
        <f>BA583</f>
        <v>1.3029139999999997</v>
      </c>
      <c r="AF583" s="7"/>
      <c r="AG583" s="7">
        <f>EU583</f>
        <v>0.91407678244972579</v>
      </c>
      <c r="AH583" s="7">
        <f>DM583</f>
        <v>0.2</v>
      </c>
      <c r="AI583" s="7">
        <f>DO583</f>
        <v>0</v>
      </c>
      <c r="AJ583" s="7">
        <f>GW583</f>
        <v>1.8281535648994516E-2</v>
      </c>
      <c r="AK583" s="7">
        <f>GU583</f>
        <v>2.771238478062157E-2</v>
      </c>
      <c r="AL583" s="7">
        <f>GS583</f>
        <v>0.2438689860694698</v>
      </c>
      <c r="AM583" s="168">
        <f>HV583</f>
        <v>0.3116666666666667</v>
      </c>
      <c r="AN583" s="7">
        <f>IG583</f>
        <v>0.1</v>
      </c>
      <c r="AO583" s="6">
        <v>0</v>
      </c>
      <c r="AP583" s="6"/>
      <c r="AQ583" s="7">
        <f>SUM(AE583:AP583)</f>
        <v>3.1185203556154781</v>
      </c>
      <c r="AR583" s="7">
        <f>IJ583</f>
        <v>0</v>
      </c>
      <c r="AS583" s="7"/>
      <c r="AT583" s="6">
        <v>0</v>
      </c>
      <c r="AV583" s="7">
        <f>AQ583+AT583+AU583+AR583</f>
        <v>3.1185203556154781</v>
      </c>
      <c r="AW583">
        <v>1.3399999999999999E-2</v>
      </c>
      <c r="AX583">
        <v>1.04E-2</v>
      </c>
      <c r="AY583" s="8">
        <v>1</v>
      </c>
      <c r="AZ583" s="55">
        <f>(AW583-AX583)*AY583</f>
        <v>2.9999999999999992E-3</v>
      </c>
      <c r="BA583" s="4">
        <f>AW583*AB583-AZ583*AC583</f>
        <v>1.3029139999999997</v>
      </c>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F583">
        <v>1</v>
      </c>
      <c r="CG583">
        <v>0.2</v>
      </c>
      <c r="CH583" s="45">
        <f>CF583*CG583</f>
        <v>0.2</v>
      </c>
      <c r="DM583" s="4">
        <f>CH583+CM583+CR583+DB583+DG583+DL583</f>
        <v>0.2</v>
      </c>
      <c r="EF583">
        <v>100</v>
      </c>
      <c r="EG583">
        <v>1000</v>
      </c>
      <c r="EH583">
        <v>8</v>
      </c>
      <c r="EI583" s="8">
        <v>0.95</v>
      </c>
      <c r="EJ583">
        <v>2</v>
      </c>
      <c r="EK583">
        <v>50</v>
      </c>
      <c r="EL583" s="10">
        <f>ROUND(3600/EK583*EH583*EJ583*EI583,0)</f>
        <v>1094</v>
      </c>
      <c r="EU583" s="4">
        <f>EG583/EL583</f>
        <v>0.91407678244972579</v>
      </c>
      <c r="EV583" s="4"/>
      <c r="EW583" s="4"/>
      <c r="GR583" s="8">
        <v>0.11</v>
      </c>
      <c r="GS583" s="4">
        <f>GR583*(BA583+EU583)</f>
        <v>0.2438689860694698</v>
      </c>
      <c r="GT583" s="9">
        <v>1.2500000000000001E-2</v>
      </c>
      <c r="GU583" s="4">
        <f>GT583*(BA583+EU583)</f>
        <v>2.771238478062157E-2</v>
      </c>
      <c r="GV583" s="8">
        <v>0.02</v>
      </c>
      <c r="GW583" s="4">
        <f>(GV583*EU583)</f>
        <v>1.8281535648994516E-2</v>
      </c>
      <c r="GX583" s="4">
        <f>GS583+GU583+GW583</f>
        <v>0.28986290649908591</v>
      </c>
      <c r="GY583" t="s">
        <v>130</v>
      </c>
      <c r="GZ583" t="s">
        <v>130</v>
      </c>
      <c r="HA583">
        <v>650</v>
      </c>
      <c r="HB583">
        <v>250</v>
      </c>
      <c r="HC583">
        <v>300</v>
      </c>
      <c r="HD583">
        <v>100</v>
      </c>
      <c r="HE583">
        <v>1300</v>
      </c>
      <c r="HF583" s="4">
        <f>ROUNDUP(HE583/HD583,0)</f>
        <v>13</v>
      </c>
      <c r="HG583">
        <v>5</v>
      </c>
      <c r="HH583" s="4">
        <f>HF583*HG583</f>
        <v>65</v>
      </c>
      <c r="HI583">
        <v>1100</v>
      </c>
      <c r="HJ583" s="4">
        <f>HH583*HI583</f>
        <v>71500</v>
      </c>
      <c r="HM583" s="4">
        <v>2</v>
      </c>
      <c r="HN583" s="10">
        <f>HM583*12*25*HE583</f>
        <v>780000</v>
      </c>
      <c r="HO583" s="4">
        <f>IF(GY583="carton box",HI583/HD583,HJ583/HN583)</f>
        <v>9.166666666666666E-2</v>
      </c>
      <c r="HP583" s="4">
        <v>165</v>
      </c>
      <c r="HR583">
        <v>2.2000000000000002</v>
      </c>
      <c r="HS583">
        <v>10</v>
      </c>
      <c r="HT583" s="14">
        <f>HR583/HS583</f>
        <v>0.22000000000000003</v>
      </c>
      <c r="HU583" s="14"/>
      <c r="HV583" s="4">
        <f>HO583+HT583</f>
        <v>0.3116666666666667</v>
      </c>
      <c r="HW583" s="4"/>
      <c r="HX583">
        <v>5016</v>
      </c>
      <c r="HY583">
        <v>1976</v>
      </c>
      <c r="HZ583">
        <v>2280</v>
      </c>
      <c r="IA583" s="4">
        <f t="shared" si="594"/>
        <v>7</v>
      </c>
      <c r="IB583" s="4">
        <f t="shared" si="594"/>
        <v>7</v>
      </c>
      <c r="IC583" s="4">
        <f t="shared" si="594"/>
        <v>7</v>
      </c>
      <c r="ID583" s="8">
        <v>1</v>
      </c>
      <c r="IE583" s="4">
        <f>ROUNDUP(PRODUCT(IA583:ID583),0)-293</f>
        <v>50</v>
      </c>
      <c r="IF583" s="4">
        <v>500</v>
      </c>
      <c r="IG583" s="4">
        <f>IF583/(IE583*HD583)</f>
        <v>0.1</v>
      </c>
      <c r="IH583" s="4"/>
    </row>
    <row r="584" spans="1:244" ht="30">
      <c r="A584">
        <v>569</v>
      </c>
      <c r="B584" t="s">
        <v>468</v>
      </c>
      <c r="C584" s="187" t="s">
        <v>2338</v>
      </c>
      <c r="D584" s="28" t="s">
        <v>689</v>
      </c>
      <c r="E584" s="28" t="s">
        <v>690</v>
      </c>
      <c r="F584" s="28" t="s">
        <v>2182</v>
      </c>
      <c r="G584" s="27" t="s">
        <v>101</v>
      </c>
      <c r="I584" s="27" t="s">
        <v>121</v>
      </c>
      <c r="J584" s="28">
        <v>21697</v>
      </c>
      <c r="K584" s="27" t="s">
        <v>227</v>
      </c>
      <c r="L584">
        <v>20089</v>
      </c>
      <c r="M584" t="s">
        <v>121</v>
      </c>
      <c r="Q584" s="13" t="s">
        <v>1875</v>
      </c>
      <c r="R584" s="13" t="s">
        <v>1769</v>
      </c>
      <c r="T584" t="s">
        <v>2251</v>
      </c>
      <c r="V584" s="29" t="s">
        <v>2252</v>
      </c>
      <c r="W584" s="72" t="s">
        <v>2339</v>
      </c>
      <c r="X584"/>
      <c r="Y584"/>
      <c r="Z584"/>
      <c r="AA584" s="51" t="s">
        <v>1163</v>
      </c>
      <c r="AB584" s="66">
        <v>178</v>
      </c>
      <c r="AC584">
        <v>20</v>
      </c>
      <c r="AD584" t="s">
        <v>2331</v>
      </c>
      <c r="AE584" s="7">
        <f>BA584</f>
        <v>73.948000000000008</v>
      </c>
      <c r="AF584" s="7"/>
      <c r="AG584" s="7">
        <f>EU584</f>
        <v>10.802469135802468</v>
      </c>
      <c r="AH584" s="7">
        <f>DM584</f>
        <v>9.5</v>
      </c>
      <c r="AI584" s="7">
        <f>DO584</f>
        <v>0.11875000000000001</v>
      </c>
      <c r="AJ584" s="7">
        <f>GW584</f>
        <v>0.21604938271604937</v>
      </c>
      <c r="AK584" s="7">
        <f>GU584</f>
        <v>1.0593808641975311</v>
      </c>
      <c r="AL584" s="7">
        <f>GS584</f>
        <v>9.3225516049382726</v>
      </c>
      <c r="AM584" s="7">
        <f>HV584</f>
        <v>0.8125</v>
      </c>
      <c r="AN584" s="7">
        <f>IG584</f>
        <v>0.54824561403508776</v>
      </c>
      <c r="AO584" s="6">
        <v>0</v>
      </c>
      <c r="AP584" s="6"/>
      <c r="AQ584" s="7">
        <f>SUM(AE584:AP584)</f>
        <v>106.32794660168942</v>
      </c>
      <c r="AR584" s="7">
        <f>IJ584</f>
        <v>0.96827946601689419</v>
      </c>
      <c r="AS584" s="7"/>
      <c r="AT584" s="6">
        <v>0</v>
      </c>
      <c r="AU584">
        <f>107.51-107.3</f>
        <v>0.21000000000000796</v>
      </c>
      <c r="AV584" s="7">
        <f>AQ584+AT584+AU584+AR584</f>
        <v>107.50622606770632</v>
      </c>
      <c r="AW584">
        <v>0.41599999999999998</v>
      </c>
      <c r="AX584">
        <v>0.41099999999999998</v>
      </c>
      <c r="AY584" s="8">
        <v>1</v>
      </c>
      <c r="AZ584" s="55">
        <f>(AW584-AX584)*AY584</f>
        <v>5.0000000000000044E-3</v>
      </c>
      <c r="BA584" s="4">
        <f>AW584*AB584-AZ584*AC584</f>
        <v>73.948000000000008</v>
      </c>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F584">
        <v>2</v>
      </c>
      <c r="CG584">
        <v>4.75</v>
      </c>
      <c r="CH584" s="45">
        <f>CF584*CG584</f>
        <v>9.5</v>
      </c>
      <c r="DM584" s="4">
        <f>CH584+CM584+CR584+DB584+DG584+DL584</f>
        <v>9.5</v>
      </c>
      <c r="DN584" s="9">
        <v>1.2500000000000001E-2</v>
      </c>
      <c r="DO584" s="4">
        <f>DM584*DN584</f>
        <v>0.11875000000000001</v>
      </c>
      <c r="DP584" s="4">
        <f>DM584+DO584</f>
        <v>9.6187500000000004</v>
      </c>
      <c r="EF584">
        <v>350</v>
      </c>
      <c r="EG584">
        <v>3500</v>
      </c>
      <c r="EH584">
        <v>7.5</v>
      </c>
      <c r="EI584" s="8">
        <v>0.9</v>
      </c>
      <c r="EJ584">
        <v>1</v>
      </c>
      <c r="EK584">
        <v>75</v>
      </c>
      <c r="EL584" s="10">
        <f>ROUND(3600/EK584*EH584*EJ584*EI584,0)</f>
        <v>324</v>
      </c>
      <c r="EU584" s="4">
        <f>EG584/EL584</f>
        <v>10.802469135802468</v>
      </c>
      <c r="EV584" s="4"/>
      <c r="EW584" s="4"/>
      <c r="GR584" s="8">
        <v>0.11</v>
      </c>
      <c r="GS584" s="4">
        <f>GR584*(BA584+EU584)</f>
        <v>9.3225516049382726</v>
      </c>
      <c r="GT584" s="9">
        <v>1.2500000000000001E-2</v>
      </c>
      <c r="GU584" s="4">
        <f>GT584*(BA584+EU584)</f>
        <v>1.0593808641975311</v>
      </c>
      <c r="GV584" s="8">
        <v>0.02</v>
      </c>
      <c r="GW584" s="4">
        <f>(GV584*EU584)</f>
        <v>0.21604938271604937</v>
      </c>
      <c r="GX584" s="4">
        <f>GS584+GU584+GW584</f>
        <v>10.597981851851852</v>
      </c>
      <c r="GY584" t="s">
        <v>43</v>
      </c>
      <c r="GZ584" t="s">
        <v>87</v>
      </c>
      <c r="HA584">
        <v>650</v>
      </c>
      <c r="HB584">
        <v>450</v>
      </c>
      <c r="HC584">
        <v>330</v>
      </c>
      <c r="HD584">
        <v>8</v>
      </c>
      <c r="HE584">
        <v>20</v>
      </c>
      <c r="HF584" s="4">
        <f>ROUNDUP(HE584/HD584,0)</f>
        <v>3</v>
      </c>
      <c r="HG584">
        <v>5</v>
      </c>
      <c r="HH584" s="4">
        <f>HF584*HG584</f>
        <v>15</v>
      </c>
      <c r="HI584">
        <v>650</v>
      </c>
      <c r="HJ584" s="4">
        <f>HH584*HI584</f>
        <v>9750</v>
      </c>
      <c r="HM584" s="4">
        <v>2</v>
      </c>
      <c r="HN584" s="10">
        <f>HM584*12*25*HE584</f>
        <v>12000</v>
      </c>
      <c r="HO584" s="4">
        <f>IF(GY584="carton box",HI584/HD584,HJ584/HN584)</f>
        <v>0.8125</v>
      </c>
      <c r="HP584" s="4">
        <v>160</v>
      </c>
      <c r="HV584" s="4">
        <f>HO584+HT584</f>
        <v>0.8125</v>
      </c>
      <c r="HW584" s="4"/>
      <c r="HX584" s="4">
        <v>4200</v>
      </c>
      <c r="HY584" s="4">
        <v>1900</v>
      </c>
      <c r="HZ584" s="4">
        <v>1975</v>
      </c>
      <c r="IA584" s="4">
        <f t="shared" si="594"/>
        <v>6</v>
      </c>
      <c r="IB584" s="4">
        <f t="shared" si="594"/>
        <v>4</v>
      </c>
      <c r="IC584" s="4">
        <f t="shared" si="594"/>
        <v>5</v>
      </c>
      <c r="ID584" s="8">
        <v>0.95</v>
      </c>
      <c r="IE584" s="4">
        <f>ROUNDUP(PRODUCT(IA584:ID584),0)</f>
        <v>114</v>
      </c>
      <c r="IF584" s="4">
        <v>500</v>
      </c>
      <c r="IG584" s="4">
        <f>IF584/(IE584*HD584)</f>
        <v>0.54824561403508776</v>
      </c>
      <c r="IH584" s="4"/>
      <c r="II584" s="8">
        <v>0.01</v>
      </c>
      <c r="IJ584" s="62">
        <f>II584*(IG584+HV584+GW584+GU584+GS584+EU584+BA584+DO584)</f>
        <v>0.96827946601689419</v>
      </c>
    </row>
    <row r="585" spans="1:244">
      <c r="A585">
        <v>570</v>
      </c>
      <c r="B585" s="301" t="s">
        <v>1947</v>
      </c>
      <c r="D585" s="28" t="s">
        <v>689</v>
      </c>
      <c r="E585" s="28" t="s">
        <v>690</v>
      </c>
      <c r="F585" s="28" t="s">
        <v>1947</v>
      </c>
      <c r="G585" s="27" t="s">
        <v>101</v>
      </c>
      <c r="I585" s="27" t="s">
        <v>121</v>
      </c>
      <c r="J585" s="28">
        <v>21480</v>
      </c>
      <c r="K585" s="27" t="s">
        <v>97</v>
      </c>
    </row>
    <row r="586" spans="1:244" ht="30">
      <c r="A586">
        <v>571</v>
      </c>
      <c r="B586" t="s">
        <v>468</v>
      </c>
      <c r="C586" s="187" t="s">
        <v>2340</v>
      </c>
      <c r="D586" s="28" t="s">
        <v>691</v>
      </c>
      <c r="E586" s="28" t="s">
        <v>339</v>
      </c>
      <c r="F586" s="28" t="s">
        <v>2182</v>
      </c>
      <c r="G586" s="27" t="s">
        <v>101</v>
      </c>
      <c r="I586" s="27" t="s">
        <v>121</v>
      </c>
      <c r="J586" s="28">
        <v>21697</v>
      </c>
      <c r="K586" s="27" t="s">
        <v>227</v>
      </c>
      <c r="L586">
        <v>20089</v>
      </c>
      <c r="M586" t="s">
        <v>121</v>
      </c>
      <c r="Q586" s="13" t="s">
        <v>1875</v>
      </c>
      <c r="R586" s="13" t="s">
        <v>1769</v>
      </c>
      <c r="T586" t="s">
        <v>2251</v>
      </c>
      <c r="V586" s="29" t="s">
        <v>2252</v>
      </c>
      <c r="W586" s="72" t="s">
        <v>2341</v>
      </c>
      <c r="X586"/>
      <c r="Y586"/>
      <c r="Z586"/>
      <c r="AA586" s="51" t="s">
        <v>1953</v>
      </c>
      <c r="AB586" s="66">
        <v>95.51</v>
      </c>
      <c r="AC586">
        <v>20</v>
      </c>
      <c r="AD586" t="s">
        <v>2331</v>
      </c>
      <c r="AE586" s="7">
        <f>BA586</f>
        <v>42.688479999999998</v>
      </c>
      <c r="AF586" s="7"/>
      <c r="AG586" s="7">
        <f>EU586</f>
        <v>9.3582887700534751</v>
      </c>
      <c r="AH586" s="7">
        <f>DM586</f>
        <v>5.0999999999999996</v>
      </c>
      <c r="AI586" s="7">
        <f>DO586</f>
        <v>6.3750000000000001E-2</v>
      </c>
      <c r="AJ586" s="7">
        <f>GW586</f>
        <v>0.18716577540106952</v>
      </c>
      <c r="AK586" s="7">
        <f>GU586</f>
        <v>0.65058460962566844</v>
      </c>
      <c r="AL586" s="7">
        <f>GS586</f>
        <v>5.7251445647058823</v>
      </c>
      <c r="AM586" s="7">
        <f>HV586</f>
        <v>0.45833333333333331</v>
      </c>
      <c r="AN586" s="7">
        <f>IG586</f>
        <v>0.43859649122807015</v>
      </c>
      <c r="AO586" s="6">
        <v>0</v>
      </c>
      <c r="AP586" s="6"/>
      <c r="AQ586" s="7">
        <f>SUM(AE586:AP586)</f>
        <v>64.670343544347489</v>
      </c>
      <c r="AR586" s="7">
        <f>IJ586</f>
        <v>0.59570343544347493</v>
      </c>
      <c r="AS586" s="7"/>
      <c r="AT586" s="6">
        <v>0</v>
      </c>
      <c r="AU586">
        <f>65.39-65.27</f>
        <v>0.12000000000000455</v>
      </c>
      <c r="AV586" s="7">
        <f>AQ586+AT586+AU586+AR586</f>
        <v>65.386046979790962</v>
      </c>
      <c r="AW586">
        <v>0.44800000000000001</v>
      </c>
      <c r="AX586">
        <v>0.443</v>
      </c>
      <c r="AY586" s="8">
        <v>1</v>
      </c>
      <c r="AZ586" s="55">
        <f>(AW586-AX586)*AY586</f>
        <v>5.0000000000000044E-3</v>
      </c>
      <c r="BA586" s="4">
        <f>AW586*AB586-AZ586*AC586</f>
        <v>42.688479999999998</v>
      </c>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F586">
        <v>2</v>
      </c>
      <c r="CG586">
        <v>2.5499999999999998</v>
      </c>
      <c r="CH586" s="45">
        <f>CF586*CG586</f>
        <v>5.0999999999999996</v>
      </c>
      <c r="DM586" s="4">
        <f>CH586+CM586+CR586+DB586+DG586+DL586</f>
        <v>5.0999999999999996</v>
      </c>
      <c r="DN586" s="9">
        <v>1.2500000000000001E-2</v>
      </c>
      <c r="DO586" s="4">
        <f>DM586*DN586</f>
        <v>6.3750000000000001E-2</v>
      </c>
      <c r="DP586" s="4">
        <f>DM586+DO586</f>
        <v>5.1637499999999994</v>
      </c>
      <c r="EF586">
        <v>350</v>
      </c>
      <c r="EG586">
        <v>3500</v>
      </c>
      <c r="EH586">
        <v>7.5</v>
      </c>
      <c r="EI586" s="8">
        <v>0.9</v>
      </c>
      <c r="EJ586">
        <v>1</v>
      </c>
      <c r="EK586">
        <v>65</v>
      </c>
      <c r="EL586" s="10">
        <f>ROUND(3600/EK586*EH586*EJ586*EI586,0)</f>
        <v>374</v>
      </c>
      <c r="EU586" s="4">
        <f>EG586/EL586</f>
        <v>9.3582887700534751</v>
      </c>
      <c r="EV586" s="4"/>
      <c r="EW586" s="4"/>
      <c r="GR586" s="8">
        <v>0.11</v>
      </c>
      <c r="GS586" s="4">
        <f>GR586*(BA586+EU586)</f>
        <v>5.7251445647058823</v>
      </c>
      <c r="GT586" s="9">
        <v>1.2500000000000001E-2</v>
      </c>
      <c r="GU586" s="4">
        <f>GT586*(BA586+EU586)</f>
        <v>0.65058460962566844</v>
      </c>
      <c r="GV586" s="8">
        <v>0.02</v>
      </c>
      <c r="GW586" s="4">
        <f>(GV586*EU586)</f>
        <v>0.18716577540106952</v>
      </c>
      <c r="GX586" s="4">
        <f>GS586+GU586+GW586</f>
        <v>6.5628949497326206</v>
      </c>
      <c r="GY586" t="s">
        <v>43</v>
      </c>
      <c r="GZ586" t="s">
        <v>87</v>
      </c>
      <c r="HA586">
        <v>810</v>
      </c>
      <c r="HB586">
        <v>568</v>
      </c>
      <c r="HC586">
        <v>425</v>
      </c>
      <c r="HD586">
        <v>20</v>
      </c>
      <c r="HE586">
        <v>20</v>
      </c>
      <c r="HF586" s="4">
        <f>ROUNDUP(HE586/HD586,0)</f>
        <v>1</v>
      </c>
      <c r="HG586">
        <v>5</v>
      </c>
      <c r="HH586" s="4">
        <f>HF586*HG586</f>
        <v>5</v>
      </c>
      <c r="HI586">
        <v>1100</v>
      </c>
      <c r="HJ586" s="4">
        <f>HH586*HI586</f>
        <v>5500</v>
      </c>
      <c r="HM586" s="4">
        <v>2</v>
      </c>
      <c r="HN586" s="10">
        <f>HM586*12*25*HE586</f>
        <v>12000</v>
      </c>
      <c r="HO586" s="4">
        <f>IF(GY586="carton box",HI586/HD586,HJ586/HN586)</f>
        <v>0.45833333333333331</v>
      </c>
      <c r="HP586" s="4">
        <v>160</v>
      </c>
      <c r="HV586" s="4">
        <f>HO586+HT586</f>
        <v>0.45833333333333331</v>
      </c>
      <c r="HW586" s="4"/>
      <c r="HX586">
        <v>4200</v>
      </c>
      <c r="HY586">
        <v>1900</v>
      </c>
      <c r="HZ586">
        <v>1975</v>
      </c>
      <c r="IA586" s="4">
        <f>ROUNDDOWN(HX586/HA586,0)</f>
        <v>5</v>
      </c>
      <c r="IB586" s="4">
        <f>ROUNDDOWN(HY586/HB586,0)</f>
        <v>3</v>
      </c>
      <c r="IC586" s="4">
        <f>ROUNDDOWN(HZ586/HC586,0)</f>
        <v>4</v>
      </c>
      <c r="ID586" s="8">
        <v>0.95</v>
      </c>
      <c r="IE586" s="4">
        <f>ROUNDUP(PRODUCT(IA586:ID586),0)</f>
        <v>57</v>
      </c>
      <c r="IF586" s="4">
        <v>500</v>
      </c>
      <c r="IG586" s="4">
        <f>IF586/(IE586*HD586)</f>
        <v>0.43859649122807015</v>
      </c>
      <c r="IH586" s="4"/>
      <c r="II586" s="8">
        <v>0.01</v>
      </c>
      <c r="IJ586" s="62">
        <f>II586*(IG586+HV586+GW586+GU586+GS586+EU586+BA586+DO586)</f>
        <v>0.59570343544347493</v>
      </c>
    </row>
    <row r="587" spans="1:244">
      <c r="A587">
        <v>572</v>
      </c>
      <c r="B587" s="301" t="s">
        <v>1947</v>
      </c>
      <c r="D587" s="28" t="s">
        <v>691</v>
      </c>
      <c r="E587" s="28" t="s">
        <v>339</v>
      </c>
      <c r="F587" s="28" t="s">
        <v>1947</v>
      </c>
      <c r="G587" s="27" t="s">
        <v>101</v>
      </c>
      <c r="I587" s="27" t="s">
        <v>121</v>
      </c>
      <c r="J587" s="28">
        <v>21480</v>
      </c>
      <c r="K587" s="27" t="s">
        <v>97</v>
      </c>
    </row>
    <row r="588" spans="1:244">
      <c r="A588">
        <v>573</v>
      </c>
      <c r="B588" t="s">
        <v>468</v>
      </c>
      <c r="C588" t="s">
        <v>2342</v>
      </c>
      <c r="D588" s="28" t="s">
        <v>1417</v>
      </c>
      <c r="E588" s="28" t="s">
        <v>1418</v>
      </c>
      <c r="F588" s="28" t="s">
        <v>2182</v>
      </c>
      <c r="G588" s="27" t="s">
        <v>101</v>
      </c>
      <c r="I588" s="27" t="s">
        <v>121</v>
      </c>
      <c r="J588" s="28">
        <v>21697</v>
      </c>
      <c r="K588" s="27" t="s">
        <v>227</v>
      </c>
      <c r="Q588" s="13" t="s">
        <v>1875</v>
      </c>
      <c r="R588" s="13" t="s">
        <v>1778</v>
      </c>
      <c r="T588" t="s">
        <v>2251</v>
      </c>
      <c r="V588" s="29" t="s">
        <v>2252</v>
      </c>
      <c r="W588"/>
      <c r="X588"/>
      <c r="Y588"/>
      <c r="Z588"/>
      <c r="AA588" s="51" t="s">
        <v>2330</v>
      </c>
      <c r="AB588" s="66">
        <v>107.6</v>
      </c>
      <c r="AC588">
        <v>20</v>
      </c>
      <c r="AD588" t="s">
        <v>2313</v>
      </c>
      <c r="AE588" s="7">
        <f>BA588</f>
        <v>1.9243999999999999</v>
      </c>
      <c r="AF588" s="7"/>
      <c r="AG588" s="7">
        <f>EU588</f>
        <v>5.4306172839506175</v>
      </c>
      <c r="AH588" s="7">
        <f>DM588</f>
        <v>0</v>
      </c>
      <c r="AI588" s="7">
        <f>DO588</f>
        <v>0</v>
      </c>
      <c r="AJ588" s="7">
        <f>GW588</f>
        <v>0.10861234567901235</v>
      </c>
      <c r="AK588" s="7">
        <f>GU588</f>
        <v>9.1937716049382723E-2</v>
      </c>
      <c r="AL588" s="7">
        <f>GS588</f>
        <v>0.80905190123456794</v>
      </c>
      <c r="AM588" s="7">
        <f>HV588</f>
        <v>0.27083333333333331</v>
      </c>
      <c r="AN588" s="7">
        <f>IG588</f>
        <v>0.02</v>
      </c>
      <c r="AO588" s="6">
        <v>0</v>
      </c>
      <c r="AP588" s="6"/>
      <c r="AQ588" s="7">
        <f>SUM(AE588:AP588)</f>
        <v>8.655452580246914</v>
      </c>
      <c r="AR588" s="7">
        <f>IJ588</f>
        <v>8.655452580246914E-2</v>
      </c>
      <c r="AS588" s="7"/>
      <c r="AT588" s="6">
        <v>0</v>
      </c>
      <c r="AV588" s="7">
        <f>AQ588+AT588+AU588+AR588</f>
        <v>8.7420071060493836</v>
      </c>
      <c r="AW588">
        <v>1.9E-2</v>
      </c>
      <c r="AX588">
        <v>1.2999999999999999E-2</v>
      </c>
      <c r="AY588" s="8">
        <v>1</v>
      </c>
      <c r="AZ588" s="55">
        <f>(AW588-AX588)*AY588</f>
        <v>6.0000000000000001E-3</v>
      </c>
      <c r="BA588" s="4">
        <f>AW588*AB588-AZ588*AC588</f>
        <v>1.9243999999999999</v>
      </c>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DM588" s="4">
        <f>CH588+CM588+CR588+DB588+DG588+DL588</f>
        <v>0</v>
      </c>
      <c r="EF588">
        <v>160</v>
      </c>
      <c r="EG588">
        <v>1600</v>
      </c>
      <c r="EH588">
        <v>7.5</v>
      </c>
      <c r="EI588" s="8">
        <v>0.9</v>
      </c>
      <c r="EJ588">
        <v>1</v>
      </c>
      <c r="EK588">
        <v>60</v>
      </c>
      <c r="EL588" s="10">
        <f>ROUND(3600/EK588*EH588*EJ588*EI588,0)</f>
        <v>405</v>
      </c>
      <c r="ER588">
        <v>1.48</v>
      </c>
      <c r="EU588" s="62">
        <f>EG588/EL588+ER588</f>
        <v>5.4306172839506175</v>
      </c>
      <c r="EV588" s="62"/>
      <c r="EW588" s="62"/>
      <c r="GR588" s="8">
        <v>0.11</v>
      </c>
      <c r="GS588" s="4">
        <f>GR588*(BA588+EU588)</f>
        <v>0.80905190123456794</v>
      </c>
      <c r="GT588" s="9">
        <v>1.2500000000000001E-2</v>
      </c>
      <c r="GU588" s="4">
        <f>GT588*(BA588+EU588)</f>
        <v>9.1937716049382723E-2</v>
      </c>
      <c r="GV588" s="8">
        <v>0.02</v>
      </c>
      <c r="GW588" s="4">
        <f>(GV588*EU588)</f>
        <v>0.10861234567901235</v>
      </c>
      <c r="GX588" s="4">
        <f>GS588+GU588+GW588</f>
        <v>1.0096019629629631</v>
      </c>
      <c r="GY588" t="s">
        <v>43</v>
      </c>
      <c r="GZ588" t="s">
        <v>87</v>
      </c>
      <c r="HA588">
        <v>650</v>
      </c>
      <c r="HB588">
        <v>450</v>
      </c>
      <c r="HC588">
        <v>330</v>
      </c>
      <c r="HD588">
        <v>250</v>
      </c>
      <c r="HE588">
        <v>20</v>
      </c>
      <c r="HF588" s="4">
        <f>ROUNDUP(HE588/HD588,0)</f>
        <v>1</v>
      </c>
      <c r="HG588">
        <v>5</v>
      </c>
      <c r="HH588" s="4">
        <f>HF588*HG588</f>
        <v>5</v>
      </c>
      <c r="HI588">
        <v>650</v>
      </c>
      <c r="HJ588" s="4">
        <f>HH588*HI588</f>
        <v>3250</v>
      </c>
      <c r="HM588" s="4">
        <v>2</v>
      </c>
      <c r="HN588" s="10">
        <f>HM588*12*25*HE588</f>
        <v>12000</v>
      </c>
      <c r="HO588" s="4">
        <f>IF(GY588="carton box",HI588/HD588,HJ588/HN588)</f>
        <v>0.27083333333333331</v>
      </c>
      <c r="HP588" s="4">
        <v>160</v>
      </c>
      <c r="HV588" s="4">
        <f>HO588+HT588</f>
        <v>0.27083333333333331</v>
      </c>
      <c r="HW588" s="4"/>
      <c r="HX588">
        <v>4200</v>
      </c>
      <c r="HY588">
        <v>1900</v>
      </c>
      <c r="HZ588">
        <v>1975</v>
      </c>
      <c r="IA588" s="4">
        <f t="shared" ref="IA588:IC589" si="595">ROUNDDOWN(HX588/HA588,0)</f>
        <v>6</v>
      </c>
      <c r="IB588" s="4">
        <f t="shared" si="595"/>
        <v>4</v>
      </c>
      <c r="IC588" s="4">
        <f t="shared" si="595"/>
        <v>5</v>
      </c>
      <c r="ID588" s="8">
        <v>0.95</v>
      </c>
      <c r="IE588" s="4">
        <f>ROUNDUP(PRODUCT(IA588:ID588),0)</f>
        <v>114</v>
      </c>
      <c r="IF588" s="4">
        <v>500</v>
      </c>
      <c r="IG588" s="4">
        <f>ROUNDUP(IF588/(IE588*HD588),2)</f>
        <v>0.02</v>
      </c>
      <c r="IH588" s="4"/>
      <c r="II588" s="8">
        <v>0.01</v>
      </c>
      <c r="IJ588" s="62">
        <f>II588*(IG588+HV588+GW588+GU588+GS588+EU588+BA588+DO588)</f>
        <v>8.655452580246914E-2</v>
      </c>
    </row>
    <row r="589" spans="1:244">
      <c r="A589">
        <v>574</v>
      </c>
      <c r="B589" t="s">
        <v>468</v>
      </c>
      <c r="C589" t="s">
        <v>2343</v>
      </c>
      <c r="D589" s="28" t="s">
        <v>1419</v>
      </c>
      <c r="E589" s="28" t="s">
        <v>1420</v>
      </c>
      <c r="F589" s="28" t="s">
        <v>2182</v>
      </c>
      <c r="G589" s="27" t="s">
        <v>101</v>
      </c>
      <c r="I589" s="27" t="s">
        <v>121</v>
      </c>
      <c r="J589" s="28">
        <v>21697</v>
      </c>
      <c r="K589" s="27" t="s">
        <v>227</v>
      </c>
      <c r="Q589" s="13" t="s">
        <v>1875</v>
      </c>
      <c r="R589" s="13" t="s">
        <v>1778</v>
      </c>
      <c r="T589" t="s">
        <v>2251</v>
      </c>
      <c r="V589" s="29" t="s">
        <v>2252</v>
      </c>
      <c r="W589"/>
      <c r="X589"/>
      <c r="Y589"/>
      <c r="Z589"/>
      <c r="AA589" s="51" t="s">
        <v>2344</v>
      </c>
      <c r="AB589" s="66">
        <v>200.97</v>
      </c>
      <c r="AC589">
        <v>20</v>
      </c>
      <c r="AD589" t="s">
        <v>2313</v>
      </c>
      <c r="AE589" s="7">
        <f>BA589</f>
        <v>14.369840000000002</v>
      </c>
      <c r="AF589" s="7"/>
      <c r="AG589" s="7">
        <f>EU589</f>
        <v>9.2274897119341563</v>
      </c>
      <c r="AH589" s="7">
        <f>DM589</f>
        <v>0</v>
      </c>
      <c r="AI589" s="7">
        <f>DO589</f>
        <v>0</v>
      </c>
      <c r="AJ589" s="7">
        <f>GW589</f>
        <v>0.18454979423868312</v>
      </c>
      <c r="AK589" s="7">
        <f>GU589</f>
        <v>0.29496662139917701</v>
      </c>
      <c r="AL589" s="7">
        <f>GS589</f>
        <v>2.5957062683127572</v>
      </c>
      <c r="AM589" s="7">
        <f>HV589</f>
        <v>0.27083333333333331</v>
      </c>
      <c r="AN589" s="7">
        <f>IG589</f>
        <v>0.02</v>
      </c>
      <c r="AO589" s="6">
        <v>0</v>
      </c>
      <c r="AP589" s="6"/>
      <c r="AQ589" s="7">
        <f>SUM(AE589:AP589)</f>
        <v>26.963385729218107</v>
      </c>
      <c r="AR589" s="7">
        <f>IJ589</f>
        <v>0.26963385729218109</v>
      </c>
      <c r="AS589" s="7"/>
      <c r="AT589" s="6">
        <v>0</v>
      </c>
      <c r="AV589" s="7">
        <f>AQ589+AT589+AU589+AR589</f>
        <v>27.233019586510288</v>
      </c>
      <c r="AW589">
        <v>7.2000000000000008E-2</v>
      </c>
      <c r="AX589">
        <v>6.7000000000000004E-2</v>
      </c>
      <c r="AY589" s="8">
        <v>1</v>
      </c>
      <c r="AZ589" s="55">
        <f>(AW589-AX589)*AY589</f>
        <v>5.0000000000000044E-3</v>
      </c>
      <c r="BA589" s="4">
        <f>AW589*AB589-AZ589*AC589</f>
        <v>14.369840000000002</v>
      </c>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DM589" s="4">
        <f>CH589+CM589+CR589+DB589+DG589+DL589</f>
        <v>0</v>
      </c>
      <c r="EF589">
        <v>160</v>
      </c>
      <c r="EG589">
        <v>1600</v>
      </c>
      <c r="EH589">
        <v>7.5</v>
      </c>
      <c r="EI589" s="8">
        <v>0.9</v>
      </c>
      <c r="EJ589">
        <v>1</v>
      </c>
      <c r="EK589">
        <v>80</v>
      </c>
      <c r="EL589" s="10">
        <f>3600/EK589*EH589*EJ589*EI589</f>
        <v>303.75</v>
      </c>
      <c r="ER589">
        <v>1.98</v>
      </c>
      <c r="EU589" s="4">
        <f>EG589/EL589+EX589+ER589</f>
        <v>9.2274897119341563</v>
      </c>
      <c r="EV589" s="4"/>
      <c r="EW589" s="4"/>
      <c r="EX589">
        <v>1.98</v>
      </c>
      <c r="FA589" s="4">
        <f>EX589+EZ589+EY589</f>
        <v>1.98</v>
      </c>
      <c r="FB589" s="4"/>
      <c r="FC589" s="4"/>
      <c r="FD589" s="4"/>
      <c r="FE589" s="4"/>
      <c r="FF589" s="4"/>
      <c r="FG589" s="4"/>
      <c r="FH589" s="4"/>
      <c r="FI589" s="4"/>
      <c r="FJ589" s="4"/>
      <c r="FK589" s="4"/>
      <c r="FL589" s="4"/>
      <c r="FM589" s="4"/>
      <c r="FN589" s="4"/>
      <c r="FO589" s="4"/>
      <c r="FP589" s="4"/>
      <c r="FQ589" s="4"/>
      <c r="FR589" s="4"/>
      <c r="FS589" s="4"/>
      <c r="FT589" s="4"/>
      <c r="FU589" s="4"/>
      <c r="FV589" s="4"/>
      <c r="FW589" s="4"/>
      <c r="FX589" s="4"/>
      <c r="FY589" s="4"/>
      <c r="FZ589" s="4"/>
      <c r="GA589" s="4"/>
      <c r="GB589" s="4"/>
      <c r="GC589" s="4"/>
      <c r="GD589" s="4"/>
      <c r="GE589" s="4"/>
      <c r="GF589" s="4"/>
      <c r="GG589" s="4"/>
      <c r="GH589" s="4"/>
      <c r="GI589" s="4"/>
      <c r="GJ589" s="4"/>
      <c r="GK589" s="4"/>
      <c r="GL589" s="4"/>
      <c r="GM589" s="4"/>
      <c r="GN589" s="4"/>
      <c r="GO589" s="4"/>
      <c r="GP589" s="4"/>
      <c r="GQ589" s="4"/>
      <c r="GR589" s="8">
        <v>0.11</v>
      </c>
      <c r="GS589" s="4">
        <f>GR589*(BA589+EU589)</f>
        <v>2.5957062683127572</v>
      </c>
      <c r="GT589" s="9">
        <v>1.2500000000000001E-2</v>
      </c>
      <c r="GU589" s="4">
        <f>GT589*(BA589+EU589)</f>
        <v>0.29496662139917701</v>
      </c>
      <c r="GV589" s="8">
        <v>0.02</v>
      </c>
      <c r="GW589" s="4">
        <f>(GV589*EU589)</f>
        <v>0.18454979423868312</v>
      </c>
      <c r="GX589" s="4">
        <f>GS589+GU589+GW589</f>
        <v>3.0752226839506172</v>
      </c>
      <c r="GY589" t="s">
        <v>43</v>
      </c>
      <c r="GZ589" t="s">
        <v>87</v>
      </c>
      <c r="HA589">
        <v>650</v>
      </c>
      <c r="HB589">
        <v>450</v>
      </c>
      <c r="HC589">
        <v>330</v>
      </c>
      <c r="HD589">
        <v>250</v>
      </c>
      <c r="HE589">
        <v>20</v>
      </c>
      <c r="HF589" s="4">
        <f>ROUNDUP(HE589/HD589,0)</f>
        <v>1</v>
      </c>
      <c r="HG589">
        <v>5</v>
      </c>
      <c r="HH589" s="4">
        <f>HF589*HG589</f>
        <v>5</v>
      </c>
      <c r="HI589">
        <v>650</v>
      </c>
      <c r="HJ589" s="4">
        <f>HH589*HI589</f>
        <v>3250</v>
      </c>
      <c r="HM589" s="4">
        <v>2</v>
      </c>
      <c r="HN589" s="10">
        <f>HM589*12*25*HE589</f>
        <v>12000</v>
      </c>
      <c r="HO589" s="4">
        <f>IF(GY589="carton box",HI589/HD589,HJ589/HN589)</f>
        <v>0.27083333333333331</v>
      </c>
      <c r="HP589" s="4">
        <v>160</v>
      </c>
      <c r="HV589" s="4">
        <f>HO589+HT589</f>
        <v>0.27083333333333331</v>
      </c>
      <c r="HW589" s="4"/>
      <c r="HX589">
        <v>4200</v>
      </c>
      <c r="HY589">
        <v>1900</v>
      </c>
      <c r="HZ589">
        <v>1975</v>
      </c>
      <c r="IA589" s="4">
        <f t="shared" si="595"/>
        <v>6</v>
      </c>
      <c r="IB589" s="4">
        <f t="shared" si="595"/>
        <v>4</v>
      </c>
      <c r="IC589" s="4">
        <f t="shared" si="595"/>
        <v>5</v>
      </c>
      <c r="ID589" s="8">
        <v>0.95</v>
      </c>
      <c r="IE589" s="4">
        <f>ROUNDUP(PRODUCT(IA589:ID589),0)</f>
        <v>114</v>
      </c>
      <c r="IF589" s="4">
        <v>500</v>
      </c>
      <c r="IG589" s="4">
        <f>ROUNDUP(IF589/(IE589*HD589),2)</f>
        <v>0.02</v>
      </c>
      <c r="IH589" s="4"/>
      <c r="II589" s="8">
        <v>0.01</v>
      </c>
      <c r="IJ589" s="62">
        <f>II589*(IG589+HV589+GW589+GU589+GS589+EU589+BA589+DO589)</f>
        <v>0.26963385729218109</v>
      </c>
    </row>
    <row r="590" spans="1:244">
      <c r="A590">
        <v>575</v>
      </c>
      <c r="B590" s="301" t="s">
        <v>1947</v>
      </c>
      <c r="D590" s="28" t="s">
        <v>1421</v>
      </c>
      <c r="E590" s="28" t="s">
        <v>1422</v>
      </c>
      <c r="F590" s="28" t="s">
        <v>1947</v>
      </c>
      <c r="G590" s="27" t="s">
        <v>101</v>
      </c>
      <c r="I590" s="27" t="s">
        <v>121</v>
      </c>
      <c r="J590" s="28">
        <v>20895</v>
      </c>
      <c r="K590" s="27" t="s">
        <v>1242</v>
      </c>
    </row>
    <row r="591" spans="1:244">
      <c r="A591">
        <v>576</v>
      </c>
      <c r="B591" t="s">
        <v>468</v>
      </c>
      <c r="C591" t="s">
        <v>2346</v>
      </c>
      <c r="D591" s="28" t="s">
        <v>1421</v>
      </c>
      <c r="E591" s="28" t="s">
        <v>1422</v>
      </c>
      <c r="F591" s="28" t="s">
        <v>2182</v>
      </c>
      <c r="G591" s="27" t="s">
        <v>101</v>
      </c>
      <c r="I591" s="27" t="s">
        <v>121</v>
      </c>
      <c r="J591" s="28">
        <v>21697</v>
      </c>
      <c r="K591" s="27" t="s">
        <v>227</v>
      </c>
      <c r="L591" s="59"/>
      <c r="M591" s="59"/>
      <c r="Q591" s="13" t="s">
        <v>1875</v>
      </c>
      <c r="R591" s="13" t="s">
        <v>1778</v>
      </c>
      <c r="T591" t="s">
        <v>2251</v>
      </c>
      <c r="V591" s="29" t="s">
        <v>2252</v>
      </c>
      <c r="W591"/>
      <c r="X591"/>
      <c r="Y591"/>
      <c r="Z591"/>
      <c r="AA591" s="51" t="s">
        <v>2344</v>
      </c>
      <c r="AB591" s="66">
        <v>200.97</v>
      </c>
      <c r="AC591">
        <v>20</v>
      </c>
      <c r="AD591" t="s">
        <v>2313</v>
      </c>
      <c r="AE591" s="7">
        <f>BA591</f>
        <v>14.369840000000002</v>
      </c>
      <c r="AF591" s="7"/>
      <c r="AG591" s="7">
        <f>EU591</f>
        <v>9.2274897119341563</v>
      </c>
      <c r="AH591" s="7">
        <f>DM591</f>
        <v>0</v>
      </c>
      <c r="AI591" s="7">
        <f>DO591</f>
        <v>0</v>
      </c>
      <c r="AJ591" s="7">
        <f>GW591</f>
        <v>0.18454979423868312</v>
      </c>
      <c r="AK591" s="7">
        <f>GU591</f>
        <v>0.29496662139917701</v>
      </c>
      <c r="AL591" s="7">
        <f>GS591</f>
        <v>2.5957062683127572</v>
      </c>
      <c r="AM591" s="7">
        <f>HV591</f>
        <v>0.27083333333333331</v>
      </c>
      <c r="AN591" s="7">
        <f>IG591</f>
        <v>0.02</v>
      </c>
      <c r="AO591" s="6">
        <v>0</v>
      </c>
      <c r="AP591" s="6"/>
      <c r="AQ591" s="7">
        <f>SUM(AE591:AP591)</f>
        <v>26.963385729218107</v>
      </c>
      <c r="AR591" s="7">
        <f>IJ591</f>
        <v>0.26963385729218109</v>
      </c>
      <c r="AS591" s="7"/>
      <c r="AT591" s="6">
        <v>0</v>
      </c>
      <c r="AV591" s="7">
        <f>AQ591+AT591+AU591+AR591</f>
        <v>27.233019586510288</v>
      </c>
      <c r="AW591">
        <v>7.2000000000000008E-2</v>
      </c>
      <c r="AX591">
        <v>6.7000000000000004E-2</v>
      </c>
      <c r="AY591" s="8">
        <v>1</v>
      </c>
      <c r="AZ591" s="55">
        <f>(AW591-AX591)*AY591</f>
        <v>5.0000000000000044E-3</v>
      </c>
      <c r="BA591" s="4">
        <f>AW591*AB591-AZ591*AC591</f>
        <v>14.369840000000002</v>
      </c>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DM591" s="4">
        <f>CH591+CM591+CR591+DB591+DG591+DL591</f>
        <v>0</v>
      </c>
      <c r="EF591">
        <v>160</v>
      </c>
      <c r="EG591">
        <v>1600</v>
      </c>
      <c r="EH591">
        <v>7.5</v>
      </c>
      <c r="EI591" s="8">
        <v>0.9</v>
      </c>
      <c r="EJ591">
        <v>1</v>
      </c>
      <c r="EK591">
        <v>80</v>
      </c>
      <c r="EL591" s="10">
        <f>3600/EK591*EH591*EJ591*EI591</f>
        <v>303.75</v>
      </c>
      <c r="ER591">
        <v>1.98</v>
      </c>
      <c r="EU591" s="4">
        <f>EG591/EL591+EX591+ER591</f>
        <v>9.2274897119341563</v>
      </c>
      <c r="EV591" s="4"/>
      <c r="EW591" s="4"/>
      <c r="EX591">
        <v>1.98</v>
      </c>
      <c r="FA591" s="4">
        <f>EX591+EZ591+EY591</f>
        <v>1.98</v>
      </c>
      <c r="FB591" s="4"/>
      <c r="FC591" s="4"/>
      <c r="FD591" s="4"/>
      <c r="FE591" s="4"/>
      <c r="FF591" s="4"/>
      <c r="FG591" s="4"/>
      <c r="FH591" s="4"/>
      <c r="FI591" s="4"/>
      <c r="FJ591" s="4"/>
      <c r="FK591" s="4"/>
      <c r="FL591" s="4"/>
      <c r="FM591" s="4"/>
      <c r="FN591" s="4"/>
      <c r="FO591" s="4"/>
      <c r="FP591" s="4"/>
      <c r="FQ591" s="4"/>
      <c r="FR591" s="4"/>
      <c r="FS591" s="4"/>
      <c r="FT591" s="4"/>
      <c r="FU591" s="4"/>
      <c r="FV591" s="4"/>
      <c r="FW591" s="4"/>
      <c r="FX591" s="4"/>
      <c r="FY591" s="4"/>
      <c r="FZ591" s="4"/>
      <c r="GA591" s="4"/>
      <c r="GB591" s="4"/>
      <c r="GC591" s="4"/>
      <c r="GD591" s="4"/>
      <c r="GE591" s="4"/>
      <c r="GF591" s="4"/>
      <c r="GG591" s="4"/>
      <c r="GH591" s="4"/>
      <c r="GI591" s="4"/>
      <c r="GJ591" s="4"/>
      <c r="GK591" s="4"/>
      <c r="GL591" s="4"/>
      <c r="GM591" s="4"/>
      <c r="GN591" s="4"/>
      <c r="GO591" s="4"/>
      <c r="GP591" s="4"/>
      <c r="GQ591" s="4"/>
      <c r="GR591" s="8">
        <v>0.11</v>
      </c>
      <c r="GS591" s="4">
        <f>GR591*(BA591+EU591)</f>
        <v>2.5957062683127572</v>
      </c>
      <c r="GT591" s="9">
        <v>1.2500000000000001E-2</v>
      </c>
      <c r="GU591" s="4">
        <f>GT591*(BA591+EU591)</f>
        <v>0.29496662139917701</v>
      </c>
      <c r="GV591" s="8">
        <v>0.02</v>
      </c>
      <c r="GW591" s="4">
        <f>(GV591*EU591)</f>
        <v>0.18454979423868312</v>
      </c>
      <c r="GX591" s="4">
        <f>GS591+GU591+GW591</f>
        <v>3.0752226839506172</v>
      </c>
      <c r="GY591" t="s">
        <v>43</v>
      </c>
      <c r="GZ591" t="s">
        <v>87</v>
      </c>
      <c r="HA591">
        <v>650</v>
      </c>
      <c r="HB591">
        <v>450</v>
      </c>
      <c r="HC591">
        <v>330</v>
      </c>
      <c r="HD591">
        <v>250</v>
      </c>
      <c r="HE591">
        <v>20</v>
      </c>
      <c r="HF591" s="4">
        <f>ROUNDUP(HE591/HD591,0)</f>
        <v>1</v>
      </c>
      <c r="HG591">
        <v>5</v>
      </c>
      <c r="HH591" s="4">
        <f>HF591*HG591</f>
        <v>5</v>
      </c>
      <c r="HI591">
        <v>650</v>
      </c>
      <c r="HJ591" s="4">
        <f>HH591*HI591</f>
        <v>3250</v>
      </c>
      <c r="HM591" s="4">
        <v>2</v>
      </c>
      <c r="HN591" s="10">
        <f>HM591*12*25*HE591</f>
        <v>12000</v>
      </c>
      <c r="HO591" s="4">
        <f>IF(GY591="carton box",HI591/HD591,HJ591/HN591)</f>
        <v>0.27083333333333331</v>
      </c>
      <c r="HP591" s="4">
        <v>160</v>
      </c>
      <c r="HV591" s="4">
        <f>HO591+HT591</f>
        <v>0.27083333333333331</v>
      </c>
      <c r="HW591" s="4"/>
      <c r="HX591">
        <v>4200</v>
      </c>
      <c r="HY591">
        <v>1900</v>
      </c>
      <c r="HZ591">
        <v>1975</v>
      </c>
      <c r="IA591" s="4">
        <f>ROUNDDOWN(HX591/HA591,0)</f>
        <v>6</v>
      </c>
      <c r="IB591" s="4">
        <f>ROUNDDOWN(HY591/HB591,0)</f>
        <v>4</v>
      </c>
      <c r="IC591" s="4">
        <f>ROUNDDOWN(HZ591/HC591,0)</f>
        <v>5</v>
      </c>
      <c r="ID591" s="8">
        <v>0.95</v>
      </c>
      <c r="IE591" s="4">
        <f>ROUNDUP(PRODUCT(IA591:ID591),0)</f>
        <v>114</v>
      </c>
      <c r="IF591" s="4">
        <v>500</v>
      </c>
      <c r="IG591" s="4">
        <f>ROUNDUP(IF591/(IE591*HD591),2)</f>
        <v>0.02</v>
      </c>
      <c r="IH591" s="4"/>
      <c r="II591" s="8">
        <v>0.01</v>
      </c>
      <c r="IJ591" s="62">
        <f>II591*(IG591+HV591+GW591+GU591+GS591+EU591+BA591+DO591)</f>
        <v>0.26963385729218109</v>
      </c>
    </row>
    <row r="592" spans="1:244">
      <c r="A592">
        <v>577</v>
      </c>
      <c r="B592" s="301" t="s">
        <v>1947</v>
      </c>
      <c r="D592" s="28" t="s">
        <v>1423</v>
      </c>
      <c r="E592" s="28" t="s">
        <v>1424</v>
      </c>
      <c r="F592" s="28" t="s">
        <v>1947</v>
      </c>
      <c r="G592" s="27" t="s">
        <v>101</v>
      </c>
      <c r="I592" s="27" t="s">
        <v>121</v>
      </c>
      <c r="J592" s="28">
        <v>20895</v>
      </c>
      <c r="K592" s="27" t="s">
        <v>1242</v>
      </c>
    </row>
    <row r="593" spans="1:244">
      <c r="A593">
        <v>578</v>
      </c>
      <c r="B593" t="s">
        <v>468</v>
      </c>
      <c r="C593" t="s">
        <v>2345</v>
      </c>
      <c r="D593" s="28" t="s">
        <v>1423</v>
      </c>
      <c r="E593" s="28" t="s">
        <v>1424</v>
      </c>
      <c r="F593" s="28" t="s">
        <v>2182</v>
      </c>
      <c r="G593" s="27" t="s">
        <v>101</v>
      </c>
      <c r="I593" s="27" t="s">
        <v>121</v>
      </c>
      <c r="J593" s="28">
        <v>21697</v>
      </c>
      <c r="K593" s="27" t="s">
        <v>227</v>
      </c>
      <c r="Q593" s="13" t="s">
        <v>2301</v>
      </c>
      <c r="R593" s="13" t="s">
        <v>1194</v>
      </c>
      <c r="T593" t="s">
        <v>2251</v>
      </c>
      <c r="V593" s="29" t="s">
        <v>2252</v>
      </c>
      <c r="W593"/>
      <c r="X593"/>
      <c r="Y593"/>
      <c r="Z593"/>
      <c r="AA593" s="51" t="s">
        <v>469</v>
      </c>
      <c r="AB593" s="66">
        <v>111.01</v>
      </c>
      <c r="AC593">
        <v>20</v>
      </c>
      <c r="AD593" t="s">
        <v>1200</v>
      </c>
      <c r="AE593" s="7">
        <f t="shared" ref="AE593:AE605" si="596">BA593</f>
        <v>26.753409999999999</v>
      </c>
      <c r="AF593" s="7"/>
      <c r="AG593" s="7">
        <f t="shared" ref="AG593:AG605" si="597">EU593</f>
        <v>8.9499999999999993</v>
      </c>
      <c r="AH593" s="7">
        <f t="shared" ref="AH593:AH605" si="598">DM593</f>
        <v>0</v>
      </c>
      <c r="AI593" s="7">
        <f t="shared" ref="AI593:AI605" si="599">DO593</f>
        <v>0</v>
      </c>
      <c r="AJ593" s="7">
        <f t="shared" ref="AJ593:AJ605" si="600">GW593</f>
        <v>0.17899999999999999</v>
      </c>
      <c r="AK593" s="7">
        <f t="shared" ref="AK593:AK605" si="601">GU593</f>
        <v>0.45</v>
      </c>
      <c r="AL593" s="7">
        <f t="shared" ref="AL593:AL605" si="602">GS593</f>
        <v>3.9273750999999999</v>
      </c>
      <c r="AM593" s="7">
        <f t="shared" ref="AM593:AM605" si="603">HV593</f>
        <v>0.39</v>
      </c>
      <c r="AN593" s="7">
        <f t="shared" ref="AN593:AN605" si="604">IG593</f>
        <v>0.37</v>
      </c>
      <c r="AO593" s="6">
        <v>0</v>
      </c>
      <c r="AP593" s="6"/>
      <c r="AQ593" s="7">
        <f t="shared" ref="AQ593:AQ605" si="605">SUM(AE593:AP593)</f>
        <v>41.0197851</v>
      </c>
      <c r="AR593" s="7">
        <f t="shared" ref="AR593:AR605" si="606">IJ593</f>
        <v>0</v>
      </c>
      <c r="AS593" s="7"/>
      <c r="AT593" s="6">
        <v>0</v>
      </c>
      <c r="AV593" s="7">
        <f t="shared" ref="AV593:AV605" si="607">AQ593+AT593+AU593+AR593</f>
        <v>41.0197851</v>
      </c>
      <c r="AW593">
        <v>0.24099999999999999</v>
      </c>
      <c r="AX593">
        <v>0.24099999999999999</v>
      </c>
      <c r="AY593" s="8">
        <v>1</v>
      </c>
      <c r="AZ593" s="55">
        <f t="shared" ref="AZ593:AZ605" si="608">(AW593-AX593)*AY593</f>
        <v>0</v>
      </c>
      <c r="BA593" s="4">
        <f t="shared" ref="BA593:BA605" si="609">AW593*AB593-AZ593*AC593</f>
        <v>26.753409999999999</v>
      </c>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DM593" s="4">
        <f t="shared" ref="DM593:DM605" si="610">CH593+CM593+CR593+DB593+DG593+DL593</f>
        <v>0</v>
      </c>
      <c r="EF593">
        <v>550</v>
      </c>
      <c r="EG593">
        <v>5500</v>
      </c>
      <c r="EH593">
        <v>7.5</v>
      </c>
      <c r="EI593" s="8">
        <v>0.9</v>
      </c>
      <c r="EJ593">
        <v>2</v>
      </c>
      <c r="EK593">
        <v>79</v>
      </c>
      <c r="EL593" s="10">
        <f>ROUND(3600/EK593*EH593*EJ593*EI593,0)</f>
        <v>615</v>
      </c>
      <c r="EU593" s="4">
        <f>ROUNDUP(EG593/EL593+EX593+ER593,2)</f>
        <v>8.9499999999999993</v>
      </c>
      <c r="EV593" s="4"/>
      <c r="EW593" s="4"/>
      <c r="GR593" s="8">
        <v>0.11</v>
      </c>
      <c r="GS593" s="4">
        <f t="shared" ref="GS593:GS601" si="611">GR593*(BA593+EU593)</f>
        <v>3.9273750999999999</v>
      </c>
      <c r="GT593" s="9">
        <v>1.2500000000000001E-2</v>
      </c>
      <c r="GU593" s="4">
        <f>ROUNDUP(GT593*(BA593+EU593),2)</f>
        <v>0.45</v>
      </c>
      <c r="GV593" s="8">
        <v>0.02</v>
      </c>
      <c r="GW593" s="4">
        <f t="shared" ref="GW593:GW601" si="612">(GV593*EU593)</f>
        <v>0.17899999999999999</v>
      </c>
      <c r="GX593" s="4">
        <f t="shared" ref="GX593:GX605" si="613">GS593+GU593+GW593</f>
        <v>4.5563751000000003</v>
      </c>
      <c r="GY593" t="s">
        <v>130</v>
      </c>
      <c r="GZ593" t="s">
        <v>130</v>
      </c>
      <c r="HA593">
        <v>810</v>
      </c>
      <c r="HB593">
        <v>568</v>
      </c>
      <c r="HC593">
        <v>425</v>
      </c>
      <c r="HD593">
        <v>24</v>
      </c>
      <c r="HE593">
        <v>600</v>
      </c>
      <c r="HF593" s="4">
        <f t="shared" ref="HF593:HF605" si="614">ROUNDUP(HE593/HD593,0)</f>
        <v>25</v>
      </c>
      <c r="HG593">
        <v>5</v>
      </c>
      <c r="HH593" s="4">
        <f t="shared" ref="HH593:HH605" si="615">HF593*HG593</f>
        <v>125</v>
      </c>
      <c r="HI593">
        <v>1100</v>
      </c>
      <c r="HJ593" s="4">
        <f t="shared" ref="HJ593:HJ605" si="616">HH593*HI593</f>
        <v>137500</v>
      </c>
      <c r="HM593" s="4">
        <v>2</v>
      </c>
      <c r="HN593" s="10">
        <f t="shared" ref="HN593:HN605" si="617">HM593*12*25*HE593</f>
        <v>360000</v>
      </c>
      <c r="HO593" s="4">
        <f t="shared" ref="HO593:HO605" si="618">IF(GY593="carton box",HI593/HD593,HJ593/HN593)</f>
        <v>0.38194444444444442</v>
      </c>
      <c r="HP593" s="4">
        <v>160</v>
      </c>
      <c r="HV593" s="4">
        <f>ROUNDUP(HO593+HT593,2)</f>
        <v>0.39</v>
      </c>
      <c r="HW593" s="4"/>
      <c r="HX593">
        <v>4200</v>
      </c>
      <c r="HY593">
        <v>1900</v>
      </c>
      <c r="HZ593">
        <v>1975</v>
      </c>
      <c r="IA593" s="4">
        <f t="shared" ref="IA593:IA605" si="619">ROUNDDOWN(HX593/HA593,0)</f>
        <v>5</v>
      </c>
      <c r="IB593" s="4">
        <f t="shared" ref="IB593:IB605" si="620">ROUNDDOWN(HY593/HB593,0)</f>
        <v>3</v>
      </c>
      <c r="IC593" s="4">
        <f t="shared" ref="IC593:IC605" si="621">ROUNDDOWN(HZ593/HC593,0)</f>
        <v>4</v>
      </c>
      <c r="ID593" s="8">
        <v>0.95</v>
      </c>
      <c r="IE593" s="4">
        <f>ROUNDUP(PRODUCT(IA593:ID593),0)</f>
        <v>57</v>
      </c>
      <c r="IF593" s="4">
        <v>500</v>
      </c>
      <c r="IG593" s="4">
        <f>ROUNDUP(IF593/(IE593*HD593),2)</f>
        <v>0.37</v>
      </c>
      <c r="IH593" s="4"/>
      <c r="II593" s="8">
        <v>0</v>
      </c>
      <c r="IJ593" s="62">
        <f>II593*(IG593+HV593+GW593+GU593+GS593+EU593+BA593+DO593)</f>
        <v>0</v>
      </c>
    </row>
    <row r="594" spans="1:244">
      <c r="A594">
        <v>579</v>
      </c>
      <c r="B594" t="s">
        <v>468</v>
      </c>
      <c r="C594" t="s">
        <v>2347</v>
      </c>
      <c r="D594" s="28" t="s">
        <v>1425</v>
      </c>
      <c r="E594" s="28" t="s">
        <v>1400</v>
      </c>
      <c r="F594" s="28" t="s">
        <v>2182</v>
      </c>
      <c r="G594" s="27" t="s">
        <v>101</v>
      </c>
      <c r="I594" s="27" t="s">
        <v>121</v>
      </c>
      <c r="J594" s="28">
        <v>21677</v>
      </c>
      <c r="K594" s="27" t="s">
        <v>228</v>
      </c>
      <c r="P594" s="5"/>
      <c r="Q594" s="13" t="s">
        <v>2308</v>
      </c>
      <c r="R594" s="13" t="s">
        <v>1194</v>
      </c>
      <c r="T594" s="5" t="s">
        <v>2251</v>
      </c>
      <c r="U594" s="5"/>
      <c r="V594" s="29" t="s">
        <v>2252</v>
      </c>
      <c r="W594"/>
      <c r="X594"/>
      <c r="Y594"/>
      <c r="Z594"/>
      <c r="AA594" s="51" t="s">
        <v>2348</v>
      </c>
      <c r="AB594" s="66">
        <v>107.14</v>
      </c>
      <c r="AC594">
        <v>20</v>
      </c>
      <c r="AD594" t="s">
        <v>935</v>
      </c>
      <c r="AE594" s="7">
        <f t="shared" si="596"/>
        <v>93.580359999999999</v>
      </c>
      <c r="AF594" s="7"/>
      <c r="AG594" s="7">
        <f t="shared" si="597"/>
        <v>30.555555555555561</v>
      </c>
      <c r="AH594" s="7">
        <f t="shared" si="598"/>
        <v>7.5500000000000007</v>
      </c>
      <c r="AI594" s="7">
        <f t="shared" si="599"/>
        <v>9.4375000000000014E-2</v>
      </c>
      <c r="AJ594" s="7">
        <f t="shared" si="600"/>
        <v>0.61111111111111127</v>
      </c>
      <c r="AK594" s="7">
        <f t="shared" si="601"/>
        <v>1.5516989444444445</v>
      </c>
      <c r="AL594" s="7">
        <f t="shared" si="602"/>
        <v>12.413591555555556</v>
      </c>
      <c r="AM594" s="7">
        <f t="shared" si="603"/>
        <v>3.4166666666666665</v>
      </c>
      <c r="AN594" s="7">
        <f t="shared" si="604"/>
        <v>1.4285714285714286</v>
      </c>
      <c r="AO594" s="6">
        <v>0</v>
      </c>
      <c r="AP594" s="6"/>
      <c r="AQ594" s="7">
        <f t="shared" si="605"/>
        <v>151.20193026190475</v>
      </c>
      <c r="AR594" s="7">
        <f t="shared" si="606"/>
        <v>0</v>
      </c>
      <c r="AS594" s="7"/>
      <c r="AT594" s="6">
        <v>0</v>
      </c>
      <c r="AV594" s="7">
        <f t="shared" si="607"/>
        <v>151.20193026190475</v>
      </c>
      <c r="AW594">
        <v>0.874</v>
      </c>
      <c r="AX594">
        <v>0.871</v>
      </c>
      <c r="AY594" s="8">
        <v>1</v>
      </c>
      <c r="AZ594" s="55">
        <f t="shared" si="608"/>
        <v>3.0000000000000027E-3</v>
      </c>
      <c r="BA594" s="4">
        <f t="shared" si="609"/>
        <v>93.580359999999999</v>
      </c>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F594">
        <v>1</v>
      </c>
      <c r="CG594">
        <v>0.2</v>
      </c>
      <c r="CH594" s="45">
        <f>CF594*CG594</f>
        <v>0.2</v>
      </c>
      <c r="CI594" t="s">
        <v>2349</v>
      </c>
      <c r="CK594">
        <v>3</v>
      </c>
      <c r="CL594">
        <v>2.4500000000000002</v>
      </c>
      <c r="CM594">
        <f>CK594*CL594</f>
        <v>7.3500000000000005</v>
      </c>
      <c r="DM594" s="4">
        <f t="shared" si="610"/>
        <v>7.5500000000000007</v>
      </c>
      <c r="DN594" s="9">
        <v>1.2500000000000001E-2</v>
      </c>
      <c r="DO594" s="4">
        <f>DM594*DN594</f>
        <v>9.4375000000000014E-2</v>
      </c>
      <c r="DP594" s="4">
        <f>DM594+DO594-CH594</f>
        <v>7.4443750000000009</v>
      </c>
      <c r="EF594">
        <v>880</v>
      </c>
      <c r="EG594">
        <v>8800</v>
      </c>
      <c r="EH594">
        <v>8</v>
      </c>
      <c r="EI594" s="8">
        <v>0.95</v>
      </c>
      <c r="EJ594">
        <v>1</v>
      </c>
      <c r="EK594">
        <v>95</v>
      </c>
      <c r="EL594" s="10">
        <f>3600/EK594*EH594*EJ594*EI594</f>
        <v>287.99999999999994</v>
      </c>
      <c r="EU594" s="4">
        <f>EG594/EL594+EX594+ER594</f>
        <v>30.555555555555561</v>
      </c>
      <c r="EV594" s="4"/>
      <c r="EW594" s="4"/>
      <c r="GR594" s="8">
        <v>0.1</v>
      </c>
      <c r="GS594" s="4">
        <f t="shared" si="611"/>
        <v>12.413591555555556</v>
      </c>
      <c r="GT594" s="9">
        <v>1.2500000000000001E-2</v>
      </c>
      <c r="GU594" s="4">
        <f t="shared" ref="GU594:GU601" si="622">GT594*(BA594+EU594)</f>
        <v>1.5516989444444445</v>
      </c>
      <c r="GV594" s="8">
        <v>0.02</v>
      </c>
      <c r="GW594" s="4">
        <f t="shared" si="612"/>
        <v>0.61111111111111127</v>
      </c>
      <c r="GX594" s="4">
        <f t="shared" si="613"/>
        <v>14.576401611111111</v>
      </c>
      <c r="GY594" t="s">
        <v>130</v>
      </c>
      <c r="GZ594" t="s">
        <v>130</v>
      </c>
      <c r="HA594">
        <v>1350</v>
      </c>
      <c r="HB594">
        <v>950</v>
      </c>
      <c r="HC594">
        <v>2400</v>
      </c>
      <c r="HD594">
        <v>70</v>
      </c>
      <c r="HE594">
        <v>50</v>
      </c>
      <c r="HF594" s="4">
        <f t="shared" si="614"/>
        <v>1</v>
      </c>
      <c r="HG594">
        <v>5</v>
      </c>
      <c r="HH594" s="4">
        <f t="shared" si="615"/>
        <v>5</v>
      </c>
      <c r="HI594">
        <v>20500</v>
      </c>
      <c r="HJ594" s="4">
        <f t="shared" si="616"/>
        <v>102500</v>
      </c>
      <c r="HM594" s="4">
        <v>2</v>
      </c>
      <c r="HN594" s="10">
        <f t="shared" si="617"/>
        <v>30000</v>
      </c>
      <c r="HO594" s="4">
        <f t="shared" si="618"/>
        <v>3.4166666666666665</v>
      </c>
      <c r="HP594" s="4">
        <v>160</v>
      </c>
      <c r="HV594" s="4">
        <f>HO594+HT594</f>
        <v>3.4166666666666665</v>
      </c>
      <c r="HW594" s="4"/>
      <c r="HX594">
        <v>5016</v>
      </c>
      <c r="HY594">
        <v>1976</v>
      </c>
      <c r="HZ594">
        <v>2280</v>
      </c>
      <c r="IA594" s="4">
        <f t="shared" si="619"/>
        <v>3</v>
      </c>
      <c r="IB594" s="4">
        <f t="shared" si="620"/>
        <v>2</v>
      </c>
      <c r="IC594" s="4">
        <f t="shared" si="621"/>
        <v>0</v>
      </c>
      <c r="ID594" s="8">
        <v>0.95</v>
      </c>
      <c r="IE594" s="4">
        <f>ROUNDUP(PRODUCT(IA594:ID594),0)+5</f>
        <v>5</v>
      </c>
      <c r="IF594" s="4">
        <v>500</v>
      </c>
      <c r="IG594" s="4">
        <f>IF594/(IE594*HD594)</f>
        <v>1.4285714285714286</v>
      </c>
      <c r="IH594" s="4"/>
      <c r="II594" s="8">
        <v>0</v>
      </c>
      <c r="IJ594" s="4">
        <f>II594*(IG594+HV594+GW594+GU594+GS594+EU594+BA594+DO594)</f>
        <v>0</v>
      </c>
    </row>
    <row r="595" spans="1:244">
      <c r="A595">
        <v>580</v>
      </c>
      <c r="B595" t="s">
        <v>468</v>
      </c>
      <c r="C595" t="s">
        <v>2350</v>
      </c>
      <c r="D595" s="28" t="s">
        <v>1426</v>
      </c>
      <c r="E595" s="28" t="s">
        <v>788</v>
      </c>
      <c r="F595" s="28" t="s">
        <v>2182</v>
      </c>
      <c r="G595" s="27" t="s">
        <v>101</v>
      </c>
      <c r="I595" s="27" t="s">
        <v>121</v>
      </c>
      <c r="J595" s="28">
        <v>21677</v>
      </c>
      <c r="K595" s="27" t="s">
        <v>228</v>
      </c>
      <c r="Q595" s="13" t="s">
        <v>2308</v>
      </c>
      <c r="R595" s="13" t="s">
        <v>1194</v>
      </c>
      <c r="T595" s="5" t="s">
        <v>2251</v>
      </c>
      <c r="U595" s="5"/>
      <c r="V595" s="29" t="s">
        <v>2252</v>
      </c>
      <c r="W595"/>
      <c r="X595"/>
      <c r="Y595"/>
      <c r="Z595"/>
      <c r="AA595" s="51" t="s">
        <v>2351</v>
      </c>
      <c r="AB595" s="66">
        <v>157.63999999999999</v>
      </c>
      <c r="AC595">
        <v>20</v>
      </c>
      <c r="AD595" t="s">
        <v>935</v>
      </c>
      <c r="AE595" s="7">
        <f t="shared" si="596"/>
        <v>20.923760000000001</v>
      </c>
      <c r="AF595" s="7"/>
      <c r="AG595" s="7">
        <f t="shared" si="597"/>
        <v>16.630000000000003</v>
      </c>
      <c r="AH595" s="7">
        <f t="shared" si="598"/>
        <v>0.2</v>
      </c>
      <c r="AI595" s="7">
        <f t="shared" si="599"/>
        <v>0</v>
      </c>
      <c r="AJ595" s="7">
        <f t="shared" si="600"/>
        <v>0.33260000000000006</v>
      </c>
      <c r="AK595" s="7">
        <f t="shared" si="601"/>
        <v>0.46942200000000006</v>
      </c>
      <c r="AL595" s="7">
        <f t="shared" si="602"/>
        <v>3.7553760000000005</v>
      </c>
      <c r="AM595" s="7">
        <f t="shared" si="603"/>
        <v>2.9699999999999998</v>
      </c>
      <c r="AN595" s="7">
        <f t="shared" si="604"/>
        <v>0.25</v>
      </c>
      <c r="AO595" s="6">
        <v>0</v>
      </c>
      <c r="AP595" s="6"/>
      <c r="AQ595" s="7">
        <f t="shared" si="605"/>
        <v>45.531158000000005</v>
      </c>
      <c r="AR595" s="7">
        <f t="shared" si="606"/>
        <v>0</v>
      </c>
      <c r="AS595" s="7"/>
      <c r="AT595" s="6">
        <v>0</v>
      </c>
      <c r="AV595" s="7">
        <f t="shared" si="607"/>
        <v>45.531158000000005</v>
      </c>
      <c r="AW595">
        <v>0.13400000000000001</v>
      </c>
      <c r="AX595">
        <v>0.124</v>
      </c>
      <c r="AY595" s="8">
        <v>1</v>
      </c>
      <c r="AZ595" s="55">
        <f t="shared" si="608"/>
        <v>1.0000000000000009E-2</v>
      </c>
      <c r="BA595" s="4">
        <f t="shared" si="609"/>
        <v>20.923760000000001</v>
      </c>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F595">
        <v>1</v>
      </c>
      <c r="CG595">
        <v>0.2</v>
      </c>
      <c r="CH595" s="45">
        <f>CF595*CG595</f>
        <v>0.2</v>
      </c>
      <c r="DM595" s="4">
        <f t="shared" si="610"/>
        <v>0.2</v>
      </c>
      <c r="EF595">
        <v>650</v>
      </c>
      <c r="EG595">
        <v>6500</v>
      </c>
      <c r="EH595">
        <v>8</v>
      </c>
      <c r="EI595" s="8">
        <v>0.95</v>
      </c>
      <c r="EJ595">
        <v>1</v>
      </c>
      <c r="EK595">
        <v>70</v>
      </c>
      <c r="EL595" s="10">
        <f t="shared" ref="EL595:EL601" si="623">ROUND(3600/EK595*EH595*EJ595*EI595,0)</f>
        <v>391</v>
      </c>
      <c r="EU595" s="4">
        <f>ROUNDUP(EG595/EL595+EX595+ER595,2)</f>
        <v>16.630000000000003</v>
      </c>
      <c r="EV595" s="4"/>
      <c r="EW595" s="4"/>
      <c r="GR595" s="8">
        <v>0.1</v>
      </c>
      <c r="GS595" s="4">
        <f t="shared" si="611"/>
        <v>3.7553760000000005</v>
      </c>
      <c r="GT595" s="9">
        <v>1.2500000000000001E-2</v>
      </c>
      <c r="GU595" s="4">
        <f t="shared" si="622"/>
        <v>0.46942200000000006</v>
      </c>
      <c r="GV595" s="8">
        <v>0.02</v>
      </c>
      <c r="GW595" s="4">
        <f t="shared" si="612"/>
        <v>0.33260000000000006</v>
      </c>
      <c r="GX595" s="4">
        <f t="shared" si="613"/>
        <v>4.5573980000000009</v>
      </c>
      <c r="GY595" t="s">
        <v>130</v>
      </c>
      <c r="GZ595" t="s">
        <v>130</v>
      </c>
      <c r="HA595">
        <v>805</v>
      </c>
      <c r="HB595">
        <v>675</v>
      </c>
      <c r="HC595">
        <v>405</v>
      </c>
      <c r="HD595">
        <v>40</v>
      </c>
      <c r="HE595">
        <v>50</v>
      </c>
      <c r="HF595" s="4">
        <f t="shared" si="614"/>
        <v>2</v>
      </c>
      <c r="HG595">
        <v>5</v>
      </c>
      <c r="HH595" s="4">
        <f t="shared" si="615"/>
        <v>10</v>
      </c>
      <c r="HI595">
        <v>1150</v>
      </c>
      <c r="HJ595" s="4">
        <f t="shared" si="616"/>
        <v>11500</v>
      </c>
      <c r="HM595" s="4">
        <v>2</v>
      </c>
      <c r="HN595" s="10">
        <f t="shared" si="617"/>
        <v>30000</v>
      </c>
      <c r="HO595" s="4">
        <f t="shared" si="618"/>
        <v>0.38333333333333336</v>
      </c>
      <c r="HP595" s="4">
        <v>160</v>
      </c>
      <c r="HR595">
        <v>168</v>
      </c>
      <c r="HS595">
        <v>65</v>
      </c>
      <c r="HT595" s="4">
        <f>HR595/HS595</f>
        <v>2.5846153846153848</v>
      </c>
      <c r="HU595" s="4"/>
      <c r="HV595" s="4">
        <f t="shared" ref="HV595:HV601" si="624">ROUNDUP(HO595+HT595,2)</f>
        <v>2.9699999999999998</v>
      </c>
      <c r="HW595" s="4"/>
      <c r="HX595">
        <v>5016</v>
      </c>
      <c r="HY595">
        <v>1976</v>
      </c>
      <c r="HZ595">
        <v>2280</v>
      </c>
      <c r="IA595" s="4">
        <f t="shared" si="619"/>
        <v>6</v>
      </c>
      <c r="IB595" s="4">
        <f t="shared" si="620"/>
        <v>2</v>
      </c>
      <c r="IC595" s="4">
        <f t="shared" si="621"/>
        <v>5</v>
      </c>
      <c r="ID595" s="8">
        <v>1</v>
      </c>
      <c r="IE595" s="4">
        <f>ROUNDUP(PRODUCT(IA595:ID595),0)-10</f>
        <v>50</v>
      </c>
      <c r="IF595" s="4">
        <v>500</v>
      </c>
      <c r="IG595" s="4">
        <f t="shared" ref="IG595:IG601" si="625">ROUNDUP(IF595/(IE595*HD595),2)</f>
        <v>0.25</v>
      </c>
      <c r="IH595" s="4"/>
    </row>
    <row r="596" spans="1:244">
      <c r="A596">
        <v>581</v>
      </c>
      <c r="B596" t="s">
        <v>468</v>
      </c>
      <c r="C596" t="s">
        <v>2352</v>
      </c>
      <c r="D596" s="28" t="s">
        <v>1427</v>
      </c>
      <c r="E596" s="28" t="s">
        <v>688</v>
      </c>
      <c r="F596" s="28" t="s">
        <v>2182</v>
      </c>
      <c r="G596" s="27" t="s">
        <v>101</v>
      </c>
      <c r="I596" s="27" t="s">
        <v>121</v>
      </c>
      <c r="J596" s="28">
        <v>21677</v>
      </c>
      <c r="K596" s="27" t="s">
        <v>228</v>
      </c>
      <c r="Q596" s="13" t="s">
        <v>2308</v>
      </c>
      <c r="R596" s="13" t="s">
        <v>1194</v>
      </c>
      <c r="T596" s="5" t="s">
        <v>2251</v>
      </c>
      <c r="U596" s="5"/>
      <c r="V596" s="29" t="s">
        <v>2252</v>
      </c>
      <c r="W596"/>
      <c r="X596"/>
      <c r="Y596"/>
      <c r="Z596"/>
      <c r="AA596" s="51" t="s">
        <v>2353</v>
      </c>
      <c r="AB596" s="66">
        <v>308.33</v>
      </c>
      <c r="AC596">
        <v>20</v>
      </c>
      <c r="AD596" t="s">
        <v>935</v>
      </c>
      <c r="AE596" s="7">
        <f t="shared" si="596"/>
        <v>98.197270000000003</v>
      </c>
      <c r="AF596" s="7"/>
      <c r="AG596" s="7">
        <f t="shared" si="597"/>
        <v>25.730994152046783</v>
      </c>
      <c r="AH596" s="7">
        <f t="shared" si="598"/>
        <v>0.2</v>
      </c>
      <c r="AI596" s="7">
        <f t="shared" si="599"/>
        <v>0</v>
      </c>
      <c r="AJ596" s="7">
        <f t="shared" si="600"/>
        <v>0.51461988304093564</v>
      </c>
      <c r="AK596" s="7">
        <f t="shared" si="601"/>
        <v>1.5491033019005849</v>
      </c>
      <c r="AL596" s="7">
        <f t="shared" si="602"/>
        <v>12.392826415204679</v>
      </c>
      <c r="AM596" s="7">
        <f t="shared" si="603"/>
        <v>3.42</v>
      </c>
      <c r="AN596" s="7">
        <f t="shared" si="604"/>
        <v>1.67</v>
      </c>
      <c r="AO596" s="6">
        <v>0</v>
      </c>
      <c r="AP596" s="6"/>
      <c r="AQ596" s="7">
        <f t="shared" si="605"/>
        <v>143.67481375219296</v>
      </c>
      <c r="AR596" s="7">
        <f t="shared" si="606"/>
        <v>0</v>
      </c>
      <c r="AS596" s="7"/>
      <c r="AT596" s="6">
        <v>0</v>
      </c>
      <c r="AV596" s="7">
        <f t="shared" si="607"/>
        <v>143.67481375219296</v>
      </c>
      <c r="AW596">
        <v>0.31900000000000001</v>
      </c>
      <c r="AX596">
        <v>0.311</v>
      </c>
      <c r="AY596" s="8">
        <v>1</v>
      </c>
      <c r="AZ596" s="55">
        <f t="shared" si="608"/>
        <v>8.0000000000000071E-3</v>
      </c>
      <c r="BA596" s="4">
        <f t="shared" si="609"/>
        <v>98.197270000000003</v>
      </c>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F596">
        <v>1</v>
      </c>
      <c r="CG596">
        <v>0.2</v>
      </c>
      <c r="CH596" s="45">
        <f>CF596*CG596</f>
        <v>0.2</v>
      </c>
      <c r="DM596" s="4">
        <f t="shared" si="610"/>
        <v>0.2</v>
      </c>
      <c r="EF596">
        <v>880</v>
      </c>
      <c r="EG596">
        <v>8800</v>
      </c>
      <c r="EH596">
        <v>8</v>
      </c>
      <c r="EI596" s="8">
        <v>0.95</v>
      </c>
      <c r="EJ596">
        <v>1</v>
      </c>
      <c r="EK596">
        <v>80</v>
      </c>
      <c r="EL596" s="10">
        <f t="shared" si="623"/>
        <v>342</v>
      </c>
      <c r="EU596" s="4">
        <f>EG596/EL596+EX596+ER596</f>
        <v>25.730994152046783</v>
      </c>
      <c r="EV596" s="4"/>
      <c r="EW596" s="4"/>
      <c r="GR596" s="8">
        <v>0.1</v>
      </c>
      <c r="GS596" s="4">
        <f t="shared" si="611"/>
        <v>12.392826415204679</v>
      </c>
      <c r="GT596" s="9">
        <v>1.2500000000000001E-2</v>
      </c>
      <c r="GU596" s="4">
        <f t="shared" si="622"/>
        <v>1.5491033019005849</v>
      </c>
      <c r="GV596" s="8">
        <v>0.02</v>
      </c>
      <c r="GW596" s="4">
        <f t="shared" si="612"/>
        <v>0.51461988304093564</v>
      </c>
      <c r="GX596" s="4">
        <f t="shared" si="613"/>
        <v>14.4565496001462</v>
      </c>
      <c r="GY596" t="s">
        <v>130</v>
      </c>
      <c r="GZ596" t="s">
        <v>130</v>
      </c>
      <c r="HA596">
        <v>1350</v>
      </c>
      <c r="HB596">
        <v>1976</v>
      </c>
      <c r="HC596">
        <v>2280</v>
      </c>
      <c r="HD596">
        <v>60</v>
      </c>
      <c r="HE596">
        <v>50</v>
      </c>
      <c r="HF596" s="4">
        <f t="shared" si="614"/>
        <v>1</v>
      </c>
      <c r="HG596">
        <v>5</v>
      </c>
      <c r="HH596" s="4">
        <f t="shared" si="615"/>
        <v>5</v>
      </c>
      <c r="HI596">
        <v>20500</v>
      </c>
      <c r="HJ596" s="4">
        <f t="shared" si="616"/>
        <v>102500</v>
      </c>
      <c r="HM596" s="4">
        <v>2</v>
      </c>
      <c r="HN596" s="10">
        <f t="shared" si="617"/>
        <v>30000</v>
      </c>
      <c r="HO596" s="4">
        <f t="shared" si="618"/>
        <v>3.4166666666666665</v>
      </c>
      <c r="HP596" s="4">
        <v>160</v>
      </c>
      <c r="HV596" s="4">
        <f t="shared" si="624"/>
        <v>3.42</v>
      </c>
      <c r="HW596" s="4"/>
      <c r="HX596">
        <v>5016</v>
      </c>
      <c r="HY596">
        <v>1976</v>
      </c>
      <c r="HZ596">
        <v>2280</v>
      </c>
      <c r="IA596" s="4">
        <f t="shared" si="619"/>
        <v>3</v>
      </c>
      <c r="IB596" s="4">
        <f t="shared" si="620"/>
        <v>1</v>
      </c>
      <c r="IC596" s="4">
        <f t="shared" si="621"/>
        <v>1</v>
      </c>
      <c r="ID596" s="8">
        <v>1</v>
      </c>
      <c r="IE596" s="4">
        <f>ROUNDUP(PRODUCT(IA596:ID596),0)+2</f>
        <v>5</v>
      </c>
      <c r="IF596" s="4">
        <v>500</v>
      </c>
      <c r="IG596" s="4">
        <f t="shared" si="625"/>
        <v>1.67</v>
      </c>
      <c r="IH596" s="4"/>
    </row>
    <row r="597" spans="1:244">
      <c r="A597">
        <v>582</v>
      </c>
      <c r="B597" t="s">
        <v>468</v>
      </c>
      <c r="C597" t="s">
        <v>2354</v>
      </c>
      <c r="D597" s="28" t="s">
        <v>1428</v>
      </c>
      <c r="E597" s="28" t="s">
        <v>1429</v>
      </c>
      <c r="F597" s="28" t="s">
        <v>2182</v>
      </c>
      <c r="G597" s="27" t="s">
        <v>101</v>
      </c>
      <c r="I597" s="27" t="s">
        <v>121</v>
      </c>
      <c r="J597" s="28">
        <v>21697</v>
      </c>
      <c r="K597" s="27" t="s">
        <v>227</v>
      </c>
      <c r="Q597" s="13" t="s">
        <v>2308</v>
      </c>
      <c r="R597" s="13" t="s">
        <v>1194</v>
      </c>
      <c r="T597" s="5" t="s">
        <v>2251</v>
      </c>
      <c r="U597" s="5"/>
      <c r="V597" s="29" t="s">
        <v>2252</v>
      </c>
      <c r="W597"/>
      <c r="X597"/>
      <c r="Y597"/>
      <c r="Z597"/>
      <c r="AA597" s="51" t="s">
        <v>2356</v>
      </c>
      <c r="AB597" s="66">
        <v>105.9</v>
      </c>
      <c r="AC597">
        <v>20</v>
      </c>
      <c r="AD597" t="s">
        <v>2355</v>
      </c>
      <c r="AE597" s="7">
        <f t="shared" si="596"/>
        <v>0.58245000000000002</v>
      </c>
      <c r="AF597" s="7"/>
      <c r="AG597" s="7">
        <f t="shared" si="597"/>
        <v>2.0099999999999998</v>
      </c>
      <c r="AH597" s="7">
        <f t="shared" si="598"/>
        <v>0</v>
      </c>
      <c r="AI597" s="7">
        <f t="shared" si="599"/>
        <v>0</v>
      </c>
      <c r="AJ597" s="7">
        <f t="shared" si="600"/>
        <v>4.02E-2</v>
      </c>
      <c r="AK597" s="7">
        <f t="shared" si="601"/>
        <v>3.2405625E-2</v>
      </c>
      <c r="AL597" s="7">
        <f t="shared" si="602"/>
        <v>0.28516950000000002</v>
      </c>
      <c r="AM597" s="7">
        <f t="shared" si="603"/>
        <v>0.11</v>
      </c>
      <c r="AN597" s="7">
        <f t="shared" si="604"/>
        <v>0.01</v>
      </c>
      <c r="AO597" s="6">
        <v>0</v>
      </c>
      <c r="AP597" s="6"/>
      <c r="AQ597" s="7">
        <f t="shared" si="605"/>
        <v>3.0702251249999994</v>
      </c>
      <c r="AR597" s="7">
        <f t="shared" si="606"/>
        <v>0</v>
      </c>
      <c r="AS597" s="7"/>
      <c r="AT597" s="6">
        <v>0</v>
      </c>
      <c r="AV597" s="7">
        <f t="shared" si="607"/>
        <v>3.0702251249999994</v>
      </c>
      <c r="AW597">
        <v>5.4999999999999997E-3</v>
      </c>
      <c r="AX597">
        <v>5.4999999999999997E-3</v>
      </c>
      <c r="AY597" s="8">
        <v>1</v>
      </c>
      <c r="AZ597" s="55">
        <f t="shared" si="608"/>
        <v>0</v>
      </c>
      <c r="BA597" s="4">
        <f t="shared" si="609"/>
        <v>0.58245000000000002</v>
      </c>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DM597" s="4">
        <f t="shared" si="610"/>
        <v>0</v>
      </c>
      <c r="EF597">
        <v>150</v>
      </c>
      <c r="EG597">
        <v>1500</v>
      </c>
      <c r="EH597">
        <v>7.5</v>
      </c>
      <c r="EI597" s="8">
        <v>0.9</v>
      </c>
      <c r="EJ597">
        <v>2</v>
      </c>
      <c r="EK597">
        <v>65</v>
      </c>
      <c r="EL597" s="10">
        <f t="shared" si="623"/>
        <v>748</v>
      </c>
      <c r="EU597" s="4">
        <f>ROUNDUP(EG597/EL597+EX597+ER597,2)</f>
        <v>2.0099999999999998</v>
      </c>
      <c r="EV597" s="4"/>
      <c r="EW597" s="4"/>
      <c r="GR597" s="8">
        <v>0.11</v>
      </c>
      <c r="GS597" s="4">
        <f t="shared" si="611"/>
        <v>0.28516950000000002</v>
      </c>
      <c r="GT597" s="9">
        <v>1.2500000000000001E-2</v>
      </c>
      <c r="GU597" s="4">
        <f t="shared" si="622"/>
        <v>3.2405625E-2</v>
      </c>
      <c r="GV597" s="8">
        <v>0.02</v>
      </c>
      <c r="GW597" s="4">
        <f t="shared" si="612"/>
        <v>4.02E-2</v>
      </c>
      <c r="GX597" s="4">
        <f t="shared" si="613"/>
        <v>0.35777512500000003</v>
      </c>
      <c r="GY597" t="s">
        <v>43</v>
      </c>
      <c r="GZ597" t="s">
        <v>87</v>
      </c>
      <c r="HA597">
        <v>650</v>
      </c>
      <c r="HB597">
        <v>450</v>
      </c>
      <c r="HC597">
        <v>330</v>
      </c>
      <c r="HD597">
        <v>500</v>
      </c>
      <c r="HE597">
        <v>50</v>
      </c>
      <c r="HF597" s="4">
        <f t="shared" si="614"/>
        <v>1</v>
      </c>
      <c r="HG597">
        <v>5</v>
      </c>
      <c r="HH597" s="4">
        <f t="shared" si="615"/>
        <v>5</v>
      </c>
      <c r="HI597">
        <v>650</v>
      </c>
      <c r="HJ597" s="4">
        <f t="shared" si="616"/>
        <v>3250</v>
      </c>
      <c r="HM597" s="4">
        <v>2</v>
      </c>
      <c r="HN597" s="10">
        <f t="shared" si="617"/>
        <v>30000</v>
      </c>
      <c r="HO597" s="4">
        <f t="shared" si="618"/>
        <v>0.10833333333333334</v>
      </c>
      <c r="HP597" s="4">
        <v>160</v>
      </c>
      <c r="HV597" s="4">
        <f t="shared" si="624"/>
        <v>0.11</v>
      </c>
      <c r="HW597" s="4"/>
      <c r="HX597">
        <v>4200</v>
      </c>
      <c r="HY597">
        <v>1900</v>
      </c>
      <c r="HZ597">
        <v>1975</v>
      </c>
      <c r="IA597" s="4">
        <f t="shared" si="619"/>
        <v>6</v>
      </c>
      <c r="IB597" s="4">
        <f t="shared" si="620"/>
        <v>4</v>
      </c>
      <c r="IC597" s="4">
        <f t="shared" si="621"/>
        <v>5</v>
      </c>
      <c r="ID597" s="8">
        <v>1</v>
      </c>
      <c r="IE597" s="4">
        <f>ROUNDUP(PRODUCT(IA597:ID597),0)</f>
        <v>120</v>
      </c>
      <c r="IF597" s="4">
        <v>500</v>
      </c>
      <c r="IG597" s="4">
        <f t="shared" si="625"/>
        <v>0.01</v>
      </c>
      <c r="IH597" s="4"/>
    </row>
    <row r="598" spans="1:244">
      <c r="A598">
        <v>583</v>
      </c>
      <c r="B598" t="s">
        <v>468</v>
      </c>
      <c r="C598" t="s">
        <v>2357</v>
      </c>
      <c r="D598" s="28" t="s">
        <v>1430</v>
      </c>
      <c r="E598" s="28" t="s">
        <v>1431</v>
      </c>
      <c r="F598" s="28" t="s">
        <v>2182</v>
      </c>
      <c r="G598" s="27" t="s">
        <v>101</v>
      </c>
      <c r="I598" s="27" t="s">
        <v>121</v>
      </c>
      <c r="J598" s="28">
        <v>21697</v>
      </c>
      <c r="K598" s="27" t="s">
        <v>227</v>
      </c>
      <c r="L598" s="59"/>
      <c r="M598" s="59"/>
      <c r="Q598" s="13" t="s">
        <v>2308</v>
      </c>
      <c r="R598" s="13" t="s">
        <v>1194</v>
      </c>
      <c r="T598" s="5" t="s">
        <v>2251</v>
      </c>
      <c r="U598" s="5"/>
      <c r="V598" s="29" t="s">
        <v>2252</v>
      </c>
      <c r="W598"/>
      <c r="X598"/>
      <c r="Y598"/>
      <c r="Z598"/>
      <c r="AA598" s="51" t="s">
        <v>469</v>
      </c>
      <c r="AB598" s="66">
        <v>105.9</v>
      </c>
      <c r="AC598">
        <v>20</v>
      </c>
      <c r="AD598" t="s">
        <v>2355</v>
      </c>
      <c r="AE598" s="7">
        <f t="shared" si="596"/>
        <v>0.58245000000000002</v>
      </c>
      <c r="AF598" s="7"/>
      <c r="AG598" s="7">
        <f t="shared" si="597"/>
        <v>2.0099999999999998</v>
      </c>
      <c r="AH598" s="7">
        <f t="shared" si="598"/>
        <v>0</v>
      </c>
      <c r="AI598" s="7">
        <f t="shared" si="599"/>
        <v>0</v>
      </c>
      <c r="AJ598" s="7">
        <f t="shared" si="600"/>
        <v>4.02E-2</v>
      </c>
      <c r="AK598" s="7">
        <f t="shared" si="601"/>
        <v>3.2405625E-2</v>
      </c>
      <c r="AL598" s="7">
        <f t="shared" si="602"/>
        <v>0.28516950000000002</v>
      </c>
      <c r="AM598" s="7">
        <f t="shared" si="603"/>
        <v>0.11</v>
      </c>
      <c r="AN598" s="7">
        <f t="shared" si="604"/>
        <v>0.01</v>
      </c>
      <c r="AO598" s="6">
        <v>0</v>
      </c>
      <c r="AP598" s="6"/>
      <c r="AQ598" s="7">
        <f t="shared" si="605"/>
        <v>3.0702251249999994</v>
      </c>
      <c r="AR598" s="7">
        <f t="shared" si="606"/>
        <v>0</v>
      </c>
      <c r="AS598" s="7"/>
      <c r="AT598" s="6">
        <v>0</v>
      </c>
      <c r="AV598" s="7">
        <f t="shared" si="607"/>
        <v>3.0702251249999994</v>
      </c>
      <c r="AW598">
        <v>5.4999999999999997E-3</v>
      </c>
      <c r="AX598">
        <v>5.4999999999999997E-3</v>
      </c>
      <c r="AY598" s="8">
        <v>1</v>
      </c>
      <c r="AZ598" s="55">
        <f t="shared" si="608"/>
        <v>0</v>
      </c>
      <c r="BA598" s="4">
        <f t="shared" si="609"/>
        <v>0.58245000000000002</v>
      </c>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DM598" s="4">
        <f t="shared" si="610"/>
        <v>0</v>
      </c>
      <c r="EF598">
        <v>150</v>
      </c>
      <c r="EG598">
        <v>1500</v>
      </c>
      <c r="EH598">
        <v>7.5</v>
      </c>
      <c r="EI598" s="8">
        <v>0.9</v>
      </c>
      <c r="EJ598">
        <v>2</v>
      </c>
      <c r="EK598">
        <v>65</v>
      </c>
      <c r="EL598" s="10">
        <f t="shared" si="623"/>
        <v>748</v>
      </c>
      <c r="EU598" s="4">
        <f>ROUNDUP(EG598/EL598+EX598+ER598,2)</f>
        <v>2.0099999999999998</v>
      </c>
      <c r="EV598" s="4"/>
      <c r="EW598" s="4"/>
      <c r="GR598" s="8">
        <v>0.11</v>
      </c>
      <c r="GS598" s="4">
        <f t="shared" si="611"/>
        <v>0.28516950000000002</v>
      </c>
      <c r="GT598" s="9">
        <v>1.2500000000000001E-2</v>
      </c>
      <c r="GU598" s="4">
        <f t="shared" si="622"/>
        <v>3.2405625E-2</v>
      </c>
      <c r="GV598" s="8">
        <v>0.02</v>
      </c>
      <c r="GW598" s="4">
        <f t="shared" si="612"/>
        <v>4.02E-2</v>
      </c>
      <c r="GX598" s="4">
        <f t="shared" si="613"/>
        <v>0.35777512500000003</v>
      </c>
      <c r="GY598" t="s">
        <v>43</v>
      </c>
      <c r="GZ598" t="s">
        <v>87</v>
      </c>
      <c r="HA598">
        <v>650</v>
      </c>
      <c r="HB598">
        <v>450</v>
      </c>
      <c r="HC598">
        <v>330</v>
      </c>
      <c r="HD598">
        <v>500</v>
      </c>
      <c r="HE598">
        <v>50</v>
      </c>
      <c r="HF598" s="4">
        <f t="shared" si="614"/>
        <v>1</v>
      </c>
      <c r="HG598">
        <v>5</v>
      </c>
      <c r="HH598" s="4">
        <f t="shared" si="615"/>
        <v>5</v>
      </c>
      <c r="HI598">
        <v>650</v>
      </c>
      <c r="HJ598" s="4">
        <f t="shared" si="616"/>
        <v>3250</v>
      </c>
      <c r="HM598" s="4">
        <v>2</v>
      </c>
      <c r="HN598" s="10">
        <f t="shared" si="617"/>
        <v>30000</v>
      </c>
      <c r="HO598" s="4">
        <f t="shared" si="618"/>
        <v>0.10833333333333334</v>
      </c>
      <c r="HP598" s="4">
        <v>160</v>
      </c>
      <c r="HV598" s="4">
        <f t="shared" si="624"/>
        <v>0.11</v>
      </c>
      <c r="HW598" s="4"/>
      <c r="HX598">
        <v>4200</v>
      </c>
      <c r="HY598">
        <v>1900</v>
      </c>
      <c r="HZ598">
        <v>1975</v>
      </c>
      <c r="IA598" s="4">
        <f t="shared" si="619"/>
        <v>6</v>
      </c>
      <c r="IB598" s="4">
        <f t="shared" si="620"/>
        <v>4</v>
      </c>
      <c r="IC598" s="4">
        <f t="shared" si="621"/>
        <v>5</v>
      </c>
      <c r="ID598" s="8">
        <v>1</v>
      </c>
      <c r="IE598" s="4">
        <f>ROUNDUP(PRODUCT(IA598:ID598),0)</f>
        <v>120</v>
      </c>
      <c r="IF598" s="4">
        <v>500</v>
      </c>
      <c r="IG598" s="4">
        <f t="shared" si="625"/>
        <v>0.01</v>
      </c>
      <c r="IH598" s="4"/>
    </row>
    <row r="599" spans="1:244">
      <c r="A599">
        <v>584</v>
      </c>
      <c r="B599" t="s">
        <v>468</v>
      </c>
      <c r="C599" t="s">
        <v>2358</v>
      </c>
      <c r="D599" s="28" t="s">
        <v>1432</v>
      </c>
      <c r="E599" s="28" t="s">
        <v>1433</v>
      </c>
      <c r="F599" s="28" t="s">
        <v>2182</v>
      </c>
      <c r="G599" s="27" t="s">
        <v>101</v>
      </c>
      <c r="I599" s="27" t="s">
        <v>121</v>
      </c>
      <c r="J599" s="28">
        <v>21697</v>
      </c>
      <c r="K599" s="27" t="s">
        <v>227</v>
      </c>
      <c r="L599" s="59"/>
      <c r="M599" s="59"/>
      <c r="Q599" s="13" t="s">
        <v>2308</v>
      </c>
      <c r="R599" s="13" t="s">
        <v>1194</v>
      </c>
      <c r="T599" s="5" t="s">
        <v>2251</v>
      </c>
      <c r="U599" s="5"/>
      <c r="V599" s="29" t="s">
        <v>2252</v>
      </c>
      <c r="W599"/>
      <c r="X599"/>
      <c r="Y599"/>
      <c r="Z599"/>
      <c r="AA599" s="51" t="s">
        <v>2359</v>
      </c>
      <c r="AB599" s="66">
        <v>176.8</v>
      </c>
      <c r="AC599">
        <v>20</v>
      </c>
      <c r="AD599" t="s">
        <v>2355</v>
      </c>
      <c r="AE599" s="7">
        <f t="shared" si="596"/>
        <v>21.945088000000002</v>
      </c>
      <c r="AF599" s="7"/>
      <c r="AG599" s="7">
        <f t="shared" si="597"/>
        <v>12.24</v>
      </c>
      <c r="AH599" s="7">
        <f t="shared" si="598"/>
        <v>0</v>
      </c>
      <c r="AI599" s="7">
        <f t="shared" si="599"/>
        <v>0</v>
      </c>
      <c r="AJ599" s="7">
        <f t="shared" si="600"/>
        <v>0.24480000000000002</v>
      </c>
      <c r="AK599" s="7">
        <f t="shared" si="601"/>
        <v>0.42731360000000002</v>
      </c>
      <c r="AL599" s="7">
        <f t="shared" si="602"/>
        <v>3.7603596800000001</v>
      </c>
      <c r="AM599" s="7">
        <f t="shared" si="603"/>
        <v>0.44</v>
      </c>
      <c r="AN599" s="7">
        <f t="shared" si="604"/>
        <v>0.3</v>
      </c>
      <c r="AO599" s="6">
        <v>0</v>
      </c>
      <c r="AP599" s="6"/>
      <c r="AQ599" s="7">
        <f t="shared" si="605"/>
        <v>39.357561279999992</v>
      </c>
      <c r="AR599" s="7">
        <f t="shared" si="606"/>
        <v>0</v>
      </c>
      <c r="AS599" s="7"/>
      <c r="AT599" s="6">
        <v>0</v>
      </c>
      <c r="AV599" s="7">
        <f t="shared" si="607"/>
        <v>39.357561279999992</v>
      </c>
      <c r="AW599">
        <v>0.12615999999999999</v>
      </c>
      <c r="AX599">
        <v>0.10815999999999999</v>
      </c>
      <c r="AY599" s="8">
        <v>1</v>
      </c>
      <c r="AZ599" s="55">
        <f t="shared" si="608"/>
        <v>1.8000000000000002E-2</v>
      </c>
      <c r="BA599" s="4">
        <f t="shared" si="609"/>
        <v>21.945088000000002</v>
      </c>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DM599" s="4">
        <f t="shared" si="610"/>
        <v>0</v>
      </c>
      <c r="EF599">
        <v>350</v>
      </c>
      <c r="EG599">
        <v>3500</v>
      </c>
      <c r="EH599">
        <v>7.5</v>
      </c>
      <c r="EI599" s="8">
        <v>0.9</v>
      </c>
      <c r="EJ599">
        <v>1</v>
      </c>
      <c r="EK599">
        <v>85</v>
      </c>
      <c r="EL599" s="10">
        <f t="shared" si="623"/>
        <v>286</v>
      </c>
      <c r="EU599" s="4">
        <f>ROUNDUP(EG599/EL599+EX599+ER599,2)</f>
        <v>12.24</v>
      </c>
      <c r="EV599" s="4"/>
      <c r="EW599" s="4"/>
      <c r="GR599" s="8">
        <v>0.11</v>
      </c>
      <c r="GS599" s="4">
        <f t="shared" si="611"/>
        <v>3.7603596800000001</v>
      </c>
      <c r="GT599" s="9">
        <v>1.2500000000000001E-2</v>
      </c>
      <c r="GU599" s="4">
        <f t="shared" si="622"/>
        <v>0.42731360000000002</v>
      </c>
      <c r="GV599" s="8">
        <v>0.02</v>
      </c>
      <c r="GW599" s="4">
        <f t="shared" si="612"/>
        <v>0.24480000000000002</v>
      </c>
      <c r="GX599" s="4">
        <f t="shared" si="613"/>
        <v>4.43247328</v>
      </c>
      <c r="GY599" t="s">
        <v>130</v>
      </c>
      <c r="GZ599" t="s">
        <v>130</v>
      </c>
      <c r="HA599">
        <v>650</v>
      </c>
      <c r="HB599">
        <v>450</v>
      </c>
      <c r="HC599">
        <v>330</v>
      </c>
      <c r="HD599">
        <v>15</v>
      </c>
      <c r="HE599">
        <v>50</v>
      </c>
      <c r="HF599" s="4">
        <f t="shared" si="614"/>
        <v>4</v>
      </c>
      <c r="HG599">
        <v>5</v>
      </c>
      <c r="HH599" s="4">
        <f t="shared" si="615"/>
        <v>20</v>
      </c>
      <c r="HI599">
        <v>650</v>
      </c>
      <c r="HJ599" s="4">
        <f t="shared" si="616"/>
        <v>13000</v>
      </c>
      <c r="HM599" s="4">
        <v>2</v>
      </c>
      <c r="HN599" s="10">
        <f t="shared" si="617"/>
        <v>30000</v>
      </c>
      <c r="HO599" s="4">
        <f t="shared" si="618"/>
        <v>0.43333333333333335</v>
      </c>
      <c r="HP599" s="4">
        <v>160</v>
      </c>
      <c r="HV599" s="4">
        <f t="shared" si="624"/>
        <v>0.44</v>
      </c>
      <c r="HW599" s="4"/>
      <c r="HX599">
        <v>4200</v>
      </c>
      <c r="HY599">
        <v>1900</v>
      </c>
      <c r="HZ599">
        <v>1975</v>
      </c>
      <c r="IA599" s="4">
        <f t="shared" si="619"/>
        <v>6</v>
      </c>
      <c r="IB599" s="4">
        <f t="shared" si="620"/>
        <v>4</v>
      </c>
      <c r="IC599" s="4">
        <f t="shared" si="621"/>
        <v>5</v>
      </c>
      <c r="ID599" s="8">
        <v>0.95</v>
      </c>
      <c r="IE599" s="4">
        <f>ROUNDUP(PRODUCT(IA599:ID599),0)</f>
        <v>114</v>
      </c>
      <c r="IF599" s="4">
        <v>500</v>
      </c>
      <c r="IG599" s="4">
        <f t="shared" si="625"/>
        <v>0.3</v>
      </c>
      <c r="IH599" s="4"/>
    </row>
    <row r="600" spans="1:244">
      <c r="A600">
        <v>585</v>
      </c>
      <c r="B600" t="s">
        <v>468</v>
      </c>
      <c r="C600" t="s">
        <v>2360</v>
      </c>
      <c r="D600" s="28" t="s">
        <v>1434</v>
      </c>
      <c r="E600" s="28" t="s">
        <v>1435</v>
      </c>
      <c r="F600" s="28" t="s">
        <v>2182</v>
      </c>
      <c r="G600" s="27" t="s">
        <v>101</v>
      </c>
      <c r="I600" s="27" t="s">
        <v>121</v>
      </c>
      <c r="J600" s="28">
        <v>21697</v>
      </c>
      <c r="K600" s="27" t="s">
        <v>227</v>
      </c>
      <c r="L600" s="59"/>
      <c r="M600" s="59"/>
      <c r="Q600" s="13" t="s">
        <v>2308</v>
      </c>
      <c r="R600" s="13" t="s">
        <v>1194</v>
      </c>
      <c r="T600" s="5" t="s">
        <v>2251</v>
      </c>
      <c r="U600" s="5"/>
      <c r="V600" s="29" t="s">
        <v>2252</v>
      </c>
      <c r="W600"/>
      <c r="X600"/>
      <c r="Y600"/>
      <c r="Z600"/>
      <c r="AA600" s="51" t="s">
        <v>2359</v>
      </c>
      <c r="AB600" s="66">
        <v>176.8</v>
      </c>
      <c r="AC600">
        <v>20</v>
      </c>
      <c r="AD600" t="s">
        <v>2355</v>
      </c>
      <c r="AE600" s="7">
        <f t="shared" si="596"/>
        <v>23.470208000000003</v>
      </c>
      <c r="AF600" s="7"/>
      <c r="AG600" s="7">
        <f t="shared" si="597"/>
        <v>12.24</v>
      </c>
      <c r="AH600" s="7">
        <f t="shared" si="598"/>
        <v>0</v>
      </c>
      <c r="AI600" s="7">
        <f t="shared" si="599"/>
        <v>0</v>
      </c>
      <c r="AJ600" s="7">
        <f t="shared" si="600"/>
        <v>0.24480000000000002</v>
      </c>
      <c r="AK600" s="7">
        <f t="shared" si="601"/>
        <v>0.44637760000000004</v>
      </c>
      <c r="AL600" s="7">
        <f t="shared" si="602"/>
        <v>3.9281228800000001</v>
      </c>
      <c r="AM600" s="7">
        <f t="shared" si="603"/>
        <v>0.44</v>
      </c>
      <c r="AN600" s="7">
        <f t="shared" si="604"/>
        <v>0.3</v>
      </c>
      <c r="AO600" s="6">
        <v>0</v>
      </c>
      <c r="AP600" s="6"/>
      <c r="AQ600" s="7">
        <f t="shared" si="605"/>
        <v>41.069508479999996</v>
      </c>
      <c r="AR600" s="7">
        <f t="shared" si="606"/>
        <v>0</v>
      </c>
      <c r="AS600" s="7"/>
      <c r="AT600" s="6">
        <v>0</v>
      </c>
      <c r="AV600" s="7">
        <f t="shared" si="607"/>
        <v>41.069508479999996</v>
      </c>
      <c r="AW600">
        <v>0.13456000000000001</v>
      </c>
      <c r="AX600">
        <v>0.11856</v>
      </c>
      <c r="AY600" s="8">
        <v>1</v>
      </c>
      <c r="AZ600" s="55">
        <f t="shared" si="608"/>
        <v>1.6000000000000014E-2</v>
      </c>
      <c r="BA600" s="4">
        <f t="shared" si="609"/>
        <v>23.470208000000003</v>
      </c>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DM600" s="4">
        <f t="shared" si="610"/>
        <v>0</v>
      </c>
      <c r="EF600">
        <v>350</v>
      </c>
      <c r="EG600">
        <v>3500</v>
      </c>
      <c r="EH600">
        <v>7.5</v>
      </c>
      <c r="EI600" s="8">
        <v>0.9</v>
      </c>
      <c r="EJ600">
        <v>1</v>
      </c>
      <c r="EK600">
        <v>85</v>
      </c>
      <c r="EL600" s="10">
        <f t="shared" si="623"/>
        <v>286</v>
      </c>
      <c r="EU600" s="4">
        <f>ROUNDUP(EG600/EL600+EX600+ER600,2)</f>
        <v>12.24</v>
      </c>
      <c r="EV600" s="4"/>
      <c r="EW600" s="4"/>
      <c r="GR600" s="8">
        <v>0.11</v>
      </c>
      <c r="GS600" s="4">
        <f t="shared" si="611"/>
        <v>3.9281228800000001</v>
      </c>
      <c r="GT600" s="9">
        <v>1.2500000000000001E-2</v>
      </c>
      <c r="GU600" s="4">
        <f t="shared" si="622"/>
        <v>0.44637760000000004</v>
      </c>
      <c r="GV600" s="8">
        <v>0.02</v>
      </c>
      <c r="GW600" s="4">
        <f t="shared" si="612"/>
        <v>0.24480000000000002</v>
      </c>
      <c r="GX600" s="4">
        <f t="shared" si="613"/>
        <v>4.6193004799999997</v>
      </c>
      <c r="GY600" t="s">
        <v>130</v>
      </c>
      <c r="GZ600" t="s">
        <v>130</v>
      </c>
      <c r="HA600">
        <v>650</v>
      </c>
      <c r="HB600">
        <v>450</v>
      </c>
      <c r="HC600">
        <v>330</v>
      </c>
      <c r="HD600">
        <v>15</v>
      </c>
      <c r="HE600">
        <v>50</v>
      </c>
      <c r="HF600" s="4">
        <f t="shared" si="614"/>
        <v>4</v>
      </c>
      <c r="HG600">
        <v>5</v>
      </c>
      <c r="HH600" s="4">
        <f t="shared" si="615"/>
        <v>20</v>
      </c>
      <c r="HI600">
        <v>650</v>
      </c>
      <c r="HJ600" s="4">
        <f t="shared" si="616"/>
        <v>13000</v>
      </c>
      <c r="HM600" s="4">
        <v>2</v>
      </c>
      <c r="HN600" s="10">
        <f t="shared" si="617"/>
        <v>30000</v>
      </c>
      <c r="HO600" s="4">
        <f t="shared" si="618"/>
        <v>0.43333333333333335</v>
      </c>
      <c r="HP600" s="4">
        <v>160</v>
      </c>
      <c r="HV600" s="4">
        <f t="shared" si="624"/>
        <v>0.44</v>
      </c>
      <c r="HW600" s="4"/>
      <c r="HX600">
        <v>4200</v>
      </c>
      <c r="HY600">
        <v>1900</v>
      </c>
      <c r="HZ600">
        <v>1975</v>
      </c>
      <c r="IA600" s="4">
        <f t="shared" si="619"/>
        <v>6</v>
      </c>
      <c r="IB600" s="4">
        <f t="shared" si="620"/>
        <v>4</v>
      </c>
      <c r="IC600" s="4">
        <f t="shared" si="621"/>
        <v>5</v>
      </c>
      <c r="ID600" s="8">
        <v>0.95</v>
      </c>
      <c r="IE600" s="4">
        <f>ROUNDUP(PRODUCT(IA600:ID600),0)</f>
        <v>114</v>
      </c>
      <c r="IF600" s="4">
        <v>500</v>
      </c>
      <c r="IG600" s="4">
        <f t="shared" si="625"/>
        <v>0.3</v>
      </c>
      <c r="IH600" s="4"/>
    </row>
    <row r="601" spans="1:244">
      <c r="A601">
        <v>586</v>
      </c>
      <c r="B601" t="s">
        <v>468</v>
      </c>
      <c r="C601" t="s">
        <v>2361</v>
      </c>
      <c r="D601" s="28" t="s">
        <v>1436</v>
      </c>
      <c r="E601" s="28" t="s">
        <v>1437</v>
      </c>
      <c r="F601" s="28" t="s">
        <v>2182</v>
      </c>
      <c r="G601" s="27" t="s">
        <v>101</v>
      </c>
      <c r="I601" s="27" t="s">
        <v>121</v>
      </c>
      <c r="J601" s="28">
        <v>21697</v>
      </c>
      <c r="K601" s="27" t="s">
        <v>227</v>
      </c>
      <c r="L601" s="59"/>
      <c r="M601" s="59"/>
      <c r="Q601" s="13" t="s">
        <v>2308</v>
      </c>
      <c r="R601" s="13" t="s">
        <v>1194</v>
      </c>
      <c r="T601" s="5" t="s">
        <v>2251</v>
      </c>
      <c r="U601" s="5"/>
      <c r="V601" s="29" t="s">
        <v>2252</v>
      </c>
      <c r="W601"/>
      <c r="X601"/>
      <c r="Y601"/>
      <c r="Z601"/>
      <c r="AA601" s="51" t="s">
        <v>2356</v>
      </c>
      <c r="AB601" s="66">
        <v>105.9</v>
      </c>
      <c r="AC601">
        <v>20</v>
      </c>
      <c r="AD601" t="s">
        <v>2355</v>
      </c>
      <c r="AE601" s="7">
        <f t="shared" si="596"/>
        <v>2.2133099999999999</v>
      </c>
      <c r="AF601" s="7"/>
      <c r="AG601" s="7">
        <f t="shared" si="597"/>
        <v>2.1613832853025938</v>
      </c>
      <c r="AH601" s="7">
        <f t="shared" si="598"/>
        <v>0</v>
      </c>
      <c r="AI601" s="7">
        <f t="shared" si="599"/>
        <v>0</v>
      </c>
      <c r="AJ601" s="7">
        <f t="shared" si="600"/>
        <v>4.3227665706051875E-2</v>
      </c>
      <c r="AK601" s="7">
        <f t="shared" si="601"/>
        <v>5.4683666066282423E-2</v>
      </c>
      <c r="AL601" s="7">
        <f t="shared" si="602"/>
        <v>0.48121626138328533</v>
      </c>
      <c r="AM601" s="7">
        <f t="shared" si="603"/>
        <v>0.11</v>
      </c>
      <c r="AN601" s="7">
        <f t="shared" si="604"/>
        <v>0.05</v>
      </c>
      <c r="AO601" s="6">
        <v>0</v>
      </c>
      <c r="AP601" s="6"/>
      <c r="AQ601" s="7">
        <f t="shared" si="605"/>
        <v>5.1138208784582142</v>
      </c>
      <c r="AR601" s="7">
        <f t="shared" si="606"/>
        <v>0</v>
      </c>
      <c r="AS601" s="7"/>
      <c r="AT601" s="6">
        <v>0</v>
      </c>
      <c r="AV601" s="7">
        <f t="shared" si="607"/>
        <v>5.1138208784582142</v>
      </c>
      <c r="AW601">
        <v>2.0899999999999998E-2</v>
      </c>
      <c r="AX601">
        <v>2.0899999999999998E-2</v>
      </c>
      <c r="AY601" s="8">
        <v>1</v>
      </c>
      <c r="AZ601" s="55">
        <f t="shared" si="608"/>
        <v>0</v>
      </c>
      <c r="BA601" s="4">
        <f t="shared" si="609"/>
        <v>2.2133099999999999</v>
      </c>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DM601" s="4">
        <f t="shared" si="610"/>
        <v>0</v>
      </c>
      <c r="EF601">
        <v>150</v>
      </c>
      <c r="EG601">
        <v>1500</v>
      </c>
      <c r="EH601">
        <v>7.5</v>
      </c>
      <c r="EI601" s="8">
        <v>0.9</v>
      </c>
      <c r="EJ601">
        <v>2</v>
      </c>
      <c r="EK601">
        <v>70</v>
      </c>
      <c r="EL601" s="10">
        <f t="shared" si="623"/>
        <v>694</v>
      </c>
      <c r="EU601" s="4">
        <f>EG601/EL601+EX601+ER601</f>
        <v>2.1613832853025938</v>
      </c>
      <c r="EV601" s="4"/>
      <c r="EW601" s="4"/>
      <c r="GR601" s="8">
        <v>0.11</v>
      </c>
      <c r="GS601" s="4">
        <f t="shared" si="611"/>
        <v>0.48121626138328533</v>
      </c>
      <c r="GT601" s="9">
        <v>1.2500000000000001E-2</v>
      </c>
      <c r="GU601" s="4">
        <f t="shared" si="622"/>
        <v>5.4683666066282423E-2</v>
      </c>
      <c r="GV601" s="8">
        <v>0.02</v>
      </c>
      <c r="GW601" s="4">
        <f t="shared" si="612"/>
        <v>4.3227665706051875E-2</v>
      </c>
      <c r="GX601" s="4">
        <f t="shared" si="613"/>
        <v>0.57912759315561957</v>
      </c>
      <c r="GY601" t="s">
        <v>43</v>
      </c>
      <c r="GZ601" t="s">
        <v>87</v>
      </c>
      <c r="HA601">
        <v>650</v>
      </c>
      <c r="HB601">
        <v>450</v>
      </c>
      <c r="HC601">
        <v>330</v>
      </c>
      <c r="HD601">
        <v>100</v>
      </c>
      <c r="HE601">
        <v>50</v>
      </c>
      <c r="HF601" s="4">
        <f t="shared" si="614"/>
        <v>1</v>
      </c>
      <c r="HG601">
        <v>5</v>
      </c>
      <c r="HH601" s="4">
        <f t="shared" si="615"/>
        <v>5</v>
      </c>
      <c r="HI601">
        <v>650</v>
      </c>
      <c r="HJ601" s="4">
        <f t="shared" si="616"/>
        <v>3250</v>
      </c>
      <c r="HM601" s="4">
        <v>2</v>
      </c>
      <c r="HN601" s="10">
        <f t="shared" si="617"/>
        <v>30000</v>
      </c>
      <c r="HO601" s="4">
        <f t="shared" si="618"/>
        <v>0.10833333333333334</v>
      </c>
      <c r="HP601" s="4">
        <v>160</v>
      </c>
      <c r="HV601" s="4">
        <f t="shared" si="624"/>
        <v>0.11</v>
      </c>
      <c r="HW601" s="4"/>
      <c r="HX601">
        <v>4200</v>
      </c>
      <c r="HY601">
        <v>1900</v>
      </c>
      <c r="HZ601">
        <v>1975</v>
      </c>
      <c r="IA601" s="4">
        <f t="shared" si="619"/>
        <v>6</v>
      </c>
      <c r="IB601" s="4">
        <f t="shared" si="620"/>
        <v>4</v>
      </c>
      <c r="IC601" s="4">
        <f t="shared" si="621"/>
        <v>5</v>
      </c>
      <c r="ID601" s="8">
        <v>0.95</v>
      </c>
      <c r="IE601" s="4">
        <f>ROUNDUP(PRODUCT(IA601:ID601),0)</f>
        <v>114</v>
      </c>
      <c r="IF601" s="4">
        <v>500</v>
      </c>
      <c r="IG601" s="4">
        <f t="shared" si="625"/>
        <v>0.05</v>
      </c>
      <c r="IH601" s="4"/>
    </row>
    <row r="602" spans="1:244">
      <c r="A602">
        <v>587</v>
      </c>
      <c r="B602" t="s">
        <v>468</v>
      </c>
      <c r="C602" t="s">
        <v>2362</v>
      </c>
      <c r="D602" s="28" t="s">
        <v>1438</v>
      </c>
      <c r="E602" s="28" t="s">
        <v>1439</v>
      </c>
      <c r="F602" s="28" t="s">
        <v>2182</v>
      </c>
      <c r="G602" s="27" t="s">
        <v>101</v>
      </c>
      <c r="I602" s="27" t="s">
        <v>121</v>
      </c>
      <c r="J602" s="28">
        <v>21677</v>
      </c>
      <c r="K602" s="27" t="s">
        <v>228</v>
      </c>
      <c r="L602" s="5"/>
      <c r="M602" s="5"/>
      <c r="N602" s="5"/>
      <c r="O602" s="5"/>
      <c r="Q602" s="13" t="s">
        <v>2308</v>
      </c>
      <c r="R602" s="13" t="s">
        <v>1194</v>
      </c>
      <c r="T602" s="5" t="s">
        <v>2251</v>
      </c>
      <c r="U602" s="5"/>
      <c r="V602" s="29" t="s">
        <v>2252</v>
      </c>
      <c r="W602" s="5"/>
      <c r="X602" s="5"/>
      <c r="Y602" s="5"/>
      <c r="Z602" s="5"/>
      <c r="AA602" s="51" t="s">
        <v>440</v>
      </c>
      <c r="AB602" s="66">
        <v>101.39</v>
      </c>
      <c r="AC602">
        <v>20</v>
      </c>
      <c r="AD602" t="s">
        <v>935</v>
      </c>
      <c r="AE602" s="7">
        <f t="shared" si="596"/>
        <v>12.977920000000001</v>
      </c>
      <c r="AF602" s="7"/>
      <c r="AG602" s="7">
        <f t="shared" si="597"/>
        <v>24.602923976608189</v>
      </c>
      <c r="AH602" s="7">
        <f t="shared" si="598"/>
        <v>24.857574355004097</v>
      </c>
      <c r="AI602" s="7">
        <f t="shared" si="599"/>
        <v>0.30821967943755124</v>
      </c>
      <c r="AJ602" s="7">
        <f t="shared" si="600"/>
        <v>0.19005847953216379</v>
      </c>
      <c r="AK602" s="7">
        <f t="shared" si="601"/>
        <v>0.28101054970760242</v>
      </c>
      <c r="AL602" s="7">
        <f t="shared" si="602"/>
        <v>2.2480843976608194</v>
      </c>
      <c r="AM602" s="7">
        <f t="shared" si="603"/>
        <v>6.5</v>
      </c>
      <c r="AN602" s="7">
        <f t="shared" si="604"/>
        <v>2.3809523809523809</v>
      </c>
      <c r="AO602" s="6">
        <v>0</v>
      </c>
      <c r="AP602" s="6"/>
      <c r="AQ602" s="7">
        <f t="shared" si="605"/>
        <v>74.346743818902809</v>
      </c>
      <c r="AR602" s="7">
        <f t="shared" si="606"/>
        <v>0</v>
      </c>
      <c r="AS602" s="7"/>
      <c r="AT602" s="6">
        <v>0</v>
      </c>
      <c r="AV602" s="7">
        <f t="shared" si="607"/>
        <v>74.346743818902809</v>
      </c>
      <c r="AW602">
        <v>0.128</v>
      </c>
      <c r="AX602">
        <v>0.128</v>
      </c>
      <c r="AY602" s="8">
        <v>1</v>
      </c>
      <c r="AZ602" s="55">
        <f t="shared" si="608"/>
        <v>0</v>
      </c>
      <c r="BA602" s="4">
        <f t="shared" si="609"/>
        <v>12.977920000000001</v>
      </c>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F602">
        <v>1</v>
      </c>
      <c r="CG602">
        <v>0.2</v>
      </c>
      <c r="CH602" s="45">
        <f>CF602*CG602</f>
        <v>0.2</v>
      </c>
      <c r="CJ602" s="300" t="s">
        <v>2363</v>
      </c>
      <c r="CK602">
        <v>1</v>
      </c>
      <c r="CL602" s="4">
        <v>24.657574355004098</v>
      </c>
      <c r="CM602" s="4">
        <f>CK602*CL602</f>
        <v>24.657574355004098</v>
      </c>
      <c r="DM602" s="4">
        <f t="shared" si="610"/>
        <v>24.857574355004097</v>
      </c>
      <c r="DN602" s="9">
        <v>1.2500000000000001E-2</v>
      </c>
      <c r="DO602" s="4">
        <f>CM602*DN602</f>
        <v>0.30821967943755124</v>
      </c>
      <c r="DP602" s="4">
        <f>DM602+DO602</f>
        <v>25.16579403444165</v>
      </c>
      <c r="EF602">
        <v>650</v>
      </c>
      <c r="EG602">
        <v>6500</v>
      </c>
      <c r="EH602">
        <v>8</v>
      </c>
      <c r="EI602" s="8">
        <v>0.95</v>
      </c>
      <c r="EJ602">
        <v>2</v>
      </c>
      <c r="EK602">
        <v>80</v>
      </c>
      <c r="EL602" s="10">
        <f>3600/EK602*EH602*EJ602*EI602</f>
        <v>684</v>
      </c>
      <c r="EU602" s="4">
        <f>EG602/EL602+ER602+EX602</f>
        <v>24.602923976608189</v>
      </c>
      <c r="EV602" s="4"/>
      <c r="EW602" s="4"/>
      <c r="EX602">
        <v>15.1</v>
      </c>
      <c r="FA602" s="4">
        <f>EX602+EZ602+EY602</f>
        <v>15.1</v>
      </c>
      <c r="FB602" s="4"/>
      <c r="FC602" s="4"/>
      <c r="FD602" s="4"/>
      <c r="FE602" s="4"/>
      <c r="FF602" s="4"/>
      <c r="FG602" s="4"/>
      <c r="FH602" s="4"/>
      <c r="FI602" s="4"/>
      <c r="FJ602" s="4"/>
      <c r="FK602" s="4"/>
      <c r="FL602" s="4"/>
      <c r="FM602" s="4"/>
      <c r="FN602" s="4"/>
      <c r="FO602" s="4"/>
      <c r="FP602" s="4"/>
      <c r="FQ602" s="4"/>
      <c r="FR602" s="4"/>
      <c r="FS602" s="4"/>
      <c r="FT602" s="4"/>
      <c r="FU602" s="4"/>
      <c r="FV602" s="4"/>
      <c r="FW602" s="4"/>
      <c r="FX602" s="4"/>
      <c r="FY602" s="4"/>
      <c r="FZ602" s="4"/>
      <c r="GA602" s="4"/>
      <c r="GB602" s="4"/>
      <c r="GC602" s="4"/>
      <c r="GD602" s="4"/>
      <c r="GE602" s="4"/>
      <c r="GF602" s="4"/>
      <c r="GG602" s="4"/>
      <c r="GH602" s="4"/>
      <c r="GI602" s="4"/>
      <c r="GJ602" s="4"/>
      <c r="GK602" s="4"/>
      <c r="GL602" s="4"/>
      <c r="GM602" s="4"/>
      <c r="GN602" s="4"/>
      <c r="GO602" s="4"/>
      <c r="GP602" s="4"/>
      <c r="GQ602" s="4"/>
      <c r="GR602" s="8">
        <v>0.1</v>
      </c>
      <c r="GS602" s="4">
        <f>GR602*(BA602+EU602-FA602)</f>
        <v>2.2480843976608194</v>
      </c>
      <c r="GT602" s="9">
        <v>1.2500000000000001E-2</v>
      </c>
      <c r="GU602" s="4">
        <f>GT602*(BA602+EU602-FA602)</f>
        <v>0.28101054970760242</v>
      </c>
      <c r="GV602" s="8">
        <v>0.02</v>
      </c>
      <c r="GW602" s="4">
        <f>(GV602*(EU602-FA602))</f>
        <v>0.19005847953216379</v>
      </c>
      <c r="GX602" s="4">
        <f t="shared" si="613"/>
        <v>2.7191534269005855</v>
      </c>
      <c r="GY602" t="s">
        <v>130</v>
      </c>
      <c r="GZ602" t="s">
        <v>130</v>
      </c>
      <c r="HA602">
        <v>1350</v>
      </c>
      <c r="HB602">
        <v>950</v>
      </c>
      <c r="HC602">
        <v>2400</v>
      </c>
      <c r="HD602">
        <v>42</v>
      </c>
      <c r="HE602">
        <v>50</v>
      </c>
      <c r="HF602" s="4">
        <f t="shared" si="614"/>
        <v>2</v>
      </c>
      <c r="HG602">
        <v>5</v>
      </c>
      <c r="HH602" s="4">
        <f t="shared" si="615"/>
        <v>10</v>
      </c>
      <c r="HI602">
        <v>19500</v>
      </c>
      <c r="HJ602" s="4">
        <f t="shared" si="616"/>
        <v>195000</v>
      </c>
      <c r="HM602" s="4">
        <v>2</v>
      </c>
      <c r="HN602" s="10">
        <f t="shared" si="617"/>
        <v>30000</v>
      </c>
      <c r="HO602" s="4">
        <f t="shared" si="618"/>
        <v>6.5</v>
      </c>
      <c r="HP602" s="4">
        <v>160</v>
      </c>
      <c r="HV602" s="4">
        <f>HO602+HT602</f>
        <v>6.5</v>
      </c>
      <c r="HW602" s="4"/>
      <c r="HX602">
        <v>5016</v>
      </c>
      <c r="HY602">
        <v>1976</v>
      </c>
      <c r="HZ602">
        <v>2280</v>
      </c>
      <c r="IA602" s="4">
        <f t="shared" si="619"/>
        <v>3</v>
      </c>
      <c r="IB602" s="4">
        <f t="shared" si="620"/>
        <v>2</v>
      </c>
      <c r="IC602" s="4">
        <f t="shared" si="621"/>
        <v>0</v>
      </c>
      <c r="ID602" s="8">
        <v>1</v>
      </c>
      <c r="IE602" s="4">
        <f>ROUNDUP(PRODUCT(IA602:ID602),0)+5</f>
        <v>5</v>
      </c>
      <c r="IF602" s="4">
        <v>500</v>
      </c>
      <c r="IG602" s="4">
        <f>IF602/(IE602*HD602)</f>
        <v>2.3809523809523809</v>
      </c>
      <c r="IH602" s="4"/>
    </row>
    <row r="603" spans="1:244">
      <c r="A603">
        <v>588</v>
      </c>
      <c r="B603" t="s">
        <v>468</v>
      </c>
      <c r="C603" t="s">
        <v>2364</v>
      </c>
      <c r="D603" s="28" t="s">
        <v>1440</v>
      </c>
      <c r="E603" s="28" t="s">
        <v>1441</v>
      </c>
      <c r="F603" s="28" t="s">
        <v>2182</v>
      </c>
      <c r="G603" s="27" t="s">
        <v>101</v>
      </c>
      <c r="I603" s="27" t="s">
        <v>121</v>
      </c>
      <c r="J603" s="28">
        <v>21677</v>
      </c>
      <c r="K603" s="27" t="s">
        <v>228</v>
      </c>
      <c r="L603" s="5"/>
      <c r="M603" s="5"/>
      <c r="Q603" s="13" t="s">
        <v>2308</v>
      </c>
      <c r="R603" s="13" t="s">
        <v>1194</v>
      </c>
      <c r="T603" s="5" t="s">
        <v>2251</v>
      </c>
      <c r="U603" s="5"/>
      <c r="V603" s="29" t="s">
        <v>2252</v>
      </c>
      <c r="W603" s="5"/>
      <c r="X603" s="5"/>
      <c r="Y603" s="5"/>
      <c r="Z603" s="5"/>
      <c r="AA603" s="51" t="s">
        <v>2351</v>
      </c>
      <c r="AB603" s="66">
        <v>157.63999999999999</v>
      </c>
      <c r="AC603">
        <v>20</v>
      </c>
      <c r="AD603" t="s">
        <v>935</v>
      </c>
      <c r="AE603" s="7">
        <f t="shared" si="596"/>
        <v>14.185239999999999</v>
      </c>
      <c r="AF603" s="7"/>
      <c r="AG603" s="7">
        <f t="shared" si="597"/>
        <v>12.34</v>
      </c>
      <c r="AH603" s="7">
        <f t="shared" si="598"/>
        <v>3.9400000000000004</v>
      </c>
      <c r="AI603" s="7">
        <f t="shared" si="599"/>
        <v>4.9250000000000009E-2</v>
      </c>
      <c r="AJ603" s="7">
        <f t="shared" si="600"/>
        <v>0.24679999999999999</v>
      </c>
      <c r="AK603" s="7">
        <f t="shared" si="601"/>
        <v>0.33156549999999996</v>
      </c>
      <c r="AL603" s="7">
        <f t="shared" si="602"/>
        <v>2.6525239999999997</v>
      </c>
      <c r="AM603" s="7">
        <f t="shared" si="603"/>
        <v>2.7699999999999996</v>
      </c>
      <c r="AN603" s="7">
        <f t="shared" si="604"/>
        <v>0.25</v>
      </c>
      <c r="AO603" s="6">
        <v>0</v>
      </c>
      <c r="AP603" s="6"/>
      <c r="AQ603" s="7">
        <f t="shared" si="605"/>
        <v>36.765379499999995</v>
      </c>
      <c r="AR603" s="7">
        <f t="shared" si="606"/>
        <v>0</v>
      </c>
      <c r="AS603" s="7"/>
      <c r="AT603" s="6">
        <v>0</v>
      </c>
      <c r="AV603" s="7">
        <f t="shared" si="607"/>
        <v>36.765379499999995</v>
      </c>
      <c r="AW603">
        <v>9.0999999999999998E-2</v>
      </c>
      <c r="AX603">
        <v>8.3000000000000004E-2</v>
      </c>
      <c r="AY603" s="8">
        <v>1</v>
      </c>
      <c r="AZ603" s="55">
        <f t="shared" si="608"/>
        <v>7.9999999999999932E-3</v>
      </c>
      <c r="BA603" s="4">
        <f t="shared" si="609"/>
        <v>14.185239999999999</v>
      </c>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F603">
        <v>1</v>
      </c>
      <c r="CG603">
        <v>0.2</v>
      </c>
      <c r="CH603" s="45">
        <f>CF603*CG603</f>
        <v>0.2</v>
      </c>
      <c r="CJ603" t="s">
        <v>2365</v>
      </c>
      <c r="CK603">
        <v>2</v>
      </c>
      <c r="CL603">
        <v>1.87</v>
      </c>
      <c r="CM603">
        <f>CK603*CL603</f>
        <v>3.74</v>
      </c>
      <c r="DM603" s="4">
        <f t="shared" si="610"/>
        <v>3.9400000000000004</v>
      </c>
      <c r="DN603" s="9">
        <v>1.2500000000000001E-2</v>
      </c>
      <c r="DO603" s="4">
        <f>DM603*DN603</f>
        <v>4.9250000000000009E-2</v>
      </c>
      <c r="DP603" s="4">
        <f>DM603+DO603</f>
        <v>3.9892500000000002</v>
      </c>
      <c r="EF603">
        <v>450</v>
      </c>
      <c r="EG603">
        <v>4500</v>
      </c>
      <c r="EH603">
        <v>8</v>
      </c>
      <c r="EI603" s="8">
        <v>0.95</v>
      </c>
      <c r="EJ603">
        <v>1</v>
      </c>
      <c r="EK603">
        <v>75</v>
      </c>
      <c r="EL603" s="10">
        <f>3600/EK603*EH603*EJ603*EI603</f>
        <v>364.79999999999995</v>
      </c>
      <c r="EU603" s="4">
        <f>ROUNDUP(EG603/EL603+EX603+ER603,2)</f>
        <v>12.34</v>
      </c>
      <c r="EV603" s="4"/>
      <c r="EW603" s="4"/>
      <c r="GR603" s="8">
        <v>0.1</v>
      </c>
      <c r="GS603" s="4">
        <f>GR603*(BA603+EU603)</f>
        <v>2.6525239999999997</v>
      </c>
      <c r="GT603" s="9">
        <v>1.2500000000000001E-2</v>
      </c>
      <c r="GU603" s="4">
        <f>GT603*(BA603+EU603)</f>
        <v>0.33156549999999996</v>
      </c>
      <c r="GV603" s="8">
        <v>0.02</v>
      </c>
      <c r="GW603" s="4">
        <f>(GV603*EU603)</f>
        <v>0.24679999999999999</v>
      </c>
      <c r="GX603" s="4">
        <f t="shared" si="613"/>
        <v>3.2308894999999995</v>
      </c>
      <c r="GY603" t="s">
        <v>130</v>
      </c>
      <c r="GZ603" t="s">
        <v>130</v>
      </c>
      <c r="HA603">
        <v>805</v>
      </c>
      <c r="HB603">
        <v>675</v>
      </c>
      <c r="HC603">
        <v>405</v>
      </c>
      <c r="HD603">
        <v>40</v>
      </c>
      <c r="HE603">
        <v>50</v>
      </c>
      <c r="HF603" s="4">
        <f t="shared" si="614"/>
        <v>2</v>
      </c>
      <c r="HG603">
        <v>5</v>
      </c>
      <c r="HH603" s="4">
        <f t="shared" si="615"/>
        <v>10</v>
      </c>
      <c r="HI603">
        <v>1100</v>
      </c>
      <c r="HJ603" s="4">
        <f t="shared" si="616"/>
        <v>11000</v>
      </c>
      <c r="HM603" s="4">
        <v>2</v>
      </c>
      <c r="HN603" s="10">
        <f t="shared" si="617"/>
        <v>30000</v>
      </c>
      <c r="HO603" s="4">
        <f t="shared" si="618"/>
        <v>0.36666666666666664</v>
      </c>
      <c r="HP603" s="4">
        <v>160</v>
      </c>
      <c r="HR603">
        <v>168</v>
      </c>
      <c r="HS603">
        <v>70</v>
      </c>
      <c r="HT603" s="4">
        <f>HR603/HS603</f>
        <v>2.4</v>
      </c>
      <c r="HU603" s="4"/>
      <c r="HV603" s="4">
        <f>ROUNDUP(HO603+HT603,2)</f>
        <v>2.7699999999999996</v>
      </c>
      <c r="HW603" s="4"/>
      <c r="HX603">
        <v>5016</v>
      </c>
      <c r="HY603">
        <v>1976</v>
      </c>
      <c r="HZ603">
        <v>2280</v>
      </c>
      <c r="IA603" s="4">
        <f t="shared" si="619"/>
        <v>6</v>
      </c>
      <c r="IB603" s="4">
        <f t="shared" si="620"/>
        <v>2</v>
      </c>
      <c r="IC603" s="4">
        <f t="shared" si="621"/>
        <v>5</v>
      </c>
      <c r="ID603" s="8">
        <v>1</v>
      </c>
      <c r="IE603" s="4">
        <f>ROUNDUP(PRODUCT(IA603:ID603),0)-10</f>
        <v>50</v>
      </c>
      <c r="IF603" s="4">
        <v>500</v>
      </c>
      <c r="IG603" s="4">
        <f>ROUNDUP(IF603/(IE603*HD603),2)</f>
        <v>0.25</v>
      </c>
      <c r="IH603" s="4"/>
    </row>
    <row r="604" spans="1:244">
      <c r="A604">
        <v>589</v>
      </c>
      <c r="B604" t="s">
        <v>468</v>
      </c>
      <c r="C604" t="s">
        <v>2366</v>
      </c>
      <c r="D604" s="28" t="s">
        <v>1442</v>
      </c>
      <c r="E604" s="28" t="s">
        <v>1443</v>
      </c>
      <c r="F604" s="28" t="s">
        <v>2182</v>
      </c>
      <c r="G604" s="27" t="s">
        <v>101</v>
      </c>
      <c r="I604" s="27" t="s">
        <v>121</v>
      </c>
      <c r="J604" s="28">
        <v>21697</v>
      </c>
      <c r="K604" s="27" t="s">
        <v>227</v>
      </c>
      <c r="L604" s="59"/>
      <c r="M604" s="59"/>
      <c r="Q604" s="13" t="s">
        <v>1875</v>
      </c>
      <c r="R604" s="13" t="s">
        <v>1778</v>
      </c>
      <c r="T604" s="5" t="s">
        <v>2251</v>
      </c>
      <c r="U604" s="5"/>
      <c r="V604" s="29" t="s">
        <v>2252</v>
      </c>
      <c r="W604"/>
      <c r="X604"/>
      <c r="Y604"/>
      <c r="Z604"/>
      <c r="AA604" s="51" t="s">
        <v>2367</v>
      </c>
      <c r="AB604" s="66">
        <v>105.53</v>
      </c>
      <c r="AC604">
        <v>20</v>
      </c>
      <c r="AD604" t="s">
        <v>2313</v>
      </c>
      <c r="AE604" s="7">
        <f t="shared" si="596"/>
        <v>90.912390000000002</v>
      </c>
      <c r="AF604" s="7"/>
      <c r="AG604" s="7">
        <f t="shared" si="597"/>
        <v>15.74074074074074</v>
      </c>
      <c r="AH604" s="7">
        <f t="shared" si="598"/>
        <v>0</v>
      </c>
      <c r="AI604" s="7">
        <f t="shared" si="599"/>
        <v>0</v>
      </c>
      <c r="AJ604" s="7">
        <f t="shared" si="600"/>
        <v>0.31481481481481483</v>
      </c>
      <c r="AK604" s="7">
        <f t="shared" si="601"/>
        <v>1.3331641342592595</v>
      </c>
      <c r="AL604" s="7">
        <f t="shared" si="602"/>
        <v>11.731844381481482</v>
      </c>
      <c r="AM604" s="7">
        <f t="shared" si="603"/>
        <v>0.6875</v>
      </c>
      <c r="AN604" s="7">
        <f t="shared" si="604"/>
        <v>0.59</v>
      </c>
      <c r="AO604" s="6">
        <v>0</v>
      </c>
      <c r="AP604" s="6"/>
      <c r="AQ604" s="7">
        <f t="shared" si="605"/>
        <v>121.31045407129631</v>
      </c>
      <c r="AR604" s="7">
        <f t="shared" si="606"/>
        <v>1.213104540712963</v>
      </c>
      <c r="AS604" s="7"/>
      <c r="AT604" s="6">
        <v>0</v>
      </c>
      <c r="AV604" s="7">
        <f t="shared" si="607"/>
        <v>122.52355861200927</v>
      </c>
      <c r="AW604">
        <v>0.86299999999999999</v>
      </c>
      <c r="AX604">
        <v>0.85499999999999998</v>
      </c>
      <c r="AY604" s="8">
        <v>1</v>
      </c>
      <c r="AZ604" s="55">
        <f t="shared" si="608"/>
        <v>8.0000000000000071E-3</v>
      </c>
      <c r="BA604" s="4">
        <f t="shared" si="609"/>
        <v>90.912390000000002</v>
      </c>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DM604" s="4">
        <f t="shared" si="610"/>
        <v>0</v>
      </c>
      <c r="EF604">
        <v>450</v>
      </c>
      <c r="EG604">
        <v>4500</v>
      </c>
      <c r="EH604">
        <v>7.5</v>
      </c>
      <c r="EI604" s="8">
        <v>0.9</v>
      </c>
      <c r="EJ604">
        <v>1</v>
      </c>
      <c r="EK604">
        <v>85</v>
      </c>
      <c r="EL604" s="10">
        <f>3600/EK604*EH604*EJ604*EI604</f>
        <v>285.88235294117646</v>
      </c>
      <c r="EU604" s="4">
        <f>EG604/EL604+EX604+ER604</f>
        <v>15.74074074074074</v>
      </c>
      <c r="EV604" s="4"/>
      <c r="EW604" s="4"/>
      <c r="GR604" s="8">
        <v>0.11</v>
      </c>
      <c r="GS604" s="4">
        <f>GR604*(BA604+EU604)</f>
        <v>11.731844381481482</v>
      </c>
      <c r="GT604" s="9">
        <v>1.2500000000000001E-2</v>
      </c>
      <c r="GU604" s="4">
        <f>GT604*(BA604+EU604)</f>
        <v>1.3331641342592595</v>
      </c>
      <c r="GV604" s="8">
        <v>0.02</v>
      </c>
      <c r="GW604" s="4">
        <f>(GV604*EU604)</f>
        <v>0.31481481481481483</v>
      </c>
      <c r="GX604" s="4">
        <f t="shared" si="613"/>
        <v>13.379823330555556</v>
      </c>
      <c r="GY604" t="s">
        <v>130</v>
      </c>
      <c r="GZ604" t="s">
        <v>130</v>
      </c>
      <c r="HA604">
        <v>810</v>
      </c>
      <c r="HB604">
        <v>568</v>
      </c>
      <c r="HC604">
        <v>425</v>
      </c>
      <c r="HD604">
        <v>15</v>
      </c>
      <c r="HE604">
        <v>40</v>
      </c>
      <c r="HF604" s="4">
        <f t="shared" si="614"/>
        <v>3</v>
      </c>
      <c r="HG604">
        <v>5</v>
      </c>
      <c r="HH604" s="4">
        <f t="shared" si="615"/>
        <v>15</v>
      </c>
      <c r="HI604">
        <v>1100</v>
      </c>
      <c r="HJ604" s="4">
        <f t="shared" si="616"/>
        <v>16500</v>
      </c>
      <c r="HM604" s="4">
        <v>2</v>
      </c>
      <c r="HN604" s="10">
        <f t="shared" si="617"/>
        <v>24000</v>
      </c>
      <c r="HO604" s="4">
        <f t="shared" si="618"/>
        <v>0.6875</v>
      </c>
      <c r="HP604" s="4">
        <v>160</v>
      </c>
      <c r="HV604" s="4">
        <f>HO604+HT604</f>
        <v>0.6875</v>
      </c>
      <c r="HW604" s="4"/>
      <c r="HX604">
        <v>4200</v>
      </c>
      <c r="HY604">
        <v>1900</v>
      </c>
      <c r="HZ604">
        <v>1975</v>
      </c>
      <c r="IA604" s="4">
        <f t="shared" si="619"/>
        <v>5</v>
      </c>
      <c r="IB604" s="4">
        <f t="shared" si="620"/>
        <v>3</v>
      </c>
      <c r="IC604" s="4">
        <f t="shared" si="621"/>
        <v>4</v>
      </c>
      <c r="ID604" s="8">
        <v>0.95</v>
      </c>
      <c r="IE604" s="4">
        <f>ROUNDUP(PRODUCT(IA604:ID604),0)</f>
        <v>57</v>
      </c>
      <c r="IF604" s="4">
        <v>500</v>
      </c>
      <c r="IG604" s="4">
        <f>ROUNDUP(IF604/(IE604*HD604),2)</f>
        <v>0.59</v>
      </c>
      <c r="IH604" s="4"/>
      <c r="II604" s="8">
        <v>0.01</v>
      </c>
      <c r="IJ604" s="62">
        <f>II604*(IG604+HV604+GW604+GU604+GS604+EU604+BA604+DO604)</f>
        <v>1.213104540712963</v>
      </c>
    </row>
    <row r="605" spans="1:244">
      <c r="A605">
        <v>590</v>
      </c>
      <c r="B605" t="s">
        <v>468</v>
      </c>
      <c r="C605" t="s">
        <v>2368</v>
      </c>
      <c r="D605" s="28" t="s">
        <v>1444</v>
      </c>
      <c r="E605" s="28" t="s">
        <v>1445</v>
      </c>
      <c r="F605" s="28" t="s">
        <v>2182</v>
      </c>
      <c r="G605" s="27" t="s">
        <v>101</v>
      </c>
      <c r="I605" s="27" t="s">
        <v>121</v>
      </c>
      <c r="J605" s="28">
        <v>21677</v>
      </c>
      <c r="K605" s="27" t="s">
        <v>228</v>
      </c>
      <c r="L605" s="5"/>
      <c r="M605" s="5"/>
      <c r="Q605" s="13" t="s">
        <v>2308</v>
      </c>
      <c r="R605" s="13" t="s">
        <v>1194</v>
      </c>
      <c r="T605" s="5" t="s">
        <v>2251</v>
      </c>
      <c r="U605" s="5"/>
      <c r="V605" s="29" t="s">
        <v>2252</v>
      </c>
      <c r="W605" s="5" t="s">
        <v>2369</v>
      </c>
      <c r="X605" s="5"/>
      <c r="Y605" s="5"/>
      <c r="Z605" s="5"/>
      <c r="AA605" s="51" t="s">
        <v>2370</v>
      </c>
      <c r="AB605" s="66">
        <v>207.66</v>
      </c>
      <c r="AC605">
        <v>20</v>
      </c>
      <c r="AD605" t="s">
        <v>935</v>
      </c>
      <c r="AE605" s="7">
        <f t="shared" si="596"/>
        <v>37.011139999999997</v>
      </c>
      <c r="AF605" s="7"/>
      <c r="AG605" s="7">
        <f t="shared" si="597"/>
        <v>17.80821917808219</v>
      </c>
      <c r="AH605" s="7">
        <f t="shared" si="598"/>
        <v>0.2</v>
      </c>
      <c r="AI605" s="7">
        <f t="shared" si="599"/>
        <v>0</v>
      </c>
      <c r="AJ605" s="7">
        <f t="shared" si="600"/>
        <v>0.35616438356164382</v>
      </c>
      <c r="AK605" s="7">
        <f t="shared" si="601"/>
        <v>0.68524198972602735</v>
      </c>
      <c r="AL605" s="7">
        <f t="shared" si="602"/>
        <v>5.4819359178082188</v>
      </c>
      <c r="AM605" s="7">
        <f t="shared" si="603"/>
        <v>3.42</v>
      </c>
      <c r="AN605" s="7">
        <f t="shared" si="604"/>
        <v>1.67</v>
      </c>
      <c r="AO605" s="6">
        <v>0</v>
      </c>
      <c r="AP605" s="6"/>
      <c r="AQ605" s="7">
        <f t="shared" si="605"/>
        <v>66.632701469178087</v>
      </c>
      <c r="AR605" s="7">
        <f t="shared" si="606"/>
        <v>0</v>
      </c>
      <c r="AS605" s="7"/>
      <c r="AT605" s="6">
        <v>0</v>
      </c>
      <c r="AV605" s="7">
        <f t="shared" si="607"/>
        <v>66.632701469178087</v>
      </c>
      <c r="AW605">
        <v>0.17900000000000002</v>
      </c>
      <c r="AX605">
        <v>0.17100000000000001</v>
      </c>
      <c r="AY605" s="8">
        <v>1</v>
      </c>
      <c r="AZ605" s="55">
        <f t="shared" si="608"/>
        <v>8.0000000000000071E-3</v>
      </c>
      <c r="BA605" s="4">
        <f t="shared" si="609"/>
        <v>37.011139999999997</v>
      </c>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F605">
        <v>1</v>
      </c>
      <c r="CG605">
        <v>0.2</v>
      </c>
      <c r="CH605" s="45">
        <f>CF605*CG605</f>
        <v>0.2</v>
      </c>
      <c r="DM605" s="4">
        <f t="shared" si="610"/>
        <v>0.2</v>
      </c>
      <c r="EF605">
        <v>650</v>
      </c>
      <c r="EG605">
        <v>6500</v>
      </c>
      <c r="EH605">
        <v>8</v>
      </c>
      <c r="EI605" s="8">
        <v>0.95</v>
      </c>
      <c r="EJ605">
        <v>1</v>
      </c>
      <c r="EK605">
        <v>75</v>
      </c>
      <c r="EL605" s="10">
        <f>ROUND(3600/EK605*EH605*EJ605*EI605,0)</f>
        <v>365</v>
      </c>
      <c r="EU605" s="4">
        <f>EG605/EL605+EX605+ER605</f>
        <v>17.80821917808219</v>
      </c>
      <c r="EV605" s="4"/>
      <c r="EW605" s="4"/>
      <c r="GR605" s="8">
        <v>0.1</v>
      </c>
      <c r="GS605" s="4">
        <f>GR605*(BA605+EU605)</f>
        <v>5.4819359178082188</v>
      </c>
      <c r="GT605" s="9">
        <v>1.2500000000000001E-2</v>
      </c>
      <c r="GU605" s="4">
        <f>GT605*(BA605+EU605)</f>
        <v>0.68524198972602735</v>
      </c>
      <c r="GV605" s="8">
        <v>0.02</v>
      </c>
      <c r="GW605" s="4">
        <f>(GV605*EU605)</f>
        <v>0.35616438356164382</v>
      </c>
      <c r="GX605" s="4">
        <f t="shared" si="613"/>
        <v>6.5233422910958891</v>
      </c>
      <c r="GY605" t="s">
        <v>130</v>
      </c>
      <c r="GZ605" t="s">
        <v>130</v>
      </c>
      <c r="HA605">
        <v>1350</v>
      </c>
      <c r="HB605">
        <v>950</v>
      </c>
      <c r="HC605">
        <v>2400</v>
      </c>
      <c r="HD605">
        <v>60</v>
      </c>
      <c r="HE605">
        <v>50</v>
      </c>
      <c r="HF605" s="4">
        <f t="shared" si="614"/>
        <v>1</v>
      </c>
      <c r="HG605">
        <v>5</v>
      </c>
      <c r="HH605" s="4">
        <f t="shared" si="615"/>
        <v>5</v>
      </c>
      <c r="HI605">
        <v>20500</v>
      </c>
      <c r="HJ605" s="4">
        <f t="shared" si="616"/>
        <v>102500</v>
      </c>
      <c r="HM605" s="4">
        <v>2</v>
      </c>
      <c r="HN605" s="10">
        <f t="shared" si="617"/>
        <v>30000</v>
      </c>
      <c r="HO605" s="4">
        <f t="shared" si="618"/>
        <v>3.4166666666666665</v>
      </c>
      <c r="HP605" s="4">
        <v>160</v>
      </c>
      <c r="HT605" s="4"/>
      <c r="HU605" s="4"/>
      <c r="HV605" s="4">
        <f>ROUNDUP(HO605+HT605,2)</f>
        <v>3.42</v>
      </c>
      <c r="HW605" s="4"/>
      <c r="HX605">
        <v>5016</v>
      </c>
      <c r="HY605">
        <v>1976</v>
      </c>
      <c r="HZ605">
        <v>2280</v>
      </c>
      <c r="IA605" s="4">
        <f t="shared" si="619"/>
        <v>3</v>
      </c>
      <c r="IB605" s="4">
        <f t="shared" si="620"/>
        <v>2</v>
      </c>
      <c r="IC605" s="4">
        <f t="shared" si="621"/>
        <v>0</v>
      </c>
      <c r="ID605" s="8">
        <v>0.95</v>
      </c>
      <c r="IE605" s="4">
        <f>ROUNDUP(PRODUCT(IA605:ID605),0)+5</f>
        <v>5</v>
      </c>
      <c r="IF605" s="4">
        <v>500</v>
      </c>
      <c r="IG605" s="4">
        <f>ROUNDUP(IF605/(IE605*HD605),2)</f>
        <v>1.67</v>
      </c>
      <c r="IH605" s="4"/>
    </row>
    <row r="606" spans="1:244">
      <c r="A606">
        <v>591</v>
      </c>
      <c r="B606" s="301" t="s">
        <v>1947</v>
      </c>
      <c r="D606" s="28" t="s">
        <v>1446</v>
      </c>
      <c r="E606" s="28" t="s">
        <v>1394</v>
      </c>
      <c r="F606" s="28" t="s">
        <v>1947</v>
      </c>
      <c r="G606" s="27" t="s">
        <v>101</v>
      </c>
      <c r="I606" s="27" t="s">
        <v>121</v>
      </c>
      <c r="J606" s="28">
        <v>29010</v>
      </c>
      <c r="K606" s="27" t="s">
        <v>229</v>
      </c>
    </row>
    <row r="607" spans="1:244">
      <c r="A607">
        <v>592</v>
      </c>
      <c r="B607" t="s">
        <v>468</v>
      </c>
      <c r="C607" t="s">
        <v>2371</v>
      </c>
      <c r="D607" s="28" t="s">
        <v>1446</v>
      </c>
      <c r="E607" s="28" t="s">
        <v>1394</v>
      </c>
      <c r="F607" s="28" t="s">
        <v>2182</v>
      </c>
      <c r="G607" s="27" t="s">
        <v>101</v>
      </c>
      <c r="I607" s="27" t="s">
        <v>121</v>
      </c>
      <c r="J607" s="28">
        <v>21697</v>
      </c>
      <c r="K607" s="27" t="s">
        <v>227</v>
      </c>
      <c r="Q607" s="13" t="s">
        <v>2301</v>
      </c>
      <c r="R607" s="13" t="s">
        <v>1194</v>
      </c>
      <c r="T607" t="s">
        <v>2251</v>
      </c>
      <c r="V607" s="29" t="s">
        <v>2252</v>
      </c>
      <c r="W607"/>
      <c r="X607"/>
      <c r="Y607"/>
      <c r="Z607"/>
      <c r="AA607" s="51" t="s">
        <v>500</v>
      </c>
      <c r="AB607" s="66">
        <v>109.08</v>
      </c>
      <c r="AC607">
        <v>20</v>
      </c>
      <c r="AD607" t="s">
        <v>1200</v>
      </c>
      <c r="AE607" s="7">
        <f t="shared" ref="AE607:AE619" si="626">BA607</f>
        <v>135.07465999999999</v>
      </c>
      <c r="AF607" s="7"/>
      <c r="AG607" s="7">
        <f t="shared" ref="AG607:AG619" si="627">EU607</f>
        <v>19.020000000000003</v>
      </c>
      <c r="AH607" s="7">
        <f t="shared" ref="AH607:AH619" si="628">DM607</f>
        <v>0</v>
      </c>
      <c r="AI607" s="7">
        <f t="shared" ref="AI607:AI619" si="629">DO607</f>
        <v>0</v>
      </c>
      <c r="AJ607" s="7">
        <f t="shared" ref="AJ607:AJ619" si="630">GW607</f>
        <v>0.39</v>
      </c>
      <c r="AK607" s="7">
        <f t="shared" ref="AK607:AK619" si="631">GU607</f>
        <v>1.9261832500000002</v>
      </c>
      <c r="AL607" s="7">
        <f t="shared" ref="AL607:AL619" si="632">GS607</f>
        <v>16.96</v>
      </c>
      <c r="AM607" s="7">
        <f t="shared" ref="AM607:AM619" si="633">HV607</f>
        <v>3.0694444444444446</v>
      </c>
      <c r="AN607" s="7">
        <f t="shared" ref="AN607:AN619" si="634">IG607</f>
        <v>1.83</v>
      </c>
      <c r="AO607" s="6">
        <v>0</v>
      </c>
      <c r="AP607" s="6"/>
      <c r="AQ607" s="7">
        <f t="shared" ref="AQ607:AQ619" si="635">SUM(AE607:AP607)</f>
        <v>178.27028769444448</v>
      </c>
      <c r="AR607" s="7">
        <f t="shared" ref="AR607:AR619" si="636">IJ607</f>
        <v>0</v>
      </c>
      <c r="AS607" s="7"/>
      <c r="AT607" s="6">
        <v>0</v>
      </c>
      <c r="AV607" s="7">
        <f t="shared" ref="AV607:AV619" si="637">AQ607+AT607+AU607+AR607</f>
        <v>178.27028769444448</v>
      </c>
      <c r="AW607">
        <v>1.2395</v>
      </c>
      <c r="AX607">
        <v>1.2330000000000001</v>
      </c>
      <c r="AY607" s="8">
        <v>1</v>
      </c>
      <c r="AZ607" s="55">
        <f t="shared" ref="AZ607:AZ619" si="638">(AW607-AX607)*AY607</f>
        <v>6.4999999999999503E-3</v>
      </c>
      <c r="BA607" s="4">
        <f t="shared" ref="BA607:BA619" si="639">AW607*AB607-AZ607*AC607</f>
        <v>135.07465999999999</v>
      </c>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DM607" s="4">
        <f t="shared" ref="DM607:DM619" si="640">CH607+CM607+CR607+DB607+DG607+DL607</f>
        <v>0</v>
      </c>
      <c r="EF607">
        <v>550</v>
      </c>
      <c r="EG607">
        <v>5500</v>
      </c>
      <c r="EH607">
        <v>7.5</v>
      </c>
      <c r="EI607" s="8">
        <v>0.9</v>
      </c>
      <c r="EJ607">
        <v>1</v>
      </c>
      <c r="EK607">
        <v>84</v>
      </c>
      <c r="EL607" s="10">
        <f t="shared" ref="EL607:EL619" si="641">3600/EK607*EH607*EJ607*EI607</f>
        <v>289.28571428571428</v>
      </c>
      <c r="EU607" s="4">
        <f>ROUNDUP(EG607/EL607+EX607+ER607,2)</f>
        <v>19.020000000000003</v>
      </c>
      <c r="EV607" s="4"/>
      <c r="EW607" s="4"/>
      <c r="GR607" s="8">
        <v>0.11</v>
      </c>
      <c r="GS607" s="4">
        <f>ROUNDUP(GR607*(BA607+EU607),2)</f>
        <v>16.96</v>
      </c>
      <c r="GT607" s="9">
        <v>1.2500000000000001E-2</v>
      </c>
      <c r="GU607" s="4">
        <f>GT607*(BA607+EU607)</f>
        <v>1.9261832500000002</v>
      </c>
      <c r="GV607" s="8">
        <v>0.02</v>
      </c>
      <c r="GW607" s="4">
        <f>ROUNDUP(GV607*EU607,2)</f>
        <v>0.39</v>
      </c>
      <c r="GX607" s="4">
        <f t="shared" ref="GX607:GX619" si="642">GS607+GU607+GW607</f>
        <v>19.276183250000003</v>
      </c>
      <c r="GY607" t="s">
        <v>130</v>
      </c>
      <c r="GZ607" t="s">
        <v>130</v>
      </c>
      <c r="HA607">
        <v>1300</v>
      </c>
      <c r="HB607">
        <v>800</v>
      </c>
      <c r="HC607">
        <v>1900</v>
      </c>
      <c r="HD607">
        <v>48</v>
      </c>
      <c r="HE607">
        <v>600</v>
      </c>
      <c r="HF607" s="4">
        <f t="shared" ref="HF607:HF619" si="643">ROUNDUP(HE607/HD607,0)</f>
        <v>13</v>
      </c>
      <c r="HG607">
        <v>5</v>
      </c>
      <c r="HH607" s="4">
        <f t="shared" ref="HH607:HH619" si="644">HF607*HG607</f>
        <v>65</v>
      </c>
      <c r="HI607">
        <v>17000</v>
      </c>
      <c r="HJ607" s="4">
        <f t="shared" ref="HJ607:HJ619" si="645">HH607*HI607</f>
        <v>1105000</v>
      </c>
      <c r="HM607" s="4">
        <v>2</v>
      </c>
      <c r="HN607" s="10">
        <f t="shared" ref="HN607:HN619" si="646">HM607*12*25*HE607</f>
        <v>360000</v>
      </c>
      <c r="HO607" s="4">
        <f t="shared" ref="HO607:HO619" si="647">IF(GY607="carton box",HI607/HD607,HJ607/HN607)</f>
        <v>3.0694444444444446</v>
      </c>
      <c r="HP607" s="4">
        <v>160</v>
      </c>
      <c r="HV607" s="4">
        <f t="shared" ref="HV607:HV615" si="648">HO607+HT607</f>
        <v>3.0694444444444446</v>
      </c>
      <c r="HW607" s="4"/>
      <c r="HX607">
        <v>4200</v>
      </c>
      <c r="HY607">
        <v>1900</v>
      </c>
      <c r="HZ607">
        <v>1975</v>
      </c>
      <c r="IA607" s="4">
        <f t="shared" ref="IA607:IA619" si="649">ROUNDDOWN(HX607/HA607,0)</f>
        <v>3</v>
      </c>
      <c r="IB607" s="4">
        <f t="shared" ref="IB607:IB619" si="650">ROUNDDOWN(HY607/HB607,0)</f>
        <v>2</v>
      </c>
      <c r="IC607" s="4">
        <f t="shared" ref="IC607:IC619" si="651">ROUNDDOWN(HZ607/HC607,0)</f>
        <v>1</v>
      </c>
      <c r="ID607" s="8">
        <v>0.95</v>
      </c>
      <c r="IE607" s="4">
        <f>ROUNDUP(PRODUCT(IA607:ID607),0)</f>
        <v>6</v>
      </c>
      <c r="IF607" s="4">
        <v>500</v>
      </c>
      <c r="IG607" s="4">
        <f>ROUNDUP(IF607/(IE607*HD607*ID607),2)</f>
        <v>1.83</v>
      </c>
      <c r="IH607" s="4"/>
    </row>
    <row r="608" spans="1:244">
      <c r="A608">
        <v>593</v>
      </c>
      <c r="B608" t="s">
        <v>468</v>
      </c>
      <c r="C608" t="s">
        <v>2372</v>
      </c>
      <c r="D608" s="28" t="s">
        <v>1447</v>
      </c>
      <c r="E608" s="28" t="s">
        <v>1448</v>
      </c>
      <c r="F608" s="28" t="s">
        <v>2182</v>
      </c>
      <c r="G608" s="27" t="s">
        <v>101</v>
      </c>
      <c r="I608" s="27" t="s">
        <v>121</v>
      </c>
      <c r="J608" s="28">
        <v>21677</v>
      </c>
      <c r="K608" s="27" t="s">
        <v>228</v>
      </c>
      <c r="L608" s="5"/>
      <c r="M608" s="5"/>
      <c r="Q608" s="13" t="s">
        <v>2308</v>
      </c>
      <c r="R608" s="13" t="s">
        <v>1194</v>
      </c>
      <c r="T608" s="5" t="s">
        <v>2251</v>
      </c>
      <c r="U608" s="5"/>
      <c r="V608" s="29" t="s">
        <v>2252</v>
      </c>
      <c r="W608" s="5" t="s">
        <v>2373</v>
      </c>
      <c r="X608" s="5"/>
      <c r="Y608" s="5"/>
      <c r="Z608" s="5"/>
      <c r="AA608" s="51" t="s">
        <v>440</v>
      </c>
      <c r="AB608" s="66">
        <v>101.39</v>
      </c>
      <c r="AC608">
        <v>20</v>
      </c>
      <c r="AD608" t="s">
        <v>2374</v>
      </c>
      <c r="AE608" s="7">
        <f t="shared" si="626"/>
        <v>22.711359999999999</v>
      </c>
      <c r="AF608" s="7"/>
      <c r="AG608" s="7">
        <f t="shared" si="627"/>
        <v>24.292923976608186</v>
      </c>
      <c r="AH608" s="7">
        <f t="shared" si="628"/>
        <v>4.9800000000000004</v>
      </c>
      <c r="AI608" s="7">
        <f t="shared" si="629"/>
        <v>6.2250000000000007E-2</v>
      </c>
      <c r="AJ608" s="7">
        <f t="shared" si="630"/>
        <v>0.19005847953216376</v>
      </c>
      <c r="AK608" s="7">
        <f t="shared" si="631"/>
        <v>0.40267854970760236</v>
      </c>
      <c r="AL608" s="7">
        <f t="shared" si="632"/>
        <v>3.2214283976608189</v>
      </c>
      <c r="AM608" s="7">
        <f t="shared" si="633"/>
        <v>0.38333333333333336</v>
      </c>
      <c r="AN608" s="7">
        <f t="shared" si="634"/>
        <v>0.24000000000000002</v>
      </c>
      <c r="AO608" s="6">
        <v>0</v>
      </c>
      <c r="AP608" s="6"/>
      <c r="AQ608" s="7">
        <f t="shared" si="635"/>
        <v>56.484032736842096</v>
      </c>
      <c r="AR608" s="7">
        <f t="shared" si="636"/>
        <v>0</v>
      </c>
      <c r="AS608" s="7"/>
      <c r="AT608" s="6">
        <v>0</v>
      </c>
      <c r="AV608" s="7">
        <f t="shared" si="637"/>
        <v>56.484032736842096</v>
      </c>
      <c r="AW608">
        <v>0.224</v>
      </c>
      <c r="AX608">
        <v>0.224</v>
      </c>
      <c r="AY608" s="8">
        <v>1</v>
      </c>
      <c r="AZ608" s="55">
        <f t="shared" si="638"/>
        <v>0</v>
      </c>
      <c r="BA608" s="4">
        <f t="shared" si="639"/>
        <v>22.711359999999999</v>
      </c>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F608">
        <v>1</v>
      </c>
      <c r="CG608">
        <v>0.2</v>
      </c>
      <c r="CH608" s="45">
        <f>CF608*CG608</f>
        <v>0.2</v>
      </c>
      <c r="CJ608" t="s">
        <v>2375</v>
      </c>
      <c r="CK608">
        <v>2</v>
      </c>
      <c r="CL608">
        <v>2.39</v>
      </c>
      <c r="CM608">
        <f>CK608*CL608</f>
        <v>4.78</v>
      </c>
      <c r="DM608" s="4">
        <f t="shared" si="640"/>
        <v>4.9800000000000004</v>
      </c>
      <c r="DN608" s="9">
        <v>1.2500000000000001E-2</v>
      </c>
      <c r="DO608" s="4">
        <f>DM608*DN608</f>
        <v>6.2250000000000007E-2</v>
      </c>
      <c r="DP608" s="4">
        <f>DM608+DO608</f>
        <v>5.0422500000000001</v>
      </c>
      <c r="EF608">
        <v>650</v>
      </c>
      <c r="EG608">
        <v>6500</v>
      </c>
      <c r="EH608">
        <v>8</v>
      </c>
      <c r="EI608" s="8">
        <v>0.95</v>
      </c>
      <c r="EJ608">
        <v>2</v>
      </c>
      <c r="EK608">
        <v>80</v>
      </c>
      <c r="EL608" s="10">
        <f t="shared" si="641"/>
        <v>684</v>
      </c>
      <c r="EU608" s="4">
        <f>EG608/EL608+EX608+ER608</f>
        <v>24.292923976608186</v>
      </c>
      <c r="EV608" s="4"/>
      <c r="EW608" s="4"/>
      <c r="EX608" s="4">
        <f>1.53+13.26</f>
        <v>14.79</v>
      </c>
      <c r="FA608" s="4">
        <f>EX608+EZ608+EY608</f>
        <v>14.79</v>
      </c>
      <c r="FB608" s="4"/>
      <c r="FC608" s="4"/>
      <c r="FD608" s="4"/>
      <c r="FE608" s="4"/>
      <c r="FF608" s="4"/>
      <c r="FG608" s="4"/>
      <c r="FH608" s="4"/>
      <c r="FI608" s="4"/>
      <c r="FJ608" s="4"/>
      <c r="FK608" s="4"/>
      <c r="FL608" s="4"/>
      <c r="FM608" s="4"/>
      <c r="FN608" s="4"/>
      <c r="FO608" s="4"/>
      <c r="FP608" s="4"/>
      <c r="FQ608" s="4"/>
      <c r="FR608" s="4"/>
      <c r="FS608" s="4"/>
      <c r="FT608" s="4"/>
      <c r="FU608" s="4"/>
      <c r="FV608" s="4"/>
      <c r="FW608" s="4"/>
      <c r="FX608" s="4"/>
      <c r="FY608" s="4"/>
      <c r="FZ608" s="4"/>
      <c r="GA608" s="4"/>
      <c r="GB608" s="4"/>
      <c r="GC608" s="4"/>
      <c r="GD608" s="4"/>
      <c r="GE608" s="4"/>
      <c r="GF608" s="4"/>
      <c r="GG608" s="4"/>
      <c r="GH608" s="4"/>
      <c r="GI608" s="4"/>
      <c r="GJ608" s="4"/>
      <c r="GK608" s="4"/>
      <c r="GL608" s="4"/>
      <c r="GM608" s="4"/>
      <c r="GN608" s="4"/>
      <c r="GO608" s="4"/>
      <c r="GP608" s="4"/>
      <c r="GQ608" s="4"/>
      <c r="GR608" s="8">
        <v>0.1</v>
      </c>
      <c r="GS608" s="4">
        <f>GR608*(BA608+EU608-EX608)</f>
        <v>3.2214283976608189</v>
      </c>
      <c r="GT608" s="9">
        <v>1.2500000000000001E-2</v>
      </c>
      <c r="GU608" s="4">
        <f>GT608*(BA608+EU608-EX608)</f>
        <v>0.40267854970760236</v>
      </c>
      <c r="GV608" s="8">
        <v>0.02</v>
      </c>
      <c r="GW608" s="4">
        <f>(GV608*(EU608-FA608))</f>
        <v>0.19005847953216376</v>
      </c>
      <c r="GX608" s="4">
        <f t="shared" si="642"/>
        <v>3.8141654269005851</v>
      </c>
      <c r="GY608" t="s">
        <v>130</v>
      </c>
      <c r="GZ608" t="s">
        <v>130</v>
      </c>
      <c r="HA608">
        <v>805</v>
      </c>
      <c r="HB608">
        <v>675</v>
      </c>
      <c r="HC608">
        <v>405</v>
      </c>
      <c r="HD608">
        <v>42</v>
      </c>
      <c r="HE608">
        <v>50</v>
      </c>
      <c r="HF608" s="4">
        <f t="shared" si="643"/>
        <v>2</v>
      </c>
      <c r="HG608">
        <v>5</v>
      </c>
      <c r="HH608" s="4">
        <f t="shared" si="644"/>
        <v>10</v>
      </c>
      <c r="HI608">
        <v>1150</v>
      </c>
      <c r="HJ608" s="4">
        <f t="shared" si="645"/>
        <v>11500</v>
      </c>
      <c r="HM608" s="4">
        <v>2</v>
      </c>
      <c r="HN608" s="10">
        <f t="shared" si="646"/>
        <v>30000</v>
      </c>
      <c r="HO608" s="4">
        <f t="shared" si="647"/>
        <v>0.38333333333333336</v>
      </c>
      <c r="HP608" s="4">
        <v>160</v>
      </c>
      <c r="HV608" s="4">
        <f t="shared" si="648"/>
        <v>0.38333333333333336</v>
      </c>
      <c r="HW608" s="4"/>
      <c r="HX608">
        <v>5016</v>
      </c>
      <c r="HY608">
        <v>1976</v>
      </c>
      <c r="HZ608">
        <v>2280</v>
      </c>
      <c r="IA608" s="4">
        <f t="shared" si="649"/>
        <v>6</v>
      </c>
      <c r="IB608" s="4">
        <f t="shared" si="650"/>
        <v>2</v>
      </c>
      <c r="IC608" s="4">
        <f t="shared" si="651"/>
        <v>5</v>
      </c>
      <c r="ID608" s="8">
        <v>1</v>
      </c>
      <c r="IE608" s="4">
        <f>ROUNDUP(PRODUCT(IA608:ID608),0)-10</f>
        <v>50</v>
      </c>
      <c r="IF608" s="4">
        <v>500</v>
      </c>
      <c r="IG608" s="4">
        <f t="shared" ref="IG608:IG618" si="652">ROUNDUP(IF608/(IE608*HD608),2)</f>
        <v>0.24000000000000002</v>
      </c>
      <c r="IH608" s="4"/>
    </row>
    <row r="609" spans="1:244" ht="30">
      <c r="A609">
        <v>594</v>
      </c>
      <c r="B609" t="s">
        <v>468</v>
      </c>
      <c r="C609" s="187" t="s">
        <v>2376</v>
      </c>
      <c r="D609" s="28" t="s">
        <v>1449</v>
      </c>
      <c r="E609" s="28" t="s">
        <v>186</v>
      </c>
      <c r="F609" s="28" t="s">
        <v>2182</v>
      </c>
      <c r="G609" s="27" t="s">
        <v>101</v>
      </c>
      <c r="I609" s="27" t="s">
        <v>121</v>
      </c>
      <c r="J609" s="28">
        <v>21697</v>
      </c>
      <c r="K609" s="27" t="s">
        <v>227</v>
      </c>
      <c r="Q609" s="13" t="s">
        <v>2308</v>
      </c>
      <c r="R609" s="13" t="s">
        <v>1194</v>
      </c>
      <c r="T609" s="5" t="s">
        <v>2251</v>
      </c>
      <c r="U609" s="5"/>
      <c r="V609" s="29" t="s">
        <v>2252</v>
      </c>
      <c r="W609" s="72" t="s">
        <v>2377</v>
      </c>
      <c r="X609"/>
      <c r="Y609"/>
      <c r="Z609"/>
      <c r="AA609" s="51" t="s">
        <v>2378</v>
      </c>
      <c r="AB609" s="66">
        <v>112.81</v>
      </c>
      <c r="AC609">
        <v>20</v>
      </c>
      <c r="AD609" t="s">
        <v>2309</v>
      </c>
      <c r="AE609" s="7">
        <f t="shared" si="626"/>
        <v>42.502180000000003</v>
      </c>
      <c r="AF609" s="7"/>
      <c r="AG609" s="7">
        <f t="shared" si="627"/>
        <v>10.09</v>
      </c>
      <c r="AH609" s="7">
        <f t="shared" si="628"/>
        <v>0</v>
      </c>
      <c r="AI609" s="7">
        <f t="shared" si="629"/>
        <v>0</v>
      </c>
      <c r="AJ609" s="7">
        <f t="shared" si="630"/>
        <v>0.21000000000000002</v>
      </c>
      <c r="AK609" s="7">
        <f t="shared" si="631"/>
        <v>0.65740225000000008</v>
      </c>
      <c r="AL609" s="7">
        <f t="shared" si="632"/>
        <v>5.79</v>
      </c>
      <c r="AM609" s="7">
        <f t="shared" si="633"/>
        <v>0.77916666666666667</v>
      </c>
      <c r="AN609" s="7">
        <f t="shared" si="634"/>
        <v>0.74</v>
      </c>
      <c r="AO609" s="6">
        <v>0</v>
      </c>
      <c r="AP609" s="6"/>
      <c r="AQ609" s="7">
        <f t="shared" si="635"/>
        <v>60.768748916666667</v>
      </c>
      <c r="AR609" s="7">
        <f t="shared" si="636"/>
        <v>0</v>
      </c>
      <c r="AS609" s="7"/>
      <c r="AT609" s="6">
        <v>0</v>
      </c>
      <c r="AU609">
        <f>61.09-60.77</f>
        <v>0.32000000000000028</v>
      </c>
      <c r="AV609" s="7">
        <f t="shared" si="637"/>
        <v>61.088748916666667</v>
      </c>
      <c r="AW609">
        <v>0.378</v>
      </c>
      <c r="AX609">
        <v>0.371</v>
      </c>
      <c r="AY609" s="8">
        <v>1</v>
      </c>
      <c r="AZ609" s="55">
        <f t="shared" si="638"/>
        <v>7.0000000000000062E-3</v>
      </c>
      <c r="BA609" s="4">
        <f t="shared" si="639"/>
        <v>42.502180000000003</v>
      </c>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DM609" s="4">
        <f t="shared" si="640"/>
        <v>0</v>
      </c>
      <c r="EF609">
        <v>350</v>
      </c>
      <c r="EG609">
        <v>3500</v>
      </c>
      <c r="EH609">
        <v>7.5</v>
      </c>
      <c r="EI609" s="8">
        <v>0.9</v>
      </c>
      <c r="EJ609">
        <v>1</v>
      </c>
      <c r="EK609">
        <v>70</v>
      </c>
      <c r="EL609" s="10">
        <f t="shared" si="641"/>
        <v>347.14285714285717</v>
      </c>
      <c r="EU609" s="4">
        <f>ROUNDUP(EG609/EL609+EX609+ER609,2)</f>
        <v>10.09</v>
      </c>
      <c r="EV609" s="4"/>
      <c r="EW609" s="4"/>
      <c r="GR609" s="8">
        <v>0.11</v>
      </c>
      <c r="GS609" s="4">
        <f>ROUNDUP(GR609*(BA609+EU609),2)</f>
        <v>5.79</v>
      </c>
      <c r="GT609" s="9">
        <v>1.2500000000000001E-2</v>
      </c>
      <c r="GU609" s="4">
        <f>GT609*(BA609+EU609)</f>
        <v>0.65740225000000008</v>
      </c>
      <c r="GV609" s="8">
        <v>0.02</v>
      </c>
      <c r="GW609" s="4">
        <f>ROUNDUP(GV609*EU609,2)</f>
        <v>0.21000000000000002</v>
      </c>
      <c r="GX609" s="4">
        <f t="shared" si="642"/>
        <v>6.6574022499999996</v>
      </c>
      <c r="GY609" t="s">
        <v>130</v>
      </c>
      <c r="GZ609" t="s">
        <v>130</v>
      </c>
      <c r="HA609">
        <v>810</v>
      </c>
      <c r="HB609">
        <v>568</v>
      </c>
      <c r="HC609">
        <v>425</v>
      </c>
      <c r="HD609">
        <v>12</v>
      </c>
      <c r="HE609">
        <v>400</v>
      </c>
      <c r="HF609" s="4">
        <f t="shared" si="643"/>
        <v>34</v>
      </c>
      <c r="HG609">
        <v>5</v>
      </c>
      <c r="HH609" s="4">
        <f t="shared" si="644"/>
        <v>170</v>
      </c>
      <c r="HI609">
        <v>1100</v>
      </c>
      <c r="HJ609" s="4">
        <f t="shared" si="645"/>
        <v>187000</v>
      </c>
      <c r="HM609" s="4">
        <v>2</v>
      </c>
      <c r="HN609" s="10">
        <f t="shared" si="646"/>
        <v>240000</v>
      </c>
      <c r="HO609" s="4">
        <f t="shared" si="647"/>
        <v>0.77916666666666667</v>
      </c>
      <c r="HP609" s="4">
        <v>160</v>
      </c>
      <c r="HV609" s="4">
        <f t="shared" si="648"/>
        <v>0.77916666666666667</v>
      </c>
      <c r="HW609" s="4"/>
      <c r="HX609">
        <v>4200</v>
      </c>
      <c r="HY609">
        <v>1900</v>
      </c>
      <c r="HZ609">
        <v>1975</v>
      </c>
      <c r="IA609" s="4">
        <f t="shared" si="649"/>
        <v>5</v>
      </c>
      <c r="IB609" s="4">
        <f t="shared" si="650"/>
        <v>3</v>
      </c>
      <c r="IC609" s="4">
        <f t="shared" si="651"/>
        <v>4</v>
      </c>
      <c r="ID609" s="8">
        <v>0.95</v>
      </c>
      <c r="IE609" s="4">
        <f>ROUNDUP(PRODUCT(IA609:ID609),0)</f>
        <v>57</v>
      </c>
      <c r="IF609" s="4">
        <v>500</v>
      </c>
      <c r="IG609" s="4">
        <f t="shared" si="652"/>
        <v>0.74</v>
      </c>
      <c r="IH609" s="4"/>
    </row>
    <row r="610" spans="1:244" ht="30">
      <c r="A610">
        <v>595</v>
      </c>
      <c r="B610" t="s">
        <v>468</v>
      </c>
      <c r="C610" s="187" t="s">
        <v>2379</v>
      </c>
      <c r="D610" s="28" t="s">
        <v>1449</v>
      </c>
      <c r="E610" s="28" t="s">
        <v>186</v>
      </c>
      <c r="F610" s="28" t="s">
        <v>2182</v>
      </c>
      <c r="G610" s="27" t="s">
        <v>101</v>
      </c>
      <c r="I610" s="27" t="s">
        <v>121</v>
      </c>
      <c r="J610" s="28">
        <v>21677</v>
      </c>
      <c r="K610" s="27" t="s">
        <v>228</v>
      </c>
      <c r="L610" s="5"/>
      <c r="M610" s="5"/>
      <c r="Q610" s="13" t="s">
        <v>2301</v>
      </c>
      <c r="R610" s="13" t="s">
        <v>1194</v>
      </c>
      <c r="T610" s="5" t="s">
        <v>2251</v>
      </c>
      <c r="U610" s="5"/>
      <c r="V610" s="29" t="s">
        <v>2252</v>
      </c>
      <c r="W610" s="72" t="s">
        <v>2380</v>
      </c>
      <c r="X610" s="72"/>
      <c r="Y610" s="72"/>
      <c r="Z610" s="72"/>
      <c r="AA610" s="51" t="s">
        <v>2381</v>
      </c>
      <c r="AB610" s="66">
        <v>95.23</v>
      </c>
      <c r="AC610">
        <v>20</v>
      </c>
      <c r="AD610" t="s">
        <v>310</v>
      </c>
      <c r="AE610" s="7">
        <f t="shared" si="626"/>
        <v>30.187910000000002</v>
      </c>
      <c r="AF610" s="7"/>
      <c r="AG610" s="7">
        <f t="shared" si="627"/>
        <v>7.8947368421052628</v>
      </c>
      <c r="AH610" s="7">
        <f t="shared" si="628"/>
        <v>0.2</v>
      </c>
      <c r="AI610" s="7">
        <f t="shared" si="629"/>
        <v>0</v>
      </c>
      <c r="AJ610" s="7">
        <f t="shared" si="630"/>
        <v>0.16</v>
      </c>
      <c r="AK610" s="7">
        <f t="shared" si="631"/>
        <v>0.47603308552631579</v>
      </c>
      <c r="AL610" s="7">
        <f t="shared" si="632"/>
        <v>4.1899999999999995</v>
      </c>
      <c r="AM610" s="7">
        <f t="shared" si="633"/>
        <v>0.33611111111111114</v>
      </c>
      <c r="AN610" s="7">
        <f t="shared" si="634"/>
        <v>0.36</v>
      </c>
      <c r="AO610" s="6">
        <v>0</v>
      </c>
      <c r="AP610" s="6"/>
      <c r="AQ610" s="7">
        <f t="shared" si="635"/>
        <v>43.804791038742685</v>
      </c>
      <c r="AR610" s="7">
        <f t="shared" si="636"/>
        <v>0</v>
      </c>
      <c r="AS610" s="7"/>
      <c r="AT610" s="6">
        <v>0</v>
      </c>
      <c r="AU610">
        <f>43.26-43.8</f>
        <v>-0.53999999999999915</v>
      </c>
      <c r="AV610" s="7">
        <f t="shared" si="637"/>
        <v>43.264791038742686</v>
      </c>
      <c r="AW610">
        <v>0.317</v>
      </c>
      <c r="AX610">
        <v>0.312</v>
      </c>
      <c r="AY610" s="8">
        <v>0</v>
      </c>
      <c r="AZ610" s="55">
        <f t="shared" si="638"/>
        <v>0</v>
      </c>
      <c r="BA610" s="4">
        <f t="shared" si="639"/>
        <v>30.187910000000002</v>
      </c>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F610">
        <v>1</v>
      </c>
      <c r="CG610">
        <v>0.2</v>
      </c>
      <c r="CH610" s="45">
        <f>CF610*CG610</f>
        <v>0.2</v>
      </c>
      <c r="DM610" s="4">
        <f t="shared" si="640"/>
        <v>0.2</v>
      </c>
      <c r="EF610">
        <v>360</v>
      </c>
      <c r="EG610">
        <v>3600</v>
      </c>
      <c r="EH610">
        <v>8</v>
      </c>
      <c r="EI610" s="8">
        <v>0.95</v>
      </c>
      <c r="EJ610">
        <v>1</v>
      </c>
      <c r="EK610">
        <v>60</v>
      </c>
      <c r="EL610" s="10">
        <f t="shared" si="641"/>
        <v>456</v>
      </c>
      <c r="EU610" s="4">
        <f>EG610/EL610+EX610+ER610</f>
        <v>7.8947368421052628</v>
      </c>
      <c r="EV610" s="4"/>
      <c r="EW610" s="4"/>
      <c r="GR610" s="8">
        <v>0.11</v>
      </c>
      <c r="GS610" s="4">
        <f>ROUNDUP(GR610*(BA610+EU610),2)</f>
        <v>4.1899999999999995</v>
      </c>
      <c r="GT610" s="9">
        <v>1.2500000000000001E-2</v>
      </c>
      <c r="GU610" s="4">
        <f>GT610*(BA610+EU610)</f>
        <v>0.47603308552631579</v>
      </c>
      <c r="GV610" s="8">
        <v>0.02</v>
      </c>
      <c r="GW610" s="4">
        <f>ROUNDUP(GV610*EU610,2)</f>
        <v>0.16</v>
      </c>
      <c r="GX610" s="4">
        <f t="shared" si="642"/>
        <v>4.8260330855263156</v>
      </c>
      <c r="GY610" t="s">
        <v>130</v>
      </c>
      <c r="GZ610" t="s">
        <v>130</v>
      </c>
      <c r="HA610">
        <v>805</v>
      </c>
      <c r="HB610">
        <v>675</v>
      </c>
      <c r="HC610">
        <v>405</v>
      </c>
      <c r="HD610">
        <v>28</v>
      </c>
      <c r="HE610">
        <v>600</v>
      </c>
      <c r="HF610" s="4">
        <f t="shared" si="643"/>
        <v>22</v>
      </c>
      <c r="HG610">
        <v>5</v>
      </c>
      <c r="HH610" s="4">
        <f t="shared" si="644"/>
        <v>110</v>
      </c>
      <c r="HI610">
        <v>1100</v>
      </c>
      <c r="HJ610" s="4">
        <f t="shared" si="645"/>
        <v>121000</v>
      </c>
      <c r="HM610" s="4">
        <v>2</v>
      </c>
      <c r="HN610" s="10">
        <f t="shared" si="646"/>
        <v>360000</v>
      </c>
      <c r="HO610" s="4">
        <f t="shared" si="647"/>
        <v>0.33611111111111114</v>
      </c>
      <c r="HP610" s="4">
        <v>160</v>
      </c>
      <c r="HV610" s="4">
        <f t="shared" si="648"/>
        <v>0.33611111111111114</v>
      </c>
      <c r="HW610" s="4"/>
      <c r="HX610">
        <v>5016</v>
      </c>
      <c r="HY610">
        <v>1976</v>
      </c>
      <c r="HZ610">
        <v>2280</v>
      </c>
      <c r="IA610" s="4">
        <f t="shared" si="649"/>
        <v>6</v>
      </c>
      <c r="IB610" s="4">
        <f t="shared" si="650"/>
        <v>2</v>
      </c>
      <c r="IC610" s="4">
        <f t="shared" si="651"/>
        <v>5</v>
      </c>
      <c r="ID610" s="8">
        <v>1</v>
      </c>
      <c r="IE610" s="4">
        <f>ROUNDUP(PRODUCT(IA610:ID610),0)-10</f>
        <v>50</v>
      </c>
      <c r="IF610" s="4">
        <v>500</v>
      </c>
      <c r="IG610" s="4">
        <f t="shared" si="652"/>
        <v>0.36</v>
      </c>
      <c r="IH610" s="4"/>
    </row>
    <row r="611" spans="1:244" ht="30">
      <c r="A611">
        <v>596</v>
      </c>
      <c r="B611" t="s">
        <v>468</v>
      </c>
      <c r="C611" s="187" t="s">
        <v>2382</v>
      </c>
      <c r="D611" s="28" t="s">
        <v>1450</v>
      </c>
      <c r="E611" s="28" t="s">
        <v>1451</v>
      </c>
      <c r="F611" s="28" t="s">
        <v>2182</v>
      </c>
      <c r="G611" s="27" t="s">
        <v>101</v>
      </c>
      <c r="I611" s="27" t="s">
        <v>121</v>
      </c>
      <c r="J611" s="28">
        <v>21697</v>
      </c>
      <c r="K611" s="27" t="s">
        <v>227</v>
      </c>
      <c r="Q611" s="13" t="s">
        <v>2308</v>
      </c>
      <c r="R611" s="13" t="s">
        <v>1194</v>
      </c>
      <c r="T611" s="5" t="s">
        <v>2251</v>
      </c>
      <c r="U611" s="5"/>
      <c r="V611" s="29" t="s">
        <v>2252</v>
      </c>
      <c r="W611" s="72" t="s">
        <v>2383</v>
      </c>
      <c r="X611"/>
      <c r="Y611"/>
      <c r="Z611"/>
      <c r="AA611" s="51" t="s">
        <v>2384</v>
      </c>
      <c r="AB611" s="66">
        <v>131.96</v>
      </c>
      <c r="AC611">
        <v>20</v>
      </c>
      <c r="AD611" t="s">
        <v>2309</v>
      </c>
      <c r="AE611" s="7">
        <f t="shared" si="626"/>
        <v>10.436800000000002</v>
      </c>
      <c r="AF611" s="7"/>
      <c r="AG611" s="7">
        <f t="shared" si="627"/>
        <v>4.8199999999999994</v>
      </c>
      <c r="AH611" s="7">
        <f t="shared" si="628"/>
        <v>5.5</v>
      </c>
      <c r="AI611" s="7">
        <f t="shared" si="629"/>
        <v>6.8750000000000006E-2</v>
      </c>
      <c r="AJ611" s="7">
        <f t="shared" si="630"/>
        <v>9.9999999999999992E-2</v>
      </c>
      <c r="AK611" s="7">
        <f t="shared" si="631"/>
        <v>0.2</v>
      </c>
      <c r="AL611" s="7">
        <f t="shared" si="632"/>
        <v>1.68</v>
      </c>
      <c r="AM611" s="7">
        <f t="shared" si="633"/>
        <v>0.13541666666666666</v>
      </c>
      <c r="AN611" s="7">
        <f t="shared" si="634"/>
        <v>0.11</v>
      </c>
      <c r="AO611" s="6">
        <v>0</v>
      </c>
      <c r="AP611" s="6"/>
      <c r="AQ611" s="7">
        <f t="shared" si="635"/>
        <v>23.050966666666671</v>
      </c>
      <c r="AR611" s="7">
        <f t="shared" si="636"/>
        <v>0</v>
      </c>
      <c r="AS611" s="7"/>
      <c r="AT611" s="6">
        <v>0</v>
      </c>
      <c r="AU611">
        <f>23.17-23.05</f>
        <v>0.12000000000000099</v>
      </c>
      <c r="AV611" s="7">
        <f t="shared" si="637"/>
        <v>23.170966666666672</v>
      </c>
      <c r="AW611">
        <v>0.08</v>
      </c>
      <c r="AX611">
        <v>7.3999999999999996E-2</v>
      </c>
      <c r="AY611" s="8">
        <v>1</v>
      </c>
      <c r="AZ611" s="55">
        <f t="shared" si="638"/>
        <v>6.0000000000000053E-3</v>
      </c>
      <c r="BA611" s="4">
        <f t="shared" si="639"/>
        <v>10.436800000000002</v>
      </c>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F611">
        <v>2</v>
      </c>
      <c r="CG611">
        <v>2.75</v>
      </c>
      <c r="CH611" s="45">
        <f>CF611*CG611</f>
        <v>5.5</v>
      </c>
      <c r="DM611" s="4">
        <f t="shared" si="640"/>
        <v>5.5</v>
      </c>
      <c r="DN611" s="9">
        <v>1.2500000000000001E-2</v>
      </c>
      <c r="DO611" s="4">
        <f>DM611*DN611</f>
        <v>6.8750000000000006E-2</v>
      </c>
      <c r="DP611" s="4">
        <f>DM611+DO611</f>
        <v>5.5687499999999996</v>
      </c>
      <c r="EF611">
        <v>260</v>
      </c>
      <c r="EG611">
        <v>2600</v>
      </c>
      <c r="EH611">
        <v>7.5</v>
      </c>
      <c r="EI611" s="8">
        <v>0.9</v>
      </c>
      <c r="EJ611">
        <v>2</v>
      </c>
      <c r="EK611">
        <v>90</v>
      </c>
      <c r="EL611" s="10">
        <f t="shared" si="641"/>
        <v>540</v>
      </c>
      <c r="EU611" s="4">
        <f>ROUNDUP(EG611/EL611+EX611+ER611,2)</f>
        <v>4.8199999999999994</v>
      </c>
      <c r="EV611" s="4"/>
      <c r="EW611" s="4"/>
      <c r="GR611" s="8">
        <v>0.11</v>
      </c>
      <c r="GS611" s="4">
        <f>ROUNDUP(GR611*(BA611+EU611),2)</f>
        <v>1.68</v>
      </c>
      <c r="GT611" s="9">
        <v>1.2500000000000001E-2</v>
      </c>
      <c r="GU611" s="4">
        <f>ROUNDUP(GT611*(BA611+EU611),2)</f>
        <v>0.2</v>
      </c>
      <c r="GV611" s="8">
        <v>0.02</v>
      </c>
      <c r="GW611" s="4">
        <f>ROUNDUP(GV611*EU611,2)</f>
        <v>9.9999999999999992E-2</v>
      </c>
      <c r="GX611" s="4">
        <f t="shared" si="642"/>
        <v>1.98</v>
      </c>
      <c r="GY611" t="s">
        <v>130</v>
      </c>
      <c r="GZ611" t="s">
        <v>130</v>
      </c>
      <c r="HA611">
        <v>650</v>
      </c>
      <c r="HB611">
        <v>450</v>
      </c>
      <c r="HC611">
        <v>330</v>
      </c>
      <c r="HD611">
        <v>40</v>
      </c>
      <c r="HE611">
        <v>400</v>
      </c>
      <c r="HF611" s="4">
        <f t="shared" si="643"/>
        <v>10</v>
      </c>
      <c r="HG611">
        <v>5</v>
      </c>
      <c r="HH611" s="4">
        <f t="shared" si="644"/>
        <v>50</v>
      </c>
      <c r="HI611">
        <v>650</v>
      </c>
      <c r="HJ611" s="4">
        <f t="shared" si="645"/>
        <v>32500</v>
      </c>
      <c r="HM611" s="4">
        <v>2</v>
      </c>
      <c r="HN611" s="10">
        <f t="shared" si="646"/>
        <v>240000</v>
      </c>
      <c r="HO611" s="4">
        <f t="shared" si="647"/>
        <v>0.13541666666666666</v>
      </c>
      <c r="HP611" s="4">
        <v>160</v>
      </c>
      <c r="HV611" s="4">
        <f t="shared" si="648"/>
        <v>0.13541666666666666</v>
      </c>
      <c r="HW611" s="4"/>
      <c r="HX611">
        <v>4200</v>
      </c>
      <c r="HY611">
        <v>1900</v>
      </c>
      <c r="HZ611">
        <v>1975</v>
      </c>
      <c r="IA611" s="4">
        <f t="shared" si="649"/>
        <v>6</v>
      </c>
      <c r="IB611" s="4">
        <f t="shared" si="650"/>
        <v>4</v>
      </c>
      <c r="IC611" s="4">
        <f t="shared" si="651"/>
        <v>5</v>
      </c>
      <c r="ID611" s="8">
        <v>0.95</v>
      </c>
      <c r="IE611" s="4">
        <f>ROUNDUP(PRODUCT(IA611:ID611),0)</f>
        <v>114</v>
      </c>
      <c r="IF611" s="4">
        <v>500</v>
      </c>
      <c r="IG611" s="4">
        <f t="shared" si="652"/>
        <v>0.11</v>
      </c>
      <c r="IH611" s="4"/>
    </row>
    <row r="612" spans="1:244">
      <c r="A612">
        <v>597</v>
      </c>
      <c r="B612" t="s">
        <v>468</v>
      </c>
      <c r="C612" t="s">
        <v>2385</v>
      </c>
      <c r="D612" s="28" t="s">
        <v>1452</v>
      </c>
      <c r="E612" s="28" t="s">
        <v>1453</v>
      </c>
      <c r="F612" s="28" t="s">
        <v>2182</v>
      </c>
      <c r="G612" s="27" t="s">
        <v>101</v>
      </c>
      <c r="I612" s="27" t="s">
        <v>121</v>
      </c>
      <c r="J612" s="28">
        <v>21697</v>
      </c>
      <c r="K612" s="27" t="s">
        <v>227</v>
      </c>
      <c r="Q612" s="13" t="s">
        <v>2308</v>
      </c>
      <c r="R612" s="13" t="s">
        <v>1194</v>
      </c>
      <c r="T612" s="5" t="s">
        <v>2251</v>
      </c>
      <c r="U612" s="5"/>
      <c r="V612" s="29" t="s">
        <v>2252</v>
      </c>
      <c r="W612"/>
      <c r="X612"/>
      <c r="Y612"/>
      <c r="Z612"/>
      <c r="AA612" s="51" t="s">
        <v>2386</v>
      </c>
      <c r="AB612" s="66">
        <v>140.74</v>
      </c>
      <c r="AC612">
        <v>20</v>
      </c>
      <c r="AD612" t="s">
        <v>2355</v>
      </c>
      <c r="AE612" s="7">
        <f t="shared" si="626"/>
        <v>38.729276800000008</v>
      </c>
      <c r="AF612" s="7"/>
      <c r="AG612" s="7">
        <f t="shared" si="627"/>
        <v>8.3333333333333339</v>
      </c>
      <c r="AH612" s="7">
        <f t="shared" si="628"/>
        <v>0</v>
      </c>
      <c r="AI612" s="7">
        <f t="shared" si="629"/>
        <v>0</v>
      </c>
      <c r="AJ612" s="7">
        <f t="shared" si="630"/>
        <v>0.17</v>
      </c>
      <c r="AK612" s="7">
        <f t="shared" si="631"/>
        <v>0.59</v>
      </c>
      <c r="AL612" s="7">
        <f t="shared" si="632"/>
        <v>5.18</v>
      </c>
      <c r="AM612" s="7">
        <f t="shared" si="633"/>
        <v>0.21666666666666667</v>
      </c>
      <c r="AN612" s="7">
        <f t="shared" si="634"/>
        <v>0.11</v>
      </c>
      <c r="AO612" s="6">
        <v>0</v>
      </c>
      <c r="AP612" s="6"/>
      <c r="AQ612" s="7">
        <f t="shared" si="635"/>
        <v>53.329276800000017</v>
      </c>
      <c r="AR612" s="7">
        <f t="shared" si="636"/>
        <v>0</v>
      </c>
      <c r="AS612" s="7"/>
      <c r="AT612" s="6">
        <v>0</v>
      </c>
      <c r="AV612" s="7">
        <f t="shared" si="637"/>
        <v>53.329276800000017</v>
      </c>
      <c r="AW612" s="4">
        <v>0.27632000000000001</v>
      </c>
      <c r="AX612" s="4">
        <v>0.26832</v>
      </c>
      <c r="AY612" s="8">
        <v>1</v>
      </c>
      <c r="AZ612" s="55">
        <f t="shared" si="638"/>
        <v>8.0000000000000071E-3</v>
      </c>
      <c r="BA612" s="4">
        <f t="shared" si="639"/>
        <v>38.729276800000008</v>
      </c>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DM612" s="4">
        <f t="shared" si="640"/>
        <v>0</v>
      </c>
      <c r="EF612">
        <v>450</v>
      </c>
      <c r="EG612">
        <v>4500</v>
      </c>
      <c r="EH612">
        <v>7.5</v>
      </c>
      <c r="EI612" s="8">
        <v>0.9</v>
      </c>
      <c r="EJ612">
        <v>2</v>
      </c>
      <c r="EK612">
        <v>90</v>
      </c>
      <c r="EL612" s="10">
        <f t="shared" si="641"/>
        <v>540</v>
      </c>
      <c r="EU612" s="4">
        <f>EG612/EL612+EX612+ER612</f>
        <v>8.3333333333333339</v>
      </c>
      <c r="EV612" s="4"/>
      <c r="EW612" s="4"/>
      <c r="GR612" s="8">
        <v>0.11</v>
      </c>
      <c r="GS612" s="4">
        <f>ROUNDUP(GR612*(BA612+EU612),2)</f>
        <v>5.18</v>
      </c>
      <c r="GT612" s="9">
        <v>1.2500000000000001E-2</v>
      </c>
      <c r="GU612" s="4">
        <f>ROUNDUP(GT612*(BA612+EU612),2)</f>
        <v>0.59</v>
      </c>
      <c r="GV612" s="8">
        <v>0.02</v>
      </c>
      <c r="GW612" s="4">
        <f>ROUNDUP(GV612*EU612,2)</f>
        <v>0.17</v>
      </c>
      <c r="GX612" s="4">
        <f t="shared" si="642"/>
        <v>5.9399999999999995</v>
      </c>
      <c r="GY612" t="s">
        <v>43</v>
      </c>
      <c r="GZ612" t="s">
        <v>87</v>
      </c>
      <c r="HA612">
        <v>650</v>
      </c>
      <c r="HB612">
        <v>450</v>
      </c>
      <c r="HC612">
        <v>330</v>
      </c>
      <c r="HD612">
        <v>40</v>
      </c>
      <c r="HE612">
        <v>50</v>
      </c>
      <c r="HF612" s="4">
        <f t="shared" si="643"/>
        <v>2</v>
      </c>
      <c r="HG612">
        <v>5</v>
      </c>
      <c r="HH612" s="4">
        <f t="shared" si="644"/>
        <v>10</v>
      </c>
      <c r="HI612">
        <v>650</v>
      </c>
      <c r="HJ612" s="4">
        <f t="shared" si="645"/>
        <v>6500</v>
      </c>
      <c r="HM612" s="4">
        <v>2</v>
      </c>
      <c r="HN612" s="10">
        <f t="shared" si="646"/>
        <v>30000</v>
      </c>
      <c r="HO612" s="4">
        <f t="shared" si="647"/>
        <v>0.21666666666666667</v>
      </c>
      <c r="HP612" s="4">
        <v>160</v>
      </c>
      <c r="HV612" s="4">
        <f t="shared" si="648"/>
        <v>0.21666666666666667</v>
      </c>
      <c r="HW612" s="4"/>
      <c r="HX612">
        <v>4200</v>
      </c>
      <c r="HY612">
        <v>1900</v>
      </c>
      <c r="HZ612">
        <v>1975</v>
      </c>
      <c r="IA612" s="4">
        <f t="shared" si="649"/>
        <v>6</v>
      </c>
      <c r="IB612" s="4">
        <f t="shared" si="650"/>
        <v>4</v>
      </c>
      <c r="IC612" s="4">
        <f t="shared" si="651"/>
        <v>5</v>
      </c>
      <c r="ID612" s="8">
        <v>0.95</v>
      </c>
      <c r="IE612" s="4">
        <f>ROUNDUP(PRODUCT(IA612:ID612),0)</f>
        <v>114</v>
      </c>
      <c r="IF612" s="4">
        <v>500</v>
      </c>
      <c r="IG612" s="4">
        <f t="shared" si="652"/>
        <v>0.11</v>
      </c>
      <c r="IH612" s="4"/>
    </row>
    <row r="613" spans="1:244">
      <c r="A613">
        <v>598</v>
      </c>
      <c r="B613" t="s">
        <v>468</v>
      </c>
      <c r="C613" t="s">
        <v>2387</v>
      </c>
      <c r="D613" s="28" t="s">
        <v>1454</v>
      </c>
      <c r="E613" s="28" t="s">
        <v>1455</v>
      </c>
      <c r="F613" s="28" t="s">
        <v>2182</v>
      </c>
      <c r="G613" s="27" t="s">
        <v>101</v>
      </c>
      <c r="I613" s="27" t="s">
        <v>121</v>
      </c>
      <c r="J613" s="28">
        <v>21677</v>
      </c>
      <c r="K613" s="27" t="s">
        <v>228</v>
      </c>
      <c r="L613" s="5"/>
      <c r="M613" s="5"/>
      <c r="Q613" s="13" t="s">
        <v>2301</v>
      </c>
      <c r="R613" s="13" t="s">
        <v>1194</v>
      </c>
      <c r="T613" s="5" t="s">
        <v>2251</v>
      </c>
      <c r="U613" s="5"/>
      <c r="V613" s="29" t="s">
        <v>2252</v>
      </c>
      <c r="W613"/>
      <c r="X613"/>
      <c r="Y613"/>
      <c r="Z613"/>
      <c r="AA613" s="51" t="s">
        <v>425</v>
      </c>
      <c r="AB613" s="66">
        <v>115.67</v>
      </c>
      <c r="AC613">
        <v>20</v>
      </c>
      <c r="AD613"/>
      <c r="AE613" s="7">
        <f t="shared" si="626"/>
        <v>31.764920000000004</v>
      </c>
      <c r="AF613" s="7"/>
      <c r="AG613" s="7">
        <f t="shared" si="627"/>
        <v>8.8157894736842106</v>
      </c>
      <c r="AH613" s="7">
        <f t="shared" si="628"/>
        <v>0.2</v>
      </c>
      <c r="AI613" s="7">
        <f t="shared" si="629"/>
        <v>0</v>
      </c>
      <c r="AJ613" s="7">
        <f t="shared" si="630"/>
        <v>0.18000000000000002</v>
      </c>
      <c r="AK613" s="7">
        <f t="shared" si="631"/>
        <v>0.51</v>
      </c>
      <c r="AL613" s="7">
        <f t="shared" si="632"/>
        <v>4.4638780421052635</v>
      </c>
      <c r="AM613" s="7">
        <f t="shared" si="633"/>
        <v>2.1999999999999997</v>
      </c>
      <c r="AN613" s="7">
        <f t="shared" si="634"/>
        <v>0.4</v>
      </c>
      <c r="AO613" s="6">
        <v>0</v>
      </c>
      <c r="AP613" s="6"/>
      <c r="AQ613" s="7">
        <f t="shared" si="635"/>
        <v>48.534587515789482</v>
      </c>
      <c r="AR613" s="7">
        <f t="shared" si="636"/>
        <v>0</v>
      </c>
      <c r="AS613" s="7"/>
      <c r="AT613" s="6">
        <v>0</v>
      </c>
      <c r="AV613" s="7">
        <f t="shared" si="637"/>
        <v>48.534587515789482</v>
      </c>
      <c r="AW613">
        <v>0.27600000000000002</v>
      </c>
      <c r="AX613">
        <v>0.26800000000000002</v>
      </c>
      <c r="AY613" s="8">
        <v>1</v>
      </c>
      <c r="AZ613" s="55">
        <f t="shared" si="638"/>
        <v>8.0000000000000071E-3</v>
      </c>
      <c r="BA613" s="4">
        <f t="shared" si="639"/>
        <v>31.764920000000004</v>
      </c>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F613">
        <v>1</v>
      </c>
      <c r="CG613">
        <v>0.2</v>
      </c>
      <c r="CH613" s="45">
        <f>CF613*CG613</f>
        <v>0.2</v>
      </c>
      <c r="DM613" s="4">
        <f t="shared" si="640"/>
        <v>0.2</v>
      </c>
      <c r="EF613">
        <v>360</v>
      </c>
      <c r="EG613">
        <v>3600</v>
      </c>
      <c r="EH613">
        <v>8</v>
      </c>
      <c r="EI613" s="8">
        <v>0.95</v>
      </c>
      <c r="EJ613">
        <v>1</v>
      </c>
      <c r="EK613">
        <v>67</v>
      </c>
      <c r="EL613" s="10">
        <f t="shared" si="641"/>
        <v>408.35820895522386</v>
      </c>
      <c r="EU613" s="4">
        <f>EG613/EL613+EX613+ER613</f>
        <v>8.8157894736842106</v>
      </c>
      <c r="EV613" s="4"/>
      <c r="EW613" s="4"/>
      <c r="GR613" s="8">
        <v>0.11</v>
      </c>
      <c r="GS613" s="4">
        <f>GR613*(BA613+EU613)</f>
        <v>4.4638780421052635</v>
      </c>
      <c r="GT613" s="9">
        <v>1.2500000000000001E-2</v>
      </c>
      <c r="GU613" s="4">
        <f>ROUNDUP(GT613*(BA613+EU613),2)</f>
        <v>0.51</v>
      </c>
      <c r="GV613" s="8">
        <v>0.02</v>
      </c>
      <c r="GW613" s="4">
        <f>ROUNDUP(GV613*EU613,2)</f>
        <v>0.18000000000000002</v>
      </c>
      <c r="GX613" s="4">
        <f t="shared" si="642"/>
        <v>5.153878042105263</v>
      </c>
      <c r="GY613" t="s">
        <v>130</v>
      </c>
      <c r="GZ613" t="s">
        <v>130</v>
      </c>
      <c r="HA613">
        <v>805</v>
      </c>
      <c r="HB613">
        <v>675</v>
      </c>
      <c r="HC613">
        <v>405</v>
      </c>
      <c r="HD613">
        <v>25</v>
      </c>
      <c r="HE613">
        <v>600</v>
      </c>
      <c r="HF613" s="4">
        <f t="shared" si="643"/>
        <v>24</v>
      </c>
      <c r="HG613">
        <v>5</v>
      </c>
      <c r="HH613" s="4">
        <f t="shared" si="644"/>
        <v>120</v>
      </c>
      <c r="HI613">
        <v>1100</v>
      </c>
      <c r="HJ613" s="4">
        <f t="shared" si="645"/>
        <v>132000</v>
      </c>
      <c r="HM613" s="4">
        <v>2</v>
      </c>
      <c r="HN613" s="10">
        <f t="shared" si="646"/>
        <v>360000</v>
      </c>
      <c r="HO613" s="4">
        <f t="shared" si="647"/>
        <v>0.36666666666666664</v>
      </c>
      <c r="HP613" s="4">
        <v>160</v>
      </c>
      <c r="HR613">
        <v>165</v>
      </c>
      <c r="HS613">
        <v>90</v>
      </c>
      <c r="HT613" s="4">
        <f>HR613/HS613</f>
        <v>1.8333333333333333</v>
      </c>
      <c r="HU613" s="4"/>
      <c r="HV613" s="4">
        <f t="shared" si="648"/>
        <v>2.1999999999999997</v>
      </c>
      <c r="HW613" s="4"/>
      <c r="HX613">
        <v>5016</v>
      </c>
      <c r="HY613">
        <v>1976</v>
      </c>
      <c r="HZ613">
        <v>2280</v>
      </c>
      <c r="IA613" s="4">
        <f t="shared" si="649"/>
        <v>6</v>
      </c>
      <c r="IB613" s="4">
        <f t="shared" si="650"/>
        <v>2</v>
      </c>
      <c r="IC613" s="4">
        <f t="shared" si="651"/>
        <v>5</v>
      </c>
      <c r="ID613" s="8">
        <v>1</v>
      </c>
      <c r="IE613" s="4">
        <f>ROUNDUP(PRODUCT(IA613:ID613),0)-10</f>
        <v>50</v>
      </c>
      <c r="IF613" s="4">
        <v>500</v>
      </c>
      <c r="IG613" s="4">
        <f t="shared" si="652"/>
        <v>0.4</v>
      </c>
      <c r="IH613" s="4"/>
    </row>
    <row r="614" spans="1:244">
      <c r="A614">
        <v>599</v>
      </c>
      <c r="B614" t="s">
        <v>468</v>
      </c>
      <c r="C614" t="s">
        <v>2388</v>
      </c>
      <c r="D614" s="28" t="s">
        <v>1456</v>
      </c>
      <c r="E614" s="28" t="s">
        <v>1457</v>
      </c>
      <c r="F614" s="28" t="s">
        <v>2182</v>
      </c>
      <c r="G614" s="27" t="s">
        <v>101</v>
      </c>
      <c r="I614" s="27" t="s">
        <v>121</v>
      </c>
      <c r="J614" s="28">
        <v>21677</v>
      </c>
      <c r="K614" s="27" t="s">
        <v>228</v>
      </c>
      <c r="L614" s="5"/>
      <c r="M614" s="5"/>
      <c r="N614" s="5"/>
      <c r="Q614" s="13" t="s">
        <v>2301</v>
      </c>
      <c r="R614" s="13" t="s">
        <v>1194</v>
      </c>
      <c r="V614" s="29" t="s">
        <v>2252</v>
      </c>
      <c r="W614"/>
      <c r="X614"/>
      <c r="Y614"/>
      <c r="Z614"/>
      <c r="AA614" s="51" t="s">
        <v>425</v>
      </c>
      <c r="AB614" s="66">
        <v>115.67</v>
      </c>
      <c r="AC614">
        <v>20</v>
      </c>
      <c r="AD614" t="s">
        <v>310</v>
      </c>
      <c r="AE614" s="7">
        <f t="shared" si="626"/>
        <v>31.996260000000003</v>
      </c>
      <c r="AF614" s="7"/>
      <c r="AG614" s="7">
        <f t="shared" si="627"/>
        <v>10.690789473684211</v>
      </c>
      <c r="AH614" s="7">
        <f t="shared" si="628"/>
        <v>0.2</v>
      </c>
      <c r="AI614" s="7">
        <f t="shared" si="629"/>
        <v>0</v>
      </c>
      <c r="AJ614" s="7">
        <f t="shared" si="630"/>
        <v>0.21381578947368421</v>
      </c>
      <c r="AK614" s="7">
        <f t="shared" si="631"/>
        <v>0.53358811842105269</v>
      </c>
      <c r="AL614" s="7">
        <f t="shared" si="632"/>
        <v>4.6955754421052633</v>
      </c>
      <c r="AM614" s="7">
        <f t="shared" si="633"/>
        <v>2.2916666666666665</v>
      </c>
      <c r="AN614" s="7">
        <f t="shared" si="634"/>
        <v>0.5</v>
      </c>
      <c r="AO614" s="6">
        <v>0</v>
      </c>
      <c r="AP614" s="6"/>
      <c r="AQ614" s="7">
        <f t="shared" si="635"/>
        <v>51.121695490350881</v>
      </c>
      <c r="AR614" s="7">
        <f t="shared" si="636"/>
        <v>0</v>
      </c>
      <c r="AS614" s="7"/>
      <c r="AT614" s="6">
        <v>0</v>
      </c>
      <c r="AV614" s="7">
        <f t="shared" si="637"/>
        <v>51.121695490350881</v>
      </c>
      <c r="AW614">
        <v>0.27800000000000002</v>
      </c>
      <c r="AX614">
        <v>0.27</v>
      </c>
      <c r="AY614" s="8">
        <v>1</v>
      </c>
      <c r="AZ614" s="55">
        <f t="shared" si="638"/>
        <v>8.0000000000000071E-3</v>
      </c>
      <c r="BA614" s="4">
        <f t="shared" si="639"/>
        <v>31.996260000000003</v>
      </c>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F614">
        <v>1</v>
      </c>
      <c r="CG614">
        <v>0.2</v>
      </c>
      <c r="CH614" s="45">
        <f>CF614*CG614</f>
        <v>0.2</v>
      </c>
      <c r="DM614" s="4">
        <f t="shared" si="640"/>
        <v>0.2</v>
      </c>
      <c r="EF614">
        <v>450</v>
      </c>
      <c r="EG614">
        <v>4500</v>
      </c>
      <c r="EH614">
        <v>8</v>
      </c>
      <c r="EI614" s="8">
        <v>0.95</v>
      </c>
      <c r="EJ614">
        <v>1</v>
      </c>
      <c r="EK614">
        <v>65</v>
      </c>
      <c r="EL614" s="10">
        <f t="shared" si="641"/>
        <v>420.92307692307691</v>
      </c>
      <c r="EU614" s="4">
        <f>EG614/EL614+EX614+ER614</f>
        <v>10.690789473684211</v>
      </c>
      <c r="EV614" s="4"/>
      <c r="EW614" s="4"/>
      <c r="GR614" s="8">
        <v>0.11</v>
      </c>
      <c r="GS614" s="4">
        <f>GR614*(BA614+EU614)</f>
        <v>4.6955754421052633</v>
      </c>
      <c r="GT614" s="9">
        <v>1.2500000000000001E-2</v>
      </c>
      <c r="GU614" s="4">
        <f>GT614*(BA614+EU614)</f>
        <v>0.53358811842105269</v>
      </c>
      <c r="GV614" s="8">
        <v>0.02</v>
      </c>
      <c r="GW614" s="4">
        <f>GV614*EU614</f>
        <v>0.21381578947368421</v>
      </c>
      <c r="GX614" s="4">
        <f t="shared" si="642"/>
        <v>5.4429793499999999</v>
      </c>
      <c r="HA614">
        <v>805</v>
      </c>
      <c r="HB614">
        <v>675</v>
      </c>
      <c r="HC614">
        <v>405</v>
      </c>
      <c r="HD614">
        <v>20</v>
      </c>
      <c r="HE614">
        <v>400</v>
      </c>
      <c r="HF614">
        <f t="shared" si="643"/>
        <v>20</v>
      </c>
      <c r="HG614">
        <v>5</v>
      </c>
      <c r="HH614" s="4">
        <f t="shared" si="644"/>
        <v>100</v>
      </c>
      <c r="HI614">
        <v>1100</v>
      </c>
      <c r="HJ614" s="4">
        <f t="shared" si="645"/>
        <v>110000</v>
      </c>
      <c r="HM614" s="4">
        <v>2</v>
      </c>
      <c r="HN614" s="10">
        <f t="shared" si="646"/>
        <v>240000</v>
      </c>
      <c r="HO614" s="4">
        <f t="shared" si="647"/>
        <v>0.45833333333333331</v>
      </c>
      <c r="HP614" s="4">
        <v>160</v>
      </c>
      <c r="HR614">
        <v>165</v>
      </c>
      <c r="HS614">
        <v>90</v>
      </c>
      <c r="HT614" s="4">
        <f>HR614/HS614</f>
        <v>1.8333333333333333</v>
      </c>
      <c r="HU614" s="4"/>
      <c r="HV614" s="4">
        <f t="shared" si="648"/>
        <v>2.2916666666666665</v>
      </c>
      <c r="HW614" s="4"/>
      <c r="HX614">
        <v>5016</v>
      </c>
      <c r="HY614">
        <v>1976</v>
      </c>
      <c r="HZ614">
        <v>2280</v>
      </c>
      <c r="IA614" s="4">
        <f t="shared" si="649"/>
        <v>6</v>
      </c>
      <c r="IB614" s="4">
        <f t="shared" si="650"/>
        <v>2</v>
      </c>
      <c r="IC614" s="4">
        <f t="shared" si="651"/>
        <v>5</v>
      </c>
      <c r="ID614" s="8">
        <v>1</v>
      </c>
      <c r="IE614" s="4">
        <f>ROUNDUP(PRODUCT(IA614:ID614),0)-10</f>
        <v>50</v>
      </c>
      <c r="IF614" s="4">
        <v>500</v>
      </c>
      <c r="IG614" s="4">
        <f t="shared" si="652"/>
        <v>0.5</v>
      </c>
      <c r="IH614" s="4"/>
    </row>
    <row r="615" spans="1:244">
      <c r="A615">
        <v>600</v>
      </c>
      <c r="B615" t="s">
        <v>468</v>
      </c>
      <c r="C615" t="s">
        <v>2389</v>
      </c>
      <c r="D615" s="28" t="s">
        <v>1458</v>
      </c>
      <c r="E615" s="28" t="s">
        <v>1443</v>
      </c>
      <c r="F615" s="28" t="s">
        <v>2182</v>
      </c>
      <c r="G615" s="27" t="s">
        <v>101</v>
      </c>
      <c r="I615" s="27" t="s">
        <v>121</v>
      </c>
      <c r="J615" s="28">
        <v>21697</v>
      </c>
      <c r="K615" s="27" t="s">
        <v>227</v>
      </c>
      <c r="Q615" s="13" t="s">
        <v>2301</v>
      </c>
      <c r="R615" s="13" t="s">
        <v>1194</v>
      </c>
      <c r="T615" s="5" t="s">
        <v>2251</v>
      </c>
      <c r="U615" s="5"/>
      <c r="V615" s="29" t="s">
        <v>2252</v>
      </c>
      <c r="W615"/>
      <c r="X615"/>
      <c r="Y615"/>
      <c r="Z615"/>
      <c r="AA615" s="51" t="s">
        <v>2390</v>
      </c>
      <c r="AB615" s="66">
        <v>172</v>
      </c>
      <c r="AC615">
        <v>20</v>
      </c>
      <c r="AD615" t="s">
        <v>2309</v>
      </c>
      <c r="AE615" s="7">
        <f t="shared" si="626"/>
        <v>197.6</v>
      </c>
      <c r="AF615" s="7"/>
      <c r="AG615" s="7">
        <f t="shared" si="627"/>
        <v>21.51</v>
      </c>
      <c r="AH615" s="7">
        <f t="shared" si="628"/>
        <v>0</v>
      </c>
      <c r="AI615" s="7">
        <f t="shared" si="629"/>
        <v>0</v>
      </c>
      <c r="AJ615" s="7">
        <f t="shared" si="630"/>
        <v>0.44</v>
      </c>
      <c r="AK615" s="7">
        <f t="shared" si="631"/>
        <v>2.7399999999999998</v>
      </c>
      <c r="AL615" s="7">
        <f t="shared" si="632"/>
        <v>24.110000000000003</v>
      </c>
      <c r="AM615" s="7">
        <f t="shared" si="633"/>
        <v>0.64166666666666672</v>
      </c>
      <c r="AN615" s="7">
        <f t="shared" si="634"/>
        <v>0.59</v>
      </c>
      <c r="AO615" s="6">
        <v>0</v>
      </c>
      <c r="AP615" s="6"/>
      <c r="AQ615" s="7">
        <f t="shared" si="635"/>
        <v>247.63166666666669</v>
      </c>
      <c r="AR615" s="7">
        <f t="shared" si="636"/>
        <v>0</v>
      </c>
      <c r="AS615" s="7"/>
      <c r="AT615" s="6">
        <v>0</v>
      </c>
      <c r="AV615" s="7">
        <f t="shared" si="637"/>
        <v>247.63166666666669</v>
      </c>
      <c r="AW615">
        <v>1.1499999999999999</v>
      </c>
      <c r="AX615">
        <v>1.1399999999999999</v>
      </c>
      <c r="AY615" s="8">
        <v>1</v>
      </c>
      <c r="AZ615" s="55">
        <f t="shared" si="638"/>
        <v>1.0000000000000009E-2</v>
      </c>
      <c r="BA615" s="4">
        <f t="shared" si="639"/>
        <v>197.6</v>
      </c>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DM615" s="4">
        <f t="shared" si="640"/>
        <v>0</v>
      </c>
      <c r="EF615">
        <v>550</v>
      </c>
      <c r="EG615">
        <v>5500</v>
      </c>
      <c r="EH615">
        <v>7.5</v>
      </c>
      <c r="EI615" s="8">
        <v>0.9</v>
      </c>
      <c r="EJ615">
        <v>1</v>
      </c>
      <c r="EK615">
        <v>95</v>
      </c>
      <c r="EL615" s="10">
        <f t="shared" si="641"/>
        <v>255.78947368421055</v>
      </c>
      <c r="EU615" s="4">
        <f>ROUNDUP(EG615/EL615+EX615+ER615,2)</f>
        <v>21.51</v>
      </c>
      <c r="EV615" s="4"/>
      <c r="EW615" s="4"/>
      <c r="GR615" s="8">
        <v>0.11</v>
      </c>
      <c r="GS615" s="4">
        <f>ROUNDUP(GR615*(BA615+EU615),2)</f>
        <v>24.110000000000003</v>
      </c>
      <c r="GT615" s="9">
        <v>1.2500000000000001E-2</v>
      </c>
      <c r="GU615" s="4">
        <f>ROUNDUP(GT615*(BA615+EU615),2)</f>
        <v>2.7399999999999998</v>
      </c>
      <c r="GV615" s="8">
        <v>0.02</v>
      </c>
      <c r="GW615" s="4">
        <f>ROUNDUP(GV615*EU615,2)</f>
        <v>0.44</v>
      </c>
      <c r="GX615" s="4">
        <f t="shared" si="642"/>
        <v>27.290000000000003</v>
      </c>
      <c r="GY615" t="s">
        <v>130</v>
      </c>
      <c r="GZ615" t="s">
        <v>130</v>
      </c>
      <c r="HA615">
        <v>810</v>
      </c>
      <c r="HB615">
        <v>568</v>
      </c>
      <c r="HC615">
        <v>425</v>
      </c>
      <c r="HD615">
        <v>15</v>
      </c>
      <c r="HE615">
        <v>200</v>
      </c>
      <c r="HF615" s="4">
        <f t="shared" si="643"/>
        <v>14</v>
      </c>
      <c r="HG615">
        <v>5</v>
      </c>
      <c r="HH615" s="4">
        <f t="shared" si="644"/>
        <v>70</v>
      </c>
      <c r="HI615">
        <v>1100</v>
      </c>
      <c r="HJ615" s="4">
        <f t="shared" si="645"/>
        <v>77000</v>
      </c>
      <c r="HM615" s="4">
        <v>2</v>
      </c>
      <c r="HN615" s="10">
        <f t="shared" si="646"/>
        <v>120000</v>
      </c>
      <c r="HO615" s="4">
        <f t="shared" si="647"/>
        <v>0.64166666666666672</v>
      </c>
      <c r="HP615" s="4">
        <v>160</v>
      </c>
      <c r="HV615" s="4">
        <f t="shared" si="648"/>
        <v>0.64166666666666672</v>
      </c>
      <c r="HW615" s="4"/>
      <c r="HX615">
        <v>4200</v>
      </c>
      <c r="HY615">
        <v>1900</v>
      </c>
      <c r="HZ615">
        <v>1975</v>
      </c>
      <c r="IA615" s="4">
        <f t="shared" si="649"/>
        <v>5</v>
      </c>
      <c r="IB615" s="4">
        <f t="shared" si="650"/>
        <v>3</v>
      </c>
      <c r="IC615" s="4">
        <f t="shared" si="651"/>
        <v>4</v>
      </c>
      <c r="ID615" s="8">
        <v>0.95</v>
      </c>
      <c r="IE615" s="4">
        <f>ROUNDUP(PRODUCT(IA615:ID615),0)</f>
        <v>57</v>
      </c>
      <c r="IF615" s="4">
        <v>500</v>
      </c>
      <c r="IG615" s="4">
        <f t="shared" si="652"/>
        <v>0.59</v>
      </c>
      <c r="IH615" s="4"/>
    </row>
    <row r="616" spans="1:244">
      <c r="A616">
        <v>601</v>
      </c>
      <c r="B616" t="s">
        <v>468</v>
      </c>
      <c r="C616" t="s">
        <v>2391</v>
      </c>
      <c r="D616" s="28" t="s">
        <v>1459</v>
      </c>
      <c r="E616" s="28" t="s">
        <v>729</v>
      </c>
      <c r="F616" s="28" t="s">
        <v>2182</v>
      </c>
      <c r="G616" s="27" t="s">
        <v>101</v>
      </c>
      <c r="I616" s="27" t="s">
        <v>121</v>
      </c>
      <c r="J616" s="28">
        <v>21697</v>
      </c>
      <c r="K616" s="27" t="s">
        <v>227</v>
      </c>
      <c r="Q616" s="13" t="s">
        <v>2308</v>
      </c>
      <c r="R616" s="13" t="s">
        <v>1194</v>
      </c>
      <c r="T616" s="5" t="s">
        <v>2251</v>
      </c>
      <c r="U616" s="5"/>
      <c r="V616" s="29" t="s">
        <v>2252</v>
      </c>
      <c r="W616"/>
      <c r="X616"/>
      <c r="Y616"/>
      <c r="Z616"/>
      <c r="AA616" s="51" t="s">
        <v>2392</v>
      </c>
      <c r="AB616" s="66">
        <v>263.41000000000003</v>
      </c>
      <c r="AC616">
        <v>20</v>
      </c>
      <c r="AD616" t="s">
        <v>2309</v>
      </c>
      <c r="AE616" s="7">
        <f t="shared" si="626"/>
        <v>0.56767250000000014</v>
      </c>
      <c r="AF616" s="7"/>
      <c r="AG616" s="7">
        <f t="shared" si="627"/>
        <v>0.41000000000000003</v>
      </c>
      <c r="AH616" s="7">
        <f t="shared" si="628"/>
        <v>0</v>
      </c>
      <c r="AI616" s="7">
        <f t="shared" si="629"/>
        <v>0</v>
      </c>
      <c r="AJ616" s="7">
        <f t="shared" si="630"/>
        <v>0.01</v>
      </c>
      <c r="AK616" s="7">
        <f t="shared" si="631"/>
        <v>0.02</v>
      </c>
      <c r="AL616" s="7">
        <f t="shared" si="632"/>
        <v>0.11</v>
      </c>
      <c r="AM616" s="7">
        <f t="shared" si="633"/>
        <v>0.01</v>
      </c>
      <c r="AN616" s="7">
        <f t="shared" si="634"/>
        <v>0.01</v>
      </c>
      <c r="AO616" s="6">
        <v>0</v>
      </c>
      <c r="AP616" s="6"/>
      <c r="AQ616" s="7">
        <f t="shared" si="635"/>
        <v>1.1376725000000003</v>
      </c>
      <c r="AR616" s="7">
        <f t="shared" si="636"/>
        <v>0</v>
      </c>
      <c r="AS616" s="7"/>
      <c r="AT616" s="6">
        <v>0</v>
      </c>
      <c r="AV616" s="7">
        <f t="shared" si="637"/>
        <v>1.1376725000000003</v>
      </c>
      <c r="AW616">
        <v>2.2500000000000003E-3</v>
      </c>
      <c r="AX616">
        <v>1E-3</v>
      </c>
      <c r="AY616" s="8">
        <v>1</v>
      </c>
      <c r="AZ616" s="55">
        <f t="shared" si="638"/>
        <v>1.2500000000000002E-3</v>
      </c>
      <c r="BA616" s="4">
        <f t="shared" si="639"/>
        <v>0.56767250000000014</v>
      </c>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DM616" s="4">
        <f t="shared" si="640"/>
        <v>0</v>
      </c>
      <c r="EG616">
        <v>1200</v>
      </c>
      <c r="EH616">
        <v>7.5</v>
      </c>
      <c r="EI616" s="8">
        <v>0.9</v>
      </c>
      <c r="EJ616">
        <v>8</v>
      </c>
      <c r="EK616">
        <v>65</v>
      </c>
      <c r="EL616" s="10">
        <f t="shared" si="641"/>
        <v>2990.7692307692309</v>
      </c>
      <c r="EU616" s="4">
        <f>ROUNDUP(EG616/EL616+EX616+ER616,2)</f>
        <v>0.41000000000000003</v>
      </c>
      <c r="EV616" s="4"/>
      <c r="EW616" s="4"/>
      <c r="GR616" s="8">
        <v>0.11</v>
      </c>
      <c r="GS616" s="4">
        <f>ROUNDUP(GR616*(BA616+EU616),2)</f>
        <v>0.11</v>
      </c>
      <c r="GT616" s="9">
        <v>1.2500000000000001E-2</v>
      </c>
      <c r="GU616" s="4">
        <f>ROUNDUP(GT616*(BA616+EU616),2)</f>
        <v>0.02</v>
      </c>
      <c r="GV616" s="8">
        <v>0.02</v>
      </c>
      <c r="GW616" s="4">
        <f>ROUNDUP(GV616*EU616,2)</f>
        <v>0.01</v>
      </c>
      <c r="GX616" s="4">
        <f t="shared" si="642"/>
        <v>0.14000000000000001</v>
      </c>
      <c r="GY616" t="s">
        <v>43</v>
      </c>
      <c r="GZ616" t="s">
        <v>87</v>
      </c>
      <c r="HA616">
        <v>650</v>
      </c>
      <c r="HB616">
        <v>450</v>
      </c>
      <c r="HC616">
        <v>330</v>
      </c>
      <c r="HD616">
        <v>10000</v>
      </c>
      <c r="HE616">
        <v>2400</v>
      </c>
      <c r="HF616" s="4">
        <f t="shared" si="643"/>
        <v>1</v>
      </c>
      <c r="HG616">
        <v>5</v>
      </c>
      <c r="HH616" s="4">
        <f t="shared" si="644"/>
        <v>5</v>
      </c>
      <c r="HI616">
        <v>650</v>
      </c>
      <c r="HJ616" s="4">
        <f t="shared" si="645"/>
        <v>3250</v>
      </c>
      <c r="HM616" s="4">
        <v>2</v>
      </c>
      <c r="HN616" s="10">
        <f t="shared" si="646"/>
        <v>1440000</v>
      </c>
      <c r="HO616" s="4">
        <f t="shared" si="647"/>
        <v>2.2569444444444442E-3</v>
      </c>
      <c r="HP616" s="4">
        <v>160</v>
      </c>
      <c r="HV616" s="4">
        <f>ROUNDUP(HO616+HT616,2)</f>
        <v>0.01</v>
      </c>
      <c r="HW616" s="4"/>
      <c r="HX616">
        <v>4200</v>
      </c>
      <c r="HY616">
        <v>1900</v>
      </c>
      <c r="HZ616">
        <v>1975</v>
      </c>
      <c r="IA616" s="4">
        <f t="shared" si="649"/>
        <v>6</v>
      </c>
      <c r="IB616" s="4">
        <f t="shared" si="650"/>
        <v>4</v>
      </c>
      <c r="IC616" s="4">
        <f t="shared" si="651"/>
        <v>5</v>
      </c>
      <c r="ID616" s="8">
        <v>0.95</v>
      </c>
      <c r="IE616" s="4">
        <f>ROUNDUP(PRODUCT(IA616:ID616),0)</f>
        <v>114</v>
      </c>
      <c r="IF616" s="4">
        <v>500</v>
      </c>
      <c r="IG616" s="4">
        <f t="shared" si="652"/>
        <v>0.01</v>
      </c>
      <c r="IH616" s="4"/>
    </row>
    <row r="617" spans="1:244" ht="30">
      <c r="A617">
        <v>602</v>
      </c>
      <c r="B617" t="s">
        <v>468</v>
      </c>
      <c r="C617" s="187" t="s">
        <v>2395</v>
      </c>
      <c r="D617" s="28" t="s">
        <v>1460</v>
      </c>
      <c r="E617" s="28" t="s">
        <v>1461</v>
      </c>
      <c r="F617" s="28" t="s">
        <v>2182</v>
      </c>
      <c r="G617" s="27" t="s">
        <v>101</v>
      </c>
      <c r="I617" s="27" t="s">
        <v>121</v>
      </c>
      <c r="J617" s="28">
        <v>21697</v>
      </c>
      <c r="K617" s="27" t="s">
        <v>227</v>
      </c>
      <c r="Q617" s="13" t="s">
        <v>1875</v>
      </c>
      <c r="R617" s="13" t="s">
        <v>1194</v>
      </c>
      <c r="T617" s="5" t="s">
        <v>2251</v>
      </c>
      <c r="U617" s="5"/>
      <c r="V617" s="29" t="s">
        <v>2252</v>
      </c>
      <c r="W617" s="72" t="s">
        <v>2393</v>
      </c>
      <c r="X617"/>
      <c r="Y617"/>
      <c r="Z617"/>
      <c r="AA617" s="51" t="s">
        <v>2394</v>
      </c>
      <c r="AB617" s="66">
        <v>395</v>
      </c>
      <c r="AC617">
        <v>20</v>
      </c>
      <c r="AD617" t="s">
        <v>441</v>
      </c>
      <c r="AE617" s="7">
        <f t="shared" si="626"/>
        <v>20.163499999999996</v>
      </c>
      <c r="AF617" s="7"/>
      <c r="AG617" s="7">
        <f t="shared" si="627"/>
        <v>4.8148148148148149</v>
      </c>
      <c r="AH617" s="7">
        <f t="shared" si="628"/>
        <v>0</v>
      </c>
      <c r="AI617" s="7">
        <f t="shared" si="629"/>
        <v>0</v>
      </c>
      <c r="AJ617" s="7">
        <f t="shared" si="630"/>
        <v>9.9999999999999992E-2</v>
      </c>
      <c r="AK617" s="7">
        <f t="shared" si="631"/>
        <v>0.31222893518518513</v>
      </c>
      <c r="AL617" s="7">
        <f t="shared" si="632"/>
        <v>2.75</v>
      </c>
      <c r="AM617" s="7">
        <f t="shared" si="633"/>
        <v>0.11</v>
      </c>
      <c r="AN617" s="7">
        <f t="shared" si="634"/>
        <v>0.09</v>
      </c>
      <c r="AO617" s="6">
        <v>0</v>
      </c>
      <c r="AP617" s="6"/>
      <c r="AQ617" s="7">
        <f t="shared" si="635"/>
        <v>28.340543749999995</v>
      </c>
      <c r="AR617" s="7">
        <f t="shared" si="636"/>
        <v>0.28340543749999997</v>
      </c>
      <c r="AS617" s="7"/>
      <c r="AT617" s="6">
        <v>0</v>
      </c>
      <c r="AU617">
        <f>28.66-28.62</f>
        <v>3.9999999999999147E-2</v>
      </c>
      <c r="AV617" s="7">
        <f t="shared" si="637"/>
        <v>28.663949187499995</v>
      </c>
      <c r="AW617">
        <v>5.1299999999999991E-2</v>
      </c>
      <c r="AX617">
        <v>4.6299999999999994E-2</v>
      </c>
      <c r="AY617" s="8">
        <v>1</v>
      </c>
      <c r="AZ617" s="55">
        <f t="shared" si="638"/>
        <v>4.9999999999999975E-3</v>
      </c>
      <c r="BA617" s="4">
        <f t="shared" si="639"/>
        <v>20.163499999999996</v>
      </c>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DM617" s="4">
        <f t="shared" si="640"/>
        <v>0</v>
      </c>
      <c r="EF617">
        <v>260</v>
      </c>
      <c r="EG617">
        <v>2600</v>
      </c>
      <c r="EH617">
        <v>7.5</v>
      </c>
      <c r="EI617" s="8">
        <v>0.9</v>
      </c>
      <c r="EJ617">
        <v>2</v>
      </c>
      <c r="EK617">
        <v>90</v>
      </c>
      <c r="EL617" s="10">
        <f t="shared" si="641"/>
        <v>540</v>
      </c>
      <c r="EU617" s="4">
        <f>EG617/EL617+EX617+ER617</f>
        <v>4.8148148148148149</v>
      </c>
      <c r="EV617" s="4"/>
      <c r="EW617" s="4"/>
      <c r="GR617" s="8">
        <v>0.11</v>
      </c>
      <c r="GS617" s="4">
        <f>ROUNDUP(GR617*(BA617+EU617),2)</f>
        <v>2.75</v>
      </c>
      <c r="GT617" s="9">
        <v>1.2500000000000001E-2</v>
      </c>
      <c r="GU617" s="4">
        <f>GT617*(BA617+EU617)</f>
        <v>0.31222893518518513</v>
      </c>
      <c r="GV617" s="8">
        <v>0.02</v>
      </c>
      <c r="GW617" s="4">
        <f>ROUNDUP(GV617*EU617,2)</f>
        <v>9.9999999999999992E-2</v>
      </c>
      <c r="GX617" s="4">
        <f t="shared" si="642"/>
        <v>3.1622289351851851</v>
      </c>
      <c r="GY617" t="s">
        <v>130</v>
      </c>
      <c r="GZ617" t="s">
        <v>130</v>
      </c>
      <c r="HA617">
        <v>650</v>
      </c>
      <c r="HB617">
        <v>450</v>
      </c>
      <c r="HC617">
        <v>330</v>
      </c>
      <c r="HD617">
        <v>50</v>
      </c>
      <c r="HE617">
        <v>400</v>
      </c>
      <c r="HF617" s="4">
        <f t="shared" si="643"/>
        <v>8</v>
      </c>
      <c r="HG617">
        <v>5</v>
      </c>
      <c r="HH617" s="4">
        <f t="shared" si="644"/>
        <v>40</v>
      </c>
      <c r="HI617">
        <v>650</v>
      </c>
      <c r="HJ617" s="4">
        <f t="shared" si="645"/>
        <v>26000</v>
      </c>
      <c r="HM617" s="4">
        <v>2</v>
      </c>
      <c r="HN617" s="10">
        <f t="shared" si="646"/>
        <v>240000</v>
      </c>
      <c r="HO617" s="4">
        <f t="shared" si="647"/>
        <v>0.10833333333333334</v>
      </c>
      <c r="HP617" s="4">
        <v>160</v>
      </c>
      <c r="HV617" s="4">
        <f>ROUNDUP(HO617+HT617,2)</f>
        <v>0.11</v>
      </c>
      <c r="HW617" s="4"/>
      <c r="HX617">
        <v>4200</v>
      </c>
      <c r="HY617">
        <v>1900</v>
      </c>
      <c r="HZ617">
        <v>1975</v>
      </c>
      <c r="IA617" s="4">
        <f t="shared" si="649"/>
        <v>6</v>
      </c>
      <c r="IB617" s="4">
        <f t="shared" si="650"/>
        <v>4</v>
      </c>
      <c r="IC617" s="4">
        <f t="shared" si="651"/>
        <v>5</v>
      </c>
      <c r="ID617" s="8">
        <v>0.95</v>
      </c>
      <c r="IE617" s="4">
        <f>ROUNDUP(PRODUCT(IA617:ID617),0)</f>
        <v>114</v>
      </c>
      <c r="IF617" s="4">
        <v>500</v>
      </c>
      <c r="IG617" s="4">
        <f t="shared" si="652"/>
        <v>0.09</v>
      </c>
      <c r="IH617" s="4"/>
      <c r="II617" s="8">
        <v>0.01</v>
      </c>
      <c r="IJ617" s="62">
        <f>II617*(IG617+HV617+GW617+GU617+GS617+EU617+BA617+DO617)</f>
        <v>0.28340543749999997</v>
      </c>
    </row>
    <row r="618" spans="1:244" ht="30">
      <c r="A618">
        <v>603</v>
      </c>
      <c r="B618" t="s">
        <v>468</v>
      </c>
      <c r="C618" t="s">
        <v>2396</v>
      </c>
      <c r="D618" s="28" t="s">
        <v>1462</v>
      </c>
      <c r="E618" s="28" t="s">
        <v>1461</v>
      </c>
      <c r="F618" s="28" t="s">
        <v>2182</v>
      </c>
      <c r="G618" s="27" t="s">
        <v>101</v>
      </c>
      <c r="I618" s="27" t="s">
        <v>121</v>
      </c>
      <c r="J618" s="28">
        <v>21697</v>
      </c>
      <c r="K618" s="27" t="s">
        <v>227</v>
      </c>
      <c r="Q618" s="13" t="s">
        <v>2397</v>
      </c>
      <c r="R618" s="13" t="s">
        <v>1194</v>
      </c>
      <c r="T618" s="5" t="s">
        <v>2251</v>
      </c>
      <c r="U618" s="5"/>
      <c r="V618" s="29" t="s">
        <v>2252</v>
      </c>
      <c r="W618" s="72" t="s">
        <v>2398</v>
      </c>
      <c r="X618"/>
      <c r="Y618"/>
      <c r="Z618"/>
      <c r="AA618" s="51" t="s">
        <v>2394</v>
      </c>
      <c r="AB618" s="66">
        <v>432</v>
      </c>
      <c r="AC618">
        <v>20</v>
      </c>
      <c r="AD618" t="s">
        <v>2309</v>
      </c>
      <c r="AE618" s="7">
        <f t="shared" si="626"/>
        <v>30.296000000000003</v>
      </c>
      <c r="AF618" s="7"/>
      <c r="AG618" s="7">
        <f t="shared" si="627"/>
        <v>5.0823045267489704</v>
      </c>
      <c r="AH618" s="7">
        <f t="shared" si="628"/>
        <v>0</v>
      </c>
      <c r="AI618" s="7">
        <f t="shared" si="629"/>
        <v>0</v>
      </c>
      <c r="AJ618" s="7">
        <f t="shared" si="630"/>
        <v>0.10164609053497942</v>
      </c>
      <c r="AK618" s="7">
        <f t="shared" si="631"/>
        <v>0.44222880658436226</v>
      </c>
      <c r="AL618" s="7">
        <f t="shared" si="632"/>
        <v>3.8916134979423873</v>
      </c>
      <c r="AM618" s="7">
        <f t="shared" si="633"/>
        <v>0.05</v>
      </c>
      <c r="AN618" s="7">
        <f t="shared" si="634"/>
        <v>0.04</v>
      </c>
      <c r="AO618" s="6">
        <v>0</v>
      </c>
      <c r="AP618" s="6"/>
      <c r="AQ618" s="7">
        <f t="shared" si="635"/>
        <v>39.903792921810698</v>
      </c>
      <c r="AR618" s="7">
        <f t="shared" si="636"/>
        <v>0</v>
      </c>
      <c r="AS618" s="7"/>
      <c r="AT618" s="6">
        <v>0</v>
      </c>
      <c r="AU618">
        <f>39.92-39.9</f>
        <v>2.0000000000003126E-2</v>
      </c>
      <c r="AV618" s="7">
        <f t="shared" si="637"/>
        <v>39.923792921810701</v>
      </c>
      <c r="AW618">
        <v>7.0500000000000007E-2</v>
      </c>
      <c r="AX618">
        <v>6.25E-2</v>
      </c>
      <c r="AY618" s="8">
        <v>1</v>
      </c>
      <c r="AZ618" s="55">
        <f t="shared" si="638"/>
        <v>8.0000000000000071E-3</v>
      </c>
      <c r="BA618" s="4">
        <f t="shared" si="639"/>
        <v>30.296000000000003</v>
      </c>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DM618" s="4">
        <f t="shared" si="640"/>
        <v>0</v>
      </c>
      <c r="EF618">
        <v>260</v>
      </c>
      <c r="EG618">
        <v>2600</v>
      </c>
      <c r="EH618">
        <v>7.5</v>
      </c>
      <c r="EI618" s="8">
        <v>0.9</v>
      </c>
      <c r="EJ618">
        <v>2</v>
      </c>
      <c r="EK618">
        <v>95</v>
      </c>
      <c r="EL618" s="10">
        <f t="shared" si="641"/>
        <v>511.5789473684211</v>
      </c>
      <c r="EU618" s="4">
        <f>EG618/EL618+EX618+ER618</f>
        <v>5.0823045267489704</v>
      </c>
      <c r="EV618" s="4"/>
      <c r="EW618" s="4"/>
      <c r="GR618" s="8">
        <v>0.11</v>
      </c>
      <c r="GS618" s="4">
        <f>GR618*(BA618+EU618)</f>
        <v>3.8916134979423873</v>
      </c>
      <c r="GT618" s="9">
        <v>1.2500000000000001E-2</v>
      </c>
      <c r="GU618" s="4">
        <f>GT618*(BA618+EU618)</f>
        <v>0.44222880658436226</v>
      </c>
      <c r="GV618" s="8">
        <v>0.02</v>
      </c>
      <c r="GW618" s="4">
        <f>GV618*EU618</f>
        <v>0.10164609053497942</v>
      </c>
      <c r="GX618" s="4">
        <f t="shared" si="642"/>
        <v>4.4354883950617285</v>
      </c>
      <c r="GY618" t="s">
        <v>130</v>
      </c>
      <c r="GZ618" t="s">
        <v>130</v>
      </c>
      <c r="HA618">
        <v>650</v>
      </c>
      <c r="HB618">
        <v>450</v>
      </c>
      <c r="HC618">
        <v>330</v>
      </c>
      <c r="HD618">
        <v>120</v>
      </c>
      <c r="HE618">
        <v>1200</v>
      </c>
      <c r="HF618" s="4">
        <f t="shared" si="643"/>
        <v>10</v>
      </c>
      <c r="HG618">
        <v>5</v>
      </c>
      <c r="HH618" s="4">
        <f t="shared" si="644"/>
        <v>50</v>
      </c>
      <c r="HI618">
        <v>650</v>
      </c>
      <c r="HJ618" s="4">
        <f t="shared" si="645"/>
        <v>32500</v>
      </c>
      <c r="HM618" s="4">
        <v>2</v>
      </c>
      <c r="HN618" s="10">
        <f t="shared" si="646"/>
        <v>720000</v>
      </c>
      <c r="HO618" s="4">
        <f t="shared" si="647"/>
        <v>4.5138888888888888E-2</v>
      </c>
      <c r="HP618" s="4">
        <v>160</v>
      </c>
      <c r="HV618" s="4">
        <f>ROUNDUP(HO618+HT618,2)</f>
        <v>0.05</v>
      </c>
      <c r="HW618" s="4"/>
      <c r="HX618">
        <v>4200</v>
      </c>
      <c r="HY618">
        <v>1900</v>
      </c>
      <c r="HZ618">
        <v>1975</v>
      </c>
      <c r="IA618" s="4">
        <f t="shared" si="649"/>
        <v>6</v>
      </c>
      <c r="IB618" s="4">
        <f t="shared" si="650"/>
        <v>4</v>
      </c>
      <c r="IC618" s="4">
        <f t="shared" si="651"/>
        <v>5</v>
      </c>
      <c r="ID618" s="8">
        <v>0.95</v>
      </c>
      <c r="IE618" s="4">
        <f>ROUNDUP(PRODUCT(IA618:ID618),0)</f>
        <v>114</v>
      </c>
      <c r="IF618" s="4">
        <v>500</v>
      </c>
      <c r="IG618" s="4">
        <f t="shared" si="652"/>
        <v>0.04</v>
      </c>
      <c r="IH618" s="4"/>
    </row>
    <row r="619" spans="1:244" ht="60">
      <c r="A619">
        <v>604</v>
      </c>
      <c r="B619" t="s">
        <v>468</v>
      </c>
      <c r="C619" t="s">
        <v>2399</v>
      </c>
      <c r="D619" s="28" t="s">
        <v>736</v>
      </c>
      <c r="E619" s="28" t="s">
        <v>737</v>
      </c>
      <c r="F619" s="28" t="s">
        <v>2182</v>
      </c>
      <c r="G619" s="27" t="s">
        <v>101</v>
      </c>
      <c r="I619" s="27" t="s">
        <v>226</v>
      </c>
      <c r="J619" s="28">
        <v>21691</v>
      </c>
      <c r="K619" s="27" t="s">
        <v>404</v>
      </c>
      <c r="Q619" s="13" t="s">
        <v>1768</v>
      </c>
      <c r="R619" s="13" t="s">
        <v>1778</v>
      </c>
      <c r="T619" s="5" t="s">
        <v>2251</v>
      </c>
      <c r="U619" s="5"/>
      <c r="V619" s="29" t="s">
        <v>2252</v>
      </c>
      <c r="W619" s="72" t="s">
        <v>2400</v>
      </c>
      <c r="X619"/>
      <c r="Y619"/>
      <c r="Z619"/>
      <c r="AA619" s="51" t="s">
        <v>1808</v>
      </c>
      <c r="AB619" s="66">
        <v>85.45</v>
      </c>
      <c r="AC619">
        <v>20</v>
      </c>
      <c r="AD619"/>
      <c r="AE619" s="7">
        <f t="shared" si="626"/>
        <v>21.355225000000001</v>
      </c>
      <c r="AF619" s="7"/>
      <c r="AG619" s="7">
        <f t="shared" si="627"/>
        <v>10.124269005847953</v>
      </c>
      <c r="AH619" s="7">
        <f t="shared" si="628"/>
        <v>0</v>
      </c>
      <c r="AI619" s="7">
        <f t="shared" si="629"/>
        <v>0</v>
      </c>
      <c r="AJ619" s="7">
        <f t="shared" si="630"/>
        <v>0.20248538011695907</v>
      </c>
      <c r="AK619" s="7">
        <f t="shared" si="631"/>
        <v>0.39349367507309946</v>
      </c>
      <c r="AL619" s="7">
        <f t="shared" si="632"/>
        <v>3.4627443406432747</v>
      </c>
      <c r="AM619" s="7">
        <f t="shared" si="633"/>
        <v>0.2902777777777778</v>
      </c>
      <c r="AN619" s="7">
        <f t="shared" si="634"/>
        <v>0.37202380952380953</v>
      </c>
      <c r="AO619" s="6">
        <v>0</v>
      </c>
      <c r="AP619" s="6"/>
      <c r="AQ619" s="7">
        <f t="shared" si="635"/>
        <v>36.200518988982871</v>
      </c>
      <c r="AR619" s="7">
        <f t="shared" si="636"/>
        <v>0</v>
      </c>
      <c r="AS619" s="7"/>
      <c r="AT619" s="6">
        <v>0</v>
      </c>
      <c r="AU619">
        <f>36.03-36.2</f>
        <v>-0.17000000000000171</v>
      </c>
      <c r="AV619" s="7">
        <f t="shared" si="637"/>
        <v>36.03051898898287</v>
      </c>
      <c r="AW619">
        <v>0.2505</v>
      </c>
      <c r="AX619">
        <v>0.248</v>
      </c>
      <c r="AY619" s="8">
        <v>1</v>
      </c>
      <c r="AZ619" s="55">
        <f t="shared" si="638"/>
        <v>2.5000000000000022E-3</v>
      </c>
      <c r="BA619" s="4">
        <f t="shared" si="639"/>
        <v>21.355225000000001</v>
      </c>
      <c r="BB619" s="4"/>
      <c r="BC619" s="4"/>
      <c r="BD619" s="4"/>
      <c r="BE619" s="4"/>
      <c r="BF619" s="4"/>
      <c r="BG619" s="4"/>
      <c r="BH619" s="4"/>
      <c r="BI619" s="4"/>
      <c r="DM619" s="4">
        <f t="shared" si="640"/>
        <v>0</v>
      </c>
      <c r="EF619">
        <v>500</v>
      </c>
      <c r="EG619">
        <v>5000</v>
      </c>
      <c r="EH619">
        <v>8</v>
      </c>
      <c r="EI619" s="8">
        <v>0.95</v>
      </c>
      <c r="EJ619">
        <v>1</v>
      </c>
      <c r="EK619">
        <v>55.4</v>
      </c>
      <c r="EL619" s="10">
        <f t="shared" si="641"/>
        <v>493.8628158844765</v>
      </c>
      <c r="EU619" s="4">
        <f>EG619/EL619+EX619+ER619</f>
        <v>10.124269005847953</v>
      </c>
      <c r="EV619" s="4"/>
      <c r="EW619" s="4"/>
      <c r="GR619" s="8">
        <v>0.11</v>
      </c>
      <c r="GS619" s="4">
        <f>GR619*(BA619+EU619)</f>
        <v>3.4627443406432747</v>
      </c>
      <c r="GT619" s="9">
        <v>1.2500000000000001E-2</v>
      </c>
      <c r="GU619" s="4">
        <f>GT619*(BA619+EU619)</f>
        <v>0.39349367507309946</v>
      </c>
      <c r="GV619" s="8">
        <v>0.02</v>
      </c>
      <c r="GW619" s="4">
        <f>GV619*EU619</f>
        <v>0.20248538011695907</v>
      </c>
      <c r="GX619" s="4">
        <f t="shared" si="642"/>
        <v>4.0587233958333337</v>
      </c>
      <c r="HA619">
        <v>980</v>
      </c>
      <c r="HB619">
        <v>700</v>
      </c>
      <c r="HC619">
        <v>450</v>
      </c>
      <c r="HD619">
        <v>32</v>
      </c>
      <c r="HE619">
        <v>600</v>
      </c>
      <c r="HF619">
        <f t="shared" si="643"/>
        <v>19</v>
      </c>
      <c r="HG619">
        <v>5</v>
      </c>
      <c r="HH619">
        <f t="shared" si="644"/>
        <v>95</v>
      </c>
      <c r="HI619">
        <v>1100</v>
      </c>
      <c r="HJ619">
        <f t="shared" si="645"/>
        <v>104500</v>
      </c>
      <c r="HM619">
        <v>2</v>
      </c>
      <c r="HN619">
        <f t="shared" si="646"/>
        <v>360000</v>
      </c>
      <c r="HO619" s="4">
        <f t="shared" si="647"/>
        <v>0.2902777777777778</v>
      </c>
      <c r="HP619" s="4">
        <v>160</v>
      </c>
      <c r="HV619" s="4">
        <f>HO619+HT619</f>
        <v>0.2902777777777778</v>
      </c>
      <c r="HW619" s="4"/>
      <c r="HX619">
        <v>5016</v>
      </c>
      <c r="HY619">
        <v>1976</v>
      </c>
      <c r="HZ619">
        <v>2280</v>
      </c>
      <c r="IA619" s="4">
        <f t="shared" si="649"/>
        <v>5</v>
      </c>
      <c r="IB619" s="4">
        <f t="shared" si="650"/>
        <v>2</v>
      </c>
      <c r="IC619" s="4">
        <f t="shared" si="651"/>
        <v>5</v>
      </c>
      <c r="ID619" s="8">
        <v>1</v>
      </c>
      <c r="IE619" s="4">
        <f>ROUNDUP(PRODUCT(IA619:ID619),0)-8</f>
        <v>42</v>
      </c>
      <c r="IF619" s="4">
        <v>500</v>
      </c>
      <c r="IG619" s="4">
        <f>IF619/(IE619*HD619)</f>
        <v>0.37202380952380953</v>
      </c>
      <c r="IH619" s="4"/>
    </row>
    <row r="620" spans="1:244">
      <c r="A620">
        <v>605</v>
      </c>
      <c r="B620" t="s">
        <v>1947</v>
      </c>
      <c r="D620" s="28" t="s">
        <v>736</v>
      </c>
      <c r="E620" s="28" t="s">
        <v>737</v>
      </c>
      <c r="F620" s="28" t="s">
        <v>1947</v>
      </c>
      <c r="G620" s="27" t="s">
        <v>101</v>
      </c>
      <c r="I620" s="27" t="s">
        <v>226</v>
      </c>
      <c r="J620" s="28">
        <v>21599</v>
      </c>
      <c r="K620" s="27" t="s">
        <v>1240</v>
      </c>
    </row>
    <row r="621" spans="1:244">
      <c r="A621">
        <v>606</v>
      </c>
      <c r="B621" t="s">
        <v>468</v>
      </c>
      <c r="C621" t="s">
        <v>2401</v>
      </c>
      <c r="D621" s="28" t="s">
        <v>738</v>
      </c>
      <c r="E621" s="28" t="s">
        <v>739</v>
      </c>
      <c r="F621" s="28" t="s">
        <v>2182</v>
      </c>
      <c r="G621" s="27" t="s">
        <v>101</v>
      </c>
      <c r="I621" s="27" t="s">
        <v>226</v>
      </c>
      <c r="J621" s="28">
        <v>21691</v>
      </c>
      <c r="K621" s="27" t="s">
        <v>404</v>
      </c>
      <c r="Q621" s="13" t="s">
        <v>1768</v>
      </c>
      <c r="R621" s="13" t="s">
        <v>1778</v>
      </c>
      <c r="T621" s="5" t="s">
        <v>2251</v>
      </c>
      <c r="U621" s="5"/>
      <c r="V621" s="29" t="s">
        <v>2252</v>
      </c>
      <c r="W621"/>
      <c r="X621"/>
      <c r="Y621"/>
      <c r="Z621"/>
      <c r="AA621" s="51" t="s">
        <v>2402</v>
      </c>
      <c r="AB621" s="66">
        <v>141.24</v>
      </c>
      <c r="AC621">
        <v>20</v>
      </c>
      <c r="AD621" t="s">
        <v>554</v>
      </c>
      <c r="AE621" s="7">
        <f>BA621</f>
        <v>25.716300000000004</v>
      </c>
      <c r="AF621" s="7"/>
      <c r="AG621" s="7">
        <f>EU621</f>
        <v>11.513157894736842</v>
      </c>
      <c r="AH621" s="7">
        <f>DM621</f>
        <v>2.62</v>
      </c>
      <c r="AI621" s="7">
        <f>DO621</f>
        <v>3.2750000000000001E-2</v>
      </c>
      <c r="AJ621" s="7">
        <f>GW621</f>
        <v>0.23026315789473686</v>
      </c>
      <c r="AK621" s="7">
        <f>GU621</f>
        <v>0.4653682236842106</v>
      </c>
      <c r="AL621" s="7">
        <f>GS621</f>
        <v>4.0952403684210532</v>
      </c>
      <c r="AM621" s="7">
        <f>HV621</f>
        <v>0.89166666666666672</v>
      </c>
      <c r="AN621" s="7">
        <f>IG621</f>
        <v>0.1</v>
      </c>
      <c r="AO621" s="6">
        <v>0</v>
      </c>
      <c r="AP621" s="6"/>
      <c r="AQ621" s="7">
        <f>SUM(AE621:AP621)</f>
        <v>45.664746311403512</v>
      </c>
      <c r="AR621" s="7">
        <f>IJ621</f>
        <v>0</v>
      </c>
      <c r="AS621" s="7"/>
      <c r="AT621" s="6">
        <v>0</v>
      </c>
      <c r="AV621" s="7">
        <f>AQ621+AT621+AU621+AR621</f>
        <v>45.664746311403512</v>
      </c>
      <c r="AW621">
        <v>0.1825</v>
      </c>
      <c r="AX621">
        <v>0.17949999999999999</v>
      </c>
      <c r="AY621" s="8">
        <v>1</v>
      </c>
      <c r="AZ621" s="55">
        <f>(AW621-AX621)*AY621</f>
        <v>3.0000000000000027E-3</v>
      </c>
      <c r="BA621" s="4">
        <f>AW621*AB621-AZ621*AC621</f>
        <v>25.716300000000004</v>
      </c>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F621">
        <v>2</v>
      </c>
      <c r="CG621">
        <v>1.31</v>
      </c>
      <c r="CH621" s="45">
        <f>CF621*CG621</f>
        <v>2.62</v>
      </c>
      <c r="DM621" s="4">
        <f>CH621+CM621+CR621+DB621+DG621+DL621</f>
        <v>2.62</v>
      </c>
      <c r="DN621" s="9">
        <v>1.2500000000000001E-2</v>
      </c>
      <c r="DO621" s="4">
        <f>DM621*DN621</f>
        <v>3.2750000000000001E-2</v>
      </c>
      <c r="DP621" s="4">
        <f>DM621+DO621</f>
        <v>2.6527500000000002</v>
      </c>
      <c r="EF621">
        <v>450</v>
      </c>
      <c r="EG621">
        <v>4500</v>
      </c>
      <c r="EH621">
        <v>8</v>
      </c>
      <c r="EI621" s="8">
        <v>0.95</v>
      </c>
      <c r="EJ621">
        <v>1</v>
      </c>
      <c r="EK621">
        <v>70</v>
      </c>
      <c r="EL621" s="10">
        <f>3600/EK621*EH621*EJ621*EI621</f>
        <v>390.85714285714283</v>
      </c>
      <c r="EU621" s="4">
        <f>EG621/EL621+EX621+ER621</f>
        <v>11.513157894736842</v>
      </c>
      <c r="EV621" s="4"/>
      <c r="EW621" s="4"/>
      <c r="GR621" s="8">
        <v>0.11</v>
      </c>
      <c r="GS621" s="4">
        <f>GR621*(BA621+EU621)</f>
        <v>4.0952403684210532</v>
      </c>
      <c r="GT621" s="9">
        <v>1.2500000000000001E-2</v>
      </c>
      <c r="GU621" s="4">
        <f>GT621*(BA621+EU621)</f>
        <v>0.4653682236842106</v>
      </c>
      <c r="GV621" s="8">
        <v>0.02</v>
      </c>
      <c r="GW621" s="4">
        <f>GV621*EU621</f>
        <v>0.23026315789473686</v>
      </c>
      <c r="GX621" s="4">
        <f>GS621+GU621+GW621</f>
        <v>4.7908717500000009</v>
      </c>
      <c r="GY621" t="s">
        <v>130</v>
      </c>
      <c r="GZ621" t="s">
        <v>130</v>
      </c>
      <c r="HA621">
        <v>980</v>
      </c>
      <c r="HB621">
        <v>700</v>
      </c>
      <c r="HC621">
        <v>450</v>
      </c>
      <c r="HD621">
        <v>100</v>
      </c>
      <c r="HE621">
        <v>1000</v>
      </c>
      <c r="HF621" s="4">
        <f>ROUNDUP(HE621/HD621,0)</f>
        <v>10</v>
      </c>
      <c r="HG621">
        <v>5</v>
      </c>
      <c r="HH621" s="4">
        <f>HF621*HG621</f>
        <v>50</v>
      </c>
      <c r="HI621">
        <v>1100</v>
      </c>
      <c r="HJ621" s="4">
        <f>HH621*HI621</f>
        <v>55000</v>
      </c>
      <c r="HM621" s="4">
        <v>2</v>
      </c>
      <c r="HN621" s="10">
        <f>HM621*12*25*HE621</f>
        <v>600000</v>
      </c>
      <c r="HO621" s="4">
        <f>IF(GY621="carton box",HI621/HD621,HJ621/HN621)</f>
        <v>9.166666666666666E-2</v>
      </c>
      <c r="HP621" s="4">
        <v>160</v>
      </c>
      <c r="HR621">
        <v>0.8</v>
      </c>
      <c r="HS621">
        <v>1</v>
      </c>
      <c r="HT621" s="4">
        <f>HR621/HS621</f>
        <v>0.8</v>
      </c>
      <c r="HU621" s="4"/>
      <c r="HV621" s="4">
        <f>HO621+HT621</f>
        <v>0.89166666666666672</v>
      </c>
      <c r="HW621" s="4"/>
      <c r="HX621">
        <v>5016</v>
      </c>
      <c r="HY621">
        <v>1976</v>
      </c>
      <c r="HZ621">
        <v>2280</v>
      </c>
      <c r="IA621" s="4">
        <f>ROUNDDOWN(HX621/HA621,0)</f>
        <v>5</v>
      </c>
      <c r="IB621" s="4">
        <f>ROUNDDOWN(HY621/HB621,0)</f>
        <v>2</v>
      </c>
      <c r="IC621" s="4">
        <f>ROUNDDOWN(HZ621/HC621,0)</f>
        <v>5</v>
      </c>
      <c r="ID621" s="8">
        <v>1</v>
      </c>
      <c r="IE621" s="4">
        <f>ROUNDUP(PRODUCT(IA621:ID621),0)</f>
        <v>50</v>
      </c>
      <c r="IF621" s="4">
        <v>500</v>
      </c>
      <c r="IG621" s="4">
        <f>ROUNDUP(IF621/(IE621*HD621),2)</f>
        <v>0.1</v>
      </c>
      <c r="IH621" s="4"/>
    </row>
    <row r="622" spans="1:244">
      <c r="A622">
        <v>607</v>
      </c>
      <c r="B622" t="s">
        <v>1947</v>
      </c>
      <c r="D622" s="28" t="s">
        <v>738</v>
      </c>
      <c r="E622" s="28" t="s">
        <v>739</v>
      </c>
      <c r="F622" s="28" t="s">
        <v>1947</v>
      </c>
      <c r="G622" s="27" t="s">
        <v>101</v>
      </c>
      <c r="I622" s="27" t="s">
        <v>226</v>
      </c>
      <c r="J622" s="28">
        <v>21599</v>
      </c>
      <c r="K622" s="27" t="s">
        <v>1240</v>
      </c>
      <c r="T622" s="5"/>
      <c r="U622" s="5"/>
      <c r="V622" s="29"/>
      <c r="W622" s="72"/>
      <c r="X622"/>
      <c r="Y622"/>
      <c r="Z622"/>
      <c r="AA622" s="51"/>
      <c r="AD622"/>
      <c r="AE622" s="7"/>
      <c r="AF622" s="7"/>
      <c r="AG622" s="7"/>
      <c r="AH622" s="7"/>
      <c r="AI622" s="7"/>
      <c r="AJ622" s="7"/>
      <c r="AK622" s="7"/>
      <c r="AL622" s="7"/>
      <c r="AM622" s="7"/>
      <c r="AN622" s="7"/>
      <c r="AO622" s="6"/>
      <c r="AP622" s="6"/>
      <c r="AQ622" s="7"/>
      <c r="AR622" s="7"/>
      <c r="AS622" s="7"/>
      <c r="AT622" s="6"/>
      <c r="AV622" s="7"/>
      <c r="AY622" s="8"/>
      <c r="AZ622" s="55"/>
      <c r="BA622" s="4"/>
      <c r="BB622" s="4"/>
      <c r="BC622" s="4"/>
      <c r="BD622" s="4"/>
      <c r="BE622" s="4"/>
      <c r="BF622" s="4"/>
      <c r="BG622" s="4"/>
      <c r="BH622" s="4"/>
      <c r="BI622" s="4"/>
      <c r="DM622" s="4"/>
      <c r="EI622" s="8"/>
      <c r="EL622" s="10"/>
      <c r="EU622" s="4"/>
      <c r="EV622" s="4"/>
      <c r="EW622" s="4"/>
      <c r="GR622" s="8"/>
      <c r="GS622" s="4"/>
      <c r="GT622" s="9"/>
      <c r="GU622" s="4"/>
      <c r="GV622" s="8"/>
      <c r="GW622" s="4"/>
      <c r="GX622" s="4"/>
      <c r="HO622" s="4"/>
      <c r="HP622" s="4"/>
      <c r="HV622" s="4"/>
      <c r="HW622" s="4"/>
      <c r="IA622" s="4"/>
      <c r="IB622" s="4"/>
      <c r="IC622" s="4"/>
      <c r="ID622" s="8"/>
      <c r="IE622" s="4"/>
      <c r="IF622" s="4"/>
      <c r="IG622" s="4"/>
      <c r="IH622" s="4"/>
    </row>
    <row r="623" spans="1:244">
      <c r="A623">
        <v>608</v>
      </c>
      <c r="B623" t="s">
        <v>468</v>
      </c>
      <c r="C623" t="s">
        <v>2403</v>
      </c>
      <c r="D623" s="28" t="s">
        <v>740</v>
      </c>
      <c r="E623" s="28" t="s">
        <v>174</v>
      </c>
      <c r="F623" s="28" t="s">
        <v>2182</v>
      </c>
      <c r="G623" s="27" t="s">
        <v>101</v>
      </c>
      <c r="I623" s="27" t="s">
        <v>226</v>
      </c>
      <c r="J623" s="28">
        <v>21590</v>
      </c>
      <c r="K623" s="27" t="s">
        <v>397</v>
      </c>
      <c r="Q623" s="13" t="s">
        <v>1768</v>
      </c>
      <c r="R623" s="13" t="s">
        <v>1778</v>
      </c>
      <c r="T623" s="5" t="s">
        <v>2251</v>
      </c>
      <c r="U623" s="5"/>
      <c r="V623" s="29" t="s">
        <v>2252</v>
      </c>
      <c r="W623"/>
      <c r="X623"/>
      <c r="Y623"/>
      <c r="Z623"/>
      <c r="AA623" s="51" t="s">
        <v>2404</v>
      </c>
      <c r="AB623" s="66">
        <v>355</v>
      </c>
      <c r="AC623">
        <v>20</v>
      </c>
      <c r="AD623" t="s">
        <v>2405</v>
      </c>
      <c r="AE623" s="7">
        <f>BA623</f>
        <v>41.1</v>
      </c>
      <c r="AF623" s="7"/>
      <c r="AG623" s="7">
        <f>EU623</f>
        <v>4.6296296296296298</v>
      </c>
      <c r="AH623" s="7">
        <f>DM623</f>
        <v>0</v>
      </c>
      <c r="AI623" s="7">
        <f>DO623</f>
        <v>0</v>
      </c>
      <c r="AJ623" s="7">
        <f>GW623</f>
        <v>9.2592592592592601E-2</v>
      </c>
      <c r="AK623" s="7">
        <f>GU623</f>
        <v>0.57162037037037039</v>
      </c>
      <c r="AL623" s="7">
        <f>GS623</f>
        <v>5.0302592592592594</v>
      </c>
      <c r="AM623" s="7">
        <f>HV623</f>
        <v>1.58</v>
      </c>
      <c r="AN623" s="7">
        <f>IG623</f>
        <v>6.2656641604010022E-2</v>
      </c>
      <c r="AO623" s="6">
        <v>0</v>
      </c>
      <c r="AP623" s="6"/>
      <c r="AQ623" s="7">
        <f>SUM(AE623:AP623)</f>
        <v>53.066758493455858</v>
      </c>
      <c r="AR623" s="7">
        <f>IJ623</f>
        <v>0</v>
      </c>
      <c r="AS623" s="7"/>
      <c r="AT623" s="6">
        <v>0</v>
      </c>
      <c r="AV623" s="7">
        <f>AQ623+AT623+AU623+AR623</f>
        <v>53.066758493455858</v>
      </c>
      <c r="AW623">
        <v>0.11600000000000001</v>
      </c>
      <c r="AX623">
        <v>0.112</v>
      </c>
      <c r="AY623" s="8">
        <v>1</v>
      </c>
      <c r="AZ623" s="55">
        <f>(AW623-AX623)*AY623</f>
        <v>4.0000000000000036E-3</v>
      </c>
      <c r="BA623" s="4">
        <f>AW623*AB623-AZ623*AC623</f>
        <v>41.1</v>
      </c>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DM623" s="4">
        <f>CH623+CM623+CR623+DB623+DG623+DL623</f>
        <v>0</v>
      </c>
      <c r="EF623">
        <v>450</v>
      </c>
      <c r="EG623">
        <v>4500</v>
      </c>
      <c r="EH623">
        <v>7.5</v>
      </c>
      <c r="EI623" s="8">
        <v>0.9</v>
      </c>
      <c r="EJ623">
        <v>2</v>
      </c>
      <c r="EK623">
        <v>50</v>
      </c>
      <c r="EL623" s="10">
        <f>3600/EK623*EH623*EJ623*EI623</f>
        <v>972</v>
      </c>
      <c r="EU623" s="4">
        <f>EG623/EL623+EX623+ER623</f>
        <v>4.6296296296296298</v>
      </c>
      <c r="EV623" s="4"/>
      <c r="EW623" s="4"/>
      <c r="GR623" s="8">
        <v>0.11</v>
      </c>
      <c r="GS623" s="4">
        <f>GR623*(BA623+EU623)</f>
        <v>5.0302592592592594</v>
      </c>
      <c r="GT623" s="9">
        <v>1.2500000000000001E-2</v>
      </c>
      <c r="GU623" s="4">
        <f>GT623*(BA623+EU623)</f>
        <v>0.57162037037037039</v>
      </c>
      <c r="GV623" s="8">
        <v>0.02</v>
      </c>
      <c r="GW623" s="4">
        <f>GV623*EU623</f>
        <v>9.2592592592592601E-2</v>
      </c>
      <c r="GX623" s="4">
        <f>GS623+GU623+GW623</f>
        <v>5.6944722222222222</v>
      </c>
      <c r="GY623" t="s">
        <v>130</v>
      </c>
      <c r="GZ623" t="s">
        <v>130</v>
      </c>
      <c r="HA623">
        <v>810</v>
      </c>
      <c r="HB623">
        <v>568</v>
      </c>
      <c r="HC623">
        <v>425</v>
      </c>
      <c r="HD623">
        <v>140</v>
      </c>
      <c r="HE623">
        <v>1000</v>
      </c>
      <c r="HF623" s="4">
        <f>ROUNDUP(HE623/HD623,0)</f>
        <v>8</v>
      </c>
      <c r="HG623">
        <v>5</v>
      </c>
      <c r="HH623" s="4">
        <f>HF623*HG623</f>
        <v>40</v>
      </c>
      <c r="HI623">
        <v>1100</v>
      </c>
      <c r="HJ623" s="4">
        <f>HH623*HI623</f>
        <v>44000</v>
      </c>
      <c r="HM623" s="4">
        <v>2</v>
      </c>
      <c r="HN623" s="10">
        <f>HM623*12*25*HE623</f>
        <v>600000</v>
      </c>
      <c r="HO623" s="4">
        <f>IF(GY623="carton box",HI623/HD623,HJ623/HN623)</f>
        <v>7.3333333333333334E-2</v>
      </c>
      <c r="HP623" s="4">
        <v>160</v>
      </c>
      <c r="HR623">
        <v>1.5</v>
      </c>
      <c r="HS623">
        <v>1</v>
      </c>
      <c r="HT623" s="4">
        <f>HR623/HS623</f>
        <v>1.5</v>
      </c>
      <c r="HU623" s="4"/>
      <c r="HV623" s="4">
        <f>ROUNDUP(HO623+HT623,2)</f>
        <v>1.58</v>
      </c>
      <c r="HW623" s="4"/>
      <c r="HX623">
        <v>4200</v>
      </c>
      <c r="HY623">
        <v>1900</v>
      </c>
      <c r="HZ623">
        <v>1975</v>
      </c>
      <c r="IA623" s="4">
        <f>ROUNDDOWN(HX623/HA623,0)</f>
        <v>5</v>
      </c>
      <c r="IB623" s="4">
        <f>ROUNDDOWN(HY623/HB623,0)</f>
        <v>3</v>
      </c>
      <c r="IC623" s="4">
        <f>ROUNDDOWN(HZ623/HC623,0)</f>
        <v>4</v>
      </c>
      <c r="ID623" s="8">
        <v>0.95</v>
      </c>
      <c r="IE623" s="4">
        <f>ROUNDUP(PRODUCT(IA623:ID623),0)</f>
        <v>57</v>
      </c>
      <c r="IF623" s="4">
        <v>500</v>
      </c>
      <c r="IG623" s="4">
        <f>IF623/(IE623*HD623)</f>
        <v>6.2656641604010022E-2</v>
      </c>
      <c r="IH623" s="4"/>
    </row>
    <row r="624" spans="1:244">
      <c r="A624">
        <v>609</v>
      </c>
      <c r="B624" t="s">
        <v>1947</v>
      </c>
      <c r="D624" s="28" t="s">
        <v>740</v>
      </c>
      <c r="E624" s="28" t="s">
        <v>174</v>
      </c>
      <c r="F624" s="28" t="s">
        <v>1947</v>
      </c>
      <c r="G624" s="27" t="s">
        <v>101</v>
      </c>
      <c r="I624" s="27" t="s">
        <v>226</v>
      </c>
      <c r="J624" s="28">
        <v>21599</v>
      </c>
      <c r="K624" s="27" t="s">
        <v>1240</v>
      </c>
    </row>
    <row r="625" spans="1:242">
      <c r="A625">
        <v>610</v>
      </c>
      <c r="B625" t="s">
        <v>468</v>
      </c>
      <c r="C625" t="s">
        <v>2406</v>
      </c>
      <c r="D625" s="28" t="s">
        <v>1463</v>
      </c>
      <c r="E625" s="28" t="s">
        <v>1464</v>
      </c>
      <c r="F625" s="28" t="s">
        <v>2182</v>
      </c>
      <c r="G625" s="27" t="s">
        <v>101</v>
      </c>
      <c r="I625" s="27" t="s">
        <v>226</v>
      </c>
      <c r="J625" s="28">
        <v>21691</v>
      </c>
      <c r="K625" s="27" t="s">
        <v>404</v>
      </c>
      <c r="Q625" s="13" t="s">
        <v>1768</v>
      </c>
      <c r="R625" s="13" t="s">
        <v>1778</v>
      </c>
      <c r="T625" s="5" t="s">
        <v>2251</v>
      </c>
      <c r="U625" s="5"/>
      <c r="V625" s="29" t="s">
        <v>2252</v>
      </c>
      <c r="W625"/>
      <c r="X625"/>
      <c r="Y625"/>
      <c r="Z625"/>
      <c r="AA625" s="51" t="s">
        <v>2407</v>
      </c>
      <c r="AB625" s="66">
        <v>141.24</v>
      </c>
      <c r="AC625">
        <v>20</v>
      </c>
      <c r="AD625" t="s">
        <v>554</v>
      </c>
      <c r="AE625" s="7">
        <f>BA625</f>
        <v>93.158400000000015</v>
      </c>
      <c r="AF625" s="7"/>
      <c r="AG625" s="7">
        <f>EU625</f>
        <v>21.92982456140351</v>
      </c>
      <c r="AH625" s="7">
        <f>DM625</f>
        <v>0</v>
      </c>
      <c r="AI625" s="7">
        <f>DO625</f>
        <v>0</v>
      </c>
      <c r="AJ625" s="7">
        <f>GW625</f>
        <v>0.43859649122807021</v>
      </c>
      <c r="AK625" s="7">
        <f>GU625</f>
        <v>1.4386028070175441</v>
      </c>
      <c r="AL625" s="7">
        <f>GS625</f>
        <v>12.659704701754388</v>
      </c>
      <c r="AM625" s="7">
        <f>HV625</f>
        <v>6.0416666666666661</v>
      </c>
      <c r="AN625" s="7">
        <f>IG625</f>
        <v>2.5</v>
      </c>
      <c r="AO625" s="6">
        <v>0</v>
      </c>
      <c r="AP625" s="6"/>
      <c r="AQ625" s="7">
        <f>SUM(AE625:AP625)</f>
        <v>138.16679522807019</v>
      </c>
      <c r="AR625" s="7">
        <f>IJ625</f>
        <v>0</v>
      </c>
      <c r="AS625" s="7"/>
      <c r="AT625" s="6">
        <v>0</v>
      </c>
      <c r="AV625" s="7">
        <f>AQ625+AT625+AU625+AR625</f>
        <v>138.16679522807019</v>
      </c>
      <c r="AW625">
        <v>0.66</v>
      </c>
      <c r="AX625">
        <v>0.65700000000000003</v>
      </c>
      <c r="AY625" s="8">
        <v>1</v>
      </c>
      <c r="AZ625" s="55">
        <f>(AW625-AX625)*AY625</f>
        <v>3.0000000000000027E-3</v>
      </c>
      <c r="BA625" s="4">
        <f>AW625*AB625-AZ625*AC625</f>
        <v>93.158400000000015</v>
      </c>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DM625" s="4">
        <f>CH625+CM625+CR625+DB625+DG625+DL625</f>
        <v>0</v>
      </c>
      <c r="EF625">
        <v>800</v>
      </c>
      <c r="EG625">
        <v>8000</v>
      </c>
      <c r="EH625">
        <v>8</v>
      </c>
      <c r="EI625" s="8">
        <v>0.95</v>
      </c>
      <c r="EJ625">
        <v>1</v>
      </c>
      <c r="EK625">
        <v>75</v>
      </c>
      <c r="EL625" s="10">
        <f>3600/EK625*EH625*EJ625*EI625</f>
        <v>364.79999999999995</v>
      </c>
      <c r="EU625" s="4">
        <f>EG625/EL625+EX625+ER625</f>
        <v>21.92982456140351</v>
      </c>
      <c r="EV625" s="4"/>
      <c r="EW625" s="4"/>
      <c r="GR625" s="8">
        <v>0.11</v>
      </c>
      <c r="GS625" s="4">
        <f>GR625*(BA625+EU625)</f>
        <v>12.659704701754388</v>
      </c>
      <c r="GT625" s="9">
        <v>1.2500000000000001E-2</v>
      </c>
      <c r="GU625" s="4">
        <f>GT625*(BA625+EU625)</f>
        <v>1.4386028070175441</v>
      </c>
      <c r="GV625" s="8">
        <v>0.02</v>
      </c>
      <c r="GW625" s="4">
        <f>GV625*EU625</f>
        <v>0.43859649122807021</v>
      </c>
      <c r="GX625" s="4">
        <f>GS625+GU625+GW625</f>
        <v>14.536904000000002</v>
      </c>
      <c r="GY625" t="s">
        <v>130</v>
      </c>
      <c r="GZ625" t="s">
        <v>130</v>
      </c>
      <c r="HA625">
        <v>980</v>
      </c>
      <c r="HB625">
        <v>700</v>
      </c>
      <c r="HC625">
        <v>450</v>
      </c>
      <c r="HD625">
        <v>4</v>
      </c>
      <c r="HE625">
        <v>1000</v>
      </c>
      <c r="HF625" s="4">
        <f>ROUNDUP(HE625/HD625,0)</f>
        <v>250</v>
      </c>
      <c r="HG625">
        <v>5</v>
      </c>
      <c r="HH625" s="4">
        <f>HF625*HG625</f>
        <v>1250</v>
      </c>
      <c r="HI625">
        <v>1100</v>
      </c>
      <c r="HJ625" s="4">
        <f>HH625*HI625</f>
        <v>1375000</v>
      </c>
      <c r="HM625" s="4">
        <v>2</v>
      </c>
      <c r="HN625" s="10">
        <f>HM625*12*25*HE625</f>
        <v>600000</v>
      </c>
      <c r="HO625" s="4">
        <f>IF(GY625="carton box",HI625/HD625,HJ625/HN625)</f>
        <v>2.2916666666666665</v>
      </c>
      <c r="HP625" s="4">
        <v>160</v>
      </c>
      <c r="HR625">
        <v>150</v>
      </c>
      <c r="HS625">
        <v>40</v>
      </c>
      <c r="HT625" s="4">
        <f>HR625/HS625</f>
        <v>3.75</v>
      </c>
      <c r="HU625" s="4"/>
      <c r="HV625" s="4">
        <f>HO625+HT625</f>
        <v>6.0416666666666661</v>
      </c>
      <c r="HW625" s="4"/>
      <c r="HX625">
        <v>5016</v>
      </c>
      <c r="HY625">
        <v>1976</v>
      </c>
      <c r="HZ625">
        <v>2280</v>
      </c>
      <c r="IA625" s="4">
        <f>ROUNDDOWN(HX625/HA625,0)</f>
        <v>5</v>
      </c>
      <c r="IB625" s="4">
        <f>ROUNDDOWN(HY625/HB625,0)</f>
        <v>2</v>
      </c>
      <c r="IC625" s="4">
        <f>ROUNDDOWN(HZ625/HC625,0)</f>
        <v>5</v>
      </c>
      <c r="ID625" s="8">
        <v>1</v>
      </c>
      <c r="IE625" s="4">
        <f>ROUNDUP(PRODUCT(IA625:ID625),0)</f>
        <v>50</v>
      </c>
      <c r="IF625" s="4">
        <v>500</v>
      </c>
      <c r="IG625" s="4">
        <f>ROUNDUP(IF625/(IE625*HD625),2)</f>
        <v>2.5</v>
      </c>
      <c r="IH625" s="4"/>
    </row>
    <row r="626" spans="1:242">
      <c r="A626">
        <v>611</v>
      </c>
      <c r="B626" t="s">
        <v>1947</v>
      </c>
      <c r="D626" s="28" t="s">
        <v>1463</v>
      </c>
      <c r="E626" s="28" t="s">
        <v>1464</v>
      </c>
      <c r="F626" s="28" t="s">
        <v>1947</v>
      </c>
      <c r="G626" s="27" t="s">
        <v>101</v>
      </c>
      <c r="I626" s="27" t="s">
        <v>226</v>
      </c>
      <c r="J626" s="28">
        <v>21599</v>
      </c>
      <c r="K626" s="27" t="s">
        <v>1240</v>
      </c>
    </row>
    <row r="627" spans="1:242" ht="75">
      <c r="A627">
        <v>612</v>
      </c>
      <c r="B627" t="s">
        <v>468</v>
      </c>
      <c r="C627" t="s">
        <v>2408</v>
      </c>
      <c r="D627" s="28" t="s">
        <v>1465</v>
      </c>
      <c r="E627" s="28" t="s">
        <v>1466</v>
      </c>
      <c r="F627" s="28" t="s">
        <v>2182</v>
      </c>
      <c r="G627" s="27" t="s">
        <v>101</v>
      </c>
      <c r="I627" s="27" t="s">
        <v>226</v>
      </c>
      <c r="J627" s="28">
        <v>21691</v>
      </c>
      <c r="K627" s="27" t="s">
        <v>404</v>
      </c>
      <c r="Q627" s="13" t="s">
        <v>1768</v>
      </c>
      <c r="R627" s="13" t="s">
        <v>1778</v>
      </c>
      <c r="T627" s="5" t="s">
        <v>2251</v>
      </c>
      <c r="U627" s="5"/>
      <c r="V627" s="29" t="s">
        <v>2252</v>
      </c>
      <c r="W627" s="72" t="s">
        <v>2409</v>
      </c>
      <c r="X627" s="72"/>
      <c r="Y627" s="72"/>
      <c r="Z627" s="72"/>
      <c r="AA627" s="51" t="s">
        <v>1808</v>
      </c>
      <c r="AB627" s="66">
        <v>85.45</v>
      </c>
      <c r="AC627">
        <v>20</v>
      </c>
      <c r="AD627"/>
      <c r="AE627" s="7">
        <f>BA627</f>
        <v>10.6867</v>
      </c>
      <c r="AF627" s="7"/>
      <c r="AG627" s="7">
        <f>EU627</f>
        <v>7.3099415204678371</v>
      </c>
      <c r="AH627" s="7">
        <f>DM627</f>
        <v>0</v>
      </c>
      <c r="AI627" s="7">
        <f>DO627</f>
        <v>0</v>
      </c>
      <c r="AJ627" s="7">
        <f>GW627</f>
        <v>0.14619883040935674</v>
      </c>
      <c r="AK627" s="7">
        <f>GU627</f>
        <v>0.22495801900584797</v>
      </c>
      <c r="AL627" s="7">
        <f>GS627</f>
        <v>1.979630567251462</v>
      </c>
      <c r="AM627" s="7">
        <f>HV627</f>
        <v>6.1111111111111109E-2</v>
      </c>
      <c r="AN627" s="7">
        <f>IG627</f>
        <v>0.08</v>
      </c>
      <c r="AO627" s="6">
        <v>0</v>
      </c>
      <c r="AP627" s="6"/>
      <c r="AQ627" s="7">
        <f>SUM(AE627:AP627)</f>
        <v>20.488540048245611</v>
      </c>
      <c r="AR627" s="7">
        <f>IJ627</f>
        <v>0</v>
      </c>
      <c r="AS627" s="7"/>
      <c r="AT627" s="6">
        <v>0</v>
      </c>
      <c r="AU627">
        <f>20.22-20.49</f>
        <v>-0.26999999999999957</v>
      </c>
      <c r="AV627" s="7">
        <f>AQ627+AT627+AU627+AR627</f>
        <v>20.218540048245611</v>
      </c>
      <c r="AW627">
        <v>0.126</v>
      </c>
      <c r="AX627">
        <v>0.122</v>
      </c>
      <c r="AY627" s="8">
        <v>1</v>
      </c>
      <c r="AZ627" s="55">
        <f>(AW627-AX627)*AY627</f>
        <v>4.0000000000000036E-3</v>
      </c>
      <c r="BA627" s="4">
        <f>AW627*AB627-AZ627*AC627</f>
        <v>10.6867</v>
      </c>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DM627" s="4">
        <f>CH627+CM627+CR627+DB627+DG627+DL627</f>
        <v>0</v>
      </c>
      <c r="EF627">
        <v>400</v>
      </c>
      <c r="EG627">
        <v>4000</v>
      </c>
      <c r="EH627">
        <v>8</v>
      </c>
      <c r="EI627" s="8">
        <v>0.95</v>
      </c>
      <c r="EJ627">
        <v>1</v>
      </c>
      <c r="EK627">
        <v>50</v>
      </c>
      <c r="EL627" s="10">
        <f>3600/EK627*EH627*EJ627*EI627</f>
        <v>547.19999999999993</v>
      </c>
      <c r="EU627" s="4">
        <f>EG627/EL627+EX627+ER627</f>
        <v>7.3099415204678371</v>
      </c>
      <c r="EV627" s="4"/>
      <c r="EW627" s="4"/>
      <c r="GR627" s="8">
        <v>0.11</v>
      </c>
      <c r="GS627" s="4">
        <f>GR627*(BA627+EU627)</f>
        <v>1.979630567251462</v>
      </c>
      <c r="GT627" s="9">
        <v>1.2500000000000001E-2</v>
      </c>
      <c r="GU627" s="4">
        <f>GT627*(BA627+EU627)</f>
        <v>0.22495801900584797</v>
      </c>
      <c r="GV627" s="8">
        <v>0.02</v>
      </c>
      <c r="GW627" s="4">
        <f>GV627*EU627</f>
        <v>0.14619883040935674</v>
      </c>
      <c r="GX627" s="4">
        <f>GS627+GU627+GW627</f>
        <v>2.3507874166666669</v>
      </c>
      <c r="GY627" t="s">
        <v>130</v>
      </c>
      <c r="GZ627" t="s">
        <v>130</v>
      </c>
      <c r="HA627">
        <v>980</v>
      </c>
      <c r="HB627">
        <v>700</v>
      </c>
      <c r="HC627">
        <v>450</v>
      </c>
      <c r="HD627">
        <v>150</v>
      </c>
      <c r="HE627">
        <v>600</v>
      </c>
      <c r="HF627" s="4">
        <f>ROUNDUP(HE627/HD627,0)</f>
        <v>4</v>
      </c>
      <c r="HG627">
        <v>5</v>
      </c>
      <c r="HH627" s="4">
        <f>HF627*HG627</f>
        <v>20</v>
      </c>
      <c r="HI627">
        <v>1100</v>
      </c>
      <c r="HJ627" s="4">
        <f>HH627*HI627</f>
        <v>22000</v>
      </c>
      <c r="HM627" s="4">
        <v>2</v>
      </c>
      <c r="HN627" s="10">
        <f>HM627*12*25*HE627</f>
        <v>360000</v>
      </c>
      <c r="HO627" s="4">
        <f>IF(GY627="carton box",HI627/HD627,HJ627/HN627)</f>
        <v>6.1111111111111109E-2</v>
      </c>
      <c r="HP627" s="4">
        <v>160</v>
      </c>
      <c r="HT627" s="4"/>
      <c r="HU627" s="4"/>
      <c r="HV627" s="4">
        <f>HO627+HT627</f>
        <v>6.1111111111111109E-2</v>
      </c>
      <c r="HW627" s="4"/>
      <c r="HX627">
        <v>5016</v>
      </c>
      <c r="HY627">
        <v>1976</v>
      </c>
      <c r="HZ627">
        <v>2280</v>
      </c>
      <c r="IA627" s="4">
        <f>ROUNDDOWN(HX627/HA627,0)</f>
        <v>5</v>
      </c>
      <c r="IB627" s="4">
        <f>ROUNDDOWN(HY627/HB627,0)</f>
        <v>2</v>
      </c>
      <c r="IC627" s="4">
        <f>ROUNDDOWN(HZ627/HC627,0)</f>
        <v>5</v>
      </c>
      <c r="ID627" s="8">
        <v>1</v>
      </c>
      <c r="IE627" s="4">
        <f>ROUNDUP(PRODUCT(IA627:ID627),0)-7</f>
        <v>43</v>
      </c>
      <c r="IF627" s="4">
        <v>500</v>
      </c>
      <c r="IG627" s="4">
        <f>ROUNDUP(IF627/(IE627*HD627),2)</f>
        <v>0.08</v>
      </c>
      <c r="IH627" s="4"/>
    </row>
    <row r="628" spans="1:242">
      <c r="A628">
        <v>613</v>
      </c>
      <c r="B628" t="s">
        <v>1947</v>
      </c>
      <c r="D628" s="28" t="s">
        <v>1465</v>
      </c>
      <c r="E628" s="28" t="s">
        <v>1466</v>
      </c>
      <c r="F628" s="28" t="s">
        <v>1947</v>
      </c>
      <c r="G628" s="27" t="s">
        <v>101</v>
      </c>
      <c r="I628" s="27" t="s">
        <v>226</v>
      </c>
      <c r="J628" s="28">
        <v>21599</v>
      </c>
      <c r="K628" s="27" t="s">
        <v>1240</v>
      </c>
    </row>
    <row r="629" spans="1:242">
      <c r="A629">
        <v>614</v>
      </c>
      <c r="B629" t="s">
        <v>468</v>
      </c>
      <c r="C629" t="s">
        <v>2410</v>
      </c>
      <c r="D629" s="28" t="s">
        <v>1467</v>
      </c>
      <c r="E629" s="28" t="s">
        <v>1318</v>
      </c>
      <c r="F629" s="28" t="s">
        <v>2182</v>
      </c>
      <c r="G629" s="27" t="s">
        <v>101</v>
      </c>
      <c r="I629" s="27" t="s">
        <v>226</v>
      </c>
      <c r="J629" s="28">
        <v>21691</v>
      </c>
      <c r="K629" s="27" t="s">
        <v>404</v>
      </c>
      <c r="Q629" s="13" t="s">
        <v>1768</v>
      </c>
      <c r="R629" s="13" t="s">
        <v>1778</v>
      </c>
      <c r="T629" s="5" t="s">
        <v>2251</v>
      </c>
      <c r="U629" s="5"/>
      <c r="V629" s="29" t="s">
        <v>2252</v>
      </c>
      <c r="W629"/>
      <c r="X629"/>
      <c r="Y629"/>
      <c r="Z629"/>
      <c r="AA629" s="51" t="s">
        <v>2411</v>
      </c>
      <c r="AB629" s="66">
        <v>355</v>
      </c>
      <c r="AC629">
        <v>20</v>
      </c>
      <c r="AD629"/>
      <c r="AE629" s="7">
        <f>BA629</f>
        <v>86.814999999999998</v>
      </c>
      <c r="AF629" s="7"/>
      <c r="AG629" s="7">
        <f>EU629</f>
        <v>15.442251461988304</v>
      </c>
      <c r="AH629" s="7">
        <f>DM629</f>
        <v>3.8</v>
      </c>
      <c r="AI629" s="7">
        <f>DO629</f>
        <v>4.7500000000000001E-2</v>
      </c>
      <c r="AJ629" s="7">
        <f>GW629</f>
        <v>0.30884502923976609</v>
      </c>
      <c r="AK629" s="7">
        <f>GU629</f>
        <v>1.2782156432748539</v>
      </c>
      <c r="AL629" s="7">
        <f>GS629</f>
        <v>11.248297660818713</v>
      </c>
      <c r="AM629" s="7">
        <f>HV629</f>
        <v>1.1833333333333333</v>
      </c>
      <c r="AN629" s="7">
        <f>IG629</f>
        <v>0.24000000000000002</v>
      </c>
      <c r="AO629" s="6">
        <v>0</v>
      </c>
      <c r="AP629" s="6"/>
      <c r="AQ629" s="7">
        <f>SUM(AE629:AP629)</f>
        <v>120.36344312865495</v>
      </c>
      <c r="AR629" s="7">
        <f>IJ629</f>
        <v>0</v>
      </c>
      <c r="AS629" s="7"/>
      <c r="AT629" s="6">
        <v>0</v>
      </c>
      <c r="AV629" s="7">
        <f>AQ629+AT629+AU629+AR629</f>
        <v>120.36344312865495</v>
      </c>
      <c r="AW629">
        <v>0.245</v>
      </c>
      <c r="AX629">
        <v>0.23699999999999999</v>
      </c>
      <c r="AY629" s="8">
        <v>1</v>
      </c>
      <c r="AZ629" s="55">
        <f>(AW629-AX629)*AY629</f>
        <v>8.0000000000000071E-3</v>
      </c>
      <c r="BA629" s="4">
        <f>AW629*AB629-AZ629*AC629</f>
        <v>86.814999999999998</v>
      </c>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F629">
        <v>2</v>
      </c>
      <c r="CG629">
        <v>1.9</v>
      </c>
      <c r="CH629" s="45">
        <f>CF629*CG629</f>
        <v>3.8</v>
      </c>
      <c r="DM629" s="4">
        <f>CH629+CM629+CR629+DB629+DG629+DL629</f>
        <v>3.8</v>
      </c>
      <c r="DN629" s="9">
        <v>1.2500000000000001E-2</v>
      </c>
      <c r="DO629" s="4">
        <f>DM629*DN629</f>
        <v>4.7500000000000001E-2</v>
      </c>
      <c r="DP629" s="4">
        <f>DM629+DO629</f>
        <v>3.8474999999999997</v>
      </c>
      <c r="EF629">
        <v>650</v>
      </c>
      <c r="EG629">
        <v>6500</v>
      </c>
      <c r="EH629">
        <v>8</v>
      </c>
      <c r="EI629" s="8">
        <v>0.95</v>
      </c>
      <c r="EJ629">
        <v>1</v>
      </c>
      <c r="EK629">
        <v>65</v>
      </c>
      <c r="EL629" s="10">
        <f>3600/EK629*EH629*EJ629*EI629</f>
        <v>420.92307692307691</v>
      </c>
      <c r="EU629" s="4">
        <f>EG629/EL629+EX629+ER629</f>
        <v>15.442251461988304</v>
      </c>
      <c r="EV629" s="4"/>
      <c r="EW629" s="4"/>
      <c r="GR629" s="8">
        <v>0.11</v>
      </c>
      <c r="GS629" s="4">
        <f>GR629*(BA629+EU629)</f>
        <v>11.248297660818713</v>
      </c>
      <c r="GT629" s="9">
        <v>1.2500000000000001E-2</v>
      </c>
      <c r="GU629" s="4">
        <f>GT629*(BA629+EU629)</f>
        <v>1.2782156432748539</v>
      </c>
      <c r="GV629" s="8">
        <v>0.02</v>
      </c>
      <c r="GW629" s="4">
        <f>GV629*EU629</f>
        <v>0.30884502923976609</v>
      </c>
      <c r="GX629" s="4">
        <f>GS629+GU629+GW629</f>
        <v>12.835358333333332</v>
      </c>
      <c r="GY629" t="s">
        <v>130</v>
      </c>
      <c r="GZ629" t="s">
        <v>130</v>
      </c>
      <c r="HA629">
        <v>980</v>
      </c>
      <c r="HB629">
        <v>700</v>
      </c>
      <c r="HC629">
        <v>450</v>
      </c>
      <c r="HD629">
        <v>50</v>
      </c>
      <c r="HE629">
        <v>600</v>
      </c>
      <c r="HF629" s="4">
        <f>ROUNDUP(HE629/HD629,0)</f>
        <v>12</v>
      </c>
      <c r="HG629">
        <v>5</v>
      </c>
      <c r="HH629" s="4">
        <f>HF629*HG629</f>
        <v>60</v>
      </c>
      <c r="HI629">
        <v>1100</v>
      </c>
      <c r="HJ629" s="4">
        <f>HH629*HI629</f>
        <v>66000</v>
      </c>
      <c r="HM629" s="4">
        <v>2</v>
      </c>
      <c r="HN629" s="10">
        <f>HM629*12*25*HE629</f>
        <v>360000</v>
      </c>
      <c r="HO629" s="4">
        <f>IF(GY629="carton box",HI629/HD629,HJ629/HN629)</f>
        <v>0.18333333333333332</v>
      </c>
      <c r="HP629" s="4">
        <v>160</v>
      </c>
      <c r="HR629">
        <v>1</v>
      </c>
      <c r="HS629">
        <v>1</v>
      </c>
      <c r="HT629" s="4">
        <f>HR629/HS629</f>
        <v>1</v>
      </c>
      <c r="HU629" s="4"/>
      <c r="HV629" s="4">
        <f>HO629+HT629</f>
        <v>1.1833333333333333</v>
      </c>
      <c r="HW629" s="4"/>
      <c r="HX629">
        <v>5016</v>
      </c>
      <c r="HY629">
        <v>1976</v>
      </c>
      <c r="HZ629">
        <v>2280</v>
      </c>
      <c r="IA629" s="4">
        <f>ROUNDDOWN(HX629/HA629,0)</f>
        <v>5</v>
      </c>
      <c r="IB629" s="4">
        <f>ROUNDDOWN(HY629/HB629,0)</f>
        <v>2</v>
      </c>
      <c r="IC629" s="4">
        <f>ROUNDDOWN(HZ629/HC629,0)</f>
        <v>5</v>
      </c>
      <c r="ID629" s="8">
        <v>1</v>
      </c>
      <c r="IE629" s="4">
        <f>ROUNDUP(PRODUCT(IA629:ID629),0)-8</f>
        <v>42</v>
      </c>
      <c r="IF629" s="4">
        <v>500</v>
      </c>
      <c r="IG629" s="4">
        <f>ROUNDUP(IF629/(IE629*HD629),2)</f>
        <v>0.24000000000000002</v>
      </c>
      <c r="IH629" s="4"/>
    </row>
    <row r="630" spans="1:242">
      <c r="A630">
        <v>615</v>
      </c>
      <c r="B630" t="s">
        <v>1947</v>
      </c>
      <c r="D630" s="28" t="s">
        <v>1467</v>
      </c>
      <c r="E630" s="28" t="s">
        <v>1318</v>
      </c>
      <c r="F630" s="28" t="s">
        <v>1947</v>
      </c>
      <c r="G630" s="27" t="s">
        <v>101</v>
      </c>
      <c r="I630" s="27" t="s">
        <v>226</v>
      </c>
      <c r="J630" s="28">
        <v>21599</v>
      </c>
      <c r="K630" s="27" t="s">
        <v>1240</v>
      </c>
    </row>
    <row r="631" spans="1:242">
      <c r="A631">
        <v>616</v>
      </c>
      <c r="B631" t="s">
        <v>468</v>
      </c>
      <c r="C631" t="s">
        <v>2412</v>
      </c>
      <c r="D631" s="28" t="s">
        <v>1468</v>
      </c>
      <c r="E631" s="28" t="s">
        <v>1469</v>
      </c>
      <c r="F631" s="28" t="s">
        <v>2182</v>
      </c>
      <c r="G631" s="27" t="s">
        <v>101</v>
      </c>
      <c r="I631" s="27" t="s">
        <v>226</v>
      </c>
      <c r="J631" s="28">
        <v>21691</v>
      </c>
      <c r="K631" s="27" t="s">
        <v>404</v>
      </c>
      <c r="Q631" s="13" t="s">
        <v>1768</v>
      </c>
      <c r="R631" s="13" t="s">
        <v>1778</v>
      </c>
      <c r="T631" s="5" t="s">
        <v>2251</v>
      </c>
      <c r="U631" s="5"/>
      <c r="V631" s="29" t="s">
        <v>2252</v>
      </c>
      <c r="W631"/>
      <c r="X631"/>
      <c r="Y631"/>
      <c r="Z631"/>
      <c r="AA631" s="51" t="s">
        <v>2407</v>
      </c>
      <c r="AB631" s="66">
        <v>141.24</v>
      </c>
      <c r="AC631">
        <v>20</v>
      </c>
      <c r="AD631" t="s">
        <v>554</v>
      </c>
      <c r="AE631" s="7">
        <f>BA631</f>
        <v>41.484560000000002</v>
      </c>
      <c r="AF631" s="7"/>
      <c r="AG631" s="7">
        <f>EU631</f>
        <v>10.779605263157896</v>
      </c>
      <c r="AH631" s="7">
        <f>DM631</f>
        <v>3.35</v>
      </c>
      <c r="AI631" s="7">
        <f>DO631</f>
        <v>4.1875000000000002E-2</v>
      </c>
      <c r="AJ631" s="7">
        <f>GW631</f>
        <v>0.20559210526315791</v>
      </c>
      <c r="AK631" s="7">
        <f>GU631</f>
        <v>0.65330206578947381</v>
      </c>
      <c r="AL631" s="7">
        <f>GS631</f>
        <v>5.694058178947369</v>
      </c>
      <c r="AM631" s="7">
        <f>HV631</f>
        <v>1.5750000000000002</v>
      </c>
      <c r="AN631" s="7">
        <f>IG631</f>
        <v>0.33333333333333331</v>
      </c>
      <c r="AO631" s="6">
        <v>0</v>
      </c>
      <c r="AP631" s="6"/>
      <c r="AQ631" s="7">
        <f>SUM(AE631:AP631)</f>
        <v>64.117325946491235</v>
      </c>
      <c r="AR631" s="7">
        <f>IJ631</f>
        <v>0</v>
      </c>
      <c r="AS631" s="7"/>
      <c r="AT631" s="6">
        <v>0</v>
      </c>
      <c r="AV631" s="7">
        <f>AQ631+AT631+AU631+AR631</f>
        <v>64.117325946491235</v>
      </c>
      <c r="AW631">
        <v>0.29399999999999998</v>
      </c>
      <c r="AX631">
        <v>0.29199999999999998</v>
      </c>
      <c r="AY631" s="8">
        <v>1</v>
      </c>
      <c r="AZ631" s="55">
        <f>(AW631-AX631)*AY631</f>
        <v>2.0000000000000018E-3</v>
      </c>
      <c r="BA631" s="4">
        <f>AW631*AB631-AZ631*AC631</f>
        <v>41.484560000000002</v>
      </c>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F631">
        <v>1</v>
      </c>
      <c r="CG631">
        <v>3.35</v>
      </c>
      <c r="CH631" s="4">
        <f>CF631*CG631</f>
        <v>3.35</v>
      </c>
      <c r="DM631" s="4">
        <f>CH631+CM631+CR631+DB631+DG631+DL631</f>
        <v>3.35</v>
      </c>
      <c r="DN631" s="9">
        <v>1.2500000000000001E-2</v>
      </c>
      <c r="DO631" s="4">
        <f>DM631*DN631</f>
        <v>4.1875000000000002E-2</v>
      </c>
      <c r="DP631" s="4">
        <f>DM631+DO631</f>
        <v>3.3918750000000002</v>
      </c>
      <c r="EF631">
        <v>750</v>
      </c>
      <c r="EG631">
        <v>7500</v>
      </c>
      <c r="EH631">
        <v>8</v>
      </c>
      <c r="EI631" s="8">
        <v>0.95</v>
      </c>
      <c r="EJ631">
        <v>2</v>
      </c>
      <c r="EK631">
        <v>75</v>
      </c>
      <c r="EL631" s="10">
        <f>3600/EK631*EH631*EJ631*EI631</f>
        <v>729.59999999999991</v>
      </c>
      <c r="EU631" s="4">
        <f>EG631/EL631+EX631+ER631</f>
        <v>10.779605263157896</v>
      </c>
      <c r="EV631" s="4"/>
      <c r="EW631" s="4"/>
      <c r="EX631">
        <v>0.5</v>
      </c>
      <c r="FA631" s="4">
        <f>EX631+EZ631+EY631</f>
        <v>0.5</v>
      </c>
      <c r="FB631" s="4"/>
      <c r="FC631" s="4"/>
      <c r="FD631" s="4"/>
      <c r="FE631" s="4"/>
      <c r="FF631" s="4"/>
      <c r="FG631" s="4"/>
      <c r="FH631" s="4"/>
      <c r="FI631" s="4"/>
      <c r="FJ631" s="4"/>
      <c r="FK631" s="4"/>
      <c r="FL631" s="4"/>
      <c r="FM631" s="4"/>
      <c r="FN631" s="4"/>
      <c r="FO631" s="4"/>
      <c r="FP631" s="4"/>
      <c r="FQ631" s="4"/>
      <c r="FR631" s="4"/>
      <c r="FS631" s="4"/>
      <c r="FT631" s="4"/>
      <c r="FU631" s="4"/>
      <c r="FV631" s="4"/>
      <c r="FW631" s="4"/>
      <c r="FX631" s="4"/>
      <c r="FY631" s="4"/>
      <c r="FZ631" s="4"/>
      <c r="GA631" s="4"/>
      <c r="GB631" s="4"/>
      <c r="GC631" s="4"/>
      <c r="GD631" s="4"/>
      <c r="GE631" s="4"/>
      <c r="GF631" s="4"/>
      <c r="GG631" s="4"/>
      <c r="GH631" s="4"/>
      <c r="GI631" s="4"/>
      <c r="GJ631" s="4"/>
      <c r="GK631" s="4"/>
      <c r="GL631" s="4"/>
      <c r="GM631" s="4"/>
      <c r="GN631" s="4"/>
      <c r="GO631" s="4"/>
      <c r="GP631" s="4"/>
      <c r="GQ631" s="4"/>
      <c r="GR631" s="8">
        <v>0.11</v>
      </c>
      <c r="GS631" s="4">
        <f>GR631*(BA631+EU631-EX631)</f>
        <v>5.694058178947369</v>
      </c>
      <c r="GT631" s="9">
        <v>1.2500000000000001E-2</v>
      </c>
      <c r="GU631" s="4">
        <f>GT631*(BA631+EU631)</f>
        <v>0.65330206578947381</v>
      </c>
      <c r="GV631" s="8">
        <v>0.02</v>
      </c>
      <c r="GW631" s="4">
        <f>(GV631*(EU631-FA631))</f>
        <v>0.20559210526315791</v>
      </c>
      <c r="GX631" s="4">
        <f>GS631+GU631+GW631</f>
        <v>6.55295235</v>
      </c>
      <c r="GY631" t="s">
        <v>130</v>
      </c>
      <c r="GZ631" t="s">
        <v>130</v>
      </c>
      <c r="HA631">
        <v>980</v>
      </c>
      <c r="HB631">
        <v>700</v>
      </c>
      <c r="HC631">
        <v>450</v>
      </c>
      <c r="HD631">
        <v>30</v>
      </c>
      <c r="HE631">
        <v>1000</v>
      </c>
      <c r="HF631" s="4">
        <f>ROUNDUP(HE631/HD631,0)-4</f>
        <v>30</v>
      </c>
      <c r="HG631">
        <v>5</v>
      </c>
      <c r="HH631" s="4">
        <f>HF631*HG631</f>
        <v>150</v>
      </c>
      <c r="HI631">
        <v>1100</v>
      </c>
      <c r="HJ631" s="4">
        <f>HH631*HI631</f>
        <v>165000</v>
      </c>
      <c r="HM631" s="4">
        <v>2</v>
      </c>
      <c r="HN631" s="10">
        <f>HM631*12*25*HE631</f>
        <v>600000</v>
      </c>
      <c r="HO631" s="4">
        <f>IF(GY631="carton box",HI631/HD631,HJ631/HN631)</f>
        <v>0.27500000000000002</v>
      </c>
      <c r="HP631" s="4">
        <v>160</v>
      </c>
      <c r="HR631">
        <v>1.3</v>
      </c>
      <c r="HS631">
        <v>1</v>
      </c>
      <c r="HT631" s="4">
        <f>HR631/HS631</f>
        <v>1.3</v>
      </c>
      <c r="HU631" s="4"/>
      <c r="HV631" s="4">
        <f>HO631+HT631</f>
        <v>1.5750000000000002</v>
      </c>
      <c r="HW631" s="4"/>
      <c r="HX631">
        <v>5016</v>
      </c>
      <c r="HY631">
        <v>1976</v>
      </c>
      <c r="HZ631">
        <v>2280</v>
      </c>
      <c r="IA631" s="4">
        <f>ROUNDDOWN(HX631/HA631,0)</f>
        <v>5</v>
      </c>
      <c r="IB631" s="4">
        <f>ROUNDDOWN(HY631/HB631,0)</f>
        <v>2</v>
      </c>
      <c r="IC631" s="4">
        <f>ROUNDDOWN(HZ631/HC631,0)</f>
        <v>5</v>
      </c>
      <c r="ID631" s="8">
        <v>1</v>
      </c>
      <c r="IE631" s="4">
        <f>ROUNDUP(PRODUCT(IA631:ID631),0)</f>
        <v>50</v>
      </c>
      <c r="IF631" s="4">
        <v>500</v>
      </c>
      <c r="IG631" s="4">
        <f>IF631/(IE631*HD631)</f>
        <v>0.33333333333333331</v>
      </c>
      <c r="IH631" s="4"/>
    </row>
    <row r="632" spans="1:242">
      <c r="A632">
        <v>617</v>
      </c>
      <c r="B632" t="s">
        <v>1947</v>
      </c>
      <c r="D632" s="28" t="s">
        <v>1468</v>
      </c>
      <c r="E632" s="28" t="s">
        <v>1470</v>
      </c>
      <c r="F632" s="28" t="s">
        <v>1947</v>
      </c>
      <c r="G632" s="27" t="s">
        <v>101</v>
      </c>
      <c r="I632" s="27" t="s">
        <v>226</v>
      </c>
      <c r="J632" s="28">
        <v>21599</v>
      </c>
      <c r="K632" s="27" t="s">
        <v>1240</v>
      </c>
    </row>
    <row r="633" spans="1:242">
      <c r="A633">
        <v>618</v>
      </c>
      <c r="B633" t="s">
        <v>468</v>
      </c>
      <c r="C633" t="s">
        <v>2413</v>
      </c>
      <c r="D633" s="28" t="s">
        <v>1471</v>
      </c>
      <c r="E633" s="28" t="s">
        <v>1472</v>
      </c>
      <c r="F633" s="28" t="s">
        <v>2182</v>
      </c>
      <c r="G633" s="27" t="s">
        <v>101</v>
      </c>
      <c r="I633" s="27" t="s">
        <v>226</v>
      </c>
      <c r="J633" s="28">
        <v>21691</v>
      </c>
      <c r="K633" s="27" t="s">
        <v>404</v>
      </c>
      <c r="Q633" s="13" t="s">
        <v>1768</v>
      </c>
      <c r="R633" s="13" t="s">
        <v>1778</v>
      </c>
      <c r="T633" s="5" t="s">
        <v>2251</v>
      </c>
      <c r="U633" s="5"/>
      <c r="V633" s="29" t="s">
        <v>2252</v>
      </c>
      <c r="W633"/>
      <c r="X633"/>
      <c r="Y633"/>
      <c r="Z633"/>
      <c r="AA633" s="51" t="s">
        <v>2407</v>
      </c>
      <c r="AB633" s="66">
        <v>141.24</v>
      </c>
      <c r="AC633">
        <v>20</v>
      </c>
      <c r="AD633" t="s">
        <v>554</v>
      </c>
      <c r="AE633" s="7">
        <f>BA633</f>
        <v>41.484560000000002</v>
      </c>
      <c r="AF633" s="7"/>
      <c r="AG633" s="7">
        <f>EU633</f>
        <v>10.779605263157896</v>
      </c>
      <c r="AH633" s="7">
        <f>DM633</f>
        <v>3.35</v>
      </c>
      <c r="AI633" s="7">
        <f>DO633</f>
        <v>4.1875000000000002E-2</v>
      </c>
      <c r="AJ633" s="7">
        <f>GW633</f>
        <v>0.20559210526315791</v>
      </c>
      <c r="AK633" s="7">
        <f>GU633</f>
        <v>0.65330206578947381</v>
      </c>
      <c r="AL633" s="7">
        <f>GS633</f>
        <v>5.694058178947369</v>
      </c>
      <c r="AM633" s="7">
        <f>HV633</f>
        <v>1.5750000000000002</v>
      </c>
      <c r="AN633" s="7">
        <f>IG633</f>
        <v>0.33333333333333331</v>
      </c>
      <c r="AO633" s="6">
        <v>0</v>
      </c>
      <c r="AP633" s="6"/>
      <c r="AQ633" s="7">
        <f>SUM(AE633:AP633)</f>
        <v>64.117325946491235</v>
      </c>
      <c r="AR633" s="7">
        <f>IJ633</f>
        <v>0</v>
      </c>
      <c r="AS633" s="7"/>
      <c r="AT633" s="6">
        <v>0</v>
      </c>
      <c r="AV633" s="7">
        <f>AQ633+AT633+AU633+AR633</f>
        <v>64.117325946491235</v>
      </c>
      <c r="AW633">
        <v>0.29399999999999998</v>
      </c>
      <c r="AX633">
        <v>0.29199999999999998</v>
      </c>
      <c r="AY633" s="8">
        <v>1</v>
      </c>
      <c r="AZ633" s="55">
        <f>(AW633-AX633)*AY633</f>
        <v>2.0000000000000018E-3</v>
      </c>
      <c r="BA633" s="4">
        <f>AW633*AB633-AZ633*AC633</f>
        <v>41.484560000000002</v>
      </c>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F633">
        <v>1</v>
      </c>
      <c r="CG633">
        <v>3.35</v>
      </c>
      <c r="CH633" s="4">
        <f>CF633*CG633</f>
        <v>3.35</v>
      </c>
      <c r="DM633" s="4">
        <f>CH633+CM633+CR633+DB633+DG633+DL633</f>
        <v>3.35</v>
      </c>
      <c r="DN633" s="9">
        <v>1.2500000000000001E-2</v>
      </c>
      <c r="DO633" s="4">
        <f>DM633*DN633</f>
        <v>4.1875000000000002E-2</v>
      </c>
      <c r="DP633" s="4">
        <f>DM633+DO633</f>
        <v>3.3918750000000002</v>
      </c>
      <c r="EF633">
        <v>750</v>
      </c>
      <c r="EG633">
        <v>7500</v>
      </c>
      <c r="EH633">
        <v>8</v>
      </c>
      <c r="EI633" s="8">
        <v>0.95</v>
      </c>
      <c r="EJ633">
        <v>2</v>
      </c>
      <c r="EK633">
        <v>75</v>
      </c>
      <c r="EL633" s="10">
        <f>3600/EK633*EH633*EJ633*EI633</f>
        <v>729.59999999999991</v>
      </c>
      <c r="EU633" s="4">
        <f>EG633/EL633+EX633+ER633</f>
        <v>10.779605263157896</v>
      </c>
      <c r="EV633" s="4"/>
      <c r="EW633" s="4"/>
      <c r="EX633">
        <v>0.5</v>
      </c>
      <c r="FA633" s="4">
        <f>EX633+EZ633+EY633</f>
        <v>0.5</v>
      </c>
      <c r="FB633" s="4"/>
      <c r="FC633" s="4"/>
      <c r="FD633" s="4"/>
      <c r="FE633" s="4"/>
      <c r="FF633" s="4"/>
      <c r="FG633" s="4"/>
      <c r="FH633" s="4"/>
      <c r="FI633" s="4"/>
      <c r="FJ633" s="4"/>
      <c r="FK633" s="4"/>
      <c r="FL633" s="4"/>
      <c r="FM633" s="4"/>
      <c r="FN633" s="4"/>
      <c r="FO633" s="4"/>
      <c r="FP633" s="4"/>
      <c r="FQ633" s="4"/>
      <c r="FR633" s="4"/>
      <c r="FS633" s="4"/>
      <c r="FT633" s="4"/>
      <c r="FU633" s="4"/>
      <c r="FV633" s="4"/>
      <c r="FW633" s="4"/>
      <c r="FX633" s="4"/>
      <c r="FY633" s="4"/>
      <c r="FZ633" s="4"/>
      <c r="GA633" s="4"/>
      <c r="GB633" s="4"/>
      <c r="GC633" s="4"/>
      <c r="GD633" s="4"/>
      <c r="GE633" s="4"/>
      <c r="GF633" s="4"/>
      <c r="GG633" s="4"/>
      <c r="GH633" s="4"/>
      <c r="GI633" s="4"/>
      <c r="GJ633" s="4"/>
      <c r="GK633" s="4"/>
      <c r="GL633" s="4"/>
      <c r="GM633" s="4"/>
      <c r="GN633" s="4"/>
      <c r="GO633" s="4"/>
      <c r="GP633" s="4"/>
      <c r="GQ633" s="4"/>
      <c r="GR633" s="8">
        <v>0.11</v>
      </c>
      <c r="GS633" s="4">
        <f>GR633*(BA633+EU633-EX633)</f>
        <v>5.694058178947369</v>
      </c>
      <c r="GT633" s="9">
        <v>1.2500000000000001E-2</v>
      </c>
      <c r="GU633" s="4">
        <f>GT633*(BA633+EU633)</f>
        <v>0.65330206578947381</v>
      </c>
      <c r="GV633" s="8">
        <v>0.02</v>
      </c>
      <c r="GW633" s="4">
        <f>(GV633*(EU633-FA633))</f>
        <v>0.20559210526315791</v>
      </c>
      <c r="GX633" s="4">
        <f>GS633+GU633+GW633</f>
        <v>6.55295235</v>
      </c>
      <c r="GY633" t="s">
        <v>130</v>
      </c>
      <c r="GZ633" t="s">
        <v>130</v>
      </c>
      <c r="HA633">
        <v>980</v>
      </c>
      <c r="HB633">
        <v>700</v>
      </c>
      <c r="HC633">
        <v>450</v>
      </c>
      <c r="HD633">
        <v>30</v>
      </c>
      <c r="HE633">
        <v>1000</v>
      </c>
      <c r="HF633" s="4">
        <f>ROUNDUP(HE633/HD633,0)-4</f>
        <v>30</v>
      </c>
      <c r="HG633">
        <v>5</v>
      </c>
      <c r="HH633" s="4">
        <f>HF633*HG633</f>
        <v>150</v>
      </c>
      <c r="HI633">
        <v>1100</v>
      </c>
      <c r="HJ633" s="4">
        <f>HH633*HI633</f>
        <v>165000</v>
      </c>
      <c r="HM633" s="4">
        <v>2</v>
      </c>
      <c r="HN633" s="10">
        <f>HM633*12*25*HE633</f>
        <v>600000</v>
      </c>
      <c r="HO633" s="4">
        <f>IF(GY633="carton box",HI633/HD633,HJ633/HN633)</f>
        <v>0.27500000000000002</v>
      </c>
      <c r="HP633" s="4">
        <v>160</v>
      </c>
      <c r="HR633">
        <v>1.3</v>
      </c>
      <c r="HS633">
        <v>1</v>
      </c>
      <c r="HT633" s="4">
        <f>HR633/HS633</f>
        <v>1.3</v>
      </c>
      <c r="HU633" s="4"/>
      <c r="HV633" s="4">
        <f>HO633+HT633</f>
        <v>1.5750000000000002</v>
      </c>
      <c r="HW633" s="4"/>
      <c r="HX633">
        <v>5016</v>
      </c>
      <c r="HY633">
        <v>1976</v>
      </c>
      <c r="HZ633">
        <v>2280</v>
      </c>
      <c r="IA633" s="4">
        <f>ROUNDDOWN(HX633/HA633,0)</f>
        <v>5</v>
      </c>
      <c r="IB633" s="4">
        <f>ROUNDDOWN(HY633/HB633,0)</f>
        <v>2</v>
      </c>
      <c r="IC633" s="4">
        <f>ROUNDDOWN(HZ633/HC633,0)</f>
        <v>5</v>
      </c>
      <c r="ID633" s="8">
        <v>1</v>
      </c>
      <c r="IE633" s="4">
        <f>ROUNDUP(PRODUCT(IA633:ID633),0)</f>
        <v>50</v>
      </c>
      <c r="IF633" s="4">
        <v>500</v>
      </c>
      <c r="IG633" s="4">
        <f>IF633/(IE633*HD633)</f>
        <v>0.33333333333333331</v>
      </c>
      <c r="IH633" s="4"/>
    </row>
    <row r="634" spans="1:242">
      <c r="A634">
        <v>619</v>
      </c>
      <c r="B634" t="s">
        <v>1947</v>
      </c>
      <c r="D634" s="28" t="s">
        <v>1471</v>
      </c>
      <c r="E634" s="28" t="s">
        <v>1473</v>
      </c>
      <c r="F634" s="28" t="s">
        <v>1947</v>
      </c>
      <c r="G634" s="27" t="s">
        <v>101</v>
      </c>
      <c r="I634" s="27" t="s">
        <v>226</v>
      </c>
      <c r="J634" s="28">
        <v>21599</v>
      </c>
      <c r="K634" s="27" t="s">
        <v>1240</v>
      </c>
    </row>
    <row r="635" spans="1:242">
      <c r="A635">
        <v>620</v>
      </c>
      <c r="B635" t="s">
        <v>468</v>
      </c>
      <c r="C635" t="s">
        <v>2414</v>
      </c>
      <c r="D635" s="28" t="s">
        <v>1474</v>
      </c>
      <c r="E635" s="28" t="s">
        <v>1475</v>
      </c>
      <c r="F635" s="28" t="s">
        <v>2182</v>
      </c>
      <c r="G635" s="27" t="s">
        <v>101</v>
      </c>
      <c r="I635" s="27" t="s">
        <v>226</v>
      </c>
      <c r="J635" s="28">
        <v>21691</v>
      </c>
      <c r="K635" s="27" t="s">
        <v>404</v>
      </c>
      <c r="Q635" s="13" t="s">
        <v>1768</v>
      </c>
      <c r="R635" s="13" t="s">
        <v>1778</v>
      </c>
      <c r="T635" s="5" t="s">
        <v>2251</v>
      </c>
      <c r="U635" s="5"/>
      <c r="V635" s="29" t="s">
        <v>2252</v>
      </c>
      <c r="W635"/>
      <c r="X635"/>
      <c r="Y635"/>
      <c r="Z635"/>
      <c r="AA635" s="51" t="s">
        <v>2415</v>
      </c>
      <c r="AB635" s="66">
        <v>101.06</v>
      </c>
      <c r="AC635">
        <v>20</v>
      </c>
      <c r="AD635" t="s">
        <v>554</v>
      </c>
      <c r="AE635" s="7">
        <f>BA635</f>
        <v>2.5470300000000003</v>
      </c>
      <c r="AF635" s="7"/>
      <c r="AG635" s="7">
        <f>EU635</f>
        <v>2.0102339181286548</v>
      </c>
      <c r="AH635" s="7">
        <f>DM635</f>
        <v>0</v>
      </c>
      <c r="AI635" s="7">
        <f>DO635</f>
        <v>0</v>
      </c>
      <c r="AJ635" s="7">
        <f>GW635</f>
        <v>4.0204678362573097E-2</v>
      </c>
      <c r="AK635" s="7">
        <f>GU635</f>
        <v>5.6965798976608188E-2</v>
      </c>
      <c r="AL635" s="7">
        <f>GS635</f>
        <v>0.50129903099415207</v>
      </c>
      <c r="AM635" s="7">
        <f>HV635</f>
        <v>0.18333333333333332</v>
      </c>
      <c r="AN635" s="7">
        <f>IG635</f>
        <v>0.2</v>
      </c>
      <c r="AO635" s="6">
        <v>0</v>
      </c>
      <c r="AP635" s="6"/>
      <c r="AQ635" s="7">
        <f>SUM(AE635:AP635)</f>
        <v>5.5390667597953227</v>
      </c>
      <c r="AR635" s="7">
        <f>IJ635</f>
        <v>0</v>
      </c>
      <c r="AS635" s="7"/>
      <c r="AT635" s="6">
        <v>0</v>
      </c>
      <c r="AV635" s="7">
        <f>AQ635+AT635+AU635+AR635</f>
        <v>5.5390667597953227</v>
      </c>
      <c r="AW635">
        <v>2.5500000000000002E-2</v>
      </c>
      <c r="AX635">
        <v>2.4E-2</v>
      </c>
      <c r="AY635" s="8">
        <v>1</v>
      </c>
      <c r="AZ635" s="55">
        <f>(AW635-AX635)*AY635</f>
        <v>1.5000000000000013E-3</v>
      </c>
      <c r="BA635" s="4">
        <f>AW635*AB635-AZ635*AC635</f>
        <v>2.5470300000000003</v>
      </c>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DM635" s="4">
        <f>CH635+CM635+CR635+DB635+DG635+DL635</f>
        <v>0</v>
      </c>
      <c r="EF635">
        <v>200</v>
      </c>
      <c r="EG635">
        <v>2000</v>
      </c>
      <c r="EH635">
        <v>8</v>
      </c>
      <c r="EI635" s="8">
        <v>0.95</v>
      </c>
      <c r="EJ635">
        <v>2</v>
      </c>
      <c r="EK635">
        <v>55</v>
      </c>
      <c r="EL635" s="10">
        <f>3600/EK635*EH635*EJ635*EI635</f>
        <v>994.90909090909088</v>
      </c>
      <c r="EU635" s="4">
        <f>EG635/EL635+EX635+ER635</f>
        <v>2.0102339181286548</v>
      </c>
      <c r="EV635" s="4"/>
      <c r="EW635" s="4"/>
      <c r="GR635" s="8">
        <v>0.11</v>
      </c>
      <c r="GS635" s="4">
        <f>GR635*(BA635+EU635)</f>
        <v>0.50129903099415207</v>
      </c>
      <c r="GT635" s="9">
        <v>1.2500000000000001E-2</v>
      </c>
      <c r="GU635" s="4">
        <f>GT635*(BA635+EU635)</f>
        <v>5.6965798976608188E-2</v>
      </c>
      <c r="GV635" s="8">
        <v>0.02</v>
      </c>
      <c r="GW635" s="4">
        <f>GV635*EU635</f>
        <v>4.0204678362573097E-2</v>
      </c>
      <c r="GX635" s="4">
        <f>GS635+GU635+GW635</f>
        <v>0.59846950833333334</v>
      </c>
      <c r="GY635" t="s">
        <v>130</v>
      </c>
      <c r="GZ635" t="s">
        <v>130</v>
      </c>
      <c r="HA635">
        <v>980</v>
      </c>
      <c r="HB635">
        <v>700</v>
      </c>
      <c r="HC635">
        <v>450</v>
      </c>
      <c r="HD635">
        <v>50</v>
      </c>
      <c r="HE635">
        <v>1000</v>
      </c>
      <c r="HF635" s="4">
        <f>ROUNDUP(HE635/HD635,0)</f>
        <v>20</v>
      </c>
      <c r="HG635">
        <v>5</v>
      </c>
      <c r="HH635" s="4">
        <f>HF635*HG635</f>
        <v>100</v>
      </c>
      <c r="HI635">
        <v>1100</v>
      </c>
      <c r="HJ635" s="4">
        <f>HH635*HI635</f>
        <v>110000</v>
      </c>
      <c r="HM635" s="4">
        <v>2</v>
      </c>
      <c r="HN635" s="10">
        <f>HM635*12*25*HE635</f>
        <v>600000</v>
      </c>
      <c r="HO635" s="4">
        <f>IF(GY635="carton box",HI635/HD635,HJ635/HN635)</f>
        <v>0.18333333333333332</v>
      </c>
      <c r="HP635" s="4">
        <v>160</v>
      </c>
      <c r="HV635" s="4">
        <f>HO635+HT635</f>
        <v>0.18333333333333332</v>
      </c>
      <c r="HW635" s="4"/>
      <c r="HX635">
        <v>5016</v>
      </c>
      <c r="HY635">
        <v>1976</v>
      </c>
      <c r="HZ635">
        <v>2280</v>
      </c>
      <c r="IA635" s="4">
        <f>ROUNDDOWN(HX635/HA635,0)</f>
        <v>5</v>
      </c>
      <c r="IB635" s="4">
        <f>ROUNDDOWN(HY635/HB635,0)</f>
        <v>2</v>
      </c>
      <c r="IC635" s="4">
        <f>ROUNDDOWN(HZ635/HC635,0)</f>
        <v>5</v>
      </c>
      <c r="ID635" s="8">
        <v>1</v>
      </c>
      <c r="IE635" s="4">
        <f>ROUNDUP(PRODUCT(IA635:ID635),0)</f>
        <v>50</v>
      </c>
      <c r="IF635" s="4">
        <v>500</v>
      </c>
      <c r="IG635" s="4">
        <f>ROUNDUP(IF635/(IE635*HD635),2)</f>
        <v>0.2</v>
      </c>
      <c r="IH635" s="4"/>
    </row>
    <row r="636" spans="1:242">
      <c r="A636">
        <v>621</v>
      </c>
      <c r="B636" t="s">
        <v>1947</v>
      </c>
      <c r="D636" s="28" t="s">
        <v>1474</v>
      </c>
      <c r="E636" s="28" t="s">
        <v>1475</v>
      </c>
      <c r="F636" s="28" t="s">
        <v>1947</v>
      </c>
      <c r="G636" s="27" t="s">
        <v>101</v>
      </c>
      <c r="I636" s="27" t="s">
        <v>226</v>
      </c>
      <c r="J636" s="28">
        <v>21599</v>
      </c>
      <c r="K636" s="27" t="s">
        <v>1240</v>
      </c>
    </row>
    <row r="637" spans="1:242">
      <c r="A637">
        <v>622</v>
      </c>
      <c r="B637" t="s">
        <v>468</v>
      </c>
      <c r="C637" t="s">
        <v>2416</v>
      </c>
      <c r="D637" s="28" t="s">
        <v>741</v>
      </c>
      <c r="E637" s="28" t="s">
        <v>742</v>
      </c>
      <c r="F637" s="28" t="s">
        <v>2182</v>
      </c>
      <c r="G637" s="27" t="s">
        <v>101</v>
      </c>
      <c r="I637" s="27" t="s">
        <v>226</v>
      </c>
      <c r="J637" s="28">
        <v>21691</v>
      </c>
      <c r="K637" s="27" t="s">
        <v>404</v>
      </c>
      <c r="Q637" s="13" t="s">
        <v>1768</v>
      </c>
      <c r="R637" s="13" t="s">
        <v>1778</v>
      </c>
      <c r="T637" s="5" t="s">
        <v>2251</v>
      </c>
      <c r="U637" s="5"/>
      <c r="V637" s="29" t="s">
        <v>2252</v>
      </c>
      <c r="W637"/>
      <c r="X637"/>
      <c r="Y637"/>
      <c r="Z637"/>
      <c r="AA637" s="51" t="s">
        <v>2417</v>
      </c>
      <c r="AB637" s="66">
        <v>92.6</v>
      </c>
      <c r="AC637">
        <v>20</v>
      </c>
      <c r="AD637" t="s">
        <v>554</v>
      </c>
      <c r="AE637" s="7">
        <f>BA637</f>
        <v>42.741199999999999</v>
      </c>
      <c r="AF637" s="7"/>
      <c r="AG637" s="7">
        <f>EU637</f>
        <v>18.421052631578949</v>
      </c>
      <c r="AH637" s="7">
        <f>DM637</f>
        <v>0</v>
      </c>
      <c r="AI637" s="7">
        <f>DO637</f>
        <v>0</v>
      </c>
      <c r="AJ637" s="7">
        <f>GW637</f>
        <v>0.36842105263157898</v>
      </c>
      <c r="AK637" s="7">
        <f>GU637</f>
        <v>0.76452815789473694</v>
      </c>
      <c r="AL637" s="7">
        <f>GS637</f>
        <v>6.7278477894736843</v>
      </c>
      <c r="AM637" s="7">
        <f>HV637</f>
        <v>0.61416666666666664</v>
      </c>
      <c r="AN637" s="7">
        <f>IG637</f>
        <v>0.66666666666666663</v>
      </c>
      <c r="AO637" s="6">
        <v>0</v>
      </c>
      <c r="AP637" s="6"/>
      <c r="AQ637" s="7">
        <f>SUM(AE637:AP637)</f>
        <v>70.30388296491229</v>
      </c>
      <c r="AR637" s="7">
        <f>IJ637</f>
        <v>0</v>
      </c>
      <c r="AS637" s="7"/>
      <c r="AT637" s="6">
        <v>0</v>
      </c>
      <c r="AV637" s="7">
        <f>AQ637+AT637+AU637+AR637</f>
        <v>70.30388296491229</v>
      </c>
      <c r="AW637">
        <v>0.46200000000000002</v>
      </c>
      <c r="AX637">
        <v>0.46</v>
      </c>
      <c r="AY637" s="8">
        <v>1</v>
      </c>
      <c r="AZ637" s="55">
        <f>(AW637-AX637)*AY637</f>
        <v>2.0000000000000018E-3</v>
      </c>
      <c r="BA637" s="4">
        <f>AW637*AB637-AZ637*AC637</f>
        <v>42.741199999999999</v>
      </c>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DM637" s="4">
        <f>CH637+CM637+CR637+DB637+DG637+DL637</f>
        <v>0</v>
      </c>
      <c r="EF637">
        <v>700</v>
      </c>
      <c r="EG637">
        <v>7000</v>
      </c>
      <c r="EH637">
        <v>8</v>
      </c>
      <c r="EI637" s="8">
        <v>0.95</v>
      </c>
      <c r="EJ637">
        <v>1</v>
      </c>
      <c r="EK637">
        <v>72</v>
      </c>
      <c r="EL637" s="10">
        <f>3600/EK637*EH637*EJ637*EI637</f>
        <v>380</v>
      </c>
      <c r="EU637" s="4">
        <f>EG637/EL637+EX637+ER637</f>
        <v>18.421052631578949</v>
      </c>
      <c r="EV637" s="4"/>
      <c r="EW637" s="4"/>
      <c r="GR637" s="8">
        <v>0.11</v>
      </c>
      <c r="GS637" s="4">
        <f>GR637*(BA637+EU637)</f>
        <v>6.7278477894736843</v>
      </c>
      <c r="GT637" s="9">
        <v>1.2500000000000001E-2</v>
      </c>
      <c r="GU637" s="4">
        <f>GT637*(BA637+EU637)</f>
        <v>0.76452815789473694</v>
      </c>
      <c r="GV637" s="8">
        <v>0.02</v>
      </c>
      <c r="GW637" s="4">
        <f>GV637*EU637</f>
        <v>0.36842105263157898</v>
      </c>
      <c r="GX637" s="4">
        <f>GS637+GU637+GW637</f>
        <v>7.8607969999999998</v>
      </c>
      <c r="GY637" t="s">
        <v>130</v>
      </c>
      <c r="GZ637" t="s">
        <v>130</v>
      </c>
      <c r="HA637">
        <v>980</v>
      </c>
      <c r="HB637">
        <v>700</v>
      </c>
      <c r="HC637">
        <v>450</v>
      </c>
      <c r="HD637">
        <v>15</v>
      </c>
      <c r="HE637">
        <v>1000</v>
      </c>
      <c r="HF637" s="4">
        <f>ROUNDUP(HE637/HD637,0)</f>
        <v>67</v>
      </c>
      <c r="HG637">
        <v>5</v>
      </c>
      <c r="HH637" s="4">
        <f>HF637*HG637</f>
        <v>335</v>
      </c>
      <c r="HI637">
        <v>1100</v>
      </c>
      <c r="HJ637" s="4">
        <f>HH637*HI637</f>
        <v>368500</v>
      </c>
      <c r="HM637" s="4">
        <v>2</v>
      </c>
      <c r="HN637" s="10">
        <f>HM637*12*25*HE637</f>
        <v>600000</v>
      </c>
      <c r="HO637" s="4">
        <f>IF(GY637="carton box",HI637/HD637,HJ637/HN637)</f>
        <v>0.61416666666666664</v>
      </c>
      <c r="HP637" s="4">
        <v>160</v>
      </c>
      <c r="HV637" s="4">
        <f>HO637+HT637</f>
        <v>0.61416666666666664</v>
      </c>
      <c r="HW637" s="4"/>
      <c r="HX637">
        <v>5016</v>
      </c>
      <c r="HY637">
        <v>1976</v>
      </c>
      <c r="HZ637">
        <v>2280</v>
      </c>
      <c r="IA637" s="4">
        <f>ROUNDDOWN(HX637/HA637,0)</f>
        <v>5</v>
      </c>
      <c r="IB637" s="4">
        <f>ROUNDDOWN(HY637/HB637,0)</f>
        <v>2</v>
      </c>
      <c r="IC637" s="4">
        <f>ROUNDDOWN(HZ637/HC637,0)</f>
        <v>5</v>
      </c>
      <c r="ID637" s="8">
        <v>1</v>
      </c>
      <c r="IE637" s="4">
        <f>ROUNDUP(PRODUCT(IA637:ID637),0)</f>
        <v>50</v>
      </c>
      <c r="IF637" s="4">
        <v>500</v>
      </c>
      <c r="IG637" s="4">
        <f>IF637/(IE637*HD637)</f>
        <v>0.66666666666666663</v>
      </c>
      <c r="IH637" s="4"/>
    </row>
    <row r="638" spans="1:242">
      <c r="A638">
        <v>623</v>
      </c>
      <c r="B638" t="s">
        <v>1947</v>
      </c>
      <c r="D638" s="28" t="s">
        <v>741</v>
      </c>
      <c r="E638" s="28" t="s">
        <v>742</v>
      </c>
      <c r="F638" s="28" t="s">
        <v>1947</v>
      </c>
      <c r="G638" s="27" t="s">
        <v>101</v>
      </c>
      <c r="I638" s="27" t="s">
        <v>226</v>
      </c>
      <c r="J638" s="28">
        <v>21599</v>
      </c>
      <c r="K638" s="27" t="s">
        <v>1240</v>
      </c>
    </row>
    <row r="639" spans="1:242">
      <c r="A639">
        <v>624</v>
      </c>
      <c r="B639" t="s">
        <v>468</v>
      </c>
      <c r="C639" t="s">
        <v>2418</v>
      </c>
      <c r="D639" s="28" t="s">
        <v>743</v>
      </c>
      <c r="E639" s="28" t="s">
        <v>744</v>
      </c>
      <c r="F639" s="28" t="s">
        <v>2182</v>
      </c>
      <c r="G639" s="27" t="s">
        <v>101</v>
      </c>
      <c r="I639" s="27" t="s">
        <v>226</v>
      </c>
      <c r="J639" s="28">
        <v>21691</v>
      </c>
      <c r="K639" s="27" t="s">
        <v>404</v>
      </c>
      <c r="Q639" s="13" t="s">
        <v>1768</v>
      </c>
      <c r="R639" s="13" t="s">
        <v>1778</v>
      </c>
      <c r="T639" s="5" t="s">
        <v>2251</v>
      </c>
      <c r="U639" s="5"/>
      <c r="V639" s="29" t="s">
        <v>2252</v>
      </c>
      <c r="W639"/>
      <c r="X639"/>
      <c r="Y639"/>
      <c r="Z639"/>
      <c r="AA639" s="51" t="s">
        <v>1950</v>
      </c>
      <c r="AB639" s="66">
        <v>126.68</v>
      </c>
      <c r="AC639">
        <v>20</v>
      </c>
      <c r="AD639"/>
      <c r="AE639" s="7">
        <f>BA639</f>
        <v>18.535300000000007</v>
      </c>
      <c r="AF639" s="7"/>
      <c r="AG639" s="7">
        <f>EU639</f>
        <v>5.4824561403508776</v>
      </c>
      <c r="AH639" s="7">
        <f>DM639</f>
        <v>0</v>
      </c>
      <c r="AI639" s="7">
        <f>DO639</f>
        <v>0</v>
      </c>
      <c r="AJ639" s="7">
        <f>GW639</f>
        <v>0.10964912280701755</v>
      </c>
      <c r="AK639" s="7">
        <f>GU639</f>
        <v>0.30022195175438604</v>
      </c>
      <c r="AL639" s="7">
        <f>GS639</f>
        <v>2.641953175438597</v>
      </c>
      <c r="AM639" s="7">
        <f>HV639</f>
        <v>1.1416666666666666</v>
      </c>
      <c r="AN639" s="7">
        <f>IG639</f>
        <v>0.11904761904761904</v>
      </c>
      <c r="AO639" s="6">
        <v>0</v>
      </c>
      <c r="AP639" s="6"/>
      <c r="AQ639" s="7">
        <f>SUM(AE639:AP639)</f>
        <v>28.330294676065169</v>
      </c>
      <c r="AR639" s="7">
        <f>IJ639</f>
        <v>0</v>
      </c>
      <c r="AS639" s="7"/>
      <c r="AT639" s="6">
        <v>0</v>
      </c>
      <c r="AV639" s="7">
        <f>AQ639+AT639+AU639+AR639</f>
        <v>28.330294676065169</v>
      </c>
      <c r="AW639">
        <v>0.14750000000000002</v>
      </c>
      <c r="AX639">
        <v>0.14000000000000001</v>
      </c>
      <c r="AY639" s="8">
        <v>1</v>
      </c>
      <c r="AZ639" s="55">
        <f>(AW639-AX639)*AY639</f>
        <v>7.5000000000000067E-3</v>
      </c>
      <c r="BA639" s="4">
        <f>AW639*AB639-AZ639*AC639</f>
        <v>18.535300000000007</v>
      </c>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DM639" s="4">
        <f>CH639+CM639+CR639+DB639+DG639+DL639</f>
        <v>0</v>
      </c>
      <c r="EF639">
        <v>500</v>
      </c>
      <c r="EG639">
        <v>5000</v>
      </c>
      <c r="EH639">
        <v>8</v>
      </c>
      <c r="EI639" s="8">
        <v>0.95</v>
      </c>
      <c r="EJ639">
        <v>2</v>
      </c>
      <c r="EK639">
        <v>60</v>
      </c>
      <c r="EL639" s="10">
        <f>3600/EK639*EH639*EJ639*EI639</f>
        <v>912</v>
      </c>
      <c r="EU639" s="4">
        <f>EG639/EL639+EX639+ER639</f>
        <v>5.4824561403508776</v>
      </c>
      <c r="EV639" s="4"/>
      <c r="EW639" s="4"/>
      <c r="GR639" s="8">
        <v>0.11</v>
      </c>
      <c r="GS639" s="4">
        <f>GR639*(BA639+EU639)</f>
        <v>2.641953175438597</v>
      </c>
      <c r="GT639" s="9">
        <v>1.2500000000000001E-2</v>
      </c>
      <c r="GU639" s="4">
        <f>GT639*(BA639+EU639)</f>
        <v>0.30022195175438604</v>
      </c>
      <c r="GV639" s="8">
        <v>0.02</v>
      </c>
      <c r="GW639" s="4">
        <f>GV639*EU639</f>
        <v>0.10964912280701755</v>
      </c>
      <c r="GX639" s="4">
        <f>GS639+GU639+GW639</f>
        <v>3.0518242500000006</v>
      </c>
      <c r="GY639" t="s">
        <v>130</v>
      </c>
      <c r="GZ639" t="s">
        <v>130</v>
      </c>
      <c r="HA639">
        <v>980</v>
      </c>
      <c r="HB639">
        <v>700</v>
      </c>
      <c r="HC639">
        <v>450</v>
      </c>
      <c r="HD639">
        <v>100</v>
      </c>
      <c r="HE639">
        <v>600</v>
      </c>
      <c r="HF639" s="4">
        <f>ROUNDUP(HE639/HD639,0)</f>
        <v>6</v>
      </c>
      <c r="HG639">
        <v>5</v>
      </c>
      <c r="HH639" s="4">
        <f>HF639*HG639</f>
        <v>30</v>
      </c>
      <c r="HI639">
        <v>1100</v>
      </c>
      <c r="HJ639" s="4">
        <f>HH639*HI639</f>
        <v>33000</v>
      </c>
      <c r="HM639" s="4">
        <v>2</v>
      </c>
      <c r="HN639" s="10">
        <f>HM639*12*25*HE639</f>
        <v>360000</v>
      </c>
      <c r="HO639" s="4">
        <f>IF(GY639="carton box",HI639/HD639,HJ639/HN639)</f>
        <v>9.166666666666666E-2</v>
      </c>
      <c r="HP639" s="4">
        <v>160</v>
      </c>
      <c r="HR639">
        <v>1.05</v>
      </c>
      <c r="HS639">
        <v>1</v>
      </c>
      <c r="HT639" s="4">
        <f>HR639/HS639</f>
        <v>1.05</v>
      </c>
      <c r="HU639" s="4"/>
      <c r="HV639" s="4">
        <f>HO639+HT639</f>
        <v>1.1416666666666666</v>
      </c>
      <c r="HW639" s="4"/>
      <c r="HX639">
        <v>5016</v>
      </c>
      <c r="HY639">
        <v>1976</v>
      </c>
      <c r="HZ639">
        <v>2280</v>
      </c>
      <c r="IA639" s="4">
        <f>ROUNDDOWN(HX639/HA639,0)</f>
        <v>5</v>
      </c>
      <c r="IB639" s="4">
        <f>ROUNDDOWN(HY639/HB639,0)</f>
        <v>2</v>
      </c>
      <c r="IC639" s="4">
        <f>ROUNDDOWN(HZ639/HC639,0)</f>
        <v>5</v>
      </c>
      <c r="ID639" s="8">
        <v>1</v>
      </c>
      <c r="IE639" s="4">
        <f>ROUNDUP(PRODUCT(IA639:ID639),0)-8</f>
        <v>42</v>
      </c>
      <c r="IF639" s="4">
        <v>500</v>
      </c>
      <c r="IG639" s="4">
        <f>IF639/(IE639*HD639)</f>
        <v>0.11904761904761904</v>
      </c>
      <c r="IH639" s="4"/>
    </row>
    <row r="640" spans="1:242">
      <c r="A640">
        <v>625</v>
      </c>
      <c r="B640" t="s">
        <v>1947</v>
      </c>
      <c r="D640" s="28" t="s">
        <v>743</v>
      </c>
      <c r="E640" s="28" t="s">
        <v>744</v>
      </c>
      <c r="F640" s="28" t="s">
        <v>1947</v>
      </c>
      <c r="G640" s="27" t="s">
        <v>101</v>
      </c>
      <c r="I640" s="27" t="s">
        <v>226</v>
      </c>
      <c r="J640" s="28">
        <v>21599</v>
      </c>
      <c r="K640" s="27" t="s">
        <v>1240</v>
      </c>
    </row>
    <row r="641" spans="1:242">
      <c r="A641">
        <v>626</v>
      </c>
      <c r="B641" t="s">
        <v>468</v>
      </c>
      <c r="C641" t="s">
        <v>2419</v>
      </c>
      <c r="D641" s="28" t="s">
        <v>745</v>
      </c>
      <c r="E641" s="28" t="s">
        <v>746</v>
      </c>
      <c r="F641" s="28" t="s">
        <v>2182</v>
      </c>
      <c r="G641" s="27" t="s">
        <v>101</v>
      </c>
      <c r="I641" s="27" t="s">
        <v>226</v>
      </c>
      <c r="J641" s="28">
        <v>21691</v>
      </c>
      <c r="K641" s="27" t="s">
        <v>404</v>
      </c>
      <c r="Q641" s="13" t="s">
        <v>1768</v>
      </c>
      <c r="R641" s="13" t="s">
        <v>1778</v>
      </c>
      <c r="T641" s="5" t="s">
        <v>2251</v>
      </c>
      <c r="U641" s="5"/>
      <c r="V641" s="29" t="s">
        <v>2252</v>
      </c>
      <c r="W641"/>
      <c r="X641"/>
      <c r="Y641"/>
      <c r="Z641"/>
      <c r="AA641" s="51" t="s">
        <v>1950</v>
      </c>
      <c r="AB641" s="66">
        <v>126.68</v>
      </c>
      <c r="AC641">
        <v>20</v>
      </c>
      <c r="AD641"/>
      <c r="AE641" s="7">
        <f>BA641</f>
        <v>18.535300000000007</v>
      </c>
      <c r="AF641" s="7"/>
      <c r="AG641" s="7">
        <f>EU641</f>
        <v>5.4824561403508776</v>
      </c>
      <c r="AH641" s="7">
        <f>DM641</f>
        <v>0</v>
      </c>
      <c r="AI641" s="7">
        <f>DO641</f>
        <v>0</v>
      </c>
      <c r="AJ641" s="7">
        <f>GW641</f>
        <v>0.10964912280701755</v>
      </c>
      <c r="AK641" s="7">
        <f>GU641</f>
        <v>0.30022195175438604</v>
      </c>
      <c r="AL641" s="7">
        <f>GS641</f>
        <v>2.641953175438597</v>
      </c>
      <c r="AM641" s="7">
        <f>HV641</f>
        <v>1.1416666666666666</v>
      </c>
      <c r="AN641" s="7">
        <f>IG641</f>
        <v>0.11904761904761904</v>
      </c>
      <c r="AO641" s="6">
        <v>0</v>
      </c>
      <c r="AP641" s="6"/>
      <c r="AQ641" s="7">
        <f>SUM(AE641:AP641)</f>
        <v>28.330294676065169</v>
      </c>
      <c r="AR641" s="7">
        <f>IJ641</f>
        <v>0</v>
      </c>
      <c r="AS641" s="7"/>
      <c r="AT641" s="6">
        <v>0</v>
      </c>
      <c r="AV641" s="7">
        <f>AQ641+AT641+AU641+AR641</f>
        <v>28.330294676065169</v>
      </c>
      <c r="AW641">
        <v>0.14750000000000002</v>
      </c>
      <c r="AX641">
        <v>0.14000000000000001</v>
      </c>
      <c r="AY641" s="8">
        <v>1</v>
      </c>
      <c r="AZ641" s="55">
        <f>(AW641-AX641)*AY641</f>
        <v>7.5000000000000067E-3</v>
      </c>
      <c r="BA641" s="4">
        <f>AW641*AB641-AZ641*AC641</f>
        <v>18.535300000000007</v>
      </c>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DM641" s="4">
        <f>CH641+CM641+CR641+DB641+DG641+DL641</f>
        <v>0</v>
      </c>
      <c r="EF641">
        <v>500</v>
      </c>
      <c r="EG641">
        <v>5000</v>
      </c>
      <c r="EH641">
        <v>8</v>
      </c>
      <c r="EI641" s="8">
        <v>0.95</v>
      </c>
      <c r="EJ641">
        <v>2</v>
      </c>
      <c r="EK641">
        <v>60</v>
      </c>
      <c r="EL641" s="10">
        <f>3600/EK641*EH641*EJ641*EI641</f>
        <v>912</v>
      </c>
      <c r="EU641" s="4">
        <f>EG641/EL641+EX641+ER641</f>
        <v>5.4824561403508776</v>
      </c>
      <c r="EV641" s="4"/>
      <c r="EW641" s="4"/>
      <c r="GR641" s="8">
        <v>0.11</v>
      </c>
      <c r="GS641" s="4">
        <f>GR641*(BA641+EU641)</f>
        <v>2.641953175438597</v>
      </c>
      <c r="GT641" s="9">
        <v>1.2500000000000001E-2</v>
      </c>
      <c r="GU641" s="4">
        <f>GT641*(BA641+EU641)</f>
        <v>0.30022195175438604</v>
      </c>
      <c r="GV641" s="8">
        <v>0.02</v>
      </c>
      <c r="GW641" s="4">
        <f>GV641*EU641</f>
        <v>0.10964912280701755</v>
      </c>
      <c r="GX641" s="4">
        <f>GS641+GU641+GW641</f>
        <v>3.0518242500000006</v>
      </c>
      <c r="GY641" t="s">
        <v>130</v>
      </c>
      <c r="GZ641" t="s">
        <v>130</v>
      </c>
      <c r="HA641">
        <v>980</v>
      </c>
      <c r="HB641">
        <v>700</v>
      </c>
      <c r="HC641">
        <v>450</v>
      </c>
      <c r="HD641">
        <v>100</v>
      </c>
      <c r="HE641">
        <v>600</v>
      </c>
      <c r="HF641" s="4">
        <f>ROUNDUP(HE641/HD641,0)</f>
        <v>6</v>
      </c>
      <c r="HG641">
        <v>5</v>
      </c>
      <c r="HH641" s="4">
        <f>HF641*HG641</f>
        <v>30</v>
      </c>
      <c r="HI641">
        <v>1100</v>
      </c>
      <c r="HJ641" s="4">
        <f>HH641*HI641</f>
        <v>33000</v>
      </c>
      <c r="HM641" s="4">
        <v>2</v>
      </c>
      <c r="HN641" s="10">
        <f>HM641*12*25*HE641</f>
        <v>360000</v>
      </c>
      <c r="HO641" s="4">
        <f>IF(GY641="carton box",HI641/HD641,HJ641/HN641)</f>
        <v>9.166666666666666E-2</v>
      </c>
      <c r="HP641" s="4">
        <v>160</v>
      </c>
      <c r="HR641">
        <v>1.05</v>
      </c>
      <c r="HS641">
        <v>1</v>
      </c>
      <c r="HT641" s="4">
        <f>HR641/HS641</f>
        <v>1.05</v>
      </c>
      <c r="HU641" s="4"/>
      <c r="HV641" s="4">
        <f>HO641+HT641</f>
        <v>1.1416666666666666</v>
      </c>
      <c r="HW641" s="4"/>
      <c r="HX641">
        <v>5016</v>
      </c>
      <c r="HY641">
        <v>1976</v>
      </c>
      <c r="HZ641">
        <v>2280</v>
      </c>
      <c r="IA641" s="4">
        <f>ROUNDDOWN(HX641/HA641,0)</f>
        <v>5</v>
      </c>
      <c r="IB641" s="4">
        <f>ROUNDDOWN(HY641/HB641,0)</f>
        <v>2</v>
      </c>
      <c r="IC641" s="4">
        <f>ROUNDDOWN(HZ641/HC641,0)</f>
        <v>5</v>
      </c>
      <c r="ID641" s="8">
        <v>1</v>
      </c>
      <c r="IE641" s="4">
        <f>ROUNDUP(PRODUCT(IA641:ID641),0)-8</f>
        <v>42</v>
      </c>
      <c r="IF641" s="4">
        <v>500</v>
      </c>
      <c r="IG641" s="4">
        <f>IF641/(IE641*HD641)</f>
        <v>0.11904761904761904</v>
      </c>
      <c r="IH641" s="4"/>
    </row>
    <row r="642" spans="1:242">
      <c r="A642">
        <v>627</v>
      </c>
      <c r="B642" t="s">
        <v>1947</v>
      </c>
      <c r="D642" s="28" t="s">
        <v>745</v>
      </c>
      <c r="E642" s="28" t="s">
        <v>746</v>
      </c>
      <c r="F642" s="28" t="s">
        <v>1947</v>
      </c>
      <c r="G642" s="27" t="s">
        <v>101</v>
      </c>
      <c r="I642" s="27" t="s">
        <v>226</v>
      </c>
      <c r="J642" s="28">
        <v>21599</v>
      </c>
      <c r="K642" s="27" t="s">
        <v>1240</v>
      </c>
    </row>
    <row r="643" spans="1:242" ht="60">
      <c r="A643">
        <v>628</v>
      </c>
      <c r="B643" t="s">
        <v>468</v>
      </c>
      <c r="C643" t="s">
        <v>2420</v>
      </c>
      <c r="D643" s="28" t="s">
        <v>1476</v>
      </c>
      <c r="E643" s="28" t="s">
        <v>180</v>
      </c>
      <c r="F643" s="28" t="s">
        <v>2182</v>
      </c>
      <c r="G643" s="27" t="s">
        <v>101</v>
      </c>
      <c r="I643" s="27" t="s">
        <v>226</v>
      </c>
      <c r="J643" s="28">
        <v>21691</v>
      </c>
      <c r="K643" s="27" t="s">
        <v>404</v>
      </c>
      <c r="Q643" s="13" t="s">
        <v>1768</v>
      </c>
      <c r="R643" s="13" t="s">
        <v>1778</v>
      </c>
      <c r="T643" s="5" t="s">
        <v>2251</v>
      </c>
      <c r="U643" s="5"/>
      <c r="V643" s="29" t="s">
        <v>2252</v>
      </c>
      <c r="W643" s="72" t="s">
        <v>2421</v>
      </c>
      <c r="X643"/>
      <c r="Y643"/>
      <c r="Z643"/>
      <c r="AA643" s="51" t="s">
        <v>1808</v>
      </c>
      <c r="AB643" s="66">
        <v>85.45</v>
      </c>
      <c r="AC643">
        <v>20</v>
      </c>
      <c r="AD643"/>
      <c r="AE643" s="7">
        <f>BA643</f>
        <v>27.756700000000002</v>
      </c>
      <c r="AF643" s="7"/>
      <c r="AG643" s="7">
        <f>EU643</f>
        <v>9.14</v>
      </c>
      <c r="AH643" s="7">
        <f>DM643</f>
        <v>0</v>
      </c>
      <c r="AI643" s="7">
        <f>DO643</f>
        <v>0</v>
      </c>
      <c r="AJ643" s="7">
        <f>GW643</f>
        <v>0.18280000000000002</v>
      </c>
      <c r="AK643" s="7">
        <f>GU643</f>
        <v>0.46120875000000006</v>
      </c>
      <c r="AL643" s="7">
        <f>GS643</f>
        <v>4.0586370000000001</v>
      </c>
      <c r="AM643" s="7">
        <f>HV643</f>
        <v>0.30555555555555558</v>
      </c>
      <c r="AN643" s="7">
        <f>IG643</f>
        <v>0.3968253968253968</v>
      </c>
      <c r="AO643" s="6">
        <v>0</v>
      </c>
      <c r="AP643" s="6"/>
      <c r="AQ643" s="7">
        <f>SUM(AE643:AP643)</f>
        <v>42.301726702380954</v>
      </c>
      <c r="AR643" s="7">
        <f>IJ643</f>
        <v>0</v>
      </c>
      <c r="AS643" s="7"/>
      <c r="AT643" s="6">
        <v>0</v>
      </c>
      <c r="AU643">
        <f>41.96-42.3</f>
        <v>-0.33999999999999631</v>
      </c>
      <c r="AV643" s="7">
        <f>AQ643+AT643+AU643+AR643</f>
        <v>41.961726702380957</v>
      </c>
      <c r="AW643">
        <v>0.32600000000000001</v>
      </c>
      <c r="AX643">
        <v>0.32100000000000001</v>
      </c>
      <c r="AY643" s="8">
        <v>1</v>
      </c>
      <c r="AZ643" s="55">
        <f>(AW643-AX643)*AY643</f>
        <v>5.0000000000000044E-3</v>
      </c>
      <c r="BA643" s="4">
        <f>AW643*AB643-AZ643*AC643</f>
        <v>27.756700000000002</v>
      </c>
      <c r="BB643" s="4"/>
      <c r="BC643" s="4"/>
      <c r="BD643" s="4"/>
      <c r="BE643" s="4"/>
      <c r="BF643" s="4"/>
      <c r="BG643" s="4"/>
      <c r="BH643" s="4"/>
      <c r="BI643" s="4"/>
      <c r="DM643" s="4">
        <f>CH643+CM643+CR643+DB643+DG643+DL643</f>
        <v>0</v>
      </c>
      <c r="EF643">
        <v>450</v>
      </c>
      <c r="EG643">
        <v>4500</v>
      </c>
      <c r="EH643">
        <v>8</v>
      </c>
      <c r="EI643" s="8">
        <v>0.95</v>
      </c>
      <c r="EJ643">
        <v>1</v>
      </c>
      <c r="EK643">
        <v>55.55</v>
      </c>
      <c r="EL643" s="10">
        <f>3600/EK643*EH643*EJ643*EI643</f>
        <v>492.5292529252925</v>
      </c>
      <c r="EU643">
        <f>ROUNDUP(EG643/EL643+EX643+ER643,2)</f>
        <v>9.14</v>
      </c>
      <c r="GR643" s="8">
        <v>0.11</v>
      </c>
      <c r="GS643" s="4">
        <f>GR643*(BA643+EU643)</f>
        <v>4.0586370000000001</v>
      </c>
      <c r="GT643" s="9">
        <v>1.2500000000000001E-2</v>
      </c>
      <c r="GU643" s="4">
        <f>GT643*(BA643+EU643)</f>
        <v>0.46120875000000006</v>
      </c>
      <c r="GV643" s="8">
        <v>0.02</v>
      </c>
      <c r="GW643" s="4">
        <f>GV643*EU643</f>
        <v>0.18280000000000002</v>
      </c>
      <c r="GX643" s="4">
        <f>GS643+GU643+GW643</f>
        <v>4.7026457500000003</v>
      </c>
      <c r="HA643">
        <v>980</v>
      </c>
      <c r="HB643">
        <v>700</v>
      </c>
      <c r="HC643">
        <v>450</v>
      </c>
      <c r="HD643">
        <v>30</v>
      </c>
      <c r="HE643">
        <v>600</v>
      </c>
      <c r="HF643">
        <f>ROUNDUP(HE643/HD643,0)</f>
        <v>20</v>
      </c>
      <c r="HG643">
        <v>5</v>
      </c>
      <c r="HH643" s="4">
        <f>HF643*HG643</f>
        <v>100</v>
      </c>
      <c r="HI643">
        <v>1100</v>
      </c>
      <c r="HJ643" s="4">
        <f>HH643*HI643</f>
        <v>110000</v>
      </c>
      <c r="HM643" s="4">
        <v>2</v>
      </c>
      <c r="HN643" s="10">
        <f>HM643*12*25*HE643</f>
        <v>360000</v>
      </c>
      <c r="HO643" s="4">
        <f>IF(GY643="carton box",HI643/HD643,HJ643/HN643)</f>
        <v>0.30555555555555558</v>
      </c>
      <c r="HP643" s="4">
        <v>160</v>
      </c>
      <c r="HV643" s="4">
        <f>HO643+HT643</f>
        <v>0.30555555555555558</v>
      </c>
      <c r="HW643" s="4"/>
      <c r="HX643">
        <v>5016</v>
      </c>
      <c r="HY643">
        <v>1976</v>
      </c>
      <c r="HZ643">
        <v>2280</v>
      </c>
      <c r="IA643" s="4">
        <f>ROUNDDOWN(HX643/HA643,0)</f>
        <v>5</v>
      </c>
      <c r="IB643" s="4">
        <f>ROUNDDOWN(HY643/HB643,0)</f>
        <v>2</v>
      </c>
      <c r="IC643" s="4">
        <f>ROUNDDOWN(HZ643/HC643,0)</f>
        <v>5</v>
      </c>
      <c r="ID643" s="8">
        <v>1</v>
      </c>
      <c r="IE643" s="4">
        <f>ROUNDUP(PRODUCT(IA643:ID643),0)-8</f>
        <v>42</v>
      </c>
      <c r="IF643" s="4">
        <v>500</v>
      </c>
      <c r="IG643" s="4">
        <f>IF643/(IE643*HD643)</f>
        <v>0.3968253968253968</v>
      </c>
      <c r="IH643" s="4"/>
    </row>
    <row r="644" spans="1:242">
      <c r="A644">
        <v>629</v>
      </c>
      <c r="B644" t="s">
        <v>1947</v>
      </c>
      <c r="D644" s="28" t="s">
        <v>1476</v>
      </c>
      <c r="E644" s="28" t="s">
        <v>180</v>
      </c>
      <c r="F644" s="28" t="s">
        <v>1947</v>
      </c>
      <c r="G644" s="27" t="s">
        <v>101</v>
      </c>
      <c r="I644" s="27" t="s">
        <v>226</v>
      </c>
      <c r="J644" s="28">
        <v>21599</v>
      </c>
      <c r="K644" s="27" t="s">
        <v>1240</v>
      </c>
    </row>
    <row r="645" spans="1:242" ht="60">
      <c r="A645">
        <v>630</v>
      </c>
      <c r="B645" t="s">
        <v>468</v>
      </c>
      <c r="C645" t="s">
        <v>2422</v>
      </c>
      <c r="D645" s="28" t="s">
        <v>1477</v>
      </c>
      <c r="E645" s="28" t="s">
        <v>1478</v>
      </c>
      <c r="F645" s="28" t="s">
        <v>2182</v>
      </c>
      <c r="G645" s="27" t="s">
        <v>101</v>
      </c>
      <c r="I645" s="27" t="s">
        <v>226</v>
      </c>
      <c r="J645" s="28">
        <v>21691</v>
      </c>
      <c r="K645" s="27" t="s">
        <v>404</v>
      </c>
      <c r="Q645" s="13" t="s">
        <v>1768</v>
      </c>
      <c r="R645" s="13" t="s">
        <v>1778</v>
      </c>
      <c r="T645" s="5" t="s">
        <v>2251</v>
      </c>
      <c r="U645" s="5"/>
      <c r="V645" s="29" t="s">
        <v>2252</v>
      </c>
      <c r="W645" s="72" t="s">
        <v>2423</v>
      </c>
      <c r="X645" s="5"/>
      <c r="Y645" s="5"/>
      <c r="Z645" s="5"/>
      <c r="AA645" s="51" t="s">
        <v>1808</v>
      </c>
      <c r="AB645" s="66">
        <v>85.45</v>
      </c>
      <c r="AC645">
        <v>20</v>
      </c>
      <c r="AD645"/>
      <c r="AE645" s="7">
        <f>BA645</f>
        <v>1.0508500000000001</v>
      </c>
      <c r="AF645" s="7"/>
      <c r="AG645" s="7">
        <f>EU645</f>
        <v>2.6133040935672516</v>
      </c>
      <c r="AH645" s="7">
        <f>DM645</f>
        <v>0</v>
      </c>
      <c r="AI645" s="7">
        <f>DO645</f>
        <v>0</v>
      </c>
      <c r="AJ645" s="7">
        <f>GW645</f>
        <v>5.226608187134503E-2</v>
      </c>
      <c r="AK645" s="7">
        <f>GU645</f>
        <v>4.5801926169590647E-2</v>
      </c>
      <c r="AL645" s="7">
        <f>GS645</f>
        <v>0.40305695029239769</v>
      </c>
      <c r="AM645" s="7">
        <f>HV645</f>
        <v>1.8055555555555554E-2</v>
      </c>
      <c r="AN645" s="7">
        <f>IG645</f>
        <v>2.3809523809523808E-2</v>
      </c>
      <c r="AO645" s="6">
        <v>0</v>
      </c>
      <c r="AP645" s="6"/>
      <c r="AQ645" s="7">
        <f>SUM(AE645:AP645)</f>
        <v>4.2071441312656646</v>
      </c>
      <c r="AR645" s="7">
        <f>IJ645</f>
        <v>0</v>
      </c>
      <c r="AS645" s="7"/>
      <c r="AT645" s="6">
        <v>0</v>
      </c>
      <c r="AU645">
        <f>4-4.21</f>
        <v>-0.20999999999999996</v>
      </c>
      <c r="AV645" s="7">
        <f>AQ645+AT645+AU645+AR645</f>
        <v>3.9971441312656646</v>
      </c>
      <c r="AW645">
        <v>1.3000000000000001E-2</v>
      </c>
      <c r="AX645">
        <v>0.01</v>
      </c>
      <c r="AY645" s="8">
        <v>1</v>
      </c>
      <c r="AZ645" s="55">
        <f>(AW645-AX645)*AY645</f>
        <v>3.0000000000000009E-3</v>
      </c>
      <c r="BA645" s="4">
        <f>AW645*AB645-AZ645*AC645</f>
        <v>1.0508500000000001</v>
      </c>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DM645" s="4">
        <f>CH645+CM645+CR645+DB645+DG645+DL645</f>
        <v>0</v>
      </c>
      <c r="EF645">
        <v>260</v>
      </c>
      <c r="EG645">
        <v>2600</v>
      </c>
      <c r="EH645">
        <v>8</v>
      </c>
      <c r="EI645" s="8">
        <v>0.95</v>
      </c>
      <c r="EJ645">
        <v>2</v>
      </c>
      <c r="EK645">
        <v>55</v>
      </c>
      <c r="EL645" s="10">
        <f>3600/EK645*EH645*EJ645*EI645</f>
        <v>994.90909090909088</v>
      </c>
      <c r="EU645" s="4">
        <f>EG645/EL645+EX645+ER645</f>
        <v>2.6133040935672516</v>
      </c>
      <c r="EV645" s="4"/>
      <c r="EW645" s="4"/>
      <c r="GR645" s="8">
        <v>0.11</v>
      </c>
      <c r="GS645" s="4">
        <f>GR645*(BA645+EU645)</f>
        <v>0.40305695029239769</v>
      </c>
      <c r="GT645" s="9">
        <v>1.2500000000000001E-2</v>
      </c>
      <c r="GU645" s="4">
        <f>GT645*(BA645+EU645)</f>
        <v>4.5801926169590647E-2</v>
      </c>
      <c r="GV645" s="8">
        <v>0.02</v>
      </c>
      <c r="GW645" s="4">
        <f>GV645*EU645</f>
        <v>5.226608187134503E-2</v>
      </c>
      <c r="GX645" s="4">
        <f>GS645+GU645+GW645</f>
        <v>0.50112495833333337</v>
      </c>
      <c r="GY645" t="s">
        <v>43</v>
      </c>
      <c r="GZ645" t="s">
        <v>87</v>
      </c>
      <c r="HA645">
        <v>650</v>
      </c>
      <c r="HB645">
        <v>450</v>
      </c>
      <c r="HC645">
        <v>315</v>
      </c>
      <c r="HD645">
        <v>500</v>
      </c>
      <c r="HE645">
        <v>600</v>
      </c>
      <c r="HF645" s="4">
        <f>ROUNDUP(HE645/HD645,0)</f>
        <v>2</v>
      </c>
      <c r="HG645">
        <v>5</v>
      </c>
      <c r="HH645" s="4">
        <f>HF645*HG645</f>
        <v>10</v>
      </c>
      <c r="HI645">
        <v>650</v>
      </c>
      <c r="HJ645" s="4">
        <f>HH645*HI645</f>
        <v>6500</v>
      </c>
      <c r="HM645" s="4">
        <v>2</v>
      </c>
      <c r="HN645" s="10">
        <f>HM645*12*25*HE645</f>
        <v>360000</v>
      </c>
      <c r="HO645" s="4">
        <f>IF(GY645="carton box",HI645/HD645,HJ645/HN645)</f>
        <v>1.8055555555555554E-2</v>
      </c>
      <c r="HP645" s="4">
        <v>160</v>
      </c>
      <c r="HV645" s="4">
        <f>HO645+HT645</f>
        <v>1.8055555555555554E-2</v>
      </c>
      <c r="HW645" s="4"/>
      <c r="HX645">
        <v>5016</v>
      </c>
      <c r="HY645">
        <v>1976</v>
      </c>
      <c r="HZ645">
        <v>2280</v>
      </c>
      <c r="IA645" s="4">
        <f>ROUNDDOWN(HX645/HA645,0)</f>
        <v>7</v>
      </c>
      <c r="IB645" s="4">
        <f>ROUNDDOWN(HY645/HB645,0)</f>
        <v>4</v>
      </c>
      <c r="IC645" s="4">
        <f>ROUNDDOWN(HZ645/HC645,0)</f>
        <v>7</v>
      </c>
      <c r="ID645" s="8">
        <v>1</v>
      </c>
      <c r="IE645" s="4">
        <f>ROUNDUP(PRODUCT(IA645:ID645),0)-154</f>
        <v>42</v>
      </c>
      <c r="IF645" s="4">
        <v>500</v>
      </c>
      <c r="IG645" s="4">
        <f>IF645/(IE645*HD645)</f>
        <v>2.3809523809523808E-2</v>
      </c>
      <c r="IH645" s="4"/>
    </row>
    <row r="646" spans="1:242">
      <c r="A646">
        <v>631</v>
      </c>
      <c r="B646" t="s">
        <v>1947</v>
      </c>
      <c r="D646" s="28" t="s">
        <v>1477</v>
      </c>
      <c r="E646" s="28" t="s">
        <v>1478</v>
      </c>
      <c r="F646" s="28" t="s">
        <v>1947</v>
      </c>
      <c r="G646" s="27" t="s">
        <v>101</v>
      </c>
      <c r="I646" s="27" t="s">
        <v>226</v>
      </c>
      <c r="J646" s="28">
        <v>21599</v>
      </c>
      <c r="K646" s="27" t="s">
        <v>1240</v>
      </c>
    </row>
    <row r="647" spans="1:242" ht="60">
      <c r="A647">
        <v>632</v>
      </c>
      <c r="B647" t="s">
        <v>468</v>
      </c>
      <c r="C647" t="s">
        <v>2424</v>
      </c>
      <c r="D647" s="28" t="s">
        <v>1479</v>
      </c>
      <c r="E647" s="28" t="s">
        <v>1480</v>
      </c>
      <c r="F647" s="28" t="s">
        <v>2182</v>
      </c>
      <c r="G647" s="27" t="s">
        <v>101</v>
      </c>
      <c r="I647" s="27" t="s">
        <v>226</v>
      </c>
      <c r="J647" s="28">
        <v>21691</v>
      </c>
      <c r="K647" s="27" t="s">
        <v>404</v>
      </c>
      <c r="Q647" s="13" t="s">
        <v>1768</v>
      </c>
      <c r="R647" s="13" t="s">
        <v>1778</v>
      </c>
      <c r="T647" s="5" t="s">
        <v>2251</v>
      </c>
      <c r="U647" s="5"/>
      <c r="V647" s="29" t="s">
        <v>2252</v>
      </c>
      <c r="W647" s="72" t="s">
        <v>2423</v>
      </c>
      <c r="X647" s="5"/>
      <c r="Y647" s="5"/>
      <c r="Z647" s="5"/>
      <c r="AA647" s="51" t="s">
        <v>1808</v>
      </c>
      <c r="AB647" s="66">
        <v>85.45</v>
      </c>
      <c r="AC647">
        <v>20</v>
      </c>
      <c r="AD647"/>
      <c r="AE647" s="7">
        <f>BA647</f>
        <v>1.0508500000000001</v>
      </c>
      <c r="AF647" s="7"/>
      <c r="AG647" s="7">
        <f>EU647</f>
        <v>2.6133040935672516</v>
      </c>
      <c r="AH647" s="7">
        <f>DM647</f>
        <v>0</v>
      </c>
      <c r="AI647" s="7">
        <f>DO647</f>
        <v>0</v>
      </c>
      <c r="AJ647" s="7">
        <f>GW647</f>
        <v>5.226608187134503E-2</v>
      </c>
      <c r="AK647" s="7">
        <f>GU647</f>
        <v>4.5801926169590647E-2</v>
      </c>
      <c r="AL647" s="7">
        <f>GS647</f>
        <v>0.40305695029239769</v>
      </c>
      <c r="AM647" s="7">
        <f>HV647</f>
        <v>1.8055555555555554E-2</v>
      </c>
      <c r="AN647" s="7">
        <f>IG647</f>
        <v>2.3809523809523808E-2</v>
      </c>
      <c r="AO647" s="6">
        <v>0</v>
      </c>
      <c r="AP647" s="6"/>
      <c r="AQ647" s="7">
        <f>SUM(AE647:AP647)</f>
        <v>4.2071441312656646</v>
      </c>
      <c r="AR647" s="7">
        <f>IJ647</f>
        <v>0</v>
      </c>
      <c r="AS647" s="7"/>
      <c r="AT647" s="6">
        <v>0</v>
      </c>
      <c r="AU647">
        <f>4-4.21</f>
        <v>-0.20999999999999996</v>
      </c>
      <c r="AV647" s="7">
        <f>AQ647+AT647+AU647+AR647</f>
        <v>3.9971441312656646</v>
      </c>
      <c r="AW647">
        <v>1.3000000000000001E-2</v>
      </c>
      <c r="AX647">
        <v>0.01</v>
      </c>
      <c r="AY647" s="8">
        <v>1</v>
      </c>
      <c r="AZ647" s="55">
        <f>(AW647-AX647)*AY647</f>
        <v>3.0000000000000009E-3</v>
      </c>
      <c r="BA647" s="4">
        <f>AW647*AB647-AZ647*AC647</f>
        <v>1.0508500000000001</v>
      </c>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DM647" s="4">
        <f>CH647+CM647+CR647+DB647+DG647+DL647</f>
        <v>0</v>
      </c>
      <c r="EF647">
        <v>260</v>
      </c>
      <c r="EG647">
        <v>2600</v>
      </c>
      <c r="EH647">
        <v>8</v>
      </c>
      <c r="EI647" s="8">
        <v>0.95</v>
      </c>
      <c r="EJ647">
        <v>2</v>
      </c>
      <c r="EK647">
        <v>55</v>
      </c>
      <c r="EL647" s="10">
        <f>3600/EK647*EH647*EJ647*EI647</f>
        <v>994.90909090909088</v>
      </c>
      <c r="EU647" s="4">
        <f>EG647/EL647+EX647+ER647</f>
        <v>2.6133040935672516</v>
      </c>
      <c r="EV647" s="4"/>
      <c r="EW647" s="4"/>
      <c r="GR647" s="8">
        <v>0.11</v>
      </c>
      <c r="GS647" s="4">
        <f>GR647*(BA647+EU647)</f>
        <v>0.40305695029239769</v>
      </c>
      <c r="GT647" s="9">
        <v>1.2500000000000001E-2</v>
      </c>
      <c r="GU647" s="4">
        <f>GT647*(BA647+EU647)</f>
        <v>4.5801926169590647E-2</v>
      </c>
      <c r="GV647" s="8">
        <v>0.02</v>
      </c>
      <c r="GW647" s="4">
        <f>GV647*EU647</f>
        <v>5.226608187134503E-2</v>
      </c>
      <c r="GX647" s="4">
        <f>GS647+GU647+GW647</f>
        <v>0.50112495833333337</v>
      </c>
      <c r="GY647" t="s">
        <v>43</v>
      </c>
      <c r="GZ647" t="s">
        <v>87</v>
      </c>
      <c r="HA647">
        <v>650</v>
      </c>
      <c r="HB647">
        <v>450</v>
      </c>
      <c r="HC647">
        <v>315</v>
      </c>
      <c r="HD647">
        <v>500</v>
      </c>
      <c r="HE647">
        <v>600</v>
      </c>
      <c r="HF647" s="4">
        <f>ROUNDUP(HE647/HD647,0)</f>
        <v>2</v>
      </c>
      <c r="HG647">
        <v>5</v>
      </c>
      <c r="HH647" s="4">
        <f>HF647*HG647</f>
        <v>10</v>
      </c>
      <c r="HI647">
        <v>650</v>
      </c>
      <c r="HJ647" s="4">
        <f>HH647*HI647</f>
        <v>6500</v>
      </c>
      <c r="HM647" s="4">
        <v>2</v>
      </c>
      <c r="HN647" s="10">
        <f>HM647*12*25*HE647</f>
        <v>360000</v>
      </c>
      <c r="HO647" s="4">
        <f>IF(GY647="carton box",HI647/HD647,HJ647/HN647)</f>
        <v>1.8055555555555554E-2</v>
      </c>
      <c r="HP647" s="4">
        <v>160</v>
      </c>
      <c r="HV647" s="4">
        <f>HO647+HT647</f>
        <v>1.8055555555555554E-2</v>
      </c>
      <c r="HW647" s="4"/>
      <c r="HX647">
        <v>5016</v>
      </c>
      <c r="HY647">
        <v>1976</v>
      </c>
      <c r="HZ647">
        <v>2280</v>
      </c>
      <c r="IA647" s="4">
        <f>ROUNDDOWN(HX647/HA647,0)</f>
        <v>7</v>
      </c>
      <c r="IB647" s="4">
        <f>ROUNDDOWN(HY647/HB647,0)</f>
        <v>4</v>
      </c>
      <c r="IC647" s="4">
        <f>ROUNDDOWN(HZ647/HC647,0)</f>
        <v>7</v>
      </c>
      <c r="ID647" s="8">
        <v>1</v>
      </c>
      <c r="IE647" s="4">
        <f>ROUNDUP(PRODUCT(IA647:ID647),0)-154</f>
        <v>42</v>
      </c>
      <c r="IF647" s="4">
        <v>500</v>
      </c>
      <c r="IG647" s="4">
        <f>IF647/(IE647*HD647)</f>
        <v>2.3809523809523808E-2</v>
      </c>
      <c r="IH647" s="4"/>
    </row>
    <row r="648" spans="1:242">
      <c r="A648">
        <v>633</v>
      </c>
      <c r="B648" t="s">
        <v>1947</v>
      </c>
      <c r="D648" s="28" t="s">
        <v>1479</v>
      </c>
      <c r="E648" s="28" t="s">
        <v>1480</v>
      </c>
      <c r="F648" s="28" t="s">
        <v>1947</v>
      </c>
      <c r="G648" s="27" t="s">
        <v>101</v>
      </c>
      <c r="I648" s="27" t="s">
        <v>226</v>
      </c>
      <c r="J648" s="28">
        <v>21599</v>
      </c>
      <c r="K648" s="27" t="s">
        <v>1240</v>
      </c>
    </row>
    <row r="649" spans="1:242">
      <c r="A649">
        <v>634</v>
      </c>
      <c r="B649" t="s">
        <v>468</v>
      </c>
      <c r="C649" t="s">
        <v>2425</v>
      </c>
      <c r="D649" s="28" t="s">
        <v>747</v>
      </c>
      <c r="E649" s="28" t="s">
        <v>166</v>
      </c>
      <c r="F649" s="28" t="s">
        <v>2182</v>
      </c>
      <c r="G649" s="27" t="s">
        <v>101</v>
      </c>
      <c r="I649" s="27" t="s">
        <v>226</v>
      </c>
      <c r="J649" s="28">
        <v>21590</v>
      </c>
      <c r="K649" s="27" t="s">
        <v>397</v>
      </c>
      <c r="Q649" s="13" t="s">
        <v>1768</v>
      </c>
      <c r="R649" s="13" t="s">
        <v>1778</v>
      </c>
      <c r="T649" s="5" t="s">
        <v>2251</v>
      </c>
      <c r="U649" s="5"/>
      <c r="V649" s="29" t="s">
        <v>2252</v>
      </c>
      <c r="W649"/>
      <c r="X649"/>
      <c r="Y649"/>
      <c r="Z649"/>
      <c r="AA649" s="51" t="s">
        <v>440</v>
      </c>
      <c r="AB649" s="66">
        <v>107.45</v>
      </c>
      <c r="AC649">
        <v>20</v>
      </c>
      <c r="AD649" t="s">
        <v>2405</v>
      </c>
      <c r="AE649" s="7">
        <f>BA649</f>
        <v>74.462850000000003</v>
      </c>
      <c r="AF649" s="7"/>
      <c r="AG649" s="7">
        <f>EU649</f>
        <v>18.827160493827162</v>
      </c>
      <c r="AH649" s="7">
        <f>DM649</f>
        <v>0</v>
      </c>
      <c r="AI649" s="7">
        <f>DO649</f>
        <v>0</v>
      </c>
      <c r="AJ649" s="7">
        <f>GW649</f>
        <v>0.37654320987654322</v>
      </c>
      <c r="AK649" s="7">
        <f>GU649</f>
        <v>1.1661251311728396</v>
      </c>
      <c r="AL649" s="7">
        <f>GS649</f>
        <v>10.261901154320988</v>
      </c>
      <c r="AM649" s="7">
        <f>HV649</f>
        <v>1.54</v>
      </c>
      <c r="AN649" s="7">
        <f>IG649</f>
        <v>1.4619883040935673</v>
      </c>
      <c r="AO649" s="6">
        <v>0</v>
      </c>
      <c r="AP649" s="6"/>
      <c r="AQ649" s="7">
        <f>SUM(AE649:AP649)</f>
        <v>108.09656829329111</v>
      </c>
      <c r="AR649" s="7">
        <f>IJ649</f>
        <v>0</v>
      </c>
      <c r="AS649" s="7"/>
      <c r="AT649" s="6">
        <v>0</v>
      </c>
      <c r="AV649" s="7">
        <f>AQ649+AT649+AU649+AR649</f>
        <v>108.09656829329111</v>
      </c>
      <c r="AW649">
        <v>0.69299999999999995</v>
      </c>
      <c r="AX649">
        <v>0.69299999999999995</v>
      </c>
      <c r="AY649" s="8">
        <v>1</v>
      </c>
      <c r="AZ649" s="55">
        <f>(AW649-AX649)*AY649</f>
        <v>0</v>
      </c>
      <c r="BA649" s="4">
        <f>AW649*AB649-AZ649*AC649</f>
        <v>74.462850000000003</v>
      </c>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DM649" s="4">
        <f>CH649+CM649+CR649+DB649+DG649+DL649</f>
        <v>0</v>
      </c>
      <c r="EF649">
        <v>750</v>
      </c>
      <c r="EG649">
        <v>7500</v>
      </c>
      <c r="EH649">
        <v>7.5</v>
      </c>
      <c r="EI649" s="8">
        <v>0.9</v>
      </c>
      <c r="EJ649">
        <v>1</v>
      </c>
      <c r="EK649">
        <v>61</v>
      </c>
      <c r="EL649" s="10">
        <f>3600/EK649*EH649*EJ649*EI649</f>
        <v>398.36065573770492</v>
      </c>
      <c r="EU649" s="4">
        <f>EG649/EL649+EX649+ER649</f>
        <v>18.827160493827162</v>
      </c>
      <c r="EV649" s="4"/>
      <c r="EW649" s="4"/>
      <c r="GR649" s="8">
        <v>0.11</v>
      </c>
      <c r="GS649" s="4">
        <f>GR649*(BA649+EU649)</f>
        <v>10.261901154320988</v>
      </c>
      <c r="GT649" s="9">
        <v>1.2500000000000001E-2</v>
      </c>
      <c r="GU649" s="4">
        <f>GT649*(BA649+EU649)</f>
        <v>1.1661251311728396</v>
      </c>
      <c r="GV649" s="8">
        <v>0.02</v>
      </c>
      <c r="GW649" s="4">
        <f>GV649*EU649</f>
        <v>0.37654320987654322</v>
      </c>
      <c r="GX649" s="4">
        <f>GS649+GU649+GW649</f>
        <v>11.804569495370369</v>
      </c>
      <c r="GY649" t="s">
        <v>130</v>
      </c>
      <c r="GZ649" t="s">
        <v>130</v>
      </c>
      <c r="HA649">
        <v>810</v>
      </c>
      <c r="HB649">
        <v>568</v>
      </c>
      <c r="HC649">
        <v>425</v>
      </c>
      <c r="HD649">
        <v>6</v>
      </c>
      <c r="HE649">
        <v>1000</v>
      </c>
      <c r="HF649" s="4">
        <f>ROUNDUP(HE649/HD649,0)</f>
        <v>167</v>
      </c>
      <c r="HG649">
        <v>5</v>
      </c>
      <c r="HH649" s="4">
        <f>HF649*HG649</f>
        <v>835</v>
      </c>
      <c r="HI649">
        <v>1100</v>
      </c>
      <c r="HJ649" s="4">
        <f>HH649*HI649</f>
        <v>918500</v>
      </c>
      <c r="HM649" s="4">
        <v>2</v>
      </c>
      <c r="HN649" s="10">
        <f>HM649*12*25*HE649</f>
        <v>600000</v>
      </c>
      <c r="HO649" s="4">
        <f>IF(GY649="carton box",HI649/HD649,HJ649/HN649)</f>
        <v>1.5308333333333333</v>
      </c>
      <c r="HP649" s="4">
        <v>160</v>
      </c>
      <c r="HV649" s="4">
        <f>ROUNDUP(HO649+HT649,2)</f>
        <v>1.54</v>
      </c>
      <c r="HW649" s="4"/>
      <c r="HX649">
        <v>4200</v>
      </c>
      <c r="HY649">
        <v>1900</v>
      </c>
      <c r="HZ649">
        <v>1975</v>
      </c>
      <c r="IA649" s="4">
        <f>ROUNDDOWN(HX649/HA649,0)</f>
        <v>5</v>
      </c>
      <c r="IB649" s="4">
        <f>ROUNDDOWN(HY649/HB649,0)</f>
        <v>3</v>
      </c>
      <c r="IC649" s="4">
        <f>ROUNDDOWN(HZ649/HC649,0)</f>
        <v>4</v>
      </c>
      <c r="ID649" s="8">
        <v>0.95</v>
      </c>
      <c r="IE649" s="4">
        <f>ROUNDUP(PRODUCT(IA649:ID649),0)</f>
        <v>57</v>
      </c>
      <c r="IF649" s="4">
        <v>500</v>
      </c>
      <c r="IG649" s="4">
        <f>IF649/(IE649*HD649)</f>
        <v>1.4619883040935673</v>
      </c>
      <c r="IH649" s="4"/>
    </row>
    <row r="650" spans="1:242">
      <c r="A650">
        <v>635</v>
      </c>
      <c r="B650" t="s">
        <v>1947</v>
      </c>
      <c r="D650" s="28" t="s">
        <v>747</v>
      </c>
      <c r="E650" s="28" t="s">
        <v>166</v>
      </c>
      <c r="F650" s="28" t="s">
        <v>1947</v>
      </c>
      <c r="G650" s="27" t="s">
        <v>101</v>
      </c>
      <c r="I650" s="27" t="s">
        <v>226</v>
      </c>
      <c r="J650" s="28">
        <v>21599</v>
      </c>
      <c r="K650" s="27" t="s">
        <v>1240</v>
      </c>
    </row>
    <row r="651" spans="1:242">
      <c r="A651">
        <v>636</v>
      </c>
      <c r="B651" t="s">
        <v>468</v>
      </c>
      <c r="C651" t="s">
        <v>2426</v>
      </c>
      <c r="D651" s="28" t="s">
        <v>1481</v>
      </c>
      <c r="E651" s="28" t="s">
        <v>1482</v>
      </c>
      <c r="F651" s="28" t="s">
        <v>2182</v>
      </c>
      <c r="G651" s="27" t="s">
        <v>101</v>
      </c>
      <c r="I651" s="27" t="s">
        <v>226</v>
      </c>
      <c r="J651" s="28">
        <v>21691</v>
      </c>
      <c r="K651" s="27" t="s">
        <v>404</v>
      </c>
      <c r="Q651" s="13" t="s">
        <v>1768</v>
      </c>
      <c r="R651" s="13" t="s">
        <v>1778</v>
      </c>
      <c r="T651" s="5" t="s">
        <v>2251</v>
      </c>
      <c r="U651" s="5"/>
      <c r="V651" s="29" t="s">
        <v>2252</v>
      </c>
      <c r="W651"/>
      <c r="X651"/>
      <c r="Y651"/>
      <c r="Z651"/>
      <c r="AA651" s="51" t="s">
        <v>583</v>
      </c>
      <c r="AB651" s="66">
        <v>141.24</v>
      </c>
      <c r="AC651">
        <v>20</v>
      </c>
      <c r="AD651" t="s">
        <v>554</v>
      </c>
      <c r="AE651" s="7">
        <f>BA651</f>
        <v>61.80312</v>
      </c>
      <c r="AF651" s="7"/>
      <c r="AG651" s="7">
        <f>EU651</f>
        <v>18.421052631578949</v>
      </c>
      <c r="AH651" s="7">
        <f>DM651</f>
        <v>0</v>
      </c>
      <c r="AI651" s="7">
        <f>DO651</f>
        <v>0</v>
      </c>
      <c r="AJ651" s="7">
        <f>GW651</f>
        <v>0.36842105263157898</v>
      </c>
      <c r="AK651" s="7">
        <f>GU651</f>
        <v>1.002802157894737</v>
      </c>
      <c r="AL651" s="7">
        <f>GS651</f>
        <v>8.8246589894736847</v>
      </c>
      <c r="AM651" s="7">
        <f>HV651</f>
        <v>3.55</v>
      </c>
      <c r="AN651" s="7">
        <f>IG651</f>
        <v>0.83333333333333337</v>
      </c>
      <c r="AO651" s="6">
        <v>0</v>
      </c>
      <c r="AP651" s="6"/>
      <c r="AQ651" s="7">
        <f>SUM(AE651:AP651)</f>
        <v>94.803388164912278</v>
      </c>
      <c r="AR651" s="7">
        <f>IJ651</f>
        <v>0</v>
      </c>
      <c r="AS651" s="7"/>
      <c r="AT651" s="6">
        <v>0</v>
      </c>
      <c r="AV651" s="7">
        <f>AQ651+AT651+AU651+AR651</f>
        <v>94.803388164912278</v>
      </c>
      <c r="AW651">
        <v>0.438</v>
      </c>
      <c r="AX651">
        <v>0.435</v>
      </c>
      <c r="AY651" s="8">
        <v>1</v>
      </c>
      <c r="AZ651" s="55">
        <f>(AW651-AX651)*AY651</f>
        <v>3.0000000000000027E-3</v>
      </c>
      <c r="BA651" s="4">
        <f>AW651*AB651-AZ651*AC651</f>
        <v>61.80312</v>
      </c>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DM651" s="4">
        <f>CH651+CM651+CR651+DB651+DG651+DL651</f>
        <v>0</v>
      </c>
      <c r="EF651">
        <v>700</v>
      </c>
      <c r="EG651">
        <v>7000</v>
      </c>
      <c r="EH651">
        <v>8</v>
      </c>
      <c r="EI651" s="8">
        <v>0.95</v>
      </c>
      <c r="EJ651">
        <v>1</v>
      </c>
      <c r="EK651">
        <v>72</v>
      </c>
      <c r="EL651" s="10">
        <f>3600/EK651*EH651*EJ651*EI651</f>
        <v>380</v>
      </c>
      <c r="EU651" s="4">
        <f>EG651/EL651+EX651+ER651</f>
        <v>18.421052631578949</v>
      </c>
      <c r="EV651" s="4"/>
      <c r="EW651" s="4"/>
      <c r="GR651" s="8">
        <v>0.11</v>
      </c>
      <c r="GS651" s="4">
        <f>GR651*(BA651+EU651)</f>
        <v>8.8246589894736847</v>
      </c>
      <c r="GT651" s="9">
        <v>1.2500000000000001E-2</v>
      </c>
      <c r="GU651" s="4">
        <f>GT651*(BA651+EU651)</f>
        <v>1.002802157894737</v>
      </c>
      <c r="GV651" s="8">
        <v>0.02</v>
      </c>
      <c r="GW651" s="4">
        <f>GV651*EU651</f>
        <v>0.36842105263157898</v>
      </c>
      <c r="GX651" s="4">
        <f>GS651+GU651+GW651</f>
        <v>10.1958822</v>
      </c>
      <c r="GY651" t="s">
        <v>130</v>
      </c>
      <c r="GZ651" t="s">
        <v>130</v>
      </c>
      <c r="HA651">
        <v>980</v>
      </c>
      <c r="HB651">
        <v>700</v>
      </c>
      <c r="HC651">
        <v>450</v>
      </c>
      <c r="HD651">
        <v>12</v>
      </c>
      <c r="HE651">
        <v>1000</v>
      </c>
      <c r="HF651" s="4">
        <f>ROUNDUP(HE651/HD651,0)</f>
        <v>84</v>
      </c>
      <c r="HG651">
        <v>5</v>
      </c>
      <c r="HH651" s="4">
        <f>HF651*HG651</f>
        <v>420</v>
      </c>
      <c r="HI651">
        <v>1100</v>
      </c>
      <c r="HJ651" s="4">
        <f>HH651*HI651</f>
        <v>462000</v>
      </c>
      <c r="HM651" s="4">
        <v>2</v>
      </c>
      <c r="HN651" s="10">
        <f>HM651*12*25*HE651</f>
        <v>600000</v>
      </c>
      <c r="HO651" s="4">
        <f>IF(GY651="carton box",HI651/HD651,HJ651/HN651)</f>
        <v>0.77</v>
      </c>
      <c r="HP651" s="4">
        <v>160</v>
      </c>
      <c r="HR651">
        <v>150</v>
      </c>
      <c r="HS651">
        <v>54</v>
      </c>
      <c r="HT651" s="4">
        <f>HR651/HS651</f>
        <v>2.7777777777777777</v>
      </c>
      <c r="HU651" s="4"/>
      <c r="HV651" s="4">
        <f>ROUNDUP(HO651+HT651,2)</f>
        <v>3.55</v>
      </c>
      <c r="HW651" s="4"/>
      <c r="HX651">
        <v>5016</v>
      </c>
      <c r="HY651">
        <v>1976</v>
      </c>
      <c r="HZ651">
        <v>2280</v>
      </c>
      <c r="IA651" s="4">
        <f>ROUNDDOWN(HX651/HA651,0)</f>
        <v>5</v>
      </c>
      <c r="IB651" s="4">
        <f>ROUNDDOWN(HY651/HB651,0)</f>
        <v>2</v>
      </c>
      <c r="IC651" s="4">
        <f>ROUNDDOWN(HZ651/HC651,0)</f>
        <v>5</v>
      </c>
      <c r="ID651" s="8">
        <v>1</v>
      </c>
      <c r="IE651" s="4">
        <f>ROUNDUP(PRODUCT(IA651:ID651),0)</f>
        <v>50</v>
      </c>
      <c r="IF651" s="4">
        <v>500</v>
      </c>
      <c r="IG651" s="4">
        <f>IF651/(IE651*HD651)</f>
        <v>0.83333333333333337</v>
      </c>
      <c r="IH651" s="4"/>
    </row>
    <row r="652" spans="1:242">
      <c r="A652">
        <v>637</v>
      </c>
      <c r="B652" t="s">
        <v>1947</v>
      </c>
      <c r="D652" s="28" t="s">
        <v>1481</v>
      </c>
      <c r="E652" s="28" t="s">
        <v>1483</v>
      </c>
      <c r="F652" s="28" t="s">
        <v>1947</v>
      </c>
      <c r="G652" s="27" t="s">
        <v>101</v>
      </c>
      <c r="I652" s="27" t="s">
        <v>226</v>
      </c>
      <c r="J652" s="28">
        <v>21599</v>
      </c>
      <c r="K652" s="27" t="s">
        <v>1240</v>
      </c>
    </row>
    <row r="653" spans="1:242">
      <c r="A653">
        <v>638</v>
      </c>
      <c r="B653" t="s">
        <v>468</v>
      </c>
      <c r="C653" t="s">
        <v>2427</v>
      </c>
      <c r="D653" s="28" t="s">
        <v>1484</v>
      </c>
      <c r="E653" s="28" t="s">
        <v>1485</v>
      </c>
      <c r="F653" s="28" t="s">
        <v>2182</v>
      </c>
      <c r="G653" s="27" t="s">
        <v>101</v>
      </c>
      <c r="I653" s="27" t="s">
        <v>226</v>
      </c>
      <c r="J653" s="28">
        <v>21691</v>
      </c>
      <c r="K653" s="27" t="s">
        <v>404</v>
      </c>
      <c r="Q653" s="13" t="s">
        <v>1768</v>
      </c>
      <c r="R653" s="13" t="s">
        <v>1778</v>
      </c>
      <c r="T653" s="5" t="s">
        <v>2251</v>
      </c>
      <c r="U653" s="5"/>
      <c r="V653" s="29" t="s">
        <v>2252</v>
      </c>
      <c r="W653"/>
      <c r="X653"/>
      <c r="Y653"/>
      <c r="Z653"/>
      <c r="AA653" s="51" t="s">
        <v>1950</v>
      </c>
      <c r="AB653" s="66">
        <v>126.68</v>
      </c>
      <c r="AC653">
        <v>20</v>
      </c>
      <c r="AD653"/>
      <c r="AE653" s="7">
        <f>BA653</f>
        <v>18.028580000000005</v>
      </c>
      <c r="AF653" s="7"/>
      <c r="AG653" s="7">
        <f>EU653</f>
        <v>4.9342105263157894</v>
      </c>
      <c r="AH653" s="7">
        <f>DM653</f>
        <v>0</v>
      </c>
      <c r="AI653" s="7">
        <f>DO653</f>
        <v>0</v>
      </c>
      <c r="AJ653" s="7">
        <f>GW653</f>
        <v>9.8684210526315791E-2</v>
      </c>
      <c r="AK653" s="7">
        <f>GU653</f>
        <v>0.28703488157894741</v>
      </c>
      <c r="AL653" s="7">
        <f>GS653</f>
        <v>2.5259069578947373</v>
      </c>
      <c r="AM653" s="7">
        <f>HV653</f>
        <v>0.95694444444444438</v>
      </c>
      <c r="AN653" s="7">
        <f>IG653</f>
        <v>0.13227513227513227</v>
      </c>
      <c r="AO653" s="6">
        <v>0</v>
      </c>
      <c r="AP653" s="6"/>
      <c r="AQ653" s="7">
        <f>SUM(AE653:AP653)</f>
        <v>26.96363615303537</v>
      </c>
      <c r="AR653" s="7">
        <f>IJ653</f>
        <v>0</v>
      </c>
      <c r="AS653" s="7"/>
      <c r="AT653" s="6">
        <v>0</v>
      </c>
      <c r="AV653" s="7">
        <f>AQ653+AT653+AU653+AR653</f>
        <v>26.96363615303537</v>
      </c>
      <c r="AW653">
        <v>0.14350000000000002</v>
      </c>
      <c r="AX653">
        <v>0.13600000000000001</v>
      </c>
      <c r="AY653" s="8">
        <v>1</v>
      </c>
      <c r="AZ653" s="55">
        <f>(AW653-AX653)*AY653</f>
        <v>7.5000000000000067E-3</v>
      </c>
      <c r="BA653" s="4">
        <f>AW653*AB653-AZ653*AC653</f>
        <v>18.028580000000005</v>
      </c>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DM653" s="4">
        <f>CH653+CM653+CR653+DB653+DG653+DL653</f>
        <v>0</v>
      </c>
      <c r="EF653">
        <v>450</v>
      </c>
      <c r="EG653">
        <v>4500</v>
      </c>
      <c r="EH653">
        <v>8</v>
      </c>
      <c r="EI653" s="8">
        <v>0.95</v>
      </c>
      <c r="EJ653">
        <v>2</v>
      </c>
      <c r="EK653">
        <v>60</v>
      </c>
      <c r="EL653" s="10">
        <f>3600/EK653*EH653*EJ653*EI653</f>
        <v>912</v>
      </c>
      <c r="EU653" s="4">
        <f>EG653/EL653+EX653+ER653</f>
        <v>4.9342105263157894</v>
      </c>
      <c r="EV653" s="4"/>
      <c r="EW653" s="4"/>
      <c r="GR653" s="8">
        <v>0.11</v>
      </c>
      <c r="GS653" s="4">
        <f>GR653*(BA653+EU653)</f>
        <v>2.5259069578947373</v>
      </c>
      <c r="GT653" s="9">
        <v>1.2500000000000001E-2</v>
      </c>
      <c r="GU653" s="4">
        <f>GT653*(BA653+EU653)</f>
        <v>0.28703488157894741</v>
      </c>
      <c r="GV653" s="8">
        <v>0.02</v>
      </c>
      <c r="GW653" s="4">
        <f>GV653*EU653</f>
        <v>9.8684210526315791E-2</v>
      </c>
      <c r="GX653" s="4">
        <f>GS653+GU653+GW653</f>
        <v>2.9116260500000006</v>
      </c>
      <c r="GY653" t="s">
        <v>130</v>
      </c>
      <c r="GZ653" t="s">
        <v>130</v>
      </c>
      <c r="HA653">
        <v>980</v>
      </c>
      <c r="HB653">
        <v>700</v>
      </c>
      <c r="HC653">
        <v>450</v>
      </c>
      <c r="HD653">
        <v>90</v>
      </c>
      <c r="HE653">
        <v>600</v>
      </c>
      <c r="HF653" s="4">
        <f>ROUNDUP(HE653/HD653,0)</f>
        <v>7</v>
      </c>
      <c r="HG653">
        <v>5</v>
      </c>
      <c r="HH653" s="4">
        <f>HF653*HG653</f>
        <v>35</v>
      </c>
      <c r="HI653">
        <v>1100</v>
      </c>
      <c r="HJ653" s="4">
        <f>HH653*HI653</f>
        <v>38500</v>
      </c>
      <c r="HM653" s="4">
        <v>2</v>
      </c>
      <c r="HN653" s="10">
        <f>HM653*12*25*HE653</f>
        <v>360000</v>
      </c>
      <c r="HO653" s="4">
        <f>IF(GY653="carton box",HI653/HD653,HJ653/HN653)</f>
        <v>0.10694444444444444</v>
      </c>
      <c r="HP653" s="4">
        <v>160</v>
      </c>
      <c r="HR653">
        <v>0.85</v>
      </c>
      <c r="HS653">
        <v>1</v>
      </c>
      <c r="HT653" s="4">
        <f>HR653/HS653</f>
        <v>0.85</v>
      </c>
      <c r="HU653" s="4"/>
      <c r="HV653" s="4">
        <f>HO653+HT653</f>
        <v>0.95694444444444438</v>
      </c>
      <c r="HW653" s="4"/>
      <c r="HX653">
        <v>5016</v>
      </c>
      <c r="HY653">
        <v>1976</v>
      </c>
      <c r="HZ653">
        <v>2280</v>
      </c>
      <c r="IA653" s="4">
        <f>ROUNDDOWN(HX653/HA653,0)</f>
        <v>5</v>
      </c>
      <c r="IB653" s="4">
        <f>ROUNDDOWN(HY653/HB653,0)</f>
        <v>2</v>
      </c>
      <c r="IC653" s="4">
        <f>ROUNDDOWN(HZ653/HC653,0)</f>
        <v>5</v>
      </c>
      <c r="ID653" s="8">
        <v>1</v>
      </c>
      <c r="IE653" s="4">
        <f>ROUNDUP(PRODUCT(IA653:ID653),0)-8</f>
        <v>42</v>
      </c>
      <c r="IF653" s="4">
        <v>500</v>
      </c>
      <c r="IG653" s="4">
        <f>IF653/(IE653*HD653)</f>
        <v>0.13227513227513227</v>
      </c>
      <c r="IH653" s="4"/>
    </row>
    <row r="654" spans="1:242">
      <c r="A654">
        <v>639</v>
      </c>
      <c r="B654" t="s">
        <v>1947</v>
      </c>
      <c r="D654" s="28" t="s">
        <v>1484</v>
      </c>
      <c r="E654" s="28" t="s">
        <v>1485</v>
      </c>
      <c r="F654" s="28" t="s">
        <v>1947</v>
      </c>
      <c r="G654" s="27" t="s">
        <v>101</v>
      </c>
      <c r="I654" s="27" t="s">
        <v>226</v>
      </c>
      <c r="J654" s="28">
        <v>21599</v>
      </c>
      <c r="K654" s="27" t="s">
        <v>1240</v>
      </c>
    </row>
    <row r="655" spans="1:242">
      <c r="A655">
        <v>640</v>
      </c>
      <c r="B655" t="s">
        <v>468</v>
      </c>
      <c r="C655" t="s">
        <v>2428</v>
      </c>
      <c r="D655" s="28" t="s">
        <v>1486</v>
      </c>
      <c r="E655" s="28" t="s">
        <v>1487</v>
      </c>
      <c r="F655" s="28" t="s">
        <v>2182</v>
      </c>
      <c r="G655" s="27" t="s">
        <v>101</v>
      </c>
      <c r="I655" s="27" t="s">
        <v>226</v>
      </c>
      <c r="J655" s="28">
        <v>21691</v>
      </c>
      <c r="K655" s="27" t="s">
        <v>404</v>
      </c>
      <c r="Q655" s="13" t="s">
        <v>1768</v>
      </c>
      <c r="R655" s="13" t="s">
        <v>1778</v>
      </c>
      <c r="T655" s="5" t="s">
        <v>2251</v>
      </c>
      <c r="U655" s="5"/>
      <c r="V655" s="29" t="s">
        <v>2252</v>
      </c>
      <c r="W655"/>
      <c r="X655"/>
      <c r="Y655"/>
      <c r="Z655"/>
      <c r="AA655" s="51" t="s">
        <v>1950</v>
      </c>
      <c r="AB655" s="66">
        <v>126.68</v>
      </c>
      <c r="AC655">
        <v>20</v>
      </c>
      <c r="AD655"/>
      <c r="AE655" s="7">
        <f>BA655</f>
        <v>18.028580000000005</v>
      </c>
      <c r="AF655" s="7"/>
      <c r="AG655" s="7">
        <f>EU655</f>
        <v>4.9342105263157894</v>
      </c>
      <c r="AH655" s="7">
        <f>DM655</f>
        <v>0</v>
      </c>
      <c r="AI655" s="7">
        <f>DO655</f>
        <v>0</v>
      </c>
      <c r="AJ655" s="7">
        <f>GW655</f>
        <v>9.8684210526315791E-2</v>
      </c>
      <c r="AK655" s="7">
        <f>GU655</f>
        <v>0.28703488157894741</v>
      </c>
      <c r="AL655" s="7">
        <f>GS655</f>
        <v>2.5259069578947373</v>
      </c>
      <c r="AM655" s="7">
        <f>HV655</f>
        <v>0.95694444444444438</v>
      </c>
      <c r="AN655" s="7">
        <f>IG655</f>
        <v>0.13227513227513227</v>
      </c>
      <c r="AO655" s="6">
        <v>0</v>
      </c>
      <c r="AP655" s="6"/>
      <c r="AQ655" s="7">
        <f>SUM(AE655:AP655)</f>
        <v>26.96363615303537</v>
      </c>
      <c r="AR655" s="7">
        <f>IJ655</f>
        <v>0</v>
      </c>
      <c r="AS655" s="7"/>
      <c r="AT655" s="6">
        <v>0</v>
      </c>
      <c r="AV655" s="7">
        <f>AQ655+AT655+AU655+AR655</f>
        <v>26.96363615303537</v>
      </c>
      <c r="AW655">
        <v>0.14350000000000002</v>
      </c>
      <c r="AX655">
        <v>0.13600000000000001</v>
      </c>
      <c r="AY655" s="8">
        <v>1</v>
      </c>
      <c r="AZ655" s="55">
        <f>(AW655-AX655)*AY655</f>
        <v>7.5000000000000067E-3</v>
      </c>
      <c r="BA655" s="4">
        <f>AW655*AB655-AZ655*AC655</f>
        <v>18.028580000000005</v>
      </c>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DM655" s="4">
        <f>CH655+CM655+CR655+DB655+DG655+DL655</f>
        <v>0</v>
      </c>
      <c r="EF655">
        <v>450</v>
      </c>
      <c r="EG655">
        <v>4500</v>
      </c>
      <c r="EH655">
        <v>8</v>
      </c>
      <c r="EI655" s="8">
        <v>0.95</v>
      </c>
      <c r="EJ655">
        <v>2</v>
      </c>
      <c r="EK655">
        <v>60</v>
      </c>
      <c r="EL655" s="10">
        <f>3600/EK655*EH655*EJ655*EI655</f>
        <v>912</v>
      </c>
      <c r="EU655" s="4">
        <f>EG655/EL655+EX655+ER655</f>
        <v>4.9342105263157894</v>
      </c>
      <c r="EV655" s="4"/>
      <c r="EW655" s="4"/>
      <c r="GR655" s="8">
        <v>0.11</v>
      </c>
      <c r="GS655" s="4">
        <f>GR655*(BA655+EU655)</f>
        <v>2.5259069578947373</v>
      </c>
      <c r="GT655" s="9">
        <v>1.2500000000000001E-2</v>
      </c>
      <c r="GU655" s="4">
        <f>GT655*(BA655+EU655)</f>
        <v>0.28703488157894741</v>
      </c>
      <c r="GV655" s="8">
        <v>0.02</v>
      </c>
      <c r="GW655" s="4">
        <f>GV655*EU655</f>
        <v>9.8684210526315791E-2</v>
      </c>
      <c r="GX655" s="4">
        <f>GS655+GU655+GW655</f>
        <v>2.9116260500000006</v>
      </c>
      <c r="GY655" t="s">
        <v>130</v>
      </c>
      <c r="GZ655" t="s">
        <v>130</v>
      </c>
      <c r="HA655">
        <v>980</v>
      </c>
      <c r="HB655">
        <v>700</v>
      </c>
      <c r="HC655">
        <v>450</v>
      </c>
      <c r="HD655">
        <v>90</v>
      </c>
      <c r="HE655">
        <v>600</v>
      </c>
      <c r="HF655" s="4">
        <f>ROUNDUP(HE655/HD655,0)</f>
        <v>7</v>
      </c>
      <c r="HG655">
        <v>5</v>
      </c>
      <c r="HH655" s="4">
        <f>HF655*HG655</f>
        <v>35</v>
      </c>
      <c r="HI655">
        <v>1100</v>
      </c>
      <c r="HJ655" s="4">
        <f>HH655*HI655</f>
        <v>38500</v>
      </c>
      <c r="HM655" s="4">
        <v>2</v>
      </c>
      <c r="HN655" s="10">
        <f>HM655*12*25*HE655</f>
        <v>360000</v>
      </c>
      <c r="HO655" s="4">
        <f>IF(GY655="carton box",HI655/HD655,HJ655/HN655)</f>
        <v>0.10694444444444444</v>
      </c>
      <c r="HP655" s="4">
        <v>160</v>
      </c>
      <c r="HR655">
        <v>0.85</v>
      </c>
      <c r="HS655">
        <v>1</v>
      </c>
      <c r="HT655" s="4">
        <f>HR655/HS655</f>
        <v>0.85</v>
      </c>
      <c r="HU655" s="4"/>
      <c r="HV655" s="4">
        <f>HO655+HT655</f>
        <v>0.95694444444444438</v>
      </c>
      <c r="HW655" s="4"/>
      <c r="HX655">
        <v>5016</v>
      </c>
      <c r="HY655">
        <v>1976</v>
      </c>
      <c r="HZ655">
        <v>2280</v>
      </c>
      <c r="IA655" s="4">
        <f>ROUNDDOWN(HX655/HA655,0)</f>
        <v>5</v>
      </c>
      <c r="IB655" s="4">
        <f>ROUNDDOWN(HY655/HB655,0)</f>
        <v>2</v>
      </c>
      <c r="IC655" s="4">
        <f>ROUNDDOWN(HZ655/HC655,0)</f>
        <v>5</v>
      </c>
      <c r="ID655" s="8">
        <v>1</v>
      </c>
      <c r="IE655" s="4">
        <f>ROUNDUP(PRODUCT(IA655:ID655),0)-8</f>
        <v>42</v>
      </c>
      <c r="IF655" s="4">
        <v>500</v>
      </c>
      <c r="IG655" s="4">
        <f>IF655/(IE655*HD655)</f>
        <v>0.13227513227513227</v>
      </c>
      <c r="IH655" s="4"/>
    </row>
    <row r="656" spans="1:242">
      <c r="A656">
        <v>641</v>
      </c>
      <c r="B656" t="s">
        <v>1947</v>
      </c>
      <c r="D656" s="28" t="s">
        <v>1486</v>
      </c>
      <c r="E656" s="28" t="s">
        <v>1487</v>
      </c>
      <c r="F656" s="28" t="s">
        <v>1947</v>
      </c>
      <c r="G656" s="27" t="s">
        <v>101</v>
      </c>
      <c r="I656" s="27" t="s">
        <v>226</v>
      </c>
      <c r="J656" s="28">
        <v>21599</v>
      </c>
      <c r="K656" s="27" t="s">
        <v>1240</v>
      </c>
    </row>
    <row r="657" spans="1:242">
      <c r="A657">
        <v>642</v>
      </c>
      <c r="B657" t="s">
        <v>468</v>
      </c>
      <c r="C657" t="s">
        <v>2429</v>
      </c>
      <c r="D657" s="28" t="s">
        <v>1488</v>
      </c>
      <c r="E657" s="28" t="s">
        <v>1489</v>
      </c>
      <c r="F657" s="28" t="s">
        <v>2182</v>
      </c>
      <c r="G657" s="27" t="s">
        <v>101</v>
      </c>
      <c r="I657" s="27" t="s">
        <v>226</v>
      </c>
      <c r="J657" s="28">
        <v>21691</v>
      </c>
      <c r="K657" s="27" t="s">
        <v>404</v>
      </c>
      <c r="Q657" s="13" t="s">
        <v>1768</v>
      </c>
      <c r="R657" s="13" t="s">
        <v>1778</v>
      </c>
      <c r="T657" s="5" t="s">
        <v>2251</v>
      </c>
      <c r="U657" s="5"/>
      <c r="V657" s="29" t="s">
        <v>2252</v>
      </c>
      <c r="W657"/>
      <c r="X657"/>
      <c r="Y657"/>
      <c r="Z657"/>
      <c r="AA657" s="51" t="s">
        <v>583</v>
      </c>
      <c r="AB657" s="66">
        <v>141.24</v>
      </c>
      <c r="AC657">
        <v>20</v>
      </c>
      <c r="AD657" t="s">
        <v>554</v>
      </c>
      <c r="AE657" s="7">
        <f>BA657</f>
        <v>10.068660000000003</v>
      </c>
      <c r="AF657" s="7"/>
      <c r="AG657" s="7">
        <f>EU657</f>
        <v>3.9473684210526314</v>
      </c>
      <c r="AH657" s="7">
        <f>DM657</f>
        <v>0</v>
      </c>
      <c r="AI657" s="7">
        <f>DO657</f>
        <v>0</v>
      </c>
      <c r="AJ657" s="7">
        <f>GW657</f>
        <v>7.8947368421052627E-2</v>
      </c>
      <c r="AK657" s="7">
        <f>GU657</f>
        <v>0.17520035526315794</v>
      </c>
      <c r="AL657" s="7">
        <f>GS657</f>
        <v>1.5417631263157898</v>
      </c>
      <c r="AM657" s="7">
        <f>HV657</f>
        <v>0.34583333333333333</v>
      </c>
      <c r="AN657" s="7">
        <f>IG657</f>
        <v>0.05</v>
      </c>
      <c r="AO657" s="6">
        <v>0</v>
      </c>
      <c r="AP657" s="6"/>
      <c r="AQ657" s="7">
        <f>SUM(AE657:AP657)</f>
        <v>16.207772604385969</v>
      </c>
      <c r="AR657" s="7">
        <f>IJ657</f>
        <v>0</v>
      </c>
      <c r="AS657" s="7"/>
      <c r="AT657" s="6">
        <v>0</v>
      </c>
      <c r="AV657" s="7">
        <f>AQ657+AT657+AU657+AR657</f>
        <v>16.207772604385969</v>
      </c>
      <c r="AW657">
        <v>7.1500000000000008E-2</v>
      </c>
      <c r="AX657">
        <v>7.0000000000000007E-2</v>
      </c>
      <c r="AY657" s="8">
        <v>1</v>
      </c>
      <c r="AZ657" s="55">
        <f>(AW657-AX657)*AY657</f>
        <v>1.5000000000000013E-3</v>
      </c>
      <c r="BA657" s="4">
        <f>AW657*AB657-AZ657*AC657</f>
        <v>10.068660000000003</v>
      </c>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DM657" s="4">
        <f>CH657+CM657+CR657+DB657+DG657+DL657</f>
        <v>0</v>
      </c>
      <c r="EF657">
        <v>300</v>
      </c>
      <c r="EG657">
        <v>3000</v>
      </c>
      <c r="EH657">
        <v>8</v>
      </c>
      <c r="EI657" s="8">
        <v>0.95</v>
      </c>
      <c r="EJ657">
        <v>2</v>
      </c>
      <c r="EK657">
        <v>72</v>
      </c>
      <c r="EL657" s="10">
        <f>3600/EK657*EH657*EJ657*EI657</f>
        <v>760</v>
      </c>
      <c r="EU657" s="4">
        <f>EG657/EL657+EX657+ER657</f>
        <v>3.9473684210526314</v>
      </c>
      <c r="EV657" s="4"/>
      <c r="EW657" s="4"/>
      <c r="GR657" s="8">
        <v>0.11</v>
      </c>
      <c r="GS657" s="4">
        <f>GR657*(BA657+EU657)</f>
        <v>1.5417631263157898</v>
      </c>
      <c r="GT657" s="9">
        <v>1.2500000000000001E-2</v>
      </c>
      <c r="GU657" s="4">
        <f>GT657*(BA657+EU657)</f>
        <v>0.17520035526315794</v>
      </c>
      <c r="GV657" s="8">
        <v>0.02</v>
      </c>
      <c r="GW657" s="4">
        <f>GV657*EU657</f>
        <v>7.8947368421052627E-2</v>
      </c>
      <c r="GX657" s="4">
        <f>GS657+GU657+GW657</f>
        <v>1.7959108500000005</v>
      </c>
      <c r="GY657" t="s">
        <v>130</v>
      </c>
      <c r="GZ657" t="s">
        <v>130</v>
      </c>
      <c r="HA657">
        <v>980</v>
      </c>
      <c r="HB657">
        <v>700</v>
      </c>
      <c r="HC657">
        <v>450</v>
      </c>
      <c r="HD657">
        <v>200</v>
      </c>
      <c r="HE657">
        <v>1000</v>
      </c>
      <c r="HF657" s="4">
        <f>ROUNDUP(HE657/HD657,0)</f>
        <v>5</v>
      </c>
      <c r="HG657">
        <v>5</v>
      </c>
      <c r="HH657" s="4">
        <f>HF657*HG657</f>
        <v>25</v>
      </c>
      <c r="HI657">
        <v>1100</v>
      </c>
      <c r="HJ657" s="4">
        <f>HH657*HI657</f>
        <v>27500</v>
      </c>
      <c r="HM657" s="4">
        <v>2</v>
      </c>
      <c r="HN657" s="10">
        <f>HM657*12*25*HE657</f>
        <v>600000</v>
      </c>
      <c r="HO657" s="4">
        <f>IF(GY657="carton box",HI657/HD657,HJ657/HN657)</f>
        <v>4.583333333333333E-2</v>
      </c>
      <c r="HP657" s="4">
        <v>160</v>
      </c>
      <c r="HR657">
        <v>0.3</v>
      </c>
      <c r="HS657">
        <v>1</v>
      </c>
      <c r="HT657" s="4">
        <f>HR657/HS657</f>
        <v>0.3</v>
      </c>
      <c r="HU657" s="4"/>
      <c r="HV657" s="4">
        <f>HO657+HT657</f>
        <v>0.34583333333333333</v>
      </c>
      <c r="HW657" s="4"/>
      <c r="HX657">
        <v>5016</v>
      </c>
      <c r="HY657">
        <v>1976</v>
      </c>
      <c r="HZ657">
        <v>2280</v>
      </c>
      <c r="IA657" s="4">
        <f>ROUNDDOWN(HX657/HA657,0)</f>
        <v>5</v>
      </c>
      <c r="IB657" s="4">
        <f>ROUNDDOWN(HY657/HB657,0)</f>
        <v>2</v>
      </c>
      <c r="IC657" s="4">
        <f>ROUNDDOWN(HZ657/HC657,0)</f>
        <v>5</v>
      </c>
      <c r="ID657" s="8">
        <v>1</v>
      </c>
      <c r="IE657" s="4">
        <f>ROUNDUP(PRODUCT(IA657:ID657),0)</f>
        <v>50</v>
      </c>
      <c r="IF657" s="4">
        <v>500</v>
      </c>
      <c r="IG657" s="4">
        <f>IF657/(IE657*HD657)</f>
        <v>0.05</v>
      </c>
      <c r="IH657" s="4"/>
    </row>
    <row r="658" spans="1:242">
      <c r="A658">
        <v>643</v>
      </c>
      <c r="B658" t="s">
        <v>1947</v>
      </c>
      <c r="D658" s="28" t="s">
        <v>1488</v>
      </c>
      <c r="E658" s="28" t="s">
        <v>1490</v>
      </c>
      <c r="F658" s="28" t="s">
        <v>1947</v>
      </c>
      <c r="G658" s="27" t="s">
        <v>101</v>
      </c>
      <c r="I658" s="27" t="s">
        <v>226</v>
      </c>
      <c r="J658" s="28">
        <v>21599</v>
      </c>
      <c r="K658" s="27" t="s">
        <v>1240</v>
      </c>
    </row>
    <row r="659" spans="1:242">
      <c r="A659">
        <v>644</v>
      </c>
      <c r="B659" t="s">
        <v>468</v>
      </c>
      <c r="C659" t="s">
        <v>2430</v>
      </c>
      <c r="D659" s="28" t="s">
        <v>1491</v>
      </c>
      <c r="E659" s="28" t="s">
        <v>1492</v>
      </c>
      <c r="F659" s="28" t="s">
        <v>2182</v>
      </c>
      <c r="G659" s="27" t="s">
        <v>101</v>
      </c>
      <c r="I659" s="27" t="s">
        <v>226</v>
      </c>
      <c r="J659" s="28">
        <v>21691</v>
      </c>
      <c r="K659" s="27" t="s">
        <v>404</v>
      </c>
      <c r="Q659" s="13" t="s">
        <v>1768</v>
      </c>
      <c r="R659" s="13" t="s">
        <v>1778</v>
      </c>
      <c r="T659" s="5" t="s">
        <v>2251</v>
      </c>
      <c r="U659" s="5"/>
      <c r="V659" s="29" t="s">
        <v>2252</v>
      </c>
      <c r="W659"/>
      <c r="X659"/>
      <c r="Y659"/>
      <c r="Z659"/>
      <c r="AA659" s="51" t="s">
        <v>583</v>
      </c>
      <c r="AB659" s="66">
        <v>141.24</v>
      </c>
      <c r="AC659">
        <v>20</v>
      </c>
      <c r="AD659" t="s">
        <v>554</v>
      </c>
      <c r="AE659" s="7">
        <f>BA659</f>
        <v>10.068660000000003</v>
      </c>
      <c r="AF659" s="7"/>
      <c r="AG659" s="7">
        <f>EU659</f>
        <v>3.9473684210526314</v>
      </c>
      <c r="AH659" s="7">
        <f>DM659</f>
        <v>0</v>
      </c>
      <c r="AI659" s="7">
        <f>DO659</f>
        <v>0</v>
      </c>
      <c r="AJ659" s="7">
        <f>GW659</f>
        <v>7.8947368421052627E-2</v>
      </c>
      <c r="AK659" s="7">
        <f>GU659</f>
        <v>0.17520035526315794</v>
      </c>
      <c r="AL659" s="7">
        <f>GS659</f>
        <v>1.5417631263157898</v>
      </c>
      <c r="AM659" s="7">
        <f>HV659</f>
        <v>0.34583333333333333</v>
      </c>
      <c r="AN659" s="7">
        <f>IG659</f>
        <v>0.05</v>
      </c>
      <c r="AO659" s="6">
        <v>0</v>
      </c>
      <c r="AP659" s="6"/>
      <c r="AQ659" s="7">
        <f>SUM(AE659:AP659)</f>
        <v>16.207772604385969</v>
      </c>
      <c r="AR659" s="7">
        <f>IJ659</f>
        <v>0</v>
      </c>
      <c r="AS659" s="7"/>
      <c r="AT659" s="6">
        <v>0</v>
      </c>
      <c r="AV659" s="7">
        <f>AQ659+AT659+AU659+AR659</f>
        <v>16.207772604385969</v>
      </c>
      <c r="AW659">
        <v>7.1500000000000008E-2</v>
      </c>
      <c r="AX659">
        <v>7.0000000000000007E-2</v>
      </c>
      <c r="AY659" s="8">
        <v>1</v>
      </c>
      <c r="AZ659" s="55">
        <f>(AW659-AX659)*AY659</f>
        <v>1.5000000000000013E-3</v>
      </c>
      <c r="BA659" s="4">
        <f>AW659*AB659-AZ659*AC659</f>
        <v>10.068660000000003</v>
      </c>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DM659" s="4">
        <f>CH659+CM659+CR659+DB659+DG659+DL659</f>
        <v>0</v>
      </c>
      <c r="EF659">
        <v>300</v>
      </c>
      <c r="EG659">
        <v>3000</v>
      </c>
      <c r="EH659">
        <v>8</v>
      </c>
      <c r="EI659" s="8">
        <v>0.95</v>
      </c>
      <c r="EJ659">
        <v>2</v>
      </c>
      <c r="EK659">
        <v>72</v>
      </c>
      <c r="EL659" s="10">
        <f>3600/EK659*EH659*EJ659*EI659</f>
        <v>760</v>
      </c>
      <c r="EU659" s="4">
        <f>EG659/EL659+EX659+ER659</f>
        <v>3.9473684210526314</v>
      </c>
      <c r="EV659" s="4"/>
      <c r="EW659" s="4"/>
      <c r="GR659" s="8">
        <v>0.11</v>
      </c>
      <c r="GS659" s="4">
        <f>GR659*(BA659+EU659)</f>
        <v>1.5417631263157898</v>
      </c>
      <c r="GT659" s="9">
        <v>1.2500000000000001E-2</v>
      </c>
      <c r="GU659" s="4">
        <f>GT659*(BA659+EU659)</f>
        <v>0.17520035526315794</v>
      </c>
      <c r="GV659" s="8">
        <v>0.02</v>
      </c>
      <c r="GW659" s="4">
        <f>GV659*EU659</f>
        <v>7.8947368421052627E-2</v>
      </c>
      <c r="GX659" s="4">
        <f>GS659+GU659+GW659</f>
        <v>1.7959108500000005</v>
      </c>
      <c r="GY659" t="s">
        <v>130</v>
      </c>
      <c r="GZ659" t="s">
        <v>130</v>
      </c>
      <c r="HA659">
        <v>980</v>
      </c>
      <c r="HB659">
        <v>700</v>
      </c>
      <c r="HC659">
        <v>450</v>
      </c>
      <c r="HD659">
        <v>200</v>
      </c>
      <c r="HE659">
        <v>1000</v>
      </c>
      <c r="HF659" s="4">
        <f>ROUNDUP(HE659/HD659,0)</f>
        <v>5</v>
      </c>
      <c r="HG659">
        <v>5</v>
      </c>
      <c r="HH659" s="4">
        <f>HF659*HG659</f>
        <v>25</v>
      </c>
      <c r="HI659">
        <v>1100</v>
      </c>
      <c r="HJ659" s="4">
        <f>HH659*HI659</f>
        <v>27500</v>
      </c>
      <c r="HM659" s="4">
        <v>2</v>
      </c>
      <c r="HN659" s="10">
        <f>HM659*12*25*HE659</f>
        <v>600000</v>
      </c>
      <c r="HO659" s="4">
        <f>IF(GY659="carton box",HI659/HD659,HJ659/HN659)</f>
        <v>4.583333333333333E-2</v>
      </c>
      <c r="HP659" s="4">
        <v>160</v>
      </c>
      <c r="HR659">
        <v>0.3</v>
      </c>
      <c r="HS659">
        <v>1</v>
      </c>
      <c r="HT659" s="4">
        <f>HR659/HS659</f>
        <v>0.3</v>
      </c>
      <c r="HU659" s="4"/>
      <c r="HV659" s="4">
        <f>HO659+HT659</f>
        <v>0.34583333333333333</v>
      </c>
      <c r="HW659" s="4"/>
      <c r="HX659">
        <v>5016</v>
      </c>
      <c r="HY659">
        <v>1976</v>
      </c>
      <c r="HZ659">
        <v>2280</v>
      </c>
      <c r="IA659" s="4">
        <f>ROUNDDOWN(HX659/HA659,0)</f>
        <v>5</v>
      </c>
      <c r="IB659" s="4">
        <f>ROUNDDOWN(HY659/HB659,0)</f>
        <v>2</v>
      </c>
      <c r="IC659" s="4">
        <f>ROUNDDOWN(HZ659/HC659,0)</f>
        <v>5</v>
      </c>
      <c r="ID659" s="8">
        <v>1</v>
      </c>
      <c r="IE659" s="4">
        <f>ROUNDUP(PRODUCT(IA659:ID659),0)</f>
        <v>50</v>
      </c>
      <c r="IF659" s="4">
        <v>500</v>
      </c>
      <c r="IG659" s="4">
        <f>IF659/(IE659*HD659)</f>
        <v>0.05</v>
      </c>
      <c r="IH659" s="4"/>
    </row>
    <row r="660" spans="1:242">
      <c r="A660">
        <v>645</v>
      </c>
      <c r="B660" t="s">
        <v>1947</v>
      </c>
      <c r="D660" s="28" t="s">
        <v>1491</v>
      </c>
      <c r="E660" s="28" t="s">
        <v>1493</v>
      </c>
      <c r="F660" s="28" t="s">
        <v>1947</v>
      </c>
      <c r="G660" s="27" t="s">
        <v>101</v>
      </c>
      <c r="I660" s="27" t="s">
        <v>226</v>
      </c>
      <c r="J660" s="28">
        <v>21599</v>
      </c>
      <c r="K660" s="27" t="s">
        <v>1240</v>
      </c>
    </row>
    <row r="661" spans="1:242">
      <c r="A661">
        <v>646</v>
      </c>
      <c r="B661" t="s">
        <v>468</v>
      </c>
      <c r="C661" t="s">
        <v>2431</v>
      </c>
      <c r="D661" s="28" t="s">
        <v>1494</v>
      </c>
      <c r="E661" s="28" t="s">
        <v>1495</v>
      </c>
      <c r="F661" s="28" t="s">
        <v>2182</v>
      </c>
      <c r="G661" s="27" t="s">
        <v>101</v>
      </c>
      <c r="I661" s="27" t="s">
        <v>226</v>
      </c>
      <c r="J661" s="28">
        <v>21691</v>
      </c>
      <c r="K661" s="27" t="s">
        <v>404</v>
      </c>
      <c r="Q661" s="13" t="s">
        <v>1768</v>
      </c>
      <c r="R661" s="13" t="s">
        <v>1778</v>
      </c>
      <c r="T661" s="5" t="s">
        <v>2251</v>
      </c>
      <c r="U661" s="5"/>
      <c r="V661" s="29" t="s">
        <v>2252</v>
      </c>
      <c r="W661"/>
      <c r="X661"/>
      <c r="Y661"/>
      <c r="Z661"/>
      <c r="AA661" s="51" t="s">
        <v>2402</v>
      </c>
      <c r="AB661" s="66">
        <v>141.24</v>
      </c>
      <c r="AC661">
        <v>20</v>
      </c>
      <c r="AD661" t="s">
        <v>554</v>
      </c>
      <c r="AE661" s="7">
        <f>BA661</f>
        <v>55.608560000000004</v>
      </c>
      <c r="AF661" s="7"/>
      <c r="AG661" s="7">
        <f>EU661</f>
        <v>11.184210526315789</v>
      </c>
      <c r="AH661" s="7">
        <f>DM661</f>
        <v>0</v>
      </c>
      <c r="AI661" s="7">
        <f>DO661</f>
        <v>0</v>
      </c>
      <c r="AJ661" s="7">
        <f>GW661</f>
        <v>0.22368421052631579</v>
      </c>
      <c r="AK661" s="7">
        <f>GU661</f>
        <v>0.83490963157894749</v>
      </c>
      <c r="AL661" s="7">
        <f>GS661</f>
        <v>7.3472047578947368</v>
      </c>
      <c r="AM661" s="7">
        <f>HV661</f>
        <v>2.2083333333333335</v>
      </c>
      <c r="AN661" s="7">
        <f>IG661</f>
        <v>0.5</v>
      </c>
      <c r="AO661" s="6">
        <v>0</v>
      </c>
      <c r="AP661" s="6"/>
      <c r="AQ661" s="7">
        <f>SUM(AE661:AP661)</f>
        <v>77.906902459649118</v>
      </c>
      <c r="AR661" s="7">
        <f>IJ661</f>
        <v>0</v>
      </c>
      <c r="AS661" s="7"/>
      <c r="AT661" s="6">
        <v>0</v>
      </c>
      <c r="AV661" s="7">
        <f>AQ661+AT661+AU661+AR661</f>
        <v>77.906902459649118</v>
      </c>
      <c r="AW661">
        <v>0.39400000000000002</v>
      </c>
      <c r="AX661">
        <v>0.39200000000000002</v>
      </c>
      <c r="AY661" s="8">
        <v>1</v>
      </c>
      <c r="AZ661" s="55">
        <f>(AW661-AX661)*AY661</f>
        <v>2.0000000000000018E-3</v>
      </c>
      <c r="BA661" s="4">
        <f>AW661*AB661-AZ661*AC661</f>
        <v>55.608560000000004</v>
      </c>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DM661" s="4">
        <f>CH661+CM661+CR661+DB661+DG661+DL661</f>
        <v>0</v>
      </c>
      <c r="EF661">
        <v>850</v>
      </c>
      <c r="EG661">
        <v>8500</v>
      </c>
      <c r="EH661">
        <v>8</v>
      </c>
      <c r="EI661" s="8">
        <v>0.95</v>
      </c>
      <c r="EJ661">
        <v>2</v>
      </c>
      <c r="EK661">
        <v>72</v>
      </c>
      <c r="EL661" s="10">
        <f>3600/EK661*EH661*EJ661*EI661</f>
        <v>760</v>
      </c>
      <c r="EU661" s="4">
        <f>EG661/EL661+EX661+ER661</f>
        <v>11.184210526315789</v>
      </c>
      <c r="EV661" s="4"/>
      <c r="EW661" s="4"/>
      <c r="GR661" s="8">
        <v>0.11</v>
      </c>
      <c r="GS661" s="4">
        <f>GR661*(BA661+EU661)</f>
        <v>7.3472047578947368</v>
      </c>
      <c r="GT661" s="9">
        <v>1.2500000000000001E-2</v>
      </c>
      <c r="GU661" s="4">
        <f>GT661*(BA661+EU661)</f>
        <v>0.83490963157894749</v>
      </c>
      <c r="GV661" s="8">
        <v>0.02</v>
      </c>
      <c r="GW661" s="4">
        <f>GV661*EU661</f>
        <v>0.22368421052631579</v>
      </c>
      <c r="GX661" s="4">
        <f>GS661+GU661+GW661</f>
        <v>8.4057985999999989</v>
      </c>
      <c r="GY661" t="s">
        <v>130</v>
      </c>
      <c r="GZ661" t="s">
        <v>130</v>
      </c>
      <c r="HA661">
        <v>980</v>
      </c>
      <c r="HB661">
        <v>700</v>
      </c>
      <c r="HC661">
        <v>450</v>
      </c>
      <c r="HD661">
        <v>20</v>
      </c>
      <c r="HE661">
        <v>1000</v>
      </c>
      <c r="HF661" s="4">
        <f>ROUNDUP(HE661/HD661,0)</f>
        <v>50</v>
      </c>
      <c r="HG661">
        <v>5</v>
      </c>
      <c r="HH661" s="4">
        <f>HF661*HG661</f>
        <v>250</v>
      </c>
      <c r="HI661">
        <v>1100</v>
      </c>
      <c r="HJ661" s="4">
        <f>HH661*HI661</f>
        <v>275000</v>
      </c>
      <c r="HM661" s="4">
        <v>2</v>
      </c>
      <c r="HN661" s="10">
        <f>HM661*12*25*HE661</f>
        <v>600000</v>
      </c>
      <c r="HO661" s="4">
        <f>IF(GY661="carton box",HI661/HD661,HJ661/HN661)</f>
        <v>0.45833333333333331</v>
      </c>
      <c r="HP661" s="4">
        <v>160</v>
      </c>
      <c r="HR661">
        <v>1.75</v>
      </c>
      <c r="HS661">
        <v>1</v>
      </c>
      <c r="HT661" s="4">
        <f>HR661/HS661</f>
        <v>1.75</v>
      </c>
      <c r="HU661" s="4"/>
      <c r="HV661" s="4">
        <f>HO661+HT661</f>
        <v>2.2083333333333335</v>
      </c>
      <c r="HW661" s="4"/>
      <c r="HX661">
        <v>5016</v>
      </c>
      <c r="HY661">
        <v>1976</v>
      </c>
      <c r="HZ661">
        <v>2280</v>
      </c>
      <c r="IA661" s="4">
        <f>ROUNDDOWN(HX661/HA661,0)</f>
        <v>5</v>
      </c>
      <c r="IB661" s="4">
        <f>ROUNDDOWN(HY661/HB661,0)</f>
        <v>2</v>
      </c>
      <c r="IC661" s="4">
        <f>ROUNDDOWN(HZ661/HC661,0)</f>
        <v>5</v>
      </c>
      <c r="ID661" s="8">
        <v>1</v>
      </c>
      <c r="IE661" s="4">
        <f>ROUNDUP(PRODUCT(IA661:ID661),0)</f>
        <v>50</v>
      </c>
      <c r="IF661" s="4">
        <v>500</v>
      </c>
      <c r="IG661" s="4">
        <f>IF661/(IE661*HD661)</f>
        <v>0.5</v>
      </c>
      <c r="IH661" s="4"/>
    </row>
    <row r="662" spans="1:242">
      <c r="A662">
        <v>647</v>
      </c>
      <c r="B662" t="s">
        <v>1947</v>
      </c>
      <c r="D662" s="28" t="s">
        <v>1494</v>
      </c>
      <c r="E662" s="28" t="s">
        <v>1495</v>
      </c>
      <c r="F662" s="28" t="s">
        <v>1947</v>
      </c>
      <c r="G662" s="27" t="s">
        <v>101</v>
      </c>
      <c r="I662" s="27" t="s">
        <v>226</v>
      </c>
      <c r="J662" s="28">
        <v>21599</v>
      </c>
      <c r="K662" s="27" t="s">
        <v>1240</v>
      </c>
    </row>
    <row r="663" spans="1:242">
      <c r="A663">
        <v>648</v>
      </c>
      <c r="B663" t="s">
        <v>468</v>
      </c>
      <c r="C663" t="s">
        <v>2432</v>
      </c>
      <c r="D663" s="28" t="s">
        <v>1496</v>
      </c>
      <c r="E663" s="28" t="s">
        <v>1497</v>
      </c>
      <c r="F663" s="28" t="s">
        <v>2182</v>
      </c>
      <c r="G663" s="27" t="s">
        <v>101</v>
      </c>
      <c r="I663" s="27" t="s">
        <v>226</v>
      </c>
      <c r="J663" s="28">
        <v>21691</v>
      </c>
      <c r="K663" s="27" t="s">
        <v>404</v>
      </c>
      <c r="Q663" s="13" t="s">
        <v>1768</v>
      </c>
      <c r="R663" s="13" t="s">
        <v>1778</v>
      </c>
      <c r="T663" s="5" t="s">
        <v>2251</v>
      </c>
      <c r="U663" s="5"/>
      <c r="V663" s="29" t="s">
        <v>2252</v>
      </c>
      <c r="W663"/>
      <c r="X663"/>
      <c r="Y663"/>
      <c r="Z663"/>
      <c r="AA663" s="51" t="s">
        <v>2402</v>
      </c>
      <c r="AB663" s="66">
        <v>141.24</v>
      </c>
      <c r="AC663">
        <v>20</v>
      </c>
      <c r="AD663" t="s">
        <v>554</v>
      </c>
      <c r="AE663" s="7">
        <f>BA663</f>
        <v>56.597240000000006</v>
      </c>
      <c r="AF663" s="7"/>
      <c r="AG663" s="7">
        <f>EU663</f>
        <v>11.184210526315789</v>
      </c>
      <c r="AH663" s="7">
        <f>DM663</f>
        <v>0</v>
      </c>
      <c r="AI663" s="7">
        <f>DO663</f>
        <v>0</v>
      </c>
      <c r="AJ663" s="7">
        <f>GW663</f>
        <v>0.22368421052631579</v>
      </c>
      <c r="AK663" s="7">
        <f>GU663</f>
        <v>0.84726813157894743</v>
      </c>
      <c r="AL663" s="7">
        <f>GS663</f>
        <v>7.4559595578947375</v>
      </c>
      <c r="AM663" s="7">
        <f>HV663</f>
        <v>2.2083333333333335</v>
      </c>
      <c r="AN663" s="7">
        <f>IG663</f>
        <v>0.5</v>
      </c>
      <c r="AO663" s="6">
        <v>0</v>
      </c>
      <c r="AP663" s="6"/>
      <c r="AQ663" s="7">
        <f>SUM(AE663:AP663)</f>
        <v>79.016695759649124</v>
      </c>
      <c r="AR663" s="7">
        <f>IJ663</f>
        <v>0</v>
      </c>
      <c r="AS663" s="7"/>
      <c r="AT663" s="6">
        <v>0</v>
      </c>
      <c r="AV663" s="7">
        <f>AQ663+AT663+AU663+AR663</f>
        <v>79.016695759649124</v>
      </c>
      <c r="AW663">
        <v>0.40100000000000002</v>
      </c>
      <c r="AX663">
        <v>0.39900000000000002</v>
      </c>
      <c r="AY663" s="8">
        <v>1</v>
      </c>
      <c r="AZ663" s="55">
        <f>(AW663-AX663)*AY663</f>
        <v>2.0000000000000018E-3</v>
      </c>
      <c r="BA663" s="4">
        <f>AW663*AB663-AZ663*AC663</f>
        <v>56.597240000000006</v>
      </c>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DM663" s="4">
        <f>CH663+CM663+CR663+DB663+DG663+DL663</f>
        <v>0</v>
      </c>
      <c r="EF663">
        <v>850</v>
      </c>
      <c r="EG663">
        <v>8500</v>
      </c>
      <c r="EH663">
        <v>8</v>
      </c>
      <c r="EI663" s="8">
        <v>0.95</v>
      </c>
      <c r="EJ663">
        <v>2</v>
      </c>
      <c r="EK663">
        <v>72</v>
      </c>
      <c r="EL663" s="10">
        <f>3600/EK663*EH663*EJ663*EI663</f>
        <v>760</v>
      </c>
      <c r="EU663" s="4">
        <f>EG663/EL663+EX663+ER663</f>
        <v>11.184210526315789</v>
      </c>
      <c r="EV663" s="4"/>
      <c r="EW663" s="4"/>
      <c r="GR663" s="8">
        <v>0.11</v>
      </c>
      <c r="GS663" s="4">
        <f>GR663*(BA663+EU663)</f>
        <v>7.4559595578947375</v>
      </c>
      <c r="GT663" s="9">
        <v>1.2500000000000001E-2</v>
      </c>
      <c r="GU663" s="4">
        <f>GT663*(BA663+EU663)</f>
        <v>0.84726813157894743</v>
      </c>
      <c r="GV663" s="8">
        <v>0.02</v>
      </c>
      <c r="GW663" s="4">
        <f>GV663*EU663</f>
        <v>0.22368421052631579</v>
      </c>
      <c r="GX663" s="4">
        <f>GS663+GU663+GW663</f>
        <v>8.5269119</v>
      </c>
      <c r="GY663" t="s">
        <v>130</v>
      </c>
      <c r="GZ663" t="s">
        <v>130</v>
      </c>
      <c r="HA663">
        <v>980</v>
      </c>
      <c r="HB663">
        <v>700</v>
      </c>
      <c r="HC663">
        <v>450</v>
      </c>
      <c r="HD663">
        <v>20</v>
      </c>
      <c r="HE663">
        <v>1000</v>
      </c>
      <c r="HF663" s="4">
        <f>ROUNDUP(HE663/HD663,0)</f>
        <v>50</v>
      </c>
      <c r="HG663">
        <v>5</v>
      </c>
      <c r="HH663" s="4">
        <f>HF663*HG663</f>
        <v>250</v>
      </c>
      <c r="HI663">
        <v>1100</v>
      </c>
      <c r="HJ663" s="4">
        <f>HH663*HI663</f>
        <v>275000</v>
      </c>
      <c r="HM663" s="4">
        <v>2</v>
      </c>
      <c r="HN663" s="10">
        <f>HM663*12*25*HE663</f>
        <v>600000</v>
      </c>
      <c r="HO663" s="4">
        <f>IF(GY663="carton box",HI663/HD663,HJ663/HN663)</f>
        <v>0.45833333333333331</v>
      </c>
      <c r="HP663" s="4">
        <v>160</v>
      </c>
      <c r="HR663">
        <v>1.75</v>
      </c>
      <c r="HS663">
        <v>1</v>
      </c>
      <c r="HT663" s="4">
        <f>HR663/HS663</f>
        <v>1.75</v>
      </c>
      <c r="HU663" s="4"/>
      <c r="HV663" s="4">
        <f>HO663+HT663</f>
        <v>2.2083333333333335</v>
      </c>
      <c r="HW663" s="4"/>
      <c r="HX663">
        <v>5016</v>
      </c>
      <c r="HY663">
        <v>1976</v>
      </c>
      <c r="HZ663">
        <v>2280</v>
      </c>
      <c r="IA663" s="4">
        <f>ROUNDDOWN(HX663/HA663,0)</f>
        <v>5</v>
      </c>
      <c r="IB663" s="4">
        <f>ROUNDDOWN(HY663/HB663,0)</f>
        <v>2</v>
      </c>
      <c r="IC663" s="4">
        <f>ROUNDDOWN(HZ663/HC663,0)</f>
        <v>5</v>
      </c>
      <c r="ID663" s="8">
        <v>1</v>
      </c>
      <c r="IE663" s="4">
        <f>ROUNDUP(PRODUCT(IA663:ID663),0)</f>
        <v>50</v>
      </c>
      <c r="IF663" s="4">
        <v>500</v>
      </c>
      <c r="IG663" s="4">
        <f>IF663/(IE663*HD663)</f>
        <v>0.5</v>
      </c>
      <c r="IH663" s="4"/>
    </row>
    <row r="664" spans="1:242">
      <c r="A664">
        <v>649</v>
      </c>
      <c r="B664" t="s">
        <v>1947</v>
      </c>
      <c r="D664" s="28" t="s">
        <v>1496</v>
      </c>
      <c r="E664" s="28" t="s">
        <v>1497</v>
      </c>
      <c r="F664" s="28" t="s">
        <v>1947</v>
      </c>
      <c r="G664" s="27" t="s">
        <v>101</v>
      </c>
      <c r="I664" s="27" t="s">
        <v>226</v>
      </c>
      <c r="J664" s="28">
        <v>21599</v>
      </c>
      <c r="K664" s="27" t="s">
        <v>1240</v>
      </c>
    </row>
    <row r="665" spans="1:242">
      <c r="A665">
        <v>650</v>
      </c>
      <c r="B665" t="s">
        <v>468</v>
      </c>
      <c r="C665" t="s">
        <v>2433</v>
      </c>
      <c r="D665" s="28" t="s">
        <v>1498</v>
      </c>
      <c r="E665" s="28" t="s">
        <v>1499</v>
      </c>
      <c r="F665" s="28" t="s">
        <v>2182</v>
      </c>
      <c r="G665" s="27" t="s">
        <v>101</v>
      </c>
      <c r="I665" s="27" t="s">
        <v>226</v>
      </c>
      <c r="J665" s="28">
        <v>21590</v>
      </c>
      <c r="K665" s="27" t="s">
        <v>397</v>
      </c>
      <c r="Q665" s="13" t="s">
        <v>1768</v>
      </c>
      <c r="R665" s="13" t="s">
        <v>1778</v>
      </c>
      <c r="T665" s="5" t="s">
        <v>2251</v>
      </c>
      <c r="U665" s="5"/>
      <c r="V665" s="29" t="s">
        <v>2252</v>
      </c>
      <c r="W665"/>
      <c r="X665"/>
      <c r="Y665"/>
      <c r="Z665"/>
      <c r="AA665" s="51" t="s">
        <v>2434</v>
      </c>
      <c r="AB665" s="66">
        <v>142.80000000000001</v>
      </c>
      <c r="AC665">
        <v>20</v>
      </c>
      <c r="AD665" t="s">
        <v>2405</v>
      </c>
      <c r="AE665" s="7">
        <f>BA665</f>
        <v>20.157600000000002</v>
      </c>
      <c r="AF665" s="7"/>
      <c r="AG665" s="7">
        <f>EU665</f>
        <v>6.1728395061728394</v>
      </c>
      <c r="AH665" s="7">
        <f>DM665</f>
        <v>0</v>
      </c>
      <c r="AI665" s="7">
        <f>DO665</f>
        <v>0</v>
      </c>
      <c r="AJ665" s="7">
        <f>GW665</f>
        <v>0.1234567901234568</v>
      </c>
      <c r="AK665" s="7">
        <f>GU665</f>
        <v>0.32913049382716053</v>
      </c>
      <c r="AL665" s="7">
        <f>GS665</f>
        <v>2.8963483456790127</v>
      </c>
      <c r="AM665" s="7">
        <f>HV665</f>
        <v>1.1599999999999999</v>
      </c>
      <c r="AN665" s="7">
        <f>IG665</f>
        <v>0.15000000000000002</v>
      </c>
      <c r="AO665" s="6">
        <v>0</v>
      </c>
      <c r="AP665" s="6"/>
      <c r="AQ665" s="7">
        <f>SUM(AE665:AP665)</f>
        <v>30.989375135802469</v>
      </c>
      <c r="AR665" s="7">
        <f>IJ665</f>
        <v>0</v>
      </c>
      <c r="AS665" s="7"/>
      <c r="AT665" s="6">
        <v>0</v>
      </c>
      <c r="AV665" s="7">
        <f>AQ665+AT665+AU665+AR665</f>
        <v>30.989375135802469</v>
      </c>
      <c r="AW665">
        <v>0.14200000000000002</v>
      </c>
      <c r="AX665">
        <v>0.13600000000000001</v>
      </c>
      <c r="AY665" s="8">
        <v>1</v>
      </c>
      <c r="AZ665" s="55">
        <f>(AW665-AX665)*AY665</f>
        <v>6.0000000000000053E-3</v>
      </c>
      <c r="BA665" s="4">
        <f>AW665*AB665-AZ665*AC665</f>
        <v>20.157600000000002</v>
      </c>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DM665" s="4">
        <f>CH665+CM665+CR665+DB665+DG665+DL665</f>
        <v>0</v>
      </c>
      <c r="EF665">
        <v>250</v>
      </c>
      <c r="EG665">
        <v>2500</v>
      </c>
      <c r="EH665">
        <v>7.5</v>
      </c>
      <c r="EI665" s="8">
        <v>0.9</v>
      </c>
      <c r="EJ665">
        <v>1</v>
      </c>
      <c r="EK665">
        <v>60</v>
      </c>
      <c r="EL665" s="10">
        <f>3600/EK665*EH665*EJ665*EI665</f>
        <v>405</v>
      </c>
      <c r="EU665" s="4">
        <f>EG665/EL665+EX665+ER665</f>
        <v>6.1728395061728394</v>
      </c>
      <c r="EV665" s="4"/>
      <c r="EW665" s="4"/>
      <c r="GR665" s="8">
        <v>0.11</v>
      </c>
      <c r="GS665" s="4">
        <f>GR665*(BA665+EU665)</f>
        <v>2.8963483456790127</v>
      </c>
      <c r="GT665" s="9">
        <v>1.2500000000000001E-2</v>
      </c>
      <c r="GU665" s="4">
        <f>GT665*(BA665+EU665)</f>
        <v>0.32913049382716053</v>
      </c>
      <c r="GV665" s="8">
        <v>0.02</v>
      </c>
      <c r="GW665" s="4">
        <f>GV665*EU665</f>
        <v>0.1234567901234568</v>
      </c>
      <c r="GX665" s="4">
        <f>GS665+GU665+GW665</f>
        <v>3.3489356296296302</v>
      </c>
      <c r="GY665" t="s">
        <v>130</v>
      </c>
      <c r="GZ665" t="s">
        <v>130</v>
      </c>
      <c r="HA665">
        <v>810</v>
      </c>
      <c r="HB665">
        <v>568</v>
      </c>
      <c r="HC665">
        <v>425</v>
      </c>
      <c r="HD665">
        <v>60</v>
      </c>
      <c r="HE665">
        <v>1000</v>
      </c>
      <c r="HF665" s="4">
        <f>ROUNDUP(HE665/HD665,0)</f>
        <v>17</v>
      </c>
      <c r="HG665">
        <v>5</v>
      </c>
      <c r="HH665" s="4">
        <f>HF665*HG665</f>
        <v>85</v>
      </c>
      <c r="HI665">
        <v>1100</v>
      </c>
      <c r="HJ665" s="4">
        <f>HH665*HI665</f>
        <v>93500</v>
      </c>
      <c r="HM665" s="4">
        <v>2</v>
      </c>
      <c r="HN665" s="10">
        <f>HM665*12*25*HE665</f>
        <v>600000</v>
      </c>
      <c r="HO665" s="4">
        <f>IF(GY665="carton box",HI665/HD665,HJ665/HN665)</f>
        <v>0.15583333333333332</v>
      </c>
      <c r="HP665" s="4">
        <v>160</v>
      </c>
      <c r="HR665">
        <v>1</v>
      </c>
      <c r="HS665">
        <v>1</v>
      </c>
      <c r="HT665" s="4">
        <f>HR665/HS665</f>
        <v>1</v>
      </c>
      <c r="HU665" s="4"/>
      <c r="HV665" s="4">
        <f>ROUNDUP(HO665+HT665,2)</f>
        <v>1.1599999999999999</v>
      </c>
      <c r="HW665" s="4"/>
      <c r="HX665">
        <v>4200</v>
      </c>
      <c r="HY665">
        <v>1900</v>
      </c>
      <c r="HZ665">
        <v>1975</v>
      </c>
      <c r="IA665" s="4">
        <f>ROUNDDOWN(HX665/HA665,0)</f>
        <v>5</v>
      </c>
      <c r="IB665" s="4">
        <f>ROUNDDOWN(HY665/HB665,0)</f>
        <v>3</v>
      </c>
      <c r="IC665" s="4">
        <f>ROUNDDOWN(HZ665/HC665,0)</f>
        <v>4</v>
      </c>
      <c r="ID665" s="8">
        <v>0.95</v>
      </c>
      <c r="IE665" s="4">
        <f>ROUNDUP(PRODUCT(IA665:ID665),0)</f>
        <v>57</v>
      </c>
      <c r="IF665" s="4">
        <v>500</v>
      </c>
      <c r="IG665" s="4">
        <f>ROUNDUP(IF665/(IE665*HD665),2)</f>
        <v>0.15000000000000002</v>
      </c>
      <c r="IH665" s="4"/>
    </row>
    <row r="666" spans="1:242">
      <c r="A666">
        <v>651</v>
      </c>
      <c r="B666" t="s">
        <v>1947</v>
      </c>
      <c r="D666" s="28" t="s">
        <v>1498</v>
      </c>
      <c r="E666" s="28" t="s">
        <v>1500</v>
      </c>
      <c r="F666" s="28" t="s">
        <v>1947</v>
      </c>
      <c r="G666" s="27" t="s">
        <v>101</v>
      </c>
      <c r="I666" s="27" t="s">
        <v>226</v>
      </c>
      <c r="J666" s="28">
        <v>21599</v>
      </c>
      <c r="K666" s="27" t="s">
        <v>1240</v>
      </c>
    </row>
    <row r="667" spans="1:242" ht="30">
      <c r="A667">
        <v>652</v>
      </c>
      <c r="B667" t="s">
        <v>468</v>
      </c>
      <c r="C667" t="s">
        <v>2435</v>
      </c>
      <c r="D667" s="28" t="s">
        <v>1501</v>
      </c>
      <c r="E667" s="28" t="s">
        <v>1400</v>
      </c>
      <c r="F667" s="28" t="s">
        <v>2182</v>
      </c>
      <c r="G667" s="27" t="s">
        <v>101</v>
      </c>
      <c r="I667" s="27" t="s">
        <v>226</v>
      </c>
      <c r="J667" s="28">
        <v>21590</v>
      </c>
      <c r="K667" s="27" t="s">
        <v>397</v>
      </c>
      <c r="Q667" s="13" t="s">
        <v>1768</v>
      </c>
      <c r="R667" s="13" t="s">
        <v>1194</v>
      </c>
      <c r="T667" s="5" t="s">
        <v>2251</v>
      </c>
      <c r="U667" s="5"/>
      <c r="V667" s="29" t="s">
        <v>2252</v>
      </c>
      <c r="W667" s="72" t="s">
        <v>2436</v>
      </c>
      <c r="X667"/>
      <c r="Y667"/>
      <c r="Z667"/>
      <c r="AA667" s="51" t="s">
        <v>500</v>
      </c>
      <c r="AB667" s="66">
        <v>109.08</v>
      </c>
      <c r="AC667">
        <v>20</v>
      </c>
      <c r="AD667" t="s">
        <v>1200</v>
      </c>
      <c r="AE667" s="7">
        <f>BA667</f>
        <v>148.44695999999999</v>
      </c>
      <c r="AF667" s="7"/>
      <c r="AG667" s="7">
        <f>EU667</f>
        <v>23.901234567901234</v>
      </c>
      <c r="AH667" s="7">
        <f>DM667</f>
        <v>0</v>
      </c>
      <c r="AI667" s="7">
        <f>DO667</f>
        <v>0</v>
      </c>
      <c r="AJ667" s="7">
        <f>GW667</f>
        <v>0.47802469135802467</v>
      </c>
      <c r="AK667" s="7">
        <f>GU667</f>
        <v>2.1543524320987655</v>
      </c>
      <c r="AL667" s="7">
        <f>GS667</f>
        <v>18.958301402469136</v>
      </c>
      <c r="AM667" s="7">
        <f>HV667</f>
        <v>3.3099999999999996</v>
      </c>
      <c r="AN667" s="7">
        <f>IG667</f>
        <v>2.9299999999999997</v>
      </c>
      <c r="AO667" s="6">
        <v>0</v>
      </c>
      <c r="AP667" s="6"/>
      <c r="AQ667" s="7">
        <f>SUM(AE667:AP667)</f>
        <v>200.17887309382718</v>
      </c>
      <c r="AR667" s="7">
        <f>IJ667</f>
        <v>0</v>
      </c>
      <c r="AS667" s="7"/>
      <c r="AT667" s="6">
        <v>0</v>
      </c>
      <c r="AU667">
        <f>201.43-200.18</f>
        <v>1.25</v>
      </c>
      <c r="AV667" s="7">
        <f>AQ667+AT667+AU667+AR667</f>
        <v>201.42887309382718</v>
      </c>
      <c r="AW667">
        <v>1.3620000000000001</v>
      </c>
      <c r="AX667">
        <v>1.3560000000000001</v>
      </c>
      <c r="AY667" s="8">
        <v>1</v>
      </c>
      <c r="AZ667" s="55">
        <f>(AW667-AX667)*AY667</f>
        <v>6.0000000000000053E-3</v>
      </c>
      <c r="BA667" s="4">
        <f>AW667*AB667-AZ667*AC667</f>
        <v>148.44695999999999</v>
      </c>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DM667" s="4">
        <f>CH667+CM667+CR667+DB667+DG667+DL667</f>
        <v>0</v>
      </c>
      <c r="EF667">
        <v>660</v>
      </c>
      <c r="EG667">
        <v>6600</v>
      </c>
      <c r="EH667">
        <v>7.5</v>
      </c>
      <c r="EI667" s="8">
        <v>0.9</v>
      </c>
      <c r="EJ667">
        <v>1</v>
      </c>
      <c r="EK667">
        <v>88</v>
      </c>
      <c r="EL667" s="10">
        <f>3600/EK667*EH667*EJ667*EI667</f>
        <v>276.13636363636363</v>
      </c>
      <c r="EU667" s="4">
        <f>EG667/EL667+EX667+ER667</f>
        <v>23.901234567901234</v>
      </c>
      <c r="EV667" s="4"/>
      <c r="EW667" s="4"/>
      <c r="GR667" s="8">
        <v>0.11</v>
      </c>
      <c r="GS667" s="4">
        <f>GR667*(BA667+EU667)</f>
        <v>18.958301402469136</v>
      </c>
      <c r="GT667" s="9">
        <v>1.2500000000000001E-2</v>
      </c>
      <c r="GU667" s="4">
        <f>GT667*(BA667+EU667)</f>
        <v>2.1543524320987655</v>
      </c>
      <c r="GV667" s="8">
        <v>0.02</v>
      </c>
      <c r="GW667" s="4">
        <f>GV667*EU667</f>
        <v>0.47802469135802467</v>
      </c>
      <c r="GX667" s="4">
        <f>GS667+GU667+GW667</f>
        <v>21.590678525925927</v>
      </c>
      <c r="GY667" t="s">
        <v>130</v>
      </c>
      <c r="GZ667" t="s">
        <v>130</v>
      </c>
      <c r="HA667">
        <v>810</v>
      </c>
      <c r="HB667">
        <v>568</v>
      </c>
      <c r="HC667">
        <v>425</v>
      </c>
      <c r="HD667">
        <v>3</v>
      </c>
      <c r="HE667">
        <v>100</v>
      </c>
      <c r="HF667" s="4">
        <f>ROUNDUP(HE667/HD667,0)</f>
        <v>34</v>
      </c>
      <c r="HG667">
        <v>5</v>
      </c>
      <c r="HH667" s="4">
        <f>HF667*HG667</f>
        <v>170</v>
      </c>
      <c r="HI667">
        <v>1100</v>
      </c>
      <c r="HJ667" s="4">
        <f>HH667*HI667</f>
        <v>187000</v>
      </c>
      <c r="HM667" s="4">
        <v>2</v>
      </c>
      <c r="HN667" s="10">
        <f>HM667*12*25*HE667</f>
        <v>60000</v>
      </c>
      <c r="HO667" s="4">
        <f>IF(GY667="carton box",HI667/HD667,HJ667/HN667)</f>
        <v>3.1166666666666667</v>
      </c>
      <c r="HP667" s="4">
        <v>160</v>
      </c>
      <c r="HR667">
        <v>0.19</v>
      </c>
      <c r="HS667">
        <v>1</v>
      </c>
      <c r="HT667" s="4">
        <f>HR667/HS667</f>
        <v>0.19</v>
      </c>
      <c r="HU667" s="4"/>
      <c r="HV667" s="4">
        <f>ROUNDUP(HO667+HT667,2)</f>
        <v>3.3099999999999996</v>
      </c>
      <c r="HW667" s="4"/>
      <c r="HX667">
        <v>4200</v>
      </c>
      <c r="HY667">
        <v>1900</v>
      </c>
      <c r="HZ667">
        <v>1975</v>
      </c>
      <c r="IA667" s="4">
        <f>ROUNDDOWN(HX667/HA667,0)</f>
        <v>5</v>
      </c>
      <c r="IB667" s="4">
        <f>ROUNDDOWN(HY667/HB667,0)</f>
        <v>3</v>
      </c>
      <c r="IC667" s="4">
        <f>ROUNDDOWN(HZ667/HC667,0)</f>
        <v>4</v>
      </c>
      <c r="ID667" s="8">
        <v>0.95</v>
      </c>
      <c r="IE667" s="4">
        <f>ROUNDUP(PRODUCT(IA667:ID667),0)</f>
        <v>57</v>
      </c>
      <c r="IF667" s="4">
        <v>500</v>
      </c>
      <c r="IG667" s="4">
        <f>ROUNDUP(IF667/(IE667*HD667),2)</f>
        <v>2.9299999999999997</v>
      </c>
      <c r="IH667" s="4"/>
    </row>
    <row r="668" spans="1:242">
      <c r="A668">
        <v>653</v>
      </c>
      <c r="B668" t="s">
        <v>1947</v>
      </c>
      <c r="D668" s="28" t="s">
        <v>1501</v>
      </c>
      <c r="E668" s="28" t="s">
        <v>1400</v>
      </c>
      <c r="F668" s="28" t="s">
        <v>1947</v>
      </c>
      <c r="G668" s="27" t="s">
        <v>101</v>
      </c>
      <c r="I668" s="27" t="s">
        <v>226</v>
      </c>
      <c r="J668" s="28">
        <v>21599</v>
      </c>
      <c r="K668" s="27" t="s">
        <v>1240</v>
      </c>
    </row>
    <row r="669" spans="1:242">
      <c r="A669">
        <v>654</v>
      </c>
      <c r="B669" t="s">
        <v>468</v>
      </c>
      <c r="C669" t="s">
        <v>2437</v>
      </c>
      <c r="D669" s="28" t="s">
        <v>1502</v>
      </c>
      <c r="E669" s="28" t="s">
        <v>1448</v>
      </c>
      <c r="F669" s="28" t="s">
        <v>2182</v>
      </c>
      <c r="G669" s="27" t="s">
        <v>101</v>
      </c>
      <c r="I669" s="27" t="s">
        <v>226</v>
      </c>
      <c r="J669" s="28">
        <v>21590</v>
      </c>
      <c r="K669" s="27" t="s">
        <v>397</v>
      </c>
      <c r="Q669" s="13" t="s">
        <v>1768</v>
      </c>
      <c r="R669" s="13" t="s">
        <v>1194</v>
      </c>
      <c r="T669" s="5" t="s">
        <v>2251</v>
      </c>
      <c r="U669" s="5"/>
      <c r="V669" s="29" t="s">
        <v>2252</v>
      </c>
      <c r="W669"/>
      <c r="X669"/>
      <c r="Y669"/>
      <c r="Z669"/>
      <c r="AA669" s="51" t="s">
        <v>2438</v>
      </c>
      <c r="AB669" s="66">
        <v>94.68</v>
      </c>
      <c r="AC669">
        <v>20</v>
      </c>
      <c r="AD669" t="s">
        <v>1200</v>
      </c>
      <c r="AE669" s="7">
        <f>BA669</f>
        <v>12.776480000000003</v>
      </c>
      <c r="AF669" s="7"/>
      <c r="AG669" s="7">
        <f>EU669</f>
        <v>3.0864197530864197</v>
      </c>
      <c r="AH669" s="7">
        <f>DM669</f>
        <v>0</v>
      </c>
      <c r="AI669" s="7">
        <f>DO669</f>
        <v>0</v>
      </c>
      <c r="AJ669" s="7">
        <f>GW669</f>
        <v>6.1728395061728399E-2</v>
      </c>
      <c r="AK669" s="7">
        <f>GU669</f>
        <v>0.19828624691358029</v>
      </c>
      <c r="AL669" s="7">
        <f>GS669</f>
        <v>1.7449189728395065</v>
      </c>
      <c r="AM669" s="7">
        <f>HV669</f>
        <v>0.29000000000000004</v>
      </c>
      <c r="AN669" s="7">
        <f>IG669</f>
        <v>6.0000000000000005E-2</v>
      </c>
      <c r="AO669" s="6">
        <v>0</v>
      </c>
      <c r="AP669" s="6"/>
      <c r="AQ669" s="7">
        <f>SUM(AE669:AP669)</f>
        <v>18.217833367901235</v>
      </c>
      <c r="AR669" s="7">
        <f>IJ669</f>
        <v>0</v>
      </c>
      <c r="AS669" s="7"/>
      <c r="AT669" s="6">
        <v>0</v>
      </c>
      <c r="AV669" s="7">
        <f>AQ669+AT669+AU669+AR669</f>
        <v>18.217833367901235</v>
      </c>
      <c r="AW669">
        <v>0.13600000000000001</v>
      </c>
      <c r="AX669">
        <v>0.13100000000000001</v>
      </c>
      <c r="AY669" s="8">
        <v>1</v>
      </c>
      <c r="AZ669" s="55">
        <f>(AW669-AX669)*AY669</f>
        <v>5.0000000000000044E-3</v>
      </c>
      <c r="BA669" s="4">
        <f>AW669*AB669-AZ669*AC669</f>
        <v>12.776480000000003</v>
      </c>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DM669" s="4">
        <f>CH669+CM669+CR669+DB669+DG669+DL669</f>
        <v>0</v>
      </c>
      <c r="EF669">
        <v>250</v>
      </c>
      <c r="EG669">
        <v>2500</v>
      </c>
      <c r="EH669">
        <v>7.5</v>
      </c>
      <c r="EI669" s="8">
        <v>0.9</v>
      </c>
      <c r="EJ669">
        <v>2</v>
      </c>
      <c r="EK669">
        <v>60</v>
      </c>
      <c r="EL669" s="10">
        <f>3600/EK669*EH669*EJ669*EI669</f>
        <v>810</v>
      </c>
      <c r="EU669" s="4">
        <f>EG669/EL669+EX669+ER669</f>
        <v>3.0864197530864197</v>
      </c>
      <c r="EV669" s="4"/>
      <c r="EW669" s="4"/>
      <c r="GR669" s="8">
        <v>0.11</v>
      </c>
      <c r="GS669" s="4">
        <f>GR669*(BA669+EU669)</f>
        <v>1.7449189728395065</v>
      </c>
      <c r="GT669" s="9">
        <v>1.2500000000000001E-2</v>
      </c>
      <c r="GU669" s="4">
        <f>GT669*(BA669+EU669)</f>
        <v>0.19828624691358029</v>
      </c>
      <c r="GV669" s="8">
        <v>0.02</v>
      </c>
      <c r="GW669" s="4">
        <f>GV669*EU669</f>
        <v>6.1728395061728399E-2</v>
      </c>
      <c r="GX669" s="4">
        <f>GS669+GU669+GW669</f>
        <v>2.0049336148148149</v>
      </c>
      <c r="GY669" t="s">
        <v>449</v>
      </c>
      <c r="GZ669" t="s">
        <v>87</v>
      </c>
      <c r="HA669">
        <v>810</v>
      </c>
      <c r="HB669">
        <v>568</v>
      </c>
      <c r="HC669">
        <v>425</v>
      </c>
      <c r="HD669">
        <v>165</v>
      </c>
      <c r="HE669">
        <v>100</v>
      </c>
      <c r="HF669" s="4">
        <f>ROUNDUP(HE669/HD669,0)</f>
        <v>1</v>
      </c>
      <c r="HG669">
        <v>5</v>
      </c>
      <c r="HH669" s="4">
        <f>HF669*HG669</f>
        <v>5</v>
      </c>
      <c r="HI669">
        <v>1100</v>
      </c>
      <c r="HJ669" s="4">
        <f>HH669*HI669</f>
        <v>5500</v>
      </c>
      <c r="HM669" s="4">
        <v>2</v>
      </c>
      <c r="HN669" s="10">
        <f>HM669*12*25*HE669</f>
        <v>60000</v>
      </c>
      <c r="HO669" s="4">
        <f>IF(GY669="carton box",HI669/HD669,HJ669/HN669)</f>
        <v>9.166666666666666E-2</v>
      </c>
      <c r="HP669" s="4">
        <v>160</v>
      </c>
      <c r="HR669">
        <v>0.19</v>
      </c>
      <c r="HS669">
        <v>1</v>
      </c>
      <c r="HT669" s="4">
        <f>HR669/HS669</f>
        <v>0.19</v>
      </c>
      <c r="HU669" s="4"/>
      <c r="HV669" s="4">
        <f>ROUNDUP(HO669+HT669,2)</f>
        <v>0.29000000000000004</v>
      </c>
      <c r="HW669" s="4"/>
      <c r="HX669">
        <v>4200</v>
      </c>
      <c r="HY669">
        <v>1900</v>
      </c>
      <c r="HZ669">
        <v>1975</v>
      </c>
      <c r="IA669" s="4">
        <f>ROUNDDOWN(HX669/HA669,0)</f>
        <v>5</v>
      </c>
      <c r="IB669" s="4">
        <f>ROUNDDOWN(HY669/HB669,0)</f>
        <v>3</v>
      </c>
      <c r="IC669" s="4">
        <f>ROUNDDOWN(HZ669/HC669,0)</f>
        <v>4</v>
      </c>
      <c r="ID669" s="8">
        <v>0.95</v>
      </c>
      <c r="IE669" s="4">
        <f>ROUNDUP(PRODUCT(IA669:ID669),0)</f>
        <v>57</v>
      </c>
      <c r="IF669" s="4">
        <v>500</v>
      </c>
      <c r="IG669" s="4">
        <f>ROUNDUP(IF669/(IE669*HD669),2)</f>
        <v>6.0000000000000005E-2</v>
      </c>
      <c r="IH669" s="4"/>
    </row>
    <row r="670" spans="1:242">
      <c r="A670">
        <v>655</v>
      </c>
      <c r="B670" t="s">
        <v>1947</v>
      </c>
      <c r="D670" s="28" t="s">
        <v>1502</v>
      </c>
      <c r="E670" s="28" t="s">
        <v>1448</v>
      </c>
      <c r="F670" s="28" t="s">
        <v>1947</v>
      </c>
      <c r="G670" s="27" t="s">
        <v>101</v>
      </c>
      <c r="I670" s="27" t="s">
        <v>226</v>
      </c>
      <c r="J670" s="28">
        <v>21599</v>
      </c>
      <c r="K670" s="27" t="s">
        <v>1240</v>
      </c>
    </row>
    <row r="671" spans="1:242">
      <c r="A671">
        <v>656</v>
      </c>
      <c r="B671" t="s">
        <v>468</v>
      </c>
      <c r="C671" t="s">
        <v>2439</v>
      </c>
      <c r="D671" s="28" t="s">
        <v>750</v>
      </c>
      <c r="E671" s="28" t="s">
        <v>186</v>
      </c>
      <c r="F671" s="28" t="s">
        <v>2182</v>
      </c>
      <c r="G671" s="27" t="s">
        <v>101</v>
      </c>
      <c r="I671" s="27" t="s">
        <v>226</v>
      </c>
      <c r="J671" s="28">
        <v>21590</v>
      </c>
      <c r="K671" s="27" t="s">
        <v>397</v>
      </c>
      <c r="Q671" s="13" t="s">
        <v>1768</v>
      </c>
      <c r="R671" s="13" t="s">
        <v>1778</v>
      </c>
      <c r="T671" s="5" t="s">
        <v>2251</v>
      </c>
      <c r="U671" s="5"/>
      <c r="V671" s="29" t="s">
        <v>2252</v>
      </c>
      <c r="W671"/>
      <c r="X671"/>
      <c r="Y671"/>
      <c r="Z671"/>
      <c r="AA671" s="51" t="s">
        <v>2440</v>
      </c>
      <c r="AB671" s="66">
        <v>101.85</v>
      </c>
      <c r="AC671">
        <v>20</v>
      </c>
      <c r="AD671" t="s">
        <v>2405</v>
      </c>
      <c r="AE671" s="7">
        <f>BA671</f>
        <v>35.647499999999994</v>
      </c>
      <c r="AF671" s="7"/>
      <c r="AG671" s="7">
        <f>EU671</f>
        <v>11.111111111111111</v>
      </c>
      <c r="AH671" s="7">
        <f>DM671</f>
        <v>0</v>
      </c>
      <c r="AI671" s="7">
        <f>DO671</f>
        <v>0</v>
      </c>
      <c r="AJ671" s="7">
        <f>GW671</f>
        <v>0.22222222222222221</v>
      </c>
      <c r="AK671" s="7">
        <f>GU671</f>
        <v>0.58448263888888885</v>
      </c>
      <c r="AL671" s="7">
        <f>GS671</f>
        <v>5.1434472222222221</v>
      </c>
      <c r="AM671" s="7">
        <f>HV671</f>
        <v>0.66</v>
      </c>
      <c r="AN671" s="7">
        <f>IG671</f>
        <v>0.63</v>
      </c>
      <c r="AO671" s="6">
        <v>0</v>
      </c>
      <c r="AP671" s="6"/>
      <c r="AQ671" s="7">
        <f>SUM(AE671:AP671)</f>
        <v>53.998763194444436</v>
      </c>
      <c r="AR671" s="7">
        <f>IJ671</f>
        <v>0</v>
      </c>
      <c r="AS671" s="7"/>
      <c r="AT671" s="6">
        <v>0</v>
      </c>
      <c r="AV671" s="7">
        <f>AQ671+AT671+AU671+AR671</f>
        <v>53.998763194444436</v>
      </c>
      <c r="AW671">
        <v>0.35</v>
      </c>
      <c r="AX671">
        <v>0.35</v>
      </c>
      <c r="AY671" s="8">
        <v>1</v>
      </c>
      <c r="AZ671" s="55">
        <f>(AW671-AX671)*AY671</f>
        <v>0</v>
      </c>
      <c r="BA671" s="4">
        <f>AW671*AB671-AZ671*AC671</f>
        <v>35.647499999999994</v>
      </c>
      <c r="BB671" s="4"/>
      <c r="BC671" s="4"/>
      <c r="BD671" s="4"/>
      <c r="BE671" s="4"/>
      <c r="BF671" s="4"/>
      <c r="BG671" s="4"/>
      <c r="BH671" s="4"/>
      <c r="BI671" s="4"/>
      <c r="BK671" s="4"/>
      <c r="BL671" s="4"/>
      <c r="BM671" s="4"/>
      <c r="BN671" s="4"/>
      <c r="BO671" s="4"/>
      <c r="BP671" s="4"/>
      <c r="BQ671" s="4"/>
      <c r="BR671" s="4"/>
      <c r="BS671" s="4"/>
      <c r="BT671" s="4"/>
      <c r="BU671" s="4"/>
      <c r="BV671" s="4"/>
      <c r="BW671" s="4"/>
      <c r="BX671" s="4"/>
      <c r="BY671" s="4"/>
      <c r="BZ671" s="4"/>
      <c r="CA671" s="4"/>
      <c r="CB671" s="4"/>
      <c r="CC671" s="4"/>
      <c r="DM671" s="4">
        <f>CH671+CM671+CR671+DB671+DG671+DL671</f>
        <v>0</v>
      </c>
      <c r="EF671">
        <v>450</v>
      </c>
      <c r="EG671">
        <v>4500</v>
      </c>
      <c r="EH671">
        <v>7.5</v>
      </c>
      <c r="EI671" s="8">
        <v>0.9</v>
      </c>
      <c r="EJ671">
        <v>1</v>
      </c>
      <c r="EK671">
        <v>60</v>
      </c>
      <c r="EL671" s="10">
        <f>3600/EK671*EH671*EJ671*EI671</f>
        <v>405</v>
      </c>
      <c r="EU671" s="4">
        <f>EG671/EL671+EX671+ER671</f>
        <v>11.111111111111111</v>
      </c>
      <c r="EV671" s="4"/>
      <c r="EW671" s="4"/>
      <c r="GR671" s="8">
        <v>0.11</v>
      </c>
      <c r="GS671" s="4">
        <f>GR671*(BA671+EU671)</f>
        <v>5.1434472222222221</v>
      </c>
      <c r="GT671" s="9">
        <v>1.2500000000000001E-2</v>
      </c>
      <c r="GU671" s="4">
        <f>GT671*(BA671+EU671)</f>
        <v>0.58448263888888885</v>
      </c>
      <c r="GV671" s="8">
        <v>0.02</v>
      </c>
      <c r="GW671" s="4">
        <f>GV671*EU671</f>
        <v>0.22222222222222221</v>
      </c>
      <c r="GX671" s="4">
        <f>GS671+GU671+GW671</f>
        <v>5.9501520833333332</v>
      </c>
      <c r="GY671" t="s">
        <v>130</v>
      </c>
      <c r="GZ671" t="s">
        <v>130</v>
      </c>
      <c r="HA671">
        <v>810</v>
      </c>
      <c r="HB671">
        <v>568</v>
      </c>
      <c r="HC671">
        <v>425</v>
      </c>
      <c r="HD671">
        <v>14</v>
      </c>
      <c r="HE671">
        <v>1000</v>
      </c>
      <c r="HF671" s="4">
        <f>ROUNDUP(HE671/HD671,0)</f>
        <v>72</v>
      </c>
      <c r="HG671">
        <v>5</v>
      </c>
      <c r="HH671" s="4">
        <f>HF671*HG671</f>
        <v>360</v>
      </c>
      <c r="HI671">
        <v>1100</v>
      </c>
      <c r="HJ671" s="4">
        <f>HH671*HI671</f>
        <v>396000</v>
      </c>
      <c r="HM671" s="4">
        <v>2</v>
      </c>
      <c r="HN671" s="10">
        <f>HM671*12*25*HE671</f>
        <v>600000</v>
      </c>
      <c r="HO671" s="4">
        <f>IF(GY671="carton box",HI671/HD671,HJ671/HN671)</f>
        <v>0.66</v>
      </c>
      <c r="HP671" s="4">
        <v>160</v>
      </c>
      <c r="HV671" s="4">
        <f>ROUNDUP(HO671+HT671,2)</f>
        <v>0.66</v>
      </c>
      <c r="HW671" s="4"/>
      <c r="HX671">
        <v>4200</v>
      </c>
      <c r="HY671">
        <v>1900</v>
      </c>
      <c r="HZ671">
        <v>1975</v>
      </c>
      <c r="IA671" s="4">
        <f>ROUNDDOWN(HX671/HA671,0)</f>
        <v>5</v>
      </c>
      <c r="IB671" s="4">
        <f>ROUNDDOWN(HY671/HB671,0)</f>
        <v>3</v>
      </c>
      <c r="IC671" s="4">
        <f>ROUNDDOWN(HZ671/HC671,0)</f>
        <v>4</v>
      </c>
      <c r="ID671" s="8">
        <v>0.95</v>
      </c>
      <c r="IE671" s="4">
        <f>ROUNDUP(PRODUCT(IA671:ID671),0)</f>
        <v>57</v>
      </c>
      <c r="IF671" s="4">
        <v>500</v>
      </c>
      <c r="IG671" s="4">
        <f>ROUNDUP(IF671/(IE671*HD671),2)</f>
        <v>0.63</v>
      </c>
      <c r="IH671" s="4"/>
    </row>
    <row r="672" spans="1:242">
      <c r="A672">
        <v>657</v>
      </c>
      <c r="B672" t="s">
        <v>1947</v>
      </c>
      <c r="D672" s="28" t="s">
        <v>750</v>
      </c>
      <c r="E672" s="28" t="s">
        <v>186</v>
      </c>
      <c r="F672" s="28" t="s">
        <v>1947</v>
      </c>
      <c r="G672" s="27" t="s">
        <v>101</v>
      </c>
      <c r="I672" s="27" t="s">
        <v>226</v>
      </c>
      <c r="J672" s="28">
        <v>21599</v>
      </c>
      <c r="K672" s="27" t="s">
        <v>1240</v>
      </c>
    </row>
    <row r="673" spans="1:242">
      <c r="A673">
        <v>658</v>
      </c>
      <c r="B673" t="s">
        <v>468</v>
      </c>
      <c r="C673" t="s">
        <v>2441</v>
      </c>
      <c r="D673" s="28" t="s">
        <v>751</v>
      </c>
      <c r="E673" s="28" t="s">
        <v>339</v>
      </c>
      <c r="F673" s="28" t="s">
        <v>2182</v>
      </c>
      <c r="G673" s="27" t="s">
        <v>101</v>
      </c>
      <c r="I673" s="27" t="s">
        <v>226</v>
      </c>
      <c r="J673" s="28">
        <v>21691</v>
      </c>
      <c r="K673" s="27" t="s">
        <v>404</v>
      </c>
      <c r="Q673" s="13" t="s">
        <v>1768</v>
      </c>
      <c r="R673" s="13" t="s">
        <v>1778</v>
      </c>
      <c r="T673" s="5" t="s">
        <v>2251</v>
      </c>
      <c r="U673" s="5"/>
      <c r="V673" s="29" t="s">
        <v>2252</v>
      </c>
      <c r="W673"/>
      <c r="X673"/>
      <c r="Y673"/>
      <c r="Z673"/>
      <c r="AA673" s="51" t="s">
        <v>2290</v>
      </c>
      <c r="AB673" s="66">
        <v>85.45</v>
      </c>
      <c r="AC673">
        <v>20</v>
      </c>
      <c r="AD673" t="s">
        <v>596</v>
      </c>
      <c r="AE673" s="7">
        <f>BA673</f>
        <v>18.969900000000003</v>
      </c>
      <c r="AF673" s="7"/>
      <c r="AG673" s="7">
        <f>EU673</f>
        <v>9.7039473684210531</v>
      </c>
      <c r="AH673" s="7">
        <f>DM673</f>
        <v>2.08</v>
      </c>
      <c r="AI673" s="7">
        <f>DO673</f>
        <v>2.6000000000000002E-2</v>
      </c>
      <c r="AJ673" s="7">
        <f>GW673</f>
        <v>0.19407894736842107</v>
      </c>
      <c r="AK673" s="7">
        <f>GU673</f>
        <v>0.35842309210526324</v>
      </c>
      <c r="AL673" s="7">
        <f>GS673</f>
        <v>3.1541232105263162</v>
      </c>
      <c r="AM673" s="7">
        <f>HV673</f>
        <v>0.16041666666666668</v>
      </c>
      <c r="AN673" s="7">
        <f>IG673</f>
        <v>0.2</v>
      </c>
      <c r="AO673" s="6">
        <v>0</v>
      </c>
      <c r="AP673" s="6"/>
      <c r="AQ673" s="7">
        <f>SUM(AE673:AP673)</f>
        <v>34.846889285087727</v>
      </c>
      <c r="AR673" s="7">
        <f>IJ673</f>
        <v>0</v>
      </c>
      <c r="AS673" s="7"/>
      <c r="AT673" s="6">
        <v>0</v>
      </c>
      <c r="AV673" s="7">
        <f>AQ673+AT673+AU673+AR673</f>
        <v>34.846889285087727</v>
      </c>
      <c r="AW673">
        <v>0.222</v>
      </c>
      <c r="AX673">
        <v>0.222</v>
      </c>
      <c r="AY673" s="8">
        <v>1</v>
      </c>
      <c r="AZ673" s="55">
        <f>(AW673-AX673)*AY673</f>
        <v>0</v>
      </c>
      <c r="BA673" s="4">
        <f>AW673*AB673-AZ673*AC673</f>
        <v>18.969900000000003</v>
      </c>
      <c r="BB673" s="4"/>
      <c r="BC673" s="4"/>
      <c r="BD673" s="4"/>
      <c r="BE673" s="4"/>
      <c r="BF673" s="4"/>
      <c r="BG673" s="4"/>
      <c r="BH673" s="4"/>
      <c r="BI673" s="4"/>
      <c r="CF673">
        <v>1</v>
      </c>
      <c r="CG673">
        <v>2.08</v>
      </c>
      <c r="CH673" s="4">
        <f>CF673*CG673</f>
        <v>2.08</v>
      </c>
      <c r="DM673" s="4">
        <f>CH673+CM673+CR673+DB673+DG673+DL673</f>
        <v>2.08</v>
      </c>
      <c r="DN673" s="9">
        <v>1.2500000000000001E-2</v>
      </c>
      <c r="DO673" s="4">
        <f>DM673*DN673</f>
        <v>2.6000000000000002E-2</v>
      </c>
      <c r="DP673" s="4">
        <f>DM673+DO673</f>
        <v>2.1059999999999999</v>
      </c>
      <c r="EF673">
        <v>450</v>
      </c>
      <c r="EG673">
        <v>4500</v>
      </c>
      <c r="EH673">
        <v>8</v>
      </c>
      <c r="EI673" s="8">
        <v>0.95</v>
      </c>
      <c r="EJ673">
        <v>1</v>
      </c>
      <c r="EK673">
        <v>59</v>
      </c>
      <c r="EL673" s="10">
        <f>3600/EK673*EH673*EJ673*EI673</f>
        <v>463.72881355932202</v>
      </c>
      <c r="EU673" s="4">
        <f>EG673/EL673+EX673+ER673</f>
        <v>9.7039473684210531</v>
      </c>
      <c r="EV673" s="4"/>
      <c r="EW673" s="4"/>
      <c r="GR673" s="8">
        <v>0.11</v>
      </c>
      <c r="GS673" s="4">
        <f>GR673*(BA673+EU673)</f>
        <v>3.1541232105263162</v>
      </c>
      <c r="GT673" s="9">
        <v>1.2500000000000001E-2</v>
      </c>
      <c r="GU673" s="4">
        <f>GT673*(BA673+EU673)</f>
        <v>0.35842309210526324</v>
      </c>
      <c r="GV673" s="8">
        <v>0.02</v>
      </c>
      <c r="GW673" s="4">
        <f>GV673*EU673</f>
        <v>0.19407894736842107</v>
      </c>
      <c r="GX673" s="4">
        <f>GS673+GU673+GW673</f>
        <v>3.7066252500000005</v>
      </c>
      <c r="GY673" t="s">
        <v>130</v>
      </c>
      <c r="GZ673" t="s">
        <v>130</v>
      </c>
      <c r="HA673">
        <v>980</v>
      </c>
      <c r="HB673">
        <v>700</v>
      </c>
      <c r="HC673">
        <v>450</v>
      </c>
      <c r="HD673">
        <v>60</v>
      </c>
      <c r="HE673">
        <v>400</v>
      </c>
      <c r="HF673" s="4">
        <f>ROUNDUP(HE673/HD673,0)</f>
        <v>7</v>
      </c>
      <c r="HG673">
        <v>5</v>
      </c>
      <c r="HH673" s="4">
        <f>HF673*HG673</f>
        <v>35</v>
      </c>
      <c r="HI673">
        <v>1100</v>
      </c>
      <c r="HJ673" s="4">
        <f>HH673*HI673</f>
        <v>38500</v>
      </c>
      <c r="HM673" s="4">
        <v>2</v>
      </c>
      <c r="HN673" s="10">
        <f>HM673*12*25*HE673</f>
        <v>240000</v>
      </c>
      <c r="HO673" s="4">
        <f>IF(GY673="carton box",HI673/HD673,HJ673/HN673)</f>
        <v>0.16041666666666668</v>
      </c>
      <c r="HP673" s="4">
        <v>160</v>
      </c>
      <c r="HV673" s="4">
        <f>HO673+HT673</f>
        <v>0.16041666666666668</v>
      </c>
      <c r="HW673" s="4"/>
      <c r="HX673">
        <v>5016</v>
      </c>
      <c r="HY673">
        <v>1976</v>
      </c>
      <c r="HZ673">
        <v>2280</v>
      </c>
      <c r="IA673" s="4">
        <f>ROUNDDOWN(HX673/HA673,0)</f>
        <v>5</v>
      </c>
      <c r="IB673" s="4">
        <f>ROUNDDOWN(HY673/HB673,0)</f>
        <v>2</v>
      </c>
      <c r="IC673" s="4">
        <f>ROUNDDOWN(HZ673/HC673,0)</f>
        <v>5</v>
      </c>
      <c r="ID673" s="8">
        <v>0.85</v>
      </c>
      <c r="IE673" s="4">
        <f>ROUNDUP(PRODUCT(IA673:ID673),0)</f>
        <v>43</v>
      </c>
      <c r="IF673" s="4">
        <v>500</v>
      </c>
      <c r="IG673" s="4">
        <f>ROUNDUP(IF673/(IE673*HD673),2)</f>
        <v>0.2</v>
      </c>
      <c r="IH673" s="4"/>
    </row>
    <row r="674" spans="1:242">
      <c r="A674">
        <v>659</v>
      </c>
      <c r="B674" t="s">
        <v>1947</v>
      </c>
      <c r="D674" s="28" t="s">
        <v>751</v>
      </c>
      <c r="E674" s="28" t="s">
        <v>339</v>
      </c>
      <c r="F674" s="28" t="s">
        <v>1947</v>
      </c>
      <c r="G674" s="27" t="s">
        <v>101</v>
      </c>
      <c r="I674" s="27" t="s">
        <v>226</v>
      </c>
      <c r="J674" s="28">
        <v>21599</v>
      </c>
      <c r="K674" s="27" t="s">
        <v>1240</v>
      </c>
    </row>
    <row r="675" spans="1:242">
      <c r="A675">
        <v>660</v>
      </c>
      <c r="C675" t="s">
        <v>567</v>
      </c>
      <c r="D675" s="28" t="s">
        <v>1503</v>
      </c>
      <c r="E675" s="28" t="s">
        <v>1504</v>
      </c>
      <c r="F675" s="28" t="s">
        <v>2444</v>
      </c>
      <c r="G675" s="27" t="s">
        <v>101</v>
      </c>
      <c r="I675" s="27" t="s">
        <v>121</v>
      </c>
      <c r="J675" s="28">
        <v>21697</v>
      </c>
      <c r="K675" s="27" t="s">
        <v>227</v>
      </c>
      <c r="N675" s="13" t="s">
        <v>2442</v>
      </c>
      <c r="O675" s="13" t="s">
        <v>1943</v>
      </c>
      <c r="P675" s="13" t="s">
        <v>2443</v>
      </c>
    </row>
    <row r="676" spans="1:242">
      <c r="A676">
        <v>661</v>
      </c>
      <c r="B676" s="301" t="s">
        <v>1947</v>
      </c>
      <c r="D676" s="28" t="s">
        <v>754</v>
      </c>
      <c r="E676" s="28" t="s">
        <v>683</v>
      </c>
      <c r="F676" s="28"/>
      <c r="G676" s="27" t="s">
        <v>101</v>
      </c>
      <c r="I676" s="27" t="s">
        <v>121</v>
      </c>
      <c r="J676" s="28">
        <v>21480</v>
      </c>
      <c r="K676" s="27" t="s">
        <v>97</v>
      </c>
    </row>
    <row r="677" spans="1:242">
      <c r="A677">
        <v>662</v>
      </c>
      <c r="B677" t="s">
        <v>468</v>
      </c>
      <c r="C677" t="s">
        <v>2445</v>
      </c>
      <c r="D677" s="28" t="s">
        <v>754</v>
      </c>
      <c r="E677" s="28" t="s">
        <v>683</v>
      </c>
      <c r="F677" s="28"/>
      <c r="G677" s="27" t="s">
        <v>101</v>
      </c>
      <c r="I677" s="27" t="s">
        <v>121</v>
      </c>
      <c r="J677" s="28">
        <v>21697</v>
      </c>
      <c r="K677" s="27" t="s">
        <v>227</v>
      </c>
      <c r="Q677" s="13" t="s">
        <v>1768</v>
      </c>
      <c r="R677" s="13" t="s">
        <v>1778</v>
      </c>
      <c r="T677" s="5" t="s">
        <v>2251</v>
      </c>
      <c r="U677" s="5"/>
      <c r="V677" s="29" t="s">
        <v>2252</v>
      </c>
      <c r="W677"/>
      <c r="X677"/>
      <c r="Y677"/>
      <c r="Z677"/>
      <c r="AA677" s="51" t="s">
        <v>440</v>
      </c>
      <c r="AB677" s="66">
        <v>84.66</v>
      </c>
      <c r="AC677">
        <v>20</v>
      </c>
      <c r="AD677" t="s">
        <v>2446</v>
      </c>
      <c r="AE677" s="7">
        <f>BA677</f>
        <v>42.499319999999997</v>
      </c>
      <c r="AF677" s="7"/>
      <c r="AG677" s="7">
        <f>EU677</f>
        <v>14.7119341563786</v>
      </c>
      <c r="AH677" s="7">
        <f>DM677</f>
        <v>0</v>
      </c>
      <c r="AI677" s="7">
        <f>DO677</f>
        <v>0</v>
      </c>
      <c r="AJ677" s="7">
        <f>GW677</f>
        <v>0.29423868312757201</v>
      </c>
      <c r="AK677" s="7">
        <f>GU677</f>
        <v>0.7151406769547326</v>
      </c>
      <c r="AL677" s="7">
        <f>GS677</f>
        <v>6.2932379572016464</v>
      </c>
      <c r="AM677" s="7">
        <f>HV677</f>
        <v>0.77</v>
      </c>
      <c r="AN677" s="7">
        <f>IG677</f>
        <v>0.74</v>
      </c>
      <c r="AO677" s="6">
        <v>0</v>
      </c>
      <c r="AP677" s="6"/>
      <c r="AQ677" s="7">
        <f>SUM(AE677:AP677)</f>
        <v>66.023871473662538</v>
      </c>
      <c r="AR677" s="7">
        <f>IJ677</f>
        <v>0</v>
      </c>
      <c r="AS677" s="7"/>
      <c r="AT677" s="6">
        <v>0</v>
      </c>
      <c r="AV677" s="7">
        <f>AQ677+AT677+AU677+AR677</f>
        <v>66.023871473662538</v>
      </c>
      <c r="AW677">
        <v>0.502</v>
      </c>
      <c r="AX677">
        <v>0.502</v>
      </c>
      <c r="AY677" s="8">
        <v>1</v>
      </c>
      <c r="AZ677" s="55">
        <f>(AW677-AX677)*AY677</f>
        <v>0</v>
      </c>
      <c r="BA677" s="4">
        <f>AW677*AB677-AZ677*AC677</f>
        <v>42.499319999999997</v>
      </c>
      <c r="BB677" s="4"/>
      <c r="BC677" s="4"/>
      <c r="BD677" s="4"/>
      <c r="BE677" s="4"/>
      <c r="BF677" s="4"/>
      <c r="BG677" s="4"/>
      <c r="BH677" s="4"/>
      <c r="BI677" s="4"/>
      <c r="DM677" s="4">
        <f>CH677+CM677+CR677+DB677+DG677+DL677</f>
        <v>0</v>
      </c>
      <c r="EF677">
        <v>550</v>
      </c>
      <c r="EG677">
        <v>5500</v>
      </c>
      <c r="EH677">
        <v>7.5</v>
      </c>
      <c r="EI677" s="8">
        <v>0.9</v>
      </c>
      <c r="EJ677">
        <v>1</v>
      </c>
      <c r="EK677">
        <v>65</v>
      </c>
      <c r="EL677" s="10">
        <f>3600/EK677*EH677*EJ677*EI677</f>
        <v>373.84615384615387</v>
      </c>
      <c r="EU677" s="4">
        <f>EG677/EL677+EX677+ER677</f>
        <v>14.7119341563786</v>
      </c>
      <c r="EV677" s="4"/>
      <c r="EW677" s="4"/>
      <c r="GR677" s="8">
        <v>0.11</v>
      </c>
      <c r="GS677" s="4">
        <f>GR677*(BA677+EU677)</f>
        <v>6.2932379572016464</v>
      </c>
      <c r="GT677" s="9">
        <v>1.2500000000000001E-2</v>
      </c>
      <c r="GU677" s="4">
        <f>GT677*(BA677+EU677)</f>
        <v>0.7151406769547326</v>
      </c>
      <c r="GV677" s="8">
        <v>0.02</v>
      </c>
      <c r="GW677" s="4">
        <f>GV677*EU677</f>
        <v>0.29423868312757201</v>
      </c>
      <c r="GX677" s="4">
        <f>GS677+GU677+GW677</f>
        <v>7.3026173172839517</v>
      </c>
      <c r="HA677">
        <v>810</v>
      </c>
      <c r="HB677">
        <v>568</v>
      </c>
      <c r="HC677">
        <v>425</v>
      </c>
      <c r="HD677">
        <v>12</v>
      </c>
      <c r="HE677">
        <v>500</v>
      </c>
      <c r="HF677" s="4">
        <f>ROUNDUP(HE677/HD677,0)</f>
        <v>42</v>
      </c>
      <c r="HG677">
        <v>5</v>
      </c>
      <c r="HH677" s="4">
        <f>HF677*HG677</f>
        <v>210</v>
      </c>
      <c r="HI677">
        <v>1100</v>
      </c>
      <c r="HJ677" s="4">
        <f>HH677*HI677</f>
        <v>231000</v>
      </c>
      <c r="HM677" s="4">
        <v>2</v>
      </c>
      <c r="HN677" s="10">
        <f>HM677*12*25*HE677</f>
        <v>300000</v>
      </c>
      <c r="HO677" s="4">
        <f>IF(GY677="carton box",HI677/HD677,HJ677/HN677)</f>
        <v>0.77</v>
      </c>
      <c r="HP677" s="4">
        <v>160</v>
      </c>
      <c r="HV677" s="4">
        <f>HO677+HT677</f>
        <v>0.77</v>
      </c>
      <c r="HW677" s="4"/>
      <c r="HX677">
        <v>4200</v>
      </c>
      <c r="HY677">
        <v>1900</v>
      </c>
      <c r="HZ677">
        <v>1975</v>
      </c>
      <c r="IA677" s="4">
        <f>ROUNDDOWN(HX677/HA677,0)</f>
        <v>5</v>
      </c>
      <c r="IB677" s="4">
        <f>ROUNDDOWN(HY677/HB677,0)</f>
        <v>3</v>
      </c>
      <c r="IC677" s="4">
        <f>ROUNDDOWN(HZ677/HC677,0)</f>
        <v>4</v>
      </c>
      <c r="ID677" s="8">
        <v>0.95</v>
      </c>
      <c r="IE677" s="4">
        <f>ROUNDUP(PRODUCT(IA677:ID677),0)</f>
        <v>57</v>
      </c>
      <c r="IF677" s="4">
        <v>500</v>
      </c>
      <c r="IG677" s="4">
        <f>ROUNDUP(IF677/(IE677*HD677),2)</f>
        <v>0.74</v>
      </c>
      <c r="IH677" s="4"/>
    </row>
    <row r="678" spans="1:242">
      <c r="A678">
        <v>663</v>
      </c>
      <c r="B678" s="328" t="s">
        <v>1947</v>
      </c>
      <c r="D678" s="28" t="s">
        <v>754</v>
      </c>
      <c r="E678" s="28" t="s">
        <v>683</v>
      </c>
      <c r="F678" s="28" t="s">
        <v>1947</v>
      </c>
      <c r="G678" s="27" t="s">
        <v>101</v>
      </c>
      <c r="I678" s="27" t="s">
        <v>121</v>
      </c>
      <c r="J678" s="28">
        <v>20178</v>
      </c>
      <c r="K678" s="27" t="s">
        <v>1243</v>
      </c>
    </row>
    <row r="679" spans="1:242" ht="30">
      <c r="A679">
        <v>664</v>
      </c>
      <c r="C679" t="s">
        <v>567</v>
      </c>
      <c r="D679" s="28" t="s">
        <v>1505</v>
      </c>
      <c r="E679" s="28" t="s">
        <v>1506</v>
      </c>
      <c r="F679" s="28" t="s">
        <v>2444</v>
      </c>
      <c r="G679" s="27" t="s">
        <v>102</v>
      </c>
      <c r="I679" s="27" t="s">
        <v>121</v>
      </c>
      <c r="J679" s="28">
        <v>21697</v>
      </c>
      <c r="K679" s="27" t="s">
        <v>227</v>
      </c>
      <c r="L679" s="121"/>
      <c r="M679" s="121"/>
      <c r="N679" s="333" t="s">
        <v>1764</v>
      </c>
      <c r="O679" s="115" t="s">
        <v>2747</v>
      </c>
      <c r="P679" s="333">
        <v>43104</v>
      </c>
      <c r="Q679" s="332"/>
      <c r="R679" s="332"/>
      <c r="S679" s="327"/>
      <c r="T679" s="327"/>
      <c r="U679" s="327"/>
      <c r="V679" s="353" t="s">
        <v>2748</v>
      </c>
      <c r="W679" s="218" t="s">
        <v>2749</v>
      </c>
    </row>
    <row r="680" spans="1:242" ht="30">
      <c r="A680">
        <v>665</v>
      </c>
      <c r="C680" t="s">
        <v>567</v>
      </c>
      <c r="D680" s="28" t="s">
        <v>1505</v>
      </c>
      <c r="E680" s="28" t="s">
        <v>1506</v>
      </c>
      <c r="F680" s="28" t="s">
        <v>2444</v>
      </c>
      <c r="G680" s="27" t="s">
        <v>102</v>
      </c>
      <c r="I680" s="27" t="s">
        <v>94</v>
      </c>
      <c r="J680" s="28">
        <v>21697</v>
      </c>
      <c r="K680" s="27" t="s">
        <v>227</v>
      </c>
      <c r="L680" s="121"/>
      <c r="M680" s="121"/>
      <c r="N680" s="115" t="s">
        <v>1912</v>
      </c>
      <c r="O680" s="115" t="s">
        <v>2747</v>
      </c>
      <c r="P680" s="333">
        <v>44095</v>
      </c>
      <c r="Q680" s="332"/>
      <c r="R680" s="332"/>
      <c r="S680" s="327"/>
      <c r="T680" s="327"/>
      <c r="U680" s="327"/>
      <c r="V680" s="353" t="s">
        <v>2748</v>
      </c>
      <c r="W680" s="218" t="s">
        <v>2750</v>
      </c>
    </row>
    <row r="681" spans="1:242" ht="30">
      <c r="A681">
        <v>666</v>
      </c>
      <c r="C681" t="s">
        <v>567</v>
      </c>
      <c r="D681" s="28" t="s">
        <v>1507</v>
      </c>
      <c r="E681" s="28" t="s">
        <v>1508</v>
      </c>
      <c r="F681" s="28" t="s">
        <v>2444</v>
      </c>
      <c r="G681" s="27" t="s">
        <v>102</v>
      </c>
      <c r="I681" s="27" t="s">
        <v>121</v>
      </c>
      <c r="J681" s="28">
        <v>21697</v>
      </c>
      <c r="K681" s="27" t="s">
        <v>227</v>
      </c>
      <c r="N681" s="115" t="s">
        <v>1884</v>
      </c>
      <c r="O681" s="13" t="s">
        <v>2747</v>
      </c>
      <c r="P681" s="333">
        <v>44095</v>
      </c>
      <c r="V681" s="353" t="s">
        <v>2748</v>
      </c>
      <c r="W681" s="218" t="s">
        <v>2751</v>
      </c>
    </row>
    <row r="682" spans="1:242" ht="30">
      <c r="A682">
        <v>667</v>
      </c>
      <c r="C682" t="s">
        <v>567</v>
      </c>
      <c r="D682" s="28" t="s">
        <v>1509</v>
      </c>
      <c r="E682" s="28" t="s">
        <v>1510</v>
      </c>
      <c r="F682" s="28" t="s">
        <v>2444</v>
      </c>
      <c r="G682" s="27" t="s">
        <v>102</v>
      </c>
      <c r="I682" s="27" t="s">
        <v>121</v>
      </c>
      <c r="J682" s="28">
        <v>21697</v>
      </c>
      <c r="K682" s="27" t="s">
        <v>227</v>
      </c>
      <c r="N682" s="115" t="s">
        <v>1764</v>
      </c>
      <c r="O682" s="115" t="s">
        <v>2747</v>
      </c>
      <c r="P682" s="333">
        <v>43104</v>
      </c>
      <c r="V682" s="353" t="s">
        <v>2748</v>
      </c>
      <c r="W682" s="218" t="s">
        <v>2751</v>
      </c>
    </row>
    <row r="683" spans="1:242" ht="30">
      <c r="A683">
        <v>668</v>
      </c>
      <c r="C683" t="s">
        <v>567</v>
      </c>
      <c r="D683" s="28" t="s">
        <v>1509</v>
      </c>
      <c r="E683" s="28" t="s">
        <v>1510</v>
      </c>
      <c r="F683" s="28" t="s">
        <v>2444</v>
      </c>
      <c r="G683" s="27" t="s">
        <v>102</v>
      </c>
      <c r="I683" s="27" t="s">
        <v>94</v>
      </c>
      <c r="J683" s="28">
        <v>21697</v>
      </c>
      <c r="K683" s="27" t="s">
        <v>227</v>
      </c>
      <c r="N683" s="115" t="s">
        <v>1912</v>
      </c>
      <c r="O683" s="13" t="s">
        <v>2747</v>
      </c>
      <c r="P683" s="333">
        <v>44095</v>
      </c>
      <c r="V683" s="353" t="s">
        <v>2748</v>
      </c>
      <c r="W683" s="218" t="s">
        <v>2752</v>
      </c>
      <c r="X683"/>
      <c r="Y683"/>
      <c r="Z683"/>
      <c r="AA683"/>
      <c r="AC683" s="121"/>
      <c r="AD683"/>
    </row>
    <row r="684" spans="1:242" ht="30">
      <c r="A684">
        <v>669</v>
      </c>
      <c r="C684" t="s">
        <v>567</v>
      </c>
      <c r="D684" s="28" t="s">
        <v>1509</v>
      </c>
      <c r="E684" s="28" t="s">
        <v>1510</v>
      </c>
      <c r="F684" s="28" t="s">
        <v>2444</v>
      </c>
      <c r="G684" s="27" t="s">
        <v>102</v>
      </c>
      <c r="I684" s="27" t="s">
        <v>226</v>
      </c>
      <c r="J684" s="28">
        <v>21590</v>
      </c>
      <c r="K684" s="27" t="s">
        <v>397</v>
      </c>
      <c r="N684" s="115" t="s">
        <v>1764</v>
      </c>
      <c r="O684" s="115" t="s">
        <v>2747</v>
      </c>
      <c r="P684" s="333">
        <v>43104</v>
      </c>
      <c r="V684" s="353" t="s">
        <v>2748</v>
      </c>
      <c r="W684" s="218" t="s">
        <v>2753</v>
      </c>
    </row>
    <row r="685" spans="1:242" ht="30">
      <c r="A685">
        <v>670</v>
      </c>
      <c r="C685" t="s">
        <v>567</v>
      </c>
      <c r="D685" s="28" t="s">
        <v>1511</v>
      </c>
      <c r="E685" s="28" t="s">
        <v>1512</v>
      </c>
      <c r="F685" s="28" t="s">
        <v>2444</v>
      </c>
      <c r="G685" s="27" t="s">
        <v>102</v>
      </c>
      <c r="I685" s="27" t="s">
        <v>121</v>
      </c>
      <c r="J685" s="28">
        <v>21697</v>
      </c>
      <c r="K685" s="27" t="s">
        <v>227</v>
      </c>
      <c r="N685" s="115" t="s">
        <v>1764</v>
      </c>
      <c r="O685" s="115" t="s">
        <v>2747</v>
      </c>
      <c r="P685" s="333">
        <v>43104</v>
      </c>
      <c r="V685" s="353" t="s">
        <v>2748</v>
      </c>
      <c r="W685" s="218" t="s">
        <v>2754</v>
      </c>
    </row>
    <row r="686" spans="1:242" ht="45">
      <c r="A686">
        <v>671</v>
      </c>
      <c r="C686" t="s">
        <v>567</v>
      </c>
      <c r="D686" s="28" t="s">
        <v>755</v>
      </c>
      <c r="E686" s="28" t="s">
        <v>756</v>
      </c>
      <c r="F686" s="28" t="s">
        <v>2444</v>
      </c>
      <c r="G686" s="27" t="s">
        <v>102</v>
      </c>
      <c r="I686" s="27" t="s">
        <v>121</v>
      </c>
      <c r="J686" s="28">
        <v>21697</v>
      </c>
      <c r="K686" s="27" t="s">
        <v>227</v>
      </c>
      <c r="N686" s="115" t="s">
        <v>1884</v>
      </c>
      <c r="O686" s="13" t="s">
        <v>2747</v>
      </c>
      <c r="P686" s="333">
        <v>44095</v>
      </c>
      <c r="V686" s="353" t="s">
        <v>2748</v>
      </c>
      <c r="W686" s="218" t="s">
        <v>2755</v>
      </c>
    </row>
    <row r="687" spans="1:242">
      <c r="A687">
        <v>672</v>
      </c>
      <c r="B687" s="328" t="s">
        <v>1947</v>
      </c>
      <c r="D687" s="28" t="s">
        <v>755</v>
      </c>
      <c r="E687" s="28" t="s">
        <v>756</v>
      </c>
      <c r="F687" s="28" t="s">
        <v>1947</v>
      </c>
      <c r="G687" s="27" t="s">
        <v>102</v>
      </c>
      <c r="I687" s="27" t="s">
        <v>121</v>
      </c>
      <c r="J687" s="28">
        <v>21480</v>
      </c>
      <c r="K687" s="27" t="s">
        <v>97</v>
      </c>
    </row>
    <row r="688" spans="1:242" ht="30">
      <c r="A688">
        <v>673</v>
      </c>
      <c r="C688" t="s">
        <v>567</v>
      </c>
      <c r="D688" s="28" t="s">
        <v>755</v>
      </c>
      <c r="E688" s="28" t="s">
        <v>756</v>
      </c>
      <c r="F688" s="28" t="s">
        <v>2444</v>
      </c>
      <c r="G688" s="27" t="s">
        <v>102</v>
      </c>
      <c r="I688" s="27" t="s">
        <v>226</v>
      </c>
      <c r="J688" s="28">
        <v>21590</v>
      </c>
      <c r="K688" s="27" t="s">
        <v>397</v>
      </c>
      <c r="N688" s="115" t="s">
        <v>1764</v>
      </c>
      <c r="O688" s="13" t="s">
        <v>2747</v>
      </c>
      <c r="P688" s="333">
        <v>43104</v>
      </c>
      <c r="Q688" s="115"/>
      <c r="R688" s="115"/>
      <c r="V688" s="353" t="s">
        <v>2748</v>
      </c>
      <c r="W688" s="218" t="s">
        <v>2756</v>
      </c>
    </row>
    <row r="689" spans="1:242" ht="30">
      <c r="A689">
        <v>674</v>
      </c>
      <c r="C689" t="s">
        <v>567</v>
      </c>
      <c r="D689" s="28" t="s">
        <v>1513</v>
      </c>
      <c r="E689" s="28" t="s">
        <v>841</v>
      </c>
      <c r="F689" s="28" t="s">
        <v>2444</v>
      </c>
      <c r="G689" s="27" t="s">
        <v>102</v>
      </c>
      <c r="I689" s="27" t="s">
        <v>121</v>
      </c>
      <c r="J689" s="28">
        <v>21697</v>
      </c>
      <c r="K689" s="27" t="s">
        <v>227</v>
      </c>
      <c r="N689" s="115" t="s">
        <v>1884</v>
      </c>
      <c r="O689" s="13" t="s">
        <v>2747</v>
      </c>
      <c r="P689" s="333">
        <v>44095</v>
      </c>
      <c r="V689" s="353" t="s">
        <v>2748</v>
      </c>
      <c r="W689" s="218" t="s">
        <v>2757</v>
      </c>
    </row>
    <row r="690" spans="1:242" ht="30">
      <c r="A690">
        <v>675</v>
      </c>
      <c r="B690" t="s">
        <v>468</v>
      </c>
      <c r="C690" s="121" t="s">
        <v>2758</v>
      </c>
      <c r="D690" s="28" t="s">
        <v>1514</v>
      </c>
      <c r="E690" s="28" t="s">
        <v>150</v>
      </c>
      <c r="F690" s="28" t="s">
        <v>2182</v>
      </c>
      <c r="G690" s="27" t="s">
        <v>102</v>
      </c>
      <c r="I690" s="27" t="s">
        <v>121</v>
      </c>
      <c r="J690" s="28">
        <v>21677</v>
      </c>
      <c r="K690" s="27" t="s">
        <v>228</v>
      </c>
      <c r="L690" s="121"/>
      <c r="M690" s="121"/>
      <c r="N690" s="115"/>
      <c r="O690" s="115"/>
      <c r="P690" s="115"/>
      <c r="Q690" s="115" t="s">
        <v>2759</v>
      </c>
      <c r="R690" s="115" t="s">
        <v>2760</v>
      </c>
      <c r="S690" s="121" t="s">
        <v>2761</v>
      </c>
      <c r="T690" s="121" t="s">
        <v>2762</v>
      </c>
      <c r="U690" s="326">
        <v>44652</v>
      </c>
      <c r="V690" s="353" t="s">
        <v>2748</v>
      </c>
      <c r="W690" s="218"/>
      <c r="X690" s="121"/>
      <c r="Y690" s="121"/>
      <c r="Z690" s="121"/>
      <c r="AA690" s="115" t="s">
        <v>2764</v>
      </c>
      <c r="AB690" s="121">
        <v>817</v>
      </c>
      <c r="AC690" s="121">
        <v>20</v>
      </c>
      <c r="AD690" s="203"/>
      <c r="AE690" s="219">
        <f>BA690</f>
        <v>17.658899999999999</v>
      </c>
      <c r="AF690" s="219"/>
      <c r="AG690" s="219">
        <f>EU690</f>
        <v>2.8326023391812867</v>
      </c>
      <c r="AH690" s="219">
        <f>DP690</f>
        <v>0</v>
      </c>
      <c r="AI690" s="219">
        <f>DO690</f>
        <v>0</v>
      </c>
      <c r="AJ690" s="219">
        <f>GW690</f>
        <v>5.6652046783625731E-2</v>
      </c>
      <c r="AK690" s="219">
        <f>GU690</f>
        <v>0.25614377923976606</v>
      </c>
      <c r="AL690" s="219">
        <f>GS690</f>
        <v>2.2540652573099411</v>
      </c>
      <c r="AM690" s="219">
        <f>HV690</f>
        <v>0.49100000000000005</v>
      </c>
      <c r="AN690" s="219">
        <f>IG690</f>
        <v>0.1</v>
      </c>
      <c r="AO690" s="220">
        <v>0</v>
      </c>
      <c r="AP690" s="220"/>
      <c r="AQ690" s="204">
        <f>SUM(AE690:AP690)</f>
        <v>23.649363422514618</v>
      </c>
      <c r="AR690" s="219"/>
      <c r="AS690" s="219"/>
      <c r="AT690" s="220"/>
      <c r="AU690" s="219"/>
      <c r="AV690" s="204">
        <f>SUM(AQ690:AU690)</f>
        <v>23.649363422514618</v>
      </c>
      <c r="AW690" s="122">
        <v>2.1700000000000001E-2</v>
      </c>
      <c r="AX690" s="122">
        <v>1.8200000000000001E-2</v>
      </c>
      <c r="AY690" s="210">
        <v>1</v>
      </c>
      <c r="AZ690" s="122">
        <f>AW690-AX690</f>
        <v>3.4999999999999996E-3</v>
      </c>
      <c r="BA690" s="202">
        <f>AW690*AB690-AZ690*AC690</f>
        <v>17.658899999999999</v>
      </c>
      <c r="BB690" s="202"/>
      <c r="BC690" s="202"/>
      <c r="BD690" s="202"/>
      <c r="BE690" s="202"/>
      <c r="BF690" s="202"/>
      <c r="BG690" s="202"/>
      <c r="BH690" s="202"/>
      <c r="BI690" s="202"/>
      <c r="BJ690" s="202"/>
      <c r="BK690" s="202"/>
      <c r="BL690" s="202"/>
      <c r="BM690" s="202"/>
      <c r="BN690" s="202"/>
      <c r="BO690" s="202"/>
      <c r="BP690" s="202"/>
      <c r="BQ690" s="202"/>
      <c r="BR690" s="202"/>
      <c r="BS690" s="202"/>
      <c r="BT690" s="202"/>
      <c r="BU690" s="202"/>
      <c r="BV690" s="202"/>
      <c r="BW690" s="202"/>
      <c r="BX690" s="202"/>
      <c r="BY690" s="202"/>
      <c r="BZ690" s="202"/>
      <c r="CA690" s="202"/>
      <c r="CB690" s="202"/>
      <c r="CC690" s="202"/>
      <c r="CD690" s="122"/>
      <c r="CE690" s="122">
        <v>0</v>
      </c>
      <c r="CF690" s="122">
        <v>0</v>
      </c>
      <c r="CG690" s="122">
        <v>0</v>
      </c>
      <c r="CH690" s="122">
        <v>0</v>
      </c>
      <c r="CI690" s="121"/>
      <c r="CJ690" s="121"/>
      <c r="CK690" s="122"/>
      <c r="CL690" s="122"/>
      <c r="CM690" s="122"/>
      <c r="CN690" s="122"/>
      <c r="CO690" s="122"/>
      <c r="CP690" s="122"/>
      <c r="CQ690" s="122"/>
      <c r="CR690" s="122"/>
      <c r="CS690" s="122"/>
      <c r="CT690" s="122"/>
      <c r="CU690" s="122"/>
      <c r="CV690" s="122"/>
      <c r="CW690" s="122"/>
      <c r="CX690" s="122"/>
      <c r="CY690" s="122"/>
      <c r="CZ690" s="122"/>
      <c r="DA690" s="122"/>
      <c r="DB690" s="122"/>
      <c r="DC690" s="122"/>
      <c r="DD690" s="122"/>
      <c r="DE690" s="122"/>
      <c r="DF690" s="122"/>
      <c r="DG690" s="122"/>
      <c r="DH690" s="122"/>
      <c r="DI690" s="122"/>
      <c r="DJ690" s="122"/>
      <c r="DK690" s="122"/>
      <c r="DL690" s="122"/>
      <c r="DM690" s="122">
        <v>0</v>
      </c>
      <c r="DN690" s="211">
        <v>1.2500000000000001E-2</v>
      </c>
      <c r="DO690" s="202">
        <f>DN690*CG690*CF690</f>
        <v>0</v>
      </c>
      <c r="DP690" s="122">
        <f>CG690*CF690</f>
        <v>0</v>
      </c>
      <c r="DQ690" s="122"/>
      <c r="DR690" s="122"/>
      <c r="DS690" s="122"/>
      <c r="DT690" s="122"/>
      <c r="DU690" s="122"/>
      <c r="DV690" s="122"/>
      <c r="DW690" s="122"/>
      <c r="DX690" s="122"/>
      <c r="DY690" s="122"/>
      <c r="DZ690" s="122"/>
      <c r="EA690" s="122"/>
      <c r="EB690" s="122"/>
      <c r="EC690" s="122"/>
      <c r="ED690" s="122"/>
      <c r="EE690" s="122"/>
      <c r="EF690" s="122">
        <v>250</v>
      </c>
      <c r="EG690" s="122">
        <v>2500</v>
      </c>
      <c r="EH690" s="122">
        <v>8</v>
      </c>
      <c r="EI690" s="210">
        <v>0.95</v>
      </c>
      <c r="EJ690" s="122">
        <v>2</v>
      </c>
      <c r="EK690" s="122">
        <v>62</v>
      </c>
      <c r="EL690" s="221">
        <f>(3600/EK690*EH690*EJ690*EI690)</f>
        <v>882.58064516129025</v>
      </c>
      <c r="EM690" s="122"/>
      <c r="EN690" s="122"/>
      <c r="EO690" s="122"/>
      <c r="EP690" s="122"/>
      <c r="EQ690" s="122"/>
      <c r="ER690" s="122"/>
      <c r="ES690" s="122"/>
      <c r="ET690" s="122"/>
      <c r="EU690" s="202">
        <f>EG690/EL690</f>
        <v>2.8326023391812867</v>
      </c>
      <c r="EV690" s="122"/>
      <c r="EW690" s="122"/>
      <c r="EX690" s="122"/>
      <c r="EY690" s="122"/>
      <c r="EZ690" s="122"/>
      <c r="FA690" s="122"/>
      <c r="FB690" s="122"/>
      <c r="FC690" s="122"/>
      <c r="FD690" s="122"/>
      <c r="FE690" s="122"/>
      <c r="FF690" s="122"/>
      <c r="FG690" s="122"/>
      <c r="FH690" s="122"/>
      <c r="FI690" s="122"/>
      <c r="FJ690" s="122"/>
      <c r="FK690" s="122"/>
      <c r="FL690" s="122"/>
      <c r="FM690" s="122"/>
      <c r="FN690" s="122"/>
      <c r="FO690" s="122"/>
      <c r="FP690" s="122"/>
      <c r="FQ690" s="122"/>
      <c r="FR690" s="122"/>
      <c r="FS690" s="122"/>
      <c r="FT690" s="122"/>
      <c r="FU690" s="122"/>
      <c r="FV690" s="122"/>
      <c r="FW690" s="122"/>
      <c r="FX690" s="122"/>
      <c r="FY690" s="122"/>
      <c r="FZ690" s="122"/>
      <c r="GA690" s="122"/>
      <c r="GB690" s="122"/>
      <c r="GC690" s="122"/>
      <c r="GD690" s="122"/>
      <c r="GE690" s="122"/>
      <c r="GF690" s="122"/>
      <c r="GG690" s="122"/>
      <c r="GH690" s="122"/>
      <c r="GI690" s="122"/>
      <c r="GJ690" s="122"/>
      <c r="GK690" s="122"/>
      <c r="GL690" s="122"/>
      <c r="GM690" s="122"/>
      <c r="GN690" s="122"/>
      <c r="GO690" s="122"/>
      <c r="GP690" s="122"/>
      <c r="GQ690" s="122"/>
      <c r="GR690" s="210">
        <v>0.11</v>
      </c>
      <c r="GS690" s="202">
        <f>GR690*(BA690+EU690)</f>
        <v>2.2540652573099411</v>
      </c>
      <c r="GT690" s="211">
        <v>1.2500000000000001E-2</v>
      </c>
      <c r="GU690" s="202">
        <f>GT690*(BA690+EU690)</f>
        <v>0.25614377923976606</v>
      </c>
      <c r="GV690" s="210">
        <v>0.02</v>
      </c>
      <c r="GW690" s="202">
        <f>GV690*EU690</f>
        <v>5.6652046783625731E-2</v>
      </c>
      <c r="GX690" s="202">
        <f>GS690+GU690+GW690</f>
        <v>2.5668610833333325</v>
      </c>
      <c r="GY690" s="202" t="s">
        <v>43</v>
      </c>
      <c r="GZ690" s="202" t="s">
        <v>87</v>
      </c>
      <c r="HA690" s="202">
        <v>650</v>
      </c>
      <c r="HB690" s="202">
        <v>450</v>
      </c>
      <c r="HC690" s="202">
        <v>300</v>
      </c>
      <c r="HD690" s="122">
        <v>100</v>
      </c>
      <c r="HE690" s="122">
        <v>400</v>
      </c>
      <c r="HF690" s="122">
        <f>ROUNDUP(HE690/HD690,0)</f>
        <v>4</v>
      </c>
      <c r="HG690" s="122">
        <v>5</v>
      </c>
      <c r="HH690" s="122">
        <f>HF690*HG690</f>
        <v>20</v>
      </c>
      <c r="HI690" s="122">
        <v>1100</v>
      </c>
      <c r="HJ690" s="122">
        <f>HH690*HI690</f>
        <v>22000</v>
      </c>
      <c r="HK690" s="122"/>
      <c r="HL690" s="122"/>
      <c r="HM690" s="122">
        <v>2</v>
      </c>
      <c r="HN690" s="122">
        <f>HM690*12*25*HE690</f>
        <v>240000</v>
      </c>
      <c r="HO690" s="202">
        <f>IF(GY690="carton box",HI690/HD690,HJ690/HN690)</f>
        <v>9.166666666666666E-2</v>
      </c>
      <c r="HP690" s="122">
        <v>160</v>
      </c>
      <c r="HQ690" s="122">
        <v>0</v>
      </c>
      <c r="HR690" s="203">
        <v>0.39933333333333337</v>
      </c>
      <c r="HS690" s="122">
        <v>1</v>
      </c>
      <c r="HT690" s="203">
        <f>HR690/HS690</f>
        <v>0.39933333333333337</v>
      </c>
      <c r="HU690" s="203"/>
      <c r="HV690" s="202">
        <f>HO690+HT690</f>
        <v>0.49100000000000005</v>
      </c>
      <c r="HW690" s="202"/>
      <c r="HX690" s="122">
        <v>5016</v>
      </c>
      <c r="HY690" s="122">
        <v>1976</v>
      </c>
      <c r="HZ690" s="122">
        <v>2280</v>
      </c>
      <c r="IA690" s="202">
        <f t="shared" ref="IA690:IC692" si="653">ROUNDDOWN(HX690/HA690,0)</f>
        <v>7</v>
      </c>
      <c r="IB690" s="202">
        <f t="shared" si="653"/>
        <v>4</v>
      </c>
      <c r="IC690" s="202">
        <f t="shared" si="653"/>
        <v>7</v>
      </c>
      <c r="ID690" s="210">
        <v>1</v>
      </c>
      <c r="IE690" s="202">
        <f>ROUND(PRODUCT(IA690:ID690),0)-146</f>
        <v>50</v>
      </c>
      <c r="IF690" s="202">
        <v>500</v>
      </c>
      <c r="IG690" s="202">
        <f>IF690/(IE690*HD690)</f>
        <v>0.1</v>
      </c>
      <c r="IH690" s="20"/>
    </row>
    <row r="691" spans="1:242" ht="30">
      <c r="A691">
        <v>676</v>
      </c>
      <c r="B691" t="s">
        <v>468</v>
      </c>
      <c r="C691" s="121" t="s">
        <v>2763</v>
      </c>
      <c r="D691" s="28" t="s">
        <v>1515</v>
      </c>
      <c r="E691" s="28" t="s">
        <v>152</v>
      </c>
      <c r="F691" s="28" t="s">
        <v>2182</v>
      </c>
      <c r="G691" s="27" t="s">
        <v>102</v>
      </c>
      <c r="I691" s="27" t="s">
        <v>121</v>
      </c>
      <c r="J691" s="28">
        <v>21677</v>
      </c>
      <c r="K691" s="27" t="s">
        <v>228</v>
      </c>
      <c r="L691" s="121"/>
      <c r="M691" s="121"/>
      <c r="N691" s="115"/>
      <c r="O691" s="115"/>
      <c r="P691" s="115"/>
      <c r="Q691" s="115" t="s">
        <v>2759</v>
      </c>
      <c r="R691" s="115" t="s">
        <v>2760</v>
      </c>
      <c r="S691" s="121" t="s">
        <v>2761</v>
      </c>
      <c r="T691" s="121" t="s">
        <v>2762</v>
      </c>
      <c r="U691" s="326">
        <v>44652</v>
      </c>
      <c r="V691" s="353" t="s">
        <v>2748</v>
      </c>
      <c r="W691" s="218"/>
      <c r="X691" s="121"/>
      <c r="Y691" s="121"/>
      <c r="Z691" s="121"/>
      <c r="AA691" s="115" t="s">
        <v>2765</v>
      </c>
      <c r="AB691" s="121">
        <v>817</v>
      </c>
      <c r="AC691" s="121">
        <v>20</v>
      </c>
      <c r="AD691" s="122" t="s">
        <v>596</v>
      </c>
      <c r="AE691" s="219">
        <f>BA691</f>
        <v>13.073700000000001</v>
      </c>
      <c r="AF691" s="219"/>
      <c r="AG691" s="219">
        <f>EU691</f>
        <v>2.7412280701754388</v>
      </c>
      <c r="AH691" s="219">
        <f>DP691</f>
        <v>0</v>
      </c>
      <c r="AI691" s="219">
        <f>DO691</f>
        <v>0</v>
      </c>
      <c r="AJ691" s="219">
        <f>GW691</f>
        <v>5.4824561403508776E-2</v>
      </c>
      <c r="AK691" s="219">
        <f>GU691</f>
        <v>0.197686600877193</v>
      </c>
      <c r="AL691" s="219">
        <f>GS691</f>
        <v>1.7396420877192982</v>
      </c>
      <c r="AM691" s="219">
        <f>HV691</f>
        <v>0.35800000000000004</v>
      </c>
      <c r="AN691" s="219">
        <f>IG691</f>
        <v>0.1</v>
      </c>
      <c r="AO691" s="220">
        <v>0</v>
      </c>
      <c r="AP691" s="220"/>
      <c r="AQ691" s="204">
        <f>SUM(AE691:AP691)</f>
        <v>18.26508132017544</v>
      </c>
      <c r="AR691" s="219"/>
      <c r="AS691" s="219"/>
      <c r="AT691" s="220"/>
      <c r="AU691" s="219"/>
      <c r="AV691" s="204">
        <f>SUM(AQ691:AU691)</f>
        <v>18.26508132017544</v>
      </c>
      <c r="AW691" s="230">
        <v>1.61E-2</v>
      </c>
      <c r="AX691" s="230">
        <v>1.21E-2</v>
      </c>
      <c r="AY691" s="210">
        <v>1</v>
      </c>
      <c r="AZ691" s="122">
        <f>AW691-AX691</f>
        <v>4.0000000000000001E-3</v>
      </c>
      <c r="BA691" s="202">
        <f>AW691*AB691-AZ691*AC691</f>
        <v>13.073700000000001</v>
      </c>
      <c r="BB691" s="202"/>
      <c r="BC691" s="202"/>
      <c r="BD691" s="202"/>
      <c r="BE691" s="202"/>
      <c r="BF691" s="202"/>
      <c r="BG691" s="202"/>
      <c r="BH691" s="202"/>
      <c r="BI691" s="202"/>
      <c r="BJ691" s="202"/>
      <c r="BK691" s="202"/>
      <c r="BL691" s="202"/>
      <c r="BM691" s="202"/>
      <c r="BN691" s="202"/>
      <c r="BO691" s="202"/>
      <c r="BP691" s="202"/>
      <c r="BQ691" s="202"/>
      <c r="BR691" s="202"/>
      <c r="BS691" s="202"/>
      <c r="BT691" s="202"/>
      <c r="BU691" s="202"/>
      <c r="BV691" s="202"/>
      <c r="BW691" s="202"/>
      <c r="BX691" s="202"/>
      <c r="BY691" s="202"/>
      <c r="BZ691" s="202"/>
      <c r="CA691" s="202"/>
      <c r="CB691" s="202"/>
      <c r="CC691" s="202"/>
      <c r="CD691" s="122"/>
      <c r="CE691" s="122">
        <v>0</v>
      </c>
      <c r="CF691" s="122">
        <v>0</v>
      </c>
      <c r="CG691" s="122">
        <v>0</v>
      </c>
      <c r="CH691" s="122">
        <v>0</v>
      </c>
      <c r="CI691" s="121"/>
      <c r="CJ691" s="121"/>
      <c r="CK691" s="122"/>
      <c r="CL691" s="122"/>
      <c r="CM691" s="122"/>
      <c r="CN691" s="122"/>
      <c r="CO691" s="122"/>
      <c r="CP691" s="122"/>
      <c r="CQ691" s="122"/>
      <c r="CR691" s="122"/>
      <c r="CS691" s="122"/>
      <c r="CT691" s="122"/>
      <c r="CU691" s="122"/>
      <c r="CV691" s="122"/>
      <c r="CW691" s="122"/>
      <c r="CX691" s="122"/>
      <c r="CY691" s="122"/>
      <c r="CZ691" s="122"/>
      <c r="DA691" s="122"/>
      <c r="DB691" s="122"/>
      <c r="DC691" s="122"/>
      <c r="DD691" s="122"/>
      <c r="DE691" s="122"/>
      <c r="DF691" s="122"/>
      <c r="DG691" s="122"/>
      <c r="DH691" s="122"/>
      <c r="DI691" s="122"/>
      <c r="DJ691" s="122"/>
      <c r="DK691" s="122"/>
      <c r="DL691" s="122"/>
      <c r="DM691" s="122">
        <v>0</v>
      </c>
      <c r="DN691" s="211">
        <v>1.2500000000000001E-2</v>
      </c>
      <c r="DO691" s="202">
        <f>DN691*CG691*CF691</f>
        <v>0</v>
      </c>
      <c r="DP691" s="122">
        <f>CG691*CF691</f>
        <v>0</v>
      </c>
      <c r="DQ691" s="122"/>
      <c r="DR691" s="122"/>
      <c r="DS691" s="122"/>
      <c r="DT691" s="122"/>
      <c r="DU691" s="122"/>
      <c r="DV691" s="122"/>
      <c r="DW691" s="122"/>
      <c r="DX691" s="122"/>
      <c r="DY691" s="122"/>
      <c r="DZ691" s="122"/>
      <c r="EA691" s="122"/>
      <c r="EB691" s="122"/>
      <c r="EC691" s="122"/>
      <c r="ED691" s="122"/>
      <c r="EE691" s="122"/>
      <c r="EF691" s="122">
        <v>250</v>
      </c>
      <c r="EG691" s="122">
        <v>2500</v>
      </c>
      <c r="EH691" s="122">
        <v>8</v>
      </c>
      <c r="EI691" s="210">
        <v>0.95</v>
      </c>
      <c r="EJ691" s="122">
        <v>2</v>
      </c>
      <c r="EK691" s="122">
        <v>60</v>
      </c>
      <c r="EL691" s="221">
        <f>(3600/EK691*EH691*EJ691*EI691)</f>
        <v>912</v>
      </c>
      <c r="EM691" s="122"/>
      <c r="EN691" s="122"/>
      <c r="EO691" s="122"/>
      <c r="EP691" s="122"/>
      <c r="EQ691" s="122"/>
      <c r="ER691" s="122"/>
      <c r="ES691" s="122"/>
      <c r="ET691" s="122"/>
      <c r="EU691" s="202">
        <f>EG691/EL691</f>
        <v>2.7412280701754388</v>
      </c>
      <c r="EV691" s="122"/>
      <c r="EW691" s="122"/>
      <c r="EX691" s="122"/>
      <c r="EY691" s="122"/>
      <c r="EZ691" s="122"/>
      <c r="FA691" s="122"/>
      <c r="FB691" s="122"/>
      <c r="FC691" s="122"/>
      <c r="FD691" s="122"/>
      <c r="FE691" s="122"/>
      <c r="FF691" s="122"/>
      <c r="FG691" s="122"/>
      <c r="FH691" s="122"/>
      <c r="FI691" s="122"/>
      <c r="FJ691" s="122"/>
      <c r="FK691" s="122"/>
      <c r="FL691" s="122"/>
      <c r="FM691" s="122"/>
      <c r="FN691" s="122"/>
      <c r="FO691" s="122"/>
      <c r="FP691" s="122"/>
      <c r="FQ691" s="122"/>
      <c r="FR691" s="122"/>
      <c r="FS691" s="122"/>
      <c r="FT691" s="122"/>
      <c r="FU691" s="122"/>
      <c r="FV691" s="122"/>
      <c r="FW691" s="122"/>
      <c r="FX691" s="122"/>
      <c r="FY691" s="122"/>
      <c r="FZ691" s="122"/>
      <c r="GA691" s="122"/>
      <c r="GB691" s="122"/>
      <c r="GC691" s="122"/>
      <c r="GD691" s="122"/>
      <c r="GE691" s="122"/>
      <c r="GF691" s="122"/>
      <c r="GG691" s="122"/>
      <c r="GH691" s="122"/>
      <c r="GI691" s="122"/>
      <c r="GJ691" s="122"/>
      <c r="GK691" s="122"/>
      <c r="GL691" s="122"/>
      <c r="GM691" s="122"/>
      <c r="GN691" s="122"/>
      <c r="GO691" s="122"/>
      <c r="GP691" s="122"/>
      <c r="GQ691" s="122"/>
      <c r="GR691" s="210">
        <v>0.11</v>
      </c>
      <c r="GS691" s="202">
        <f>GR691*(BA691+EU691)</f>
        <v>1.7396420877192982</v>
      </c>
      <c r="GT691" s="211">
        <v>1.2500000000000001E-2</v>
      </c>
      <c r="GU691" s="202">
        <f>GT691*(BA691+EU691)</f>
        <v>0.197686600877193</v>
      </c>
      <c r="GV691" s="210">
        <v>0.02</v>
      </c>
      <c r="GW691" s="202">
        <f>GV691*EU691</f>
        <v>5.4824561403508776E-2</v>
      </c>
      <c r="GX691" s="202">
        <f>GS691+GU691+GW691</f>
        <v>1.9921532499999999</v>
      </c>
      <c r="GY691" s="122" t="s">
        <v>43</v>
      </c>
      <c r="GZ691" s="122" t="s">
        <v>87</v>
      </c>
      <c r="HA691" s="122">
        <v>650</v>
      </c>
      <c r="HB691" s="122">
        <v>450</v>
      </c>
      <c r="HC691" s="122">
        <v>300</v>
      </c>
      <c r="HD691" s="122">
        <v>100</v>
      </c>
      <c r="HE691" s="122">
        <v>400</v>
      </c>
      <c r="HF691" s="122">
        <f>ROUNDUP(HE691/HD691,0)</f>
        <v>4</v>
      </c>
      <c r="HG691" s="122">
        <v>5</v>
      </c>
      <c r="HH691" s="122">
        <f>HF691*HG691</f>
        <v>20</v>
      </c>
      <c r="HI691" s="122">
        <v>1100</v>
      </c>
      <c r="HJ691" s="122">
        <f>HH691*HI691</f>
        <v>22000</v>
      </c>
      <c r="HK691" s="122"/>
      <c r="HL691" s="122"/>
      <c r="HM691" s="122">
        <v>2</v>
      </c>
      <c r="HN691" s="122">
        <f>HM691*12*25*HE691</f>
        <v>240000</v>
      </c>
      <c r="HO691" s="202">
        <f>IF(GY691="carton box",HI691/HD691,HJ691/HN691)</f>
        <v>9.166666666666666E-2</v>
      </c>
      <c r="HP691" s="122">
        <v>160</v>
      </c>
      <c r="HQ691" s="122">
        <v>0</v>
      </c>
      <c r="HR691" s="202">
        <v>0.26633333333333337</v>
      </c>
      <c r="HS691" s="122">
        <v>1</v>
      </c>
      <c r="HT691" s="202">
        <v>0.26633333333333337</v>
      </c>
      <c r="HU691" s="202"/>
      <c r="HV691" s="202">
        <f>HO691+HT691</f>
        <v>0.35800000000000004</v>
      </c>
      <c r="HW691" s="202"/>
      <c r="HX691" s="122">
        <v>5016</v>
      </c>
      <c r="HY691" s="122">
        <v>1976</v>
      </c>
      <c r="HZ691" s="122">
        <v>2280</v>
      </c>
      <c r="IA691" s="202">
        <f t="shared" si="653"/>
        <v>7</v>
      </c>
      <c r="IB691" s="202">
        <f t="shared" si="653"/>
        <v>4</v>
      </c>
      <c r="IC691" s="202">
        <f t="shared" si="653"/>
        <v>7</v>
      </c>
      <c r="ID691" s="210">
        <v>1</v>
      </c>
      <c r="IE691" s="202">
        <f>ROUND(PRODUCT(IA691:ID691),0)-146</f>
        <v>50</v>
      </c>
      <c r="IF691" s="202">
        <v>500</v>
      </c>
      <c r="IG691" s="202">
        <f>IF691/(IE691*HD691)</f>
        <v>0.1</v>
      </c>
      <c r="IH691" s="20"/>
    </row>
    <row r="692" spans="1:242" ht="30">
      <c r="A692">
        <v>677</v>
      </c>
      <c r="B692" t="s">
        <v>468</v>
      </c>
      <c r="C692" s="121" t="s">
        <v>2769</v>
      </c>
      <c r="D692" s="28" t="s">
        <v>1515</v>
      </c>
      <c r="E692" s="28" t="s">
        <v>152</v>
      </c>
      <c r="F692" s="28" t="s">
        <v>2182</v>
      </c>
      <c r="G692" s="27" t="s">
        <v>102</v>
      </c>
      <c r="I692" s="27" t="s">
        <v>226</v>
      </c>
      <c r="J692" s="28">
        <v>29164</v>
      </c>
      <c r="K692" s="27" t="s">
        <v>229</v>
      </c>
      <c r="L692" s="121"/>
      <c r="M692" s="121"/>
      <c r="N692" s="114"/>
      <c r="O692" s="121"/>
      <c r="P692" s="121"/>
      <c r="Q692" s="121" t="s">
        <v>2766</v>
      </c>
      <c r="R692" s="121" t="s">
        <v>2760</v>
      </c>
      <c r="S692" s="121" t="s">
        <v>2767</v>
      </c>
      <c r="T692" s="121" t="s">
        <v>2762</v>
      </c>
      <c r="U692" s="326">
        <v>45017</v>
      </c>
      <c r="V692" s="353" t="s">
        <v>2748</v>
      </c>
      <c r="W692" s="218"/>
      <c r="X692" s="121"/>
      <c r="Y692" s="121"/>
      <c r="Z692" s="121"/>
      <c r="AA692" s="115" t="s">
        <v>2768</v>
      </c>
      <c r="AB692" s="121">
        <v>955</v>
      </c>
      <c r="AC692" s="121">
        <v>20</v>
      </c>
      <c r="AD692" s="121"/>
      <c r="AE692" s="219">
        <f>BA692</f>
        <v>16.155000000000001</v>
      </c>
      <c r="AF692" s="219"/>
      <c r="AG692" s="219">
        <f>EU692</f>
        <v>1.1403508771929827</v>
      </c>
      <c r="AH692" s="219">
        <f>DP692</f>
        <v>0</v>
      </c>
      <c r="AI692" s="219">
        <f>DO692</f>
        <v>0</v>
      </c>
      <c r="AJ692" s="219">
        <f>GW692</f>
        <v>2.2807017543859654E-2</v>
      </c>
      <c r="AK692" s="219">
        <f>GU692</f>
        <v>0.21619188596491232</v>
      </c>
      <c r="AL692" s="219">
        <f>GS692</f>
        <v>1.9024885964912281</v>
      </c>
      <c r="AM692" s="219">
        <f>HV692</f>
        <v>0.15916666666666665</v>
      </c>
      <c r="AN692" s="219">
        <f>IG692</f>
        <v>1.1574074074074073E-2</v>
      </c>
      <c r="AO692" s="220">
        <v>0</v>
      </c>
      <c r="AP692" s="220"/>
      <c r="AQ692" s="204">
        <f>SUM(AE692:AP692)</f>
        <v>19.607579117933721</v>
      </c>
      <c r="AR692" s="219"/>
      <c r="AS692" s="219"/>
      <c r="AT692" s="220"/>
      <c r="AU692" s="219"/>
      <c r="AV692" s="204">
        <f>SUM(AQ692:AU692)</f>
        <v>19.607579117933721</v>
      </c>
      <c r="AW692" s="122">
        <v>1.7000000000000001E-2</v>
      </c>
      <c r="AX692" s="122">
        <v>1.2999999999999999E-2</v>
      </c>
      <c r="AY692" s="210">
        <v>1</v>
      </c>
      <c r="AZ692" s="122">
        <f>AW692-AX692</f>
        <v>4.0000000000000018E-3</v>
      </c>
      <c r="BA692" s="202">
        <f>AW692*AB692-AZ692*AC692</f>
        <v>16.155000000000001</v>
      </c>
      <c r="BB692" s="202"/>
      <c r="BC692" s="202"/>
      <c r="BD692" s="202"/>
      <c r="BE692" s="202"/>
      <c r="BF692" s="202"/>
      <c r="BG692" s="202"/>
      <c r="BH692" s="202"/>
      <c r="BI692" s="202"/>
      <c r="BJ692" s="202"/>
      <c r="BK692" s="202"/>
      <c r="BL692" s="202"/>
      <c r="BM692" s="202"/>
      <c r="BN692" s="202"/>
      <c r="BO692" s="202"/>
      <c r="BP692" s="202"/>
      <c r="BQ692" s="202"/>
      <c r="BR692" s="202"/>
      <c r="BS692" s="202"/>
      <c r="BT692" s="202"/>
      <c r="BU692" s="202"/>
      <c r="BV692" s="202"/>
      <c r="BW692" s="202"/>
      <c r="BX692" s="202"/>
      <c r="BY692" s="202"/>
      <c r="BZ692" s="202"/>
      <c r="CA692" s="202"/>
      <c r="CB692" s="202"/>
      <c r="CC692" s="202"/>
      <c r="CD692" s="122"/>
      <c r="CE692" s="122">
        <v>0</v>
      </c>
      <c r="CF692" s="122">
        <v>0</v>
      </c>
      <c r="CG692" s="122">
        <v>0</v>
      </c>
      <c r="CH692" s="122">
        <v>0</v>
      </c>
      <c r="CI692" s="121"/>
      <c r="CJ692" s="121"/>
      <c r="CK692" s="122"/>
      <c r="CL692" s="122"/>
      <c r="CM692" s="122"/>
      <c r="CN692" s="122"/>
      <c r="CO692" s="122"/>
      <c r="CP692" s="122"/>
      <c r="CQ692" s="122"/>
      <c r="CR692" s="122"/>
      <c r="CS692" s="122"/>
      <c r="CT692" s="122"/>
      <c r="CU692" s="122"/>
      <c r="CV692" s="122"/>
      <c r="CW692" s="122"/>
      <c r="CX692" s="122"/>
      <c r="CY692" s="122"/>
      <c r="CZ692" s="122"/>
      <c r="DA692" s="122"/>
      <c r="DB692" s="122"/>
      <c r="DC692" s="122"/>
      <c r="DD692" s="122"/>
      <c r="DE692" s="122"/>
      <c r="DF692" s="122"/>
      <c r="DG692" s="122"/>
      <c r="DH692" s="122"/>
      <c r="DI692" s="122"/>
      <c r="DJ692" s="122"/>
      <c r="DK692" s="122"/>
      <c r="DL692" s="122"/>
      <c r="DM692" s="122">
        <v>0</v>
      </c>
      <c r="DN692" s="211">
        <v>1.2500000000000001E-2</v>
      </c>
      <c r="DO692" s="202">
        <f>DN692*CG692*CF692</f>
        <v>0</v>
      </c>
      <c r="DP692" s="122">
        <f>CG692*CF692</f>
        <v>0</v>
      </c>
      <c r="DQ692" s="122"/>
      <c r="DR692" s="122"/>
      <c r="DS692" s="122"/>
      <c r="DT692" s="122"/>
      <c r="DU692" s="122"/>
      <c r="DV692" s="122"/>
      <c r="DW692" s="122"/>
      <c r="DX692" s="122"/>
      <c r="DY692" s="122"/>
      <c r="DZ692" s="122"/>
      <c r="EA692" s="122"/>
      <c r="EB692" s="122"/>
      <c r="EC692" s="122"/>
      <c r="ED692" s="122"/>
      <c r="EE692" s="122"/>
      <c r="EF692" s="122">
        <v>120</v>
      </c>
      <c r="EG692" s="122">
        <v>1200</v>
      </c>
      <c r="EH692" s="122">
        <v>8</v>
      </c>
      <c r="EI692" s="329">
        <v>0.95</v>
      </c>
      <c r="EJ692" s="122">
        <v>2</v>
      </c>
      <c r="EK692" s="122">
        <v>52</v>
      </c>
      <c r="EL692" s="221">
        <f>(3600/EK692*EH692*EJ692*EI692)</f>
        <v>1052.3076923076922</v>
      </c>
      <c r="EM692" s="122"/>
      <c r="EN692" s="122"/>
      <c r="EO692" s="122"/>
      <c r="EP692" s="122"/>
      <c r="EQ692" s="122"/>
      <c r="ER692" s="122"/>
      <c r="ES692" s="122"/>
      <c r="ET692" s="122"/>
      <c r="EU692" s="202">
        <f>EG692/EL692</f>
        <v>1.1403508771929827</v>
      </c>
      <c r="EV692" s="122"/>
      <c r="EW692" s="122"/>
      <c r="EX692" s="122"/>
      <c r="EY692" s="122"/>
      <c r="EZ692" s="122"/>
      <c r="FA692" s="122"/>
      <c r="FB692" s="122"/>
      <c r="FC692" s="122"/>
      <c r="FD692" s="122"/>
      <c r="FE692" s="122"/>
      <c r="FF692" s="122"/>
      <c r="FG692" s="122"/>
      <c r="FH692" s="122"/>
      <c r="FI692" s="122"/>
      <c r="FJ692" s="122"/>
      <c r="FK692" s="122"/>
      <c r="FL692" s="122"/>
      <c r="FM692" s="122"/>
      <c r="FN692" s="122"/>
      <c r="FO692" s="122"/>
      <c r="FP692" s="122"/>
      <c r="FQ692" s="122"/>
      <c r="FR692" s="122"/>
      <c r="FS692" s="122"/>
      <c r="FT692" s="122"/>
      <c r="FU692" s="122"/>
      <c r="FV692" s="122"/>
      <c r="FW692" s="122"/>
      <c r="FX692" s="122"/>
      <c r="FY692" s="122"/>
      <c r="FZ692" s="122"/>
      <c r="GA692" s="122"/>
      <c r="GB692" s="122"/>
      <c r="GC692" s="122"/>
      <c r="GD692" s="122"/>
      <c r="GE692" s="122"/>
      <c r="GF692" s="122"/>
      <c r="GG692" s="122"/>
      <c r="GH692" s="122"/>
      <c r="GI692" s="122"/>
      <c r="GJ692" s="122"/>
      <c r="GK692" s="122"/>
      <c r="GL692" s="122"/>
      <c r="GM692" s="122"/>
      <c r="GN692" s="122"/>
      <c r="GO692" s="122"/>
      <c r="GP692" s="122"/>
      <c r="GQ692" s="122"/>
      <c r="GR692" s="210">
        <v>0.11</v>
      </c>
      <c r="GS692" s="202">
        <f>GR692*(BA692+EU692)</f>
        <v>1.9024885964912281</v>
      </c>
      <c r="GT692" s="211">
        <v>1.2500000000000001E-2</v>
      </c>
      <c r="GU692" s="202">
        <f>GT692*(BA692+EU692)</f>
        <v>0.21619188596491232</v>
      </c>
      <c r="GV692" s="210">
        <v>0.02</v>
      </c>
      <c r="GW692" s="202">
        <f>GV692*EU692</f>
        <v>2.2807017543859654E-2</v>
      </c>
      <c r="GX692" s="202">
        <f>GS692+GU692+GW692</f>
        <v>2.1414874999999998</v>
      </c>
      <c r="GY692" s="122" t="s">
        <v>43</v>
      </c>
      <c r="GZ692" s="122" t="s">
        <v>87</v>
      </c>
      <c r="HA692" s="122">
        <v>650</v>
      </c>
      <c r="HB692" s="122">
        <v>450</v>
      </c>
      <c r="HC692" s="122">
        <v>315</v>
      </c>
      <c r="HD692" s="122">
        <v>300</v>
      </c>
      <c r="HE692" s="122">
        <v>600</v>
      </c>
      <c r="HF692" s="122">
        <f>ROUNDUP(HE692/HD692,0)</f>
        <v>2</v>
      </c>
      <c r="HG692" s="330">
        <v>3</v>
      </c>
      <c r="HH692" s="122">
        <f>HF692*HG692</f>
        <v>6</v>
      </c>
      <c r="HI692" s="122">
        <v>550</v>
      </c>
      <c r="HJ692" s="122">
        <f>HH692*HI692</f>
        <v>3300</v>
      </c>
      <c r="HK692" s="122"/>
      <c r="HL692" s="122"/>
      <c r="HM692" s="122">
        <v>2</v>
      </c>
      <c r="HN692" s="122">
        <f>HM692*12*25*HE692</f>
        <v>360000</v>
      </c>
      <c r="HO692" s="202">
        <f>IF(GY692="carton box",HI692/HD692,HJ692/HN692)</f>
        <v>9.1666666666666667E-3</v>
      </c>
      <c r="HP692" s="122">
        <v>160</v>
      </c>
      <c r="HQ692" s="122">
        <v>0</v>
      </c>
      <c r="HR692" s="122">
        <v>0.15</v>
      </c>
      <c r="HS692" s="122">
        <v>1</v>
      </c>
      <c r="HT692" s="203">
        <f>HR692/HS692</f>
        <v>0.15</v>
      </c>
      <c r="HU692" s="203"/>
      <c r="HV692" s="202">
        <f>HO692+HT692</f>
        <v>0.15916666666666665</v>
      </c>
      <c r="HW692" s="202"/>
      <c r="HX692" s="122">
        <v>4200</v>
      </c>
      <c r="HY692" s="122">
        <v>1900</v>
      </c>
      <c r="HZ692" s="122">
        <v>1975</v>
      </c>
      <c r="IA692" s="202">
        <f t="shared" si="653"/>
        <v>6</v>
      </c>
      <c r="IB692" s="202">
        <f t="shared" si="653"/>
        <v>4</v>
      </c>
      <c r="IC692" s="202">
        <f t="shared" si="653"/>
        <v>6</v>
      </c>
      <c r="ID692" s="210">
        <v>1</v>
      </c>
      <c r="IE692" s="203">
        <f>(PRODUCT(IA692:ID692))</f>
        <v>144</v>
      </c>
      <c r="IF692" s="122">
        <v>500</v>
      </c>
      <c r="IG692" s="202">
        <f>IF692/(IE692*HD692)</f>
        <v>1.1574074074074073E-2</v>
      </c>
      <c r="IH692" s="20"/>
    </row>
    <row r="693" spans="1:242" ht="30">
      <c r="A693">
        <v>678</v>
      </c>
      <c r="C693" s="66" t="s">
        <v>567</v>
      </c>
      <c r="D693" s="28" t="s">
        <v>1515</v>
      </c>
      <c r="E693" s="28" t="s">
        <v>152</v>
      </c>
      <c r="F693" s="28" t="s">
        <v>2444</v>
      </c>
      <c r="G693" s="27" t="s">
        <v>102</v>
      </c>
      <c r="I693" s="27" t="s">
        <v>226</v>
      </c>
      <c r="J693" s="28">
        <v>21691</v>
      </c>
      <c r="K693" s="27" t="s">
        <v>404</v>
      </c>
      <c r="N693" s="13" t="s">
        <v>2770</v>
      </c>
      <c r="O693" s="13" t="s">
        <v>2771</v>
      </c>
      <c r="P693" s="332">
        <v>45274</v>
      </c>
      <c r="V693" s="353" t="s">
        <v>2748</v>
      </c>
      <c r="W693" s="53" t="s">
        <v>2772</v>
      </c>
    </row>
    <row r="694" spans="1:242">
      <c r="A694">
        <v>679</v>
      </c>
      <c r="B694" s="301" t="s">
        <v>1947</v>
      </c>
      <c r="D694" s="28" t="s">
        <v>757</v>
      </c>
      <c r="E694" s="28" t="s">
        <v>759</v>
      </c>
      <c r="F694" s="28" t="s">
        <v>1947</v>
      </c>
      <c r="G694" s="27" t="s">
        <v>102</v>
      </c>
      <c r="I694" s="27" t="s">
        <v>226</v>
      </c>
      <c r="J694" s="28">
        <v>21480</v>
      </c>
      <c r="K694" s="27" t="s">
        <v>97</v>
      </c>
    </row>
    <row r="695" spans="1:242" ht="30">
      <c r="A695">
        <v>680</v>
      </c>
      <c r="B695" t="s">
        <v>468</v>
      </c>
      <c r="C695" s="335" t="s">
        <v>1191</v>
      </c>
      <c r="D695" s="28" t="s">
        <v>757</v>
      </c>
      <c r="E695" s="28" t="s">
        <v>759</v>
      </c>
      <c r="F695" s="28" t="s">
        <v>2182</v>
      </c>
      <c r="G695" s="27" t="s">
        <v>102</v>
      </c>
      <c r="I695" s="27" t="s">
        <v>226</v>
      </c>
      <c r="J695" s="28">
        <v>21691</v>
      </c>
      <c r="K695" s="27" t="s">
        <v>404</v>
      </c>
      <c r="L695" s="137"/>
      <c r="M695" s="137"/>
      <c r="N695" s="105"/>
      <c r="O695" s="137"/>
      <c r="P695" s="137"/>
      <c r="Q695" s="115" t="s">
        <v>2773</v>
      </c>
      <c r="R695" s="121" t="s">
        <v>1836</v>
      </c>
      <c r="S695" s="137" t="s">
        <v>2774</v>
      </c>
      <c r="T695" s="137" t="s">
        <v>2762</v>
      </c>
      <c r="U695" s="137"/>
      <c r="V695" s="354" t="s">
        <v>2748</v>
      </c>
      <c r="W695" s="140" t="s">
        <v>2775</v>
      </c>
      <c r="X695" s="137"/>
      <c r="Y695" s="137"/>
      <c r="Z695" s="137"/>
      <c r="AA695" s="139" t="s">
        <v>2776</v>
      </c>
      <c r="AB695" s="137">
        <v>134.28</v>
      </c>
      <c r="AC695" s="137">
        <v>20</v>
      </c>
      <c r="AD695" s="137" t="s">
        <v>310</v>
      </c>
      <c r="AE695" s="204">
        <f>BA695</f>
        <v>6.0568799999999996</v>
      </c>
      <c r="AF695" s="204"/>
      <c r="AG695" s="204">
        <f>EU695+EX695</f>
        <v>2.8451439055154224</v>
      </c>
      <c r="AH695" s="204">
        <f>DP695</f>
        <v>7.08</v>
      </c>
      <c r="AI695" s="204">
        <f>DO695</f>
        <v>8.8500000000000009E-2</v>
      </c>
      <c r="AJ695" s="204">
        <f>GW695</f>
        <v>3.9473684210526314E-2</v>
      </c>
      <c r="AK695" s="204">
        <f>GU695</f>
        <v>0.10038205263157894</v>
      </c>
      <c r="AL695" s="204">
        <f>GS695</f>
        <v>0.88336206315789456</v>
      </c>
      <c r="AM695" s="204">
        <f>HV695</f>
        <v>1.3634259259259258</v>
      </c>
      <c r="AN695" s="204">
        <f>IG695</f>
        <v>8.3333333333333329E-2</v>
      </c>
      <c r="AO695" s="205">
        <v>0</v>
      </c>
      <c r="AP695" s="204">
        <f>EZ695</f>
        <v>3.5258222222222222</v>
      </c>
      <c r="AQ695" s="204">
        <f>SUM(AE695:AP695)</f>
        <v>22.066323186996904</v>
      </c>
      <c r="AR695" s="204"/>
      <c r="AS695" s="204"/>
      <c r="AT695" s="205"/>
      <c r="AU695" s="204">
        <f>22.33-22.07</f>
        <v>0.25999999999999801</v>
      </c>
      <c r="AV695" s="204">
        <f>SUM(AQ695:AU695)</f>
        <v>22.326323186996902</v>
      </c>
      <c r="AW695" s="103">
        <v>4.5999999999999999E-2</v>
      </c>
      <c r="AX695" s="103">
        <v>0.04</v>
      </c>
      <c r="AY695" s="207">
        <v>1</v>
      </c>
      <c r="AZ695" s="103">
        <f>AW695-AX695</f>
        <v>5.9999999999999984E-3</v>
      </c>
      <c r="BA695" s="203">
        <f>AW695*AB695-AZ695*AC695</f>
        <v>6.0568799999999996</v>
      </c>
      <c r="BB695" s="203"/>
      <c r="BC695" s="203"/>
      <c r="BD695" s="203"/>
      <c r="BE695" s="203"/>
      <c r="BF695" s="203"/>
      <c r="BG695" s="203"/>
      <c r="BH695" s="203"/>
      <c r="BI695" s="203"/>
      <c r="BJ695" s="203"/>
      <c r="BK695" s="203"/>
      <c r="BL695" s="203"/>
      <c r="BM695" s="203"/>
      <c r="BN695" s="203"/>
      <c r="BO695" s="203"/>
      <c r="BP695" s="203"/>
      <c r="BQ695" s="203"/>
      <c r="BR695" s="203"/>
      <c r="BS695" s="203"/>
      <c r="BT695" s="203"/>
      <c r="BU695" s="203"/>
      <c r="BV695" s="203"/>
      <c r="BW695" s="203"/>
      <c r="BX695" s="203"/>
      <c r="BY695" s="203"/>
      <c r="BZ695" s="203"/>
      <c r="CA695" s="203"/>
      <c r="CB695" s="203"/>
      <c r="CC695" s="203"/>
      <c r="CD695" s="103"/>
      <c r="CE695" s="103">
        <v>0</v>
      </c>
      <c r="CF695" s="103">
        <v>1</v>
      </c>
      <c r="CG695" s="103">
        <f>6.88+0.2/1</f>
        <v>7.08</v>
      </c>
      <c r="CH695" s="103">
        <f>CG695*CF695</f>
        <v>7.08</v>
      </c>
      <c r="CI695" s="137"/>
      <c r="CJ695" s="137"/>
      <c r="CK695" s="103"/>
      <c r="CL695" s="103"/>
      <c r="CM695" s="103"/>
      <c r="CN695" s="103"/>
      <c r="CO695" s="103"/>
      <c r="CP695" s="103"/>
      <c r="CQ695" s="103"/>
      <c r="CR695" s="103"/>
      <c r="CS695" s="103"/>
      <c r="CT695" s="103"/>
      <c r="CU695" s="103"/>
      <c r="CV695" s="103"/>
      <c r="CW695" s="103"/>
      <c r="CX695" s="103"/>
      <c r="CY695" s="103"/>
      <c r="CZ695" s="103"/>
      <c r="DA695" s="103"/>
      <c r="DB695" s="103"/>
      <c r="DC695" s="103"/>
      <c r="DD695" s="103"/>
      <c r="DE695" s="103"/>
      <c r="DF695" s="103"/>
      <c r="DG695" s="103"/>
      <c r="DH695" s="103"/>
      <c r="DI695" s="103"/>
      <c r="DJ695" s="103"/>
      <c r="DK695" s="103"/>
      <c r="DL695" s="103"/>
      <c r="DM695" s="103">
        <v>0</v>
      </c>
      <c r="DN695" s="208">
        <v>1.2500000000000001E-2</v>
      </c>
      <c r="DO695" s="203">
        <f>DN695*CG695*CF695</f>
        <v>8.8500000000000009E-2</v>
      </c>
      <c r="DP695" s="103">
        <f>CG695*CF695</f>
        <v>7.08</v>
      </c>
      <c r="DQ695" s="103"/>
      <c r="DR695" s="103"/>
      <c r="DS695" s="103"/>
      <c r="DT695" s="103"/>
      <c r="DU695" s="103"/>
      <c r="DV695" s="103"/>
      <c r="DW695" s="103"/>
      <c r="DX695" s="103"/>
      <c r="DY695" s="103"/>
      <c r="DZ695" s="103"/>
      <c r="EA695" s="103"/>
      <c r="EB695" s="103"/>
      <c r="EC695" s="103"/>
      <c r="ED695" s="103"/>
      <c r="EE695" s="103"/>
      <c r="EF695" s="103">
        <v>120</v>
      </c>
      <c r="EG695" s="103">
        <v>1200</v>
      </c>
      <c r="EH695" s="103">
        <v>8</v>
      </c>
      <c r="EI695" s="207">
        <v>0.95</v>
      </c>
      <c r="EJ695" s="103">
        <v>1</v>
      </c>
      <c r="EK695" s="103">
        <v>45</v>
      </c>
      <c r="EL695" s="103">
        <f>ROUND(3600/EK695*EH695*EJ695*EI695,0)</f>
        <v>608</v>
      </c>
      <c r="EM695" s="103"/>
      <c r="EN695" s="103"/>
      <c r="EO695" s="103"/>
      <c r="EP695" s="103"/>
      <c r="EQ695" s="103"/>
      <c r="ER695" s="103"/>
      <c r="ES695" s="103"/>
      <c r="ET695" s="103"/>
      <c r="EU695" s="203">
        <f>EG695/EL695</f>
        <v>1.9736842105263157</v>
      </c>
      <c r="EV695" s="103"/>
      <c r="EW695" s="103"/>
      <c r="EX695" s="203">
        <f>500/((60*60*7.5*0.85)/40)</f>
        <v>0.8714596949891068</v>
      </c>
      <c r="EY695" s="103"/>
      <c r="EZ695" s="109">
        <f>634648/180000</f>
        <v>3.5258222222222222</v>
      </c>
      <c r="FA695" s="103"/>
      <c r="FB695" s="103"/>
      <c r="FC695" s="103"/>
      <c r="FD695" s="103"/>
      <c r="FE695" s="103"/>
      <c r="FF695" s="103"/>
      <c r="FG695" s="103"/>
      <c r="FH695" s="109"/>
      <c r="FI695" s="109"/>
      <c r="FJ695" s="109"/>
      <c r="FK695" s="109"/>
      <c r="FL695" s="109"/>
      <c r="FM695" s="109"/>
      <c r="FN695" s="109"/>
      <c r="FO695" s="109"/>
      <c r="FP695" s="109"/>
      <c r="FQ695" s="109"/>
      <c r="FR695" s="109"/>
      <c r="FS695" s="109"/>
      <c r="FT695" s="109"/>
      <c r="FU695" s="109"/>
      <c r="FV695" s="109"/>
      <c r="FW695" s="109"/>
      <c r="FX695" s="109"/>
      <c r="FY695" s="109"/>
      <c r="FZ695" s="109"/>
      <c r="GA695" s="109"/>
      <c r="GB695" s="109"/>
      <c r="GC695" s="109"/>
      <c r="GD695" s="109"/>
      <c r="GE695" s="109"/>
      <c r="GF695" s="109"/>
      <c r="GG695" s="109"/>
      <c r="GH695" s="109"/>
      <c r="GI695" s="109"/>
      <c r="GJ695" s="109"/>
      <c r="GK695" s="109"/>
      <c r="GL695" s="109"/>
      <c r="GM695" s="109"/>
      <c r="GN695" s="109"/>
      <c r="GO695" s="109"/>
      <c r="GP695" s="109"/>
      <c r="GQ695" s="109"/>
      <c r="GR695" s="207">
        <v>0.11</v>
      </c>
      <c r="GS695" s="203">
        <f>GR695*(BA695+EU695)</f>
        <v>0.88336206315789456</v>
      </c>
      <c r="GT695" s="208">
        <v>1.2500000000000001E-2</v>
      </c>
      <c r="GU695" s="203">
        <f>GT695*(BA695+EU695)</f>
        <v>0.10038205263157894</v>
      </c>
      <c r="GV695" s="207">
        <v>0.02</v>
      </c>
      <c r="GW695" s="203">
        <f>GV695*EU695</f>
        <v>3.9473684210526314E-2</v>
      </c>
      <c r="GX695" s="203">
        <f>GS695+GU695+GW695</f>
        <v>1.0232177999999998</v>
      </c>
      <c r="GY695" s="103" t="s">
        <v>43</v>
      </c>
      <c r="GZ695" s="103" t="s">
        <v>87</v>
      </c>
      <c r="HA695" s="103">
        <v>650</v>
      </c>
      <c r="HB695" s="103">
        <v>450</v>
      </c>
      <c r="HC695" s="103">
        <v>315</v>
      </c>
      <c r="HD695" s="103">
        <v>120</v>
      </c>
      <c r="HE695" s="103">
        <v>600</v>
      </c>
      <c r="HF695" s="103">
        <f>ROUNDUP(HE695/HD695,0)</f>
        <v>5</v>
      </c>
      <c r="HG695" s="103">
        <v>5</v>
      </c>
      <c r="HH695" s="103">
        <f>HF695*HG695</f>
        <v>25</v>
      </c>
      <c r="HI695" s="103">
        <v>650</v>
      </c>
      <c r="HJ695" s="103">
        <f>HH695*HI695</f>
        <v>16250</v>
      </c>
      <c r="HK695" s="103"/>
      <c r="HL695" s="103"/>
      <c r="HM695" s="103">
        <v>3</v>
      </c>
      <c r="HN695" s="103">
        <f>HM695*12*25*HE695</f>
        <v>540000</v>
      </c>
      <c r="HO695" s="203">
        <f>IF(GY695="carton box",HI695/HD695,HJ695/HN695)</f>
        <v>3.0092592592592591E-2</v>
      </c>
      <c r="HP695" s="103">
        <v>160</v>
      </c>
      <c r="HQ695" s="103">
        <v>0</v>
      </c>
      <c r="HR695" s="103">
        <v>160</v>
      </c>
      <c r="HS695" s="103">
        <v>120</v>
      </c>
      <c r="HT695" s="203">
        <f>HR695/HS695</f>
        <v>1.3333333333333333</v>
      </c>
      <c r="HU695" s="203"/>
      <c r="HV695" s="203">
        <f>HO695+HT695</f>
        <v>1.3634259259259258</v>
      </c>
      <c r="HW695" s="203"/>
      <c r="HX695" s="103">
        <v>5016</v>
      </c>
      <c r="HY695" s="103">
        <v>1976</v>
      </c>
      <c r="HZ695" s="103">
        <v>2280</v>
      </c>
      <c r="IA695" s="103">
        <f>ROUNDDOWN(HX695/HA695,0)</f>
        <v>7</v>
      </c>
      <c r="IB695" s="103">
        <f>ROUNDDOWN(HY695/HB695,0)</f>
        <v>4</v>
      </c>
      <c r="IC695" s="103">
        <f>ROUNDDOWN(HZ695/HC695,0)</f>
        <v>7</v>
      </c>
      <c r="ID695" s="207">
        <v>1</v>
      </c>
      <c r="IE695" s="203">
        <f>ROUND(PRODUCT(IA695:ID695),0)-146</f>
        <v>50</v>
      </c>
      <c r="IF695" s="103">
        <v>500</v>
      </c>
      <c r="IG695" s="203">
        <f>IF695/(IE695*HD695)</f>
        <v>8.3333333333333329E-2</v>
      </c>
      <c r="IH695" s="368"/>
    </row>
    <row r="696" spans="1:242">
      <c r="A696">
        <v>681</v>
      </c>
      <c r="B696" s="328" t="s">
        <v>1947</v>
      </c>
      <c r="D696" s="28" t="s">
        <v>1516</v>
      </c>
      <c r="E696" s="28" t="s">
        <v>1517</v>
      </c>
      <c r="F696" s="28" t="s">
        <v>1947</v>
      </c>
      <c r="G696" s="27" t="s">
        <v>102</v>
      </c>
      <c r="I696" s="27" t="s">
        <v>121</v>
      </c>
      <c r="J696" s="28">
        <v>29010</v>
      </c>
      <c r="K696" s="27" t="s">
        <v>229</v>
      </c>
    </row>
    <row r="697" spans="1:242">
      <c r="A697">
        <v>682</v>
      </c>
      <c r="B697" s="328" t="s">
        <v>1947</v>
      </c>
      <c r="D697" s="28" t="s">
        <v>1516</v>
      </c>
      <c r="E697" s="28" t="s">
        <v>1517</v>
      </c>
      <c r="F697" s="28" t="s">
        <v>1947</v>
      </c>
      <c r="G697" s="27" t="s">
        <v>102</v>
      </c>
      <c r="I697" s="27" t="s">
        <v>121</v>
      </c>
      <c r="J697" s="28">
        <v>21554</v>
      </c>
      <c r="K697" s="27" t="s">
        <v>228</v>
      </c>
    </row>
    <row r="698" spans="1:242" ht="30">
      <c r="A698">
        <v>683</v>
      </c>
      <c r="B698" t="s">
        <v>468</v>
      </c>
      <c r="C698" s="137" t="s">
        <v>2777</v>
      </c>
      <c r="D698" s="28" t="s">
        <v>1518</v>
      </c>
      <c r="E698" s="28" t="s">
        <v>1519</v>
      </c>
      <c r="F698" s="28" t="s">
        <v>2182</v>
      </c>
      <c r="G698" s="27" t="s">
        <v>102</v>
      </c>
      <c r="I698" s="27" t="s">
        <v>121</v>
      </c>
      <c r="J698" s="28">
        <v>21697</v>
      </c>
      <c r="K698" s="27" t="s">
        <v>227</v>
      </c>
      <c r="L698" s="121"/>
      <c r="M698" s="121"/>
      <c r="N698" s="114"/>
      <c r="O698" s="121"/>
      <c r="P698" s="121"/>
      <c r="Q698" s="115" t="s">
        <v>2778</v>
      </c>
      <c r="R698" s="121" t="s">
        <v>2779</v>
      </c>
      <c r="S698" s="121" t="s">
        <v>2780</v>
      </c>
      <c r="T698" s="121" t="s">
        <v>2762</v>
      </c>
      <c r="U698" s="326">
        <v>44354</v>
      </c>
      <c r="V698" s="353" t="s">
        <v>2748</v>
      </c>
      <c r="W698" s="218" t="s">
        <v>2781</v>
      </c>
      <c r="X698" s="121"/>
      <c r="Y698" s="121"/>
      <c r="Z698" s="121"/>
      <c r="AA698" s="115" t="s">
        <v>2782</v>
      </c>
      <c r="AB698" s="121">
        <v>84.66</v>
      </c>
      <c r="AC698" s="121">
        <v>20</v>
      </c>
      <c r="AD698" s="121" t="s">
        <v>2313</v>
      </c>
      <c r="AE698" s="204">
        <f>BA698</f>
        <v>3.7904960000000001</v>
      </c>
      <c r="AF698" s="204"/>
      <c r="AG698" s="204">
        <f>EU698</f>
        <v>2.5511522633744859</v>
      </c>
      <c r="AH698" s="204">
        <f>DP698</f>
        <v>4.88</v>
      </c>
      <c r="AI698" s="204">
        <f>DO698</f>
        <v>6.0999999999999999E-2</v>
      </c>
      <c r="AJ698" s="204">
        <f>GW698</f>
        <v>5.1023045267489721E-2</v>
      </c>
      <c r="AK698" s="204">
        <f>GU698</f>
        <v>7.927060329218108E-2</v>
      </c>
      <c r="AL698" s="204">
        <f>GS698</f>
        <v>0.69758130897119341</v>
      </c>
      <c r="AM698" s="204">
        <f>HV698</f>
        <v>0.13541666666666666</v>
      </c>
      <c r="AN698" s="204">
        <f>IG698</f>
        <v>0.11</v>
      </c>
      <c r="AO698" s="205">
        <v>0</v>
      </c>
      <c r="AP698" s="204">
        <f>EZ698</f>
        <v>0</v>
      </c>
      <c r="AQ698" s="204">
        <f t="shared" ref="AQ698:AQ703" si="654">SUM(AE698:AP698)</f>
        <v>12.355939887572017</v>
      </c>
      <c r="AR698" s="204"/>
      <c r="AS698" s="204"/>
      <c r="AT698" s="205"/>
      <c r="AU698" s="204">
        <f>12.42-12.36</f>
        <v>6.0000000000000497E-2</v>
      </c>
      <c r="AV698" s="204">
        <f t="shared" ref="AV698:AV703" si="655">SUM(AQ698:AU698)</f>
        <v>12.415939887572017</v>
      </c>
      <c r="AW698" s="336">
        <v>4.5600000000000002E-2</v>
      </c>
      <c r="AX698" s="336">
        <v>4.2099999999999999E-2</v>
      </c>
      <c r="AY698" s="207">
        <v>1</v>
      </c>
      <c r="AZ698" s="103">
        <f>AW698-AX698</f>
        <v>3.5000000000000031E-3</v>
      </c>
      <c r="BA698" s="203">
        <f>AW698*AB698-AZ698*AC698</f>
        <v>3.7904960000000001</v>
      </c>
      <c r="BB698" s="203"/>
      <c r="BC698" s="203"/>
      <c r="BD698" s="203"/>
      <c r="BE698" s="203"/>
      <c r="BF698" s="203"/>
      <c r="BG698" s="203"/>
      <c r="BH698" s="203"/>
      <c r="BI698" s="203"/>
      <c r="BJ698" s="203"/>
      <c r="BK698" s="203"/>
      <c r="BL698" s="203"/>
      <c r="BM698" s="203"/>
      <c r="BN698" s="203"/>
      <c r="BO698" s="203"/>
      <c r="BP698" s="203"/>
      <c r="BQ698" s="203"/>
      <c r="BR698" s="203"/>
      <c r="BS698" s="203"/>
      <c r="BT698" s="203"/>
      <c r="BU698" s="203"/>
      <c r="BV698" s="203"/>
      <c r="BW698" s="203"/>
      <c r="BX698" s="203"/>
      <c r="BY698" s="203"/>
      <c r="BZ698" s="203"/>
      <c r="CA698" s="203"/>
      <c r="CB698" s="203"/>
      <c r="CC698" s="203"/>
      <c r="CD698" s="103"/>
      <c r="CE698" s="103">
        <v>0</v>
      </c>
      <c r="CF698" s="103">
        <v>1</v>
      </c>
      <c r="CG698" s="103">
        <v>4.88</v>
      </c>
      <c r="CH698" s="103">
        <f>CG698*CF698</f>
        <v>4.88</v>
      </c>
      <c r="CI698" s="137"/>
      <c r="CJ698" s="137"/>
      <c r="CK698" s="103"/>
      <c r="CL698" s="103"/>
      <c r="CM698" s="103"/>
      <c r="CN698" s="103"/>
      <c r="CO698" s="103"/>
      <c r="CP698" s="103"/>
      <c r="CQ698" s="103"/>
      <c r="CR698" s="103"/>
      <c r="CS698" s="103"/>
      <c r="CT698" s="103"/>
      <c r="CU698" s="103"/>
      <c r="CV698" s="103"/>
      <c r="CW698" s="103"/>
      <c r="CX698" s="103"/>
      <c r="CY698" s="103"/>
      <c r="CZ698" s="103"/>
      <c r="DA698" s="103"/>
      <c r="DB698" s="103"/>
      <c r="DC698" s="103"/>
      <c r="DD698" s="103"/>
      <c r="DE698" s="103"/>
      <c r="DF698" s="103"/>
      <c r="DG698" s="103"/>
      <c r="DH698" s="103"/>
      <c r="DI698" s="103"/>
      <c r="DJ698" s="103"/>
      <c r="DK698" s="103"/>
      <c r="DL698" s="103"/>
      <c r="DM698" s="103">
        <v>0</v>
      </c>
      <c r="DN698" s="208">
        <v>1.2500000000000001E-2</v>
      </c>
      <c r="DO698" s="203">
        <f>DN698*CG698*CF698</f>
        <v>6.0999999999999999E-2</v>
      </c>
      <c r="DP698" s="103">
        <f>CG698*CF698</f>
        <v>4.88</v>
      </c>
      <c r="DQ698" s="103"/>
      <c r="DR698" s="103"/>
      <c r="DS698" s="103"/>
      <c r="DT698" s="103"/>
      <c r="DU698" s="103"/>
      <c r="DV698" s="103"/>
      <c r="DW698" s="103"/>
      <c r="DX698" s="103"/>
      <c r="DY698" s="103"/>
      <c r="DZ698" s="103"/>
      <c r="EA698" s="103"/>
      <c r="EB698" s="103"/>
      <c r="EC698" s="103"/>
      <c r="ED698" s="103"/>
      <c r="EE698" s="103"/>
      <c r="EF698" s="103">
        <v>160</v>
      </c>
      <c r="EG698" s="103">
        <v>1600</v>
      </c>
      <c r="EH698" s="103">
        <v>7.5</v>
      </c>
      <c r="EI698" s="207">
        <v>0.9</v>
      </c>
      <c r="EJ698" s="103">
        <v>2</v>
      </c>
      <c r="EK698" s="103">
        <v>62</v>
      </c>
      <c r="EL698" s="209">
        <f>(3600/EK698*EH698*EJ698*EI698)</f>
        <v>783.87096774193549</v>
      </c>
      <c r="EM698" s="103"/>
      <c r="EN698" s="103"/>
      <c r="EO698" s="103"/>
      <c r="EP698" s="103"/>
      <c r="EQ698" s="103"/>
      <c r="ER698" s="103"/>
      <c r="ES698" s="103"/>
      <c r="ET698" s="103"/>
      <c r="EU698" s="203">
        <f>EG698/EL698+FA698</f>
        <v>2.5511522633744859</v>
      </c>
      <c r="EV698" s="103"/>
      <c r="EW698" s="103"/>
      <c r="EX698" s="103"/>
      <c r="EY698" s="103"/>
      <c r="EZ698" s="103"/>
      <c r="FA698" s="103">
        <v>0.51</v>
      </c>
      <c r="FB698" s="103"/>
      <c r="FC698" s="103"/>
      <c r="FD698" s="103"/>
      <c r="FE698" s="103"/>
      <c r="FF698" s="103"/>
      <c r="FG698" s="103"/>
      <c r="FH698" s="103"/>
      <c r="FI698" s="103"/>
      <c r="FJ698" s="103"/>
      <c r="FK698" s="103"/>
      <c r="FL698" s="103"/>
      <c r="FM698" s="103"/>
      <c r="FN698" s="103"/>
      <c r="FO698" s="103"/>
      <c r="FP698" s="103"/>
      <c r="FQ698" s="103"/>
      <c r="FR698" s="103"/>
      <c r="FS698" s="103"/>
      <c r="FT698" s="103"/>
      <c r="FU698" s="103"/>
      <c r="FV698" s="103"/>
      <c r="FW698" s="103"/>
      <c r="FX698" s="103"/>
      <c r="FY698" s="103"/>
      <c r="FZ698" s="103"/>
      <c r="GA698" s="103"/>
      <c r="GB698" s="103"/>
      <c r="GC698" s="103"/>
      <c r="GD698" s="103"/>
      <c r="GE698" s="103"/>
      <c r="GF698" s="103"/>
      <c r="GG698" s="103"/>
      <c r="GH698" s="103"/>
      <c r="GI698" s="103"/>
      <c r="GJ698" s="103"/>
      <c r="GK698" s="103"/>
      <c r="GL698" s="103"/>
      <c r="GM698" s="103"/>
      <c r="GN698" s="103"/>
      <c r="GO698" s="103"/>
      <c r="GP698" s="103"/>
      <c r="GQ698" s="103"/>
      <c r="GR698" s="207">
        <v>0.11</v>
      </c>
      <c r="GS698" s="203">
        <f>GR698*(BA698+EU698)</f>
        <v>0.69758130897119341</v>
      </c>
      <c r="GT698" s="208">
        <v>1.2500000000000001E-2</v>
      </c>
      <c r="GU698" s="203">
        <f>GT698*(BA698+EU698)</f>
        <v>7.927060329218108E-2</v>
      </c>
      <c r="GV698" s="207">
        <v>0.02</v>
      </c>
      <c r="GW698" s="203">
        <f>GV698*EU698</f>
        <v>5.1023045267489721E-2</v>
      </c>
      <c r="GX698" s="203">
        <f>GS698+GU698+GW698</f>
        <v>0.82787495753086415</v>
      </c>
      <c r="GY698" s="103" t="s">
        <v>43</v>
      </c>
      <c r="GZ698" s="103" t="s">
        <v>87</v>
      </c>
      <c r="HA698" s="103">
        <v>650</v>
      </c>
      <c r="HB698" s="103">
        <v>450</v>
      </c>
      <c r="HC698" s="103">
        <v>330</v>
      </c>
      <c r="HD698" s="103">
        <v>42</v>
      </c>
      <c r="HE698" s="103">
        <v>800</v>
      </c>
      <c r="HF698" s="103">
        <f>ROUNDUP(HE698/HD698,0)</f>
        <v>20</v>
      </c>
      <c r="HG698" s="103">
        <v>5</v>
      </c>
      <c r="HH698" s="103">
        <f>HF698*HG698</f>
        <v>100</v>
      </c>
      <c r="HI698" s="103">
        <v>650</v>
      </c>
      <c r="HJ698" s="103">
        <f>HH698*HI698</f>
        <v>65000</v>
      </c>
      <c r="HK698" s="103"/>
      <c r="HL698" s="103"/>
      <c r="HM698" s="103">
        <v>2</v>
      </c>
      <c r="HN698" s="103">
        <f>HM698*12*25*HE698</f>
        <v>480000</v>
      </c>
      <c r="HO698" s="203">
        <f>IF(GY698="carton box",HI698/HD698,HJ698/HN698)</f>
        <v>0.13541666666666666</v>
      </c>
      <c r="HP698" s="103">
        <v>160</v>
      </c>
      <c r="HQ698" s="103">
        <v>0</v>
      </c>
      <c r="HR698" s="103">
        <v>0</v>
      </c>
      <c r="HS698" s="103">
        <v>0</v>
      </c>
      <c r="HT698" s="103">
        <v>0</v>
      </c>
      <c r="HU698" s="103"/>
      <c r="HV698" s="203">
        <f>HO698+HT698</f>
        <v>0.13541666666666666</v>
      </c>
      <c r="HW698" s="203"/>
      <c r="HX698" s="103">
        <v>4200</v>
      </c>
      <c r="HY698" s="103">
        <v>1900</v>
      </c>
      <c r="HZ698" s="103">
        <v>1975</v>
      </c>
      <c r="IA698" s="203">
        <f t="shared" ref="IA698:IC700" si="656">ROUNDDOWN(HX698/HA698,0)</f>
        <v>6</v>
      </c>
      <c r="IB698" s="203">
        <f t="shared" si="656"/>
        <v>4</v>
      </c>
      <c r="IC698" s="203">
        <f t="shared" si="656"/>
        <v>5</v>
      </c>
      <c r="ID698" s="207">
        <v>0.95</v>
      </c>
      <c r="IE698" s="203">
        <f>ROUND(PRODUCT(IA698:ID698),0)</f>
        <v>114</v>
      </c>
      <c r="IF698" s="103">
        <v>500</v>
      </c>
      <c r="IG698" s="203">
        <f>ROUNDUP(IF698/(IE698*HD698),2)</f>
        <v>0.11</v>
      </c>
      <c r="IH698" s="368"/>
    </row>
    <row r="699" spans="1:242" ht="30">
      <c r="A699">
        <v>684</v>
      </c>
      <c r="B699" t="s">
        <v>468</v>
      </c>
      <c r="C699" s="139" t="s">
        <v>2783</v>
      </c>
      <c r="D699" s="28" t="s">
        <v>1518</v>
      </c>
      <c r="E699" s="28" t="s">
        <v>1519</v>
      </c>
      <c r="F699" s="28" t="s">
        <v>2182</v>
      </c>
      <c r="G699" s="27" t="s">
        <v>102</v>
      </c>
      <c r="I699" s="27" t="s">
        <v>226</v>
      </c>
      <c r="J699" s="28">
        <v>21590</v>
      </c>
      <c r="K699" s="27" t="s">
        <v>397</v>
      </c>
      <c r="L699" s="137"/>
      <c r="M699" s="137"/>
      <c r="N699" s="139" t="s">
        <v>2783</v>
      </c>
      <c r="O699" s="139" t="s">
        <v>2784</v>
      </c>
      <c r="P699" s="337">
        <v>44095</v>
      </c>
      <c r="Q699" s="115"/>
      <c r="R699" s="121"/>
      <c r="S699" s="137"/>
      <c r="T699" s="137" t="s">
        <v>2762</v>
      </c>
      <c r="U699" s="338">
        <v>45103</v>
      </c>
      <c r="V699" s="354" t="s">
        <v>2748</v>
      </c>
      <c r="W699" s="140" t="s">
        <v>2786</v>
      </c>
      <c r="X699" s="137"/>
      <c r="Y699" s="137"/>
      <c r="Z699" s="137"/>
      <c r="AA699" s="115" t="s">
        <v>2782</v>
      </c>
      <c r="AB699" s="137">
        <v>84.66</v>
      </c>
      <c r="AC699" s="137">
        <v>20</v>
      </c>
      <c r="AD699" s="137" t="s">
        <v>1200</v>
      </c>
      <c r="AE699" s="204">
        <f>BA699</f>
        <v>3.7904960000000001</v>
      </c>
      <c r="AF699" s="204"/>
      <c r="AG699" s="204">
        <f>EU699</f>
        <v>2.5511522633744859</v>
      </c>
      <c r="AH699" s="204">
        <f>DP699</f>
        <v>4.88</v>
      </c>
      <c r="AI699" s="204">
        <f>DO699</f>
        <v>6.0999999999999999E-2</v>
      </c>
      <c r="AJ699" s="204">
        <f>GW699</f>
        <v>5.1023045267489721E-2</v>
      </c>
      <c r="AK699" s="204">
        <f>GU699</f>
        <v>7.927060329218108E-2</v>
      </c>
      <c r="AL699" s="204">
        <f>GS699</f>
        <v>0.69758130897119341</v>
      </c>
      <c r="AM699" s="204">
        <f>HV699</f>
        <v>4.0625000000000001E-2</v>
      </c>
      <c r="AN699" s="204">
        <f>IG699</f>
        <v>0.33</v>
      </c>
      <c r="AO699" s="205">
        <v>0</v>
      </c>
      <c r="AP699" s="204">
        <f>EZ699</f>
        <v>0</v>
      </c>
      <c r="AQ699" s="204">
        <f t="shared" si="654"/>
        <v>12.481148220905352</v>
      </c>
      <c r="AR699" s="204"/>
      <c r="AS699" s="204"/>
      <c r="AT699" s="205">
        <f>14.17-12.54</f>
        <v>1.6300000000000008</v>
      </c>
      <c r="AU699" s="204">
        <f>12.42-12.36</f>
        <v>6.0000000000000497E-2</v>
      </c>
      <c r="AV699" s="204">
        <f t="shared" si="655"/>
        <v>14.171148220905353</v>
      </c>
      <c r="AW699" s="336">
        <v>4.5600000000000002E-2</v>
      </c>
      <c r="AX699" s="336">
        <v>4.2099999999999999E-2</v>
      </c>
      <c r="AY699" s="207">
        <v>1</v>
      </c>
      <c r="AZ699" s="103">
        <f>AW699-AX699</f>
        <v>3.5000000000000031E-3</v>
      </c>
      <c r="BA699" s="203">
        <f>AW699*AB699-AZ699*AC699</f>
        <v>3.7904960000000001</v>
      </c>
      <c r="BB699" s="203"/>
      <c r="BC699" s="203"/>
      <c r="BD699" s="203"/>
      <c r="BE699" s="203"/>
      <c r="BF699" s="203"/>
      <c r="BG699" s="203"/>
      <c r="BH699" s="203"/>
      <c r="BI699" s="203"/>
      <c r="BJ699" s="203"/>
      <c r="BK699" s="203"/>
      <c r="BL699" s="203"/>
      <c r="BM699" s="203"/>
      <c r="BN699" s="203"/>
      <c r="BO699" s="203"/>
      <c r="BP699" s="203"/>
      <c r="BQ699" s="203"/>
      <c r="BR699" s="203"/>
      <c r="BS699" s="203"/>
      <c r="BT699" s="203"/>
      <c r="BU699" s="203"/>
      <c r="BV699" s="203"/>
      <c r="BW699" s="203"/>
      <c r="BX699" s="203"/>
      <c r="BY699" s="203"/>
      <c r="BZ699" s="203"/>
      <c r="CA699" s="203"/>
      <c r="CB699" s="203"/>
      <c r="CC699" s="203"/>
      <c r="CD699" s="103"/>
      <c r="CE699" s="103">
        <v>0</v>
      </c>
      <c r="CF699" s="103">
        <v>1</v>
      </c>
      <c r="CG699" s="103">
        <v>4.88</v>
      </c>
      <c r="CH699" s="103">
        <f>CG699*CF699</f>
        <v>4.88</v>
      </c>
      <c r="CI699" s="137"/>
      <c r="CJ699" s="137"/>
      <c r="CK699" s="103"/>
      <c r="CL699" s="103"/>
      <c r="CM699" s="103"/>
      <c r="CN699" s="103"/>
      <c r="CO699" s="103"/>
      <c r="CP699" s="103"/>
      <c r="CQ699" s="103"/>
      <c r="CR699" s="103"/>
      <c r="CS699" s="103"/>
      <c r="CT699" s="103"/>
      <c r="CU699" s="103"/>
      <c r="CV699" s="103"/>
      <c r="CW699" s="103"/>
      <c r="CX699" s="103"/>
      <c r="CY699" s="103"/>
      <c r="CZ699" s="103"/>
      <c r="DA699" s="103"/>
      <c r="DB699" s="103"/>
      <c r="DC699" s="103"/>
      <c r="DD699" s="103"/>
      <c r="DE699" s="103"/>
      <c r="DF699" s="103"/>
      <c r="DG699" s="103"/>
      <c r="DH699" s="103"/>
      <c r="DI699" s="103"/>
      <c r="DJ699" s="103"/>
      <c r="DK699" s="103"/>
      <c r="DL699" s="103"/>
      <c r="DM699" s="103">
        <v>0</v>
      </c>
      <c r="DN699" s="208">
        <v>1.2500000000000001E-2</v>
      </c>
      <c r="DO699" s="203">
        <f>DN699*CG699*CF699</f>
        <v>6.0999999999999999E-2</v>
      </c>
      <c r="DP699" s="103">
        <f>CG699*CF699</f>
        <v>4.88</v>
      </c>
      <c r="DQ699" s="103"/>
      <c r="DR699" s="103"/>
      <c r="DS699" s="103"/>
      <c r="DT699" s="103"/>
      <c r="DU699" s="103"/>
      <c r="DV699" s="103"/>
      <c r="DW699" s="103"/>
      <c r="DX699" s="103"/>
      <c r="DY699" s="103"/>
      <c r="DZ699" s="103"/>
      <c r="EA699" s="103"/>
      <c r="EB699" s="103"/>
      <c r="EC699" s="103"/>
      <c r="ED699" s="103"/>
      <c r="EE699" s="103"/>
      <c r="EF699" s="103">
        <v>160</v>
      </c>
      <c r="EG699" s="103">
        <v>1600</v>
      </c>
      <c r="EH699" s="103">
        <v>7.5</v>
      </c>
      <c r="EI699" s="207">
        <v>0.9</v>
      </c>
      <c r="EJ699" s="103">
        <v>2</v>
      </c>
      <c r="EK699" s="103">
        <v>62</v>
      </c>
      <c r="EL699" s="209">
        <f>(3600/EK699*EH699*EJ699*EI699)</f>
        <v>783.87096774193549</v>
      </c>
      <c r="EM699" s="103"/>
      <c r="EN699" s="103"/>
      <c r="EO699" s="103"/>
      <c r="EP699" s="103"/>
      <c r="EQ699" s="103"/>
      <c r="ER699" s="103"/>
      <c r="ES699" s="103"/>
      <c r="ET699" s="103"/>
      <c r="EU699" s="203">
        <f>EG699/EL699+FA699</f>
        <v>2.5511522633744859</v>
      </c>
      <c r="EV699" s="103"/>
      <c r="EW699" s="103"/>
      <c r="EX699" s="103"/>
      <c r="EY699" s="103"/>
      <c r="EZ699" s="103"/>
      <c r="FA699" s="103">
        <v>0.51</v>
      </c>
      <c r="FB699" s="103"/>
      <c r="FC699" s="103"/>
      <c r="FD699" s="103"/>
      <c r="FE699" s="103"/>
      <c r="FF699" s="103"/>
      <c r="FG699" s="103"/>
      <c r="FH699" s="103"/>
      <c r="FI699" s="103"/>
      <c r="FJ699" s="103"/>
      <c r="FK699" s="103"/>
      <c r="FL699" s="103"/>
      <c r="FM699" s="103"/>
      <c r="FN699" s="103"/>
      <c r="FO699" s="103"/>
      <c r="FP699" s="103"/>
      <c r="FQ699" s="103"/>
      <c r="FR699" s="103"/>
      <c r="FS699" s="103"/>
      <c r="FT699" s="103"/>
      <c r="FU699" s="103"/>
      <c r="FV699" s="103"/>
      <c r="FW699" s="103"/>
      <c r="FX699" s="103"/>
      <c r="FY699" s="103"/>
      <c r="FZ699" s="103"/>
      <c r="GA699" s="103"/>
      <c r="GB699" s="103"/>
      <c r="GC699" s="103"/>
      <c r="GD699" s="103"/>
      <c r="GE699" s="103"/>
      <c r="GF699" s="103"/>
      <c r="GG699" s="103"/>
      <c r="GH699" s="103"/>
      <c r="GI699" s="103"/>
      <c r="GJ699" s="103"/>
      <c r="GK699" s="103"/>
      <c r="GL699" s="103"/>
      <c r="GM699" s="103"/>
      <c r="GN699" s="103"/>
      <c r="GO699" s="103"/>
      <c r="GP699" s="103"/>
      <c r="GQ699" s="103"/>
      <c r="GR699" s="207">
        <v>0.11</v>
      </c>
      <c r="GS699" s="203">
        <f>GR699*(BA699+EU699)</f>
        <v>0.69758130897119341</v>
      </c>
      <c r="GT699" s="208">
        <v>1.2500000000000001E-2</v>
      </c>
      <c r="GU699" s="203">
        <f>GT699*(BA699+EU699)</f>
        <v>7.927060329218108E-2</v>
      </c>
      <c r="GV699" s="207">
        <v>0.02</v>
      </c>
      <c r="GW699" s="203">
        <f>GV699*EU699</f>
        <v>5.1023045267489721E-2</v>
      </c>
      <c r="GX699" s="203">
        <f>GS699+GU699+GW699</f>
        <v>0.82787495753086415</v>
      </c>
      <c r="GY699" s="103" t="s">
        <v>43</v>
      </c>
      <c r="GZ699" s="103" t="s">
        <v>87</v>
      </c>
      <c r="HA699" s="103">
        <v>650</v>
      </c>
      <c r="HB699" s="103">
        <v>450</v>
      </c>
      <c r="HC699" s="103">
        <v>330</v>
      </c>
      <c r="HD699" s="103">
        <v>135</v>
      </c>
      <c r="HE699" s="103">
        <v>800</v>
      </c>
      <c r="HF699" s="103">
        <f>ROUNDUP(HE699/HD699,0)</f>
        <v>6</v>
      </c>
      <c r="HG699" s="103">
        <v>5</v>
      </c>
      <c r="HH699" s="103">
        <f>HF699*HG699</f>
        <v>30</v>
      </c>
      <c r="HI699" s="103">
        <v>650</v>
      </c>
      <c r="HJ699" s="103">
        <f>HH699*HI699</f>
        <v>19500</v>
      </c>
      <c r="HK699" s="103"/>
      <c r="HL699" s="103"/>
      <c r="HM699" s="103">
        <v>2</v>
      </c>
      <c r="HN699" s="103">
        <f>HM699*12*25*HE699</f>
        <v>480000</v>
      </c>
      <c r="HO699" s="203">
        <f>IF(GY699="carton box",HI699/HD699,HJ699/HN699)</f>
        <v>4.0625000000000001E-2</v>
      </c>
      <c r="HP699" s="103">
        <v>160</v>
      </c>
      <c r="HQ699" s="103">
        <v>0</v>
      </c>
      <c r="HR699" s="103">
        <v>0</v>
      </c>
      <c r="HS699" s="103">
        <v>0</v>
      </c>
      <c r="HT699" s="103">
        <v>0</v>
      </c>
      <c r="HU699" s="103"/>
      <c r="HV699" s="203">
        <f>HO699+HT699</f>
        <v>4.0625000000000001E-2</v>
      </c>
      <c r="HW699" s="203"/>
      <c r="HX699" s="103">
        <v>4200</v>
      </c>
      <c r="HY699" s="103">
        <v>1900</v>
      </c>
      <c r="HZ699" s="103">
        <v>1975</v>
      </c>
      <c r="IA699" s="203">
        <f t="shared" si="656"/>
        <v>6</v>
      </c>
      <c r="IB699" s="203">
        <f t="shared" si="656"/>
        <v>4</v>
      </c>
      <c r="IC699" s="203">
        <f t="shared" si="656"/>
        <v>5</v>
      </c>
      <c r="ID699" s="207">
        <v>0.95</v>
      </c>
      <c r="IE699" s="203">
        <f>ROUND(PRODUCT(IA699:ID699),0)</f>
        <v>114</v>
      </c>
      <c r="IF699" s="103">
        <v>5000</v>
      </c>
      <c r="IG699" s="203">
        <f>ROUNDUP((IF699/(IE699*HD699)),2)</f>
        <v>0.33</v>
      </c>
      <c r="IH699" s="368"/>
    </row>
    <row r="700" spans="1:242" ht="30">
      <c r="A700">
        <v>685</v>
      </c>
      <c r="B700" t="s">
        <v>468</v>
      </c>
      <c r="C700" s="121" t="s">
        <v>2787</v>
      </c>
      <c r="D700" s="28" t="s">
        <v>1520</v>
      </c>
      <c r="E700" s="28" t="s">
        <v>1521</v>
      </c>
      <c r="F700" s="28" t="s">
        <v>2182</v>
      </c>
      <c r="G700" s="27" t="s">
        <v>102</v>
      </c>
      <c r="I700" s="27" t="s">
        <v>121</v>
      </c>
      <c r="J700" s="28">
        <v>21677</v>
      </c>
      <c r="K700" s="27" t="s">
        <v>228</v>
      </c>
      <c r="L700" s="121"/>
      <c r="M700" s="121"/>
      <c r="N700" s="115"/>
      <c r="O700" s="115"/>
      <c r="P700" s="115"/>
      <c r="Q700" s="115" t="s">
        <v>2759</v>
      </c>
      <c r="R700" s="121" t="s">
        <v>2760</v>
      </c>
      <c r="S700" s="121" t="s">
        <v>2761</v>
      </c>
      <c r="T700" s="121" t="s">
        <v>2762</v>
      </c>
      <c r="U700" s="326">
        <v>44652</v>
      </c>
      <c r="V700" s="353" t="s">
        <v>2748</v>
      </c>
      <c r="W700" s="218"/>
      <c r="X700" s="121"/>
      <c r="Y700" s="121"/>
      <c r="Z700" s="121"/>
      <c r="AA700" s="115" t="s">
        <v>2788</v>
      </c>
      <c r="AB700" s="121">
        <v>347</v>
      </c>
      <c r="AC700" s="121">
        <v>20</v>
      </c>
      <c r="AD700" s="122"/>
      <c r="AE700" s="219">
        <f>BA700</f>
        <v>2.5525000000000002</v>
      </c>
      <c r="AF700" s="219"/>
      <c r="AG700" s="219">
        <f>EU700</f>
        <v>0.76775431861804222</v>
      </c>
      <c r="AH700" s="219">
        <f>DP700</f>
        <v>0</v>
      </c>
      <c r="AI700" s="219">
        <f>DO700</f>
        <v>0</v>
      </c>
      <c r="AJ700" s="219">
        <f>GW700</f>
        <v>1.5355086372360844E-2</v>
      </c>
      <c r="AK700" s="219">
        <f>GU700</f>
        <v>4.1503178982725535E-2</v>
      </c>
      <c r="AL700" s="219">
        <f>GS700</f>
        <v>0.36522797504798465</v>
      </c>
      <c r="AM700" s="219">
        <f>HV700</f>
        <v>1.8055555555555554E-2</v>
      </c>
      <c r="AN700" s="219">
        <f>IG700</f>
        <v>0.02</v>
      </c>
      <c r="AO700" s="220">
        <v>0</v>
      </c>
      <c r="AP700" s="220"/>
      <c r="AQ700" s="204">
        <f t="shared" si="654"/>
        <v>3.7803961145766691</v>
      </c>
      <c r="AR700" s="219"/>
      <c r="AS700" s="219"/>
      <c r="AT700" s="220"/>
      <c r="AU700" s="219"/>
      <c r="AV700" s="204">
        <f t="shared" si="655"/>
        <v>3.7803961145766691</v>
      </c>
      <c r="AW700" s="122">
        <v>7.4999999999999997E-3</v>
      </c>
      <c r="AX700" s="122">
        <v>5.0000000000000001E-3</v>
      </c>
      <c r="AY700" s="210">
        <v>1</v>
      </c>
      <c r="AZ700" s="122">
        <f>AW700-AX700</f>
        <v>2.4999999999999996E-3</v>
      </c>
      <c r="BA700" s="202">
        <f>AW700*AB700-AZ700*AC700</f>
        <v>2.5525000000000002</v>
      </c>
      <c r="BB700" s="202"/>
      <c r="BC700" s="202"/>
      <c r="BD700" s="202"/>
      <c r="BE700" s="202"/>
      <c r="BF700" s="202"/>
      <c r="BG700" s="202"/>
      <c r="BH700" s="202"/>
      <c r="BI700" s="202"/>
      <c r="BJ700" s="202"/>
      <c r="BK700" s="202"/>
      <c r="BL700" s="202"/>
      <c r="BM700" s="202"/>
      <c r="BN700" s="202"/>
      <c r="BO700" s="202"/>
      <c r="BP700" s="202"/>
      <c r="BQ700" s="202"/>
      <c r="BR700" s="202"/>
      <c r="BS700" s="202"/>
      <c r="BT700" s="202"/>
      <c r="BU700" s="202"/>
      <c r="BV700" s="202"/>
      <c r="BW700" s="202"/>
      <c r="BX700" s="202"/>
      <c r="BY700" s="202"/>
      <c r="BZ700" s="202"/>
      <c r="CA700" s="202"/>
      <c r="CB700" s="202"/>
      <c r="CC700" s="202"/>
      <c r="CD700" s="122"/>
      <c r="CE700" s="122">
        <v>0</v>
      </c>
      <c r="CF700" s="122">
        <v>0</v>
      </c>
      <c r="CG700" s="122">
        <v>0</v>
      </c>
      <c r="CH700" s="122">
        <v>0</v>
      </c>
      <c r="CI700" s="121"/>
      <c r="CJ700" s="121"/>
      <c r="CK700" s="122"/>
      <c r="CL700" s="122"/>
      <c r="CM700" s="122"/>
      <c r="CN700" s="122"/>
      <c r="CO700" s="122"/>
      <c r="CP700" s="122"/>
      <c r="CQ700" s="122"/>
      <c r="CR700" s="122"/>
      <c r="CS700" s="122"/>
      <c r="CT700" s="122"/>
      <c r="CU700" s="122"/>
      <c r="CV700" s="122"/>
      <c r="CW700" s="122"/>
      <c r="CX700" s="122"/>
      <c r="CY700" s="122"/>
      <c r="CZ700" s="122"/>
      <c r="DA700" s="122"/>
      <c r="DB700" s="122"/>
      <c r="DC700" s="122"/>
      <c r="DD700" s="122"/>
      <c r="DE700" s="122"/>
      <c r="DF700" s="122"/>
      <c r="DG700" s="122"/>
      <c r="DH700" s="122"/>
      <c r="DI700" s="122"/>
      <c r="DJ700" s="122"/>
      <c r="DK700" s="122"/>
      <c r="DL700" s="122"/>
      <c r="DM700" s="122">
        <v>0</v>
      </c>
      <c r="DN700" s="211">
        <v>1.2500000000000001E-2</v>
      </c>
      <c r="DO700" s="202">
        <f>DN700*CG700*CF700</f>
        <v>0</v>
      </c>
      <c r="DP700" s="122">
        <f>CG700*CF700</f>
        <v>0</v>
      </c>
      <c r="DQ700" s="122"/>
      <c r="DR700" s="122"/>
      <c r="DS700" s="122"/>
      <c r="DT700" s="122"/>
      <c r="DU700" s="122"/>
      <c r="DV700" s="122"/>
      <c r="DW700" s="122"/>
      <c r="DX700" s="122"/>
      <c r="DY700" s="122"/>
      <c r="DZ700" s="122"/>
      <c r="EA700" s="122"/>
      <c r="EB700" s="122"/>
      <c r="EC700" s="122"/>
      <c r="ED700" s="122"/>
      <c r="EE700" s="122"/>
      <c r="EF700" s="122">
        <v>120</v>
      </c>
      <c r="EG700" s="122">
        <v>1200</v>
      </c>
      <c r="EH700" s="122">
        <v>8</v>
      </c>
      <c r="EI700" s="210">
        <v>0.95</v>
      </c>
      <c r="EJ700" s="122">
        <v>4</v>
      </c>
      <c r="EK700" s="122">
        <v>70</v>
      </c>
      <c r="EL700" s="122">
        <f>ROUND(3600/EK700*EH700*EJ700*EI700,0)</f>
        <v>1563</v>
      </c>
      <c r="EM700" s="122"/>
      <c r="EN700" s="122"/>
      <c r="EO700" s="122"/>
      <c r="EP700" s="122"/>
      <c r="EQ700" s="122"/>
      <c r="ER700" s="122"/>
      <c r="ES700" s="122"/>
      <c r="ET700" s="122"/>
      <c r="EU700" s="202">
        <f>EG700/EL700</f>
        <v>0.76775431861804222</v>
      </c>
      <c r="EV700" s="122"/>
      <c r="EW700" s="122"/>
      <c r="EX700" s="122"/>
      <c r="EY700" s="122"/>
      <c r="EZ700" s="122"/>
      <c r="FA700" s="122"/>
      <c r="FB700" s="122"/>
      <c r="FC700" s="122"/>
      <c r="FD700" s="122"/>
      <c r="FE700" s="122"/>
      <c r="FF700" s="122"/>
      <c r="FG700" s="122"/>
      <c r="FH700" s="122"/>
      <c r="FI700" s="122"/>
      <c r="FJ700" s="122"/>
      <c r="FK700" s="122"/>
      <c r="FL700" s="122"/>
      <c r="FM700" s="122"/>
      <c r="FN700" s="122"/>
      <c r="FO700" s="122"/>
      <c r="FP700" s="122"/>
      <c r="FQ700" s="122"/>
      <c r="FR700" s="122"/>
      <c r="FS700" s="122"/>
      <c r="FT700" s="122"/>
      <c r="FU700" s="122"/>
      <c r="FV700" s="122"/>
      <c r="FW700" s="122"/>
      <c r="FX700" s="122"/>
      <c r="FY700" s="122"/>
      <c r="FZ700" s="122"/>
      <c r="GA700" s="122"/>
      <c r="GB700" s="122"/>
      <c r="GC700" s="122"/>
      <c r="GD700" s="122"/>
      <c r="GE700" s="122"/>
      <c r="GF700" s="122"/>
      <c r="GG700" s="122"/>
      <c r="GH700" s="122"/>
      <c r="GI700" s="122"/>
      <c r="GJ700" s="122"/>
      <c r="GK700" s="122"/>
      <c r="GL700" s="122"/>
      <c r="GM700" s="122"/>
      <c r="GN700" s="122"/>
      <c r="GO700" s="122"/>
      <c r="GP700" s="122"/>
      <c r="GQ700" s="122"/>
      <c r="GR700" s="210">
        <v>0.11</v>
      </c>
      <c r="GS700" s="202">
        <f>GR700*(BA700+EU700)</f>
        <v>0.36522797504798465</v>
      </c>
      <c r="GT700" s="211">
        <v>1.2500000000000001E-2</v>
      </c>
      <c r="GU700" s="202">
        <f>GT700*(BA700+EU700)</f>
        <v>4.1503178982725535E-2</v>
      </c>
      <c r="GV700" s="210">
        <v>0.02</v>
      </c>
      <c r="GW700" s="202">
        <f>GV700*EU700</f>
        <v>1.5355086372360844E-2</v>
      </c>
      <c r="GX700" s="202">
        <f>GS700+GU700+GW700</f>
        <v>0.42208624040307102</v>
      </c>
      <c r="GY700" s="122" t="s">
        <v>43</v>
      </c>
      <c r="GZ700" s="122" t="s">
        <v>87</v>
      </c>
      <c r="HA700" s="122">
        <v>650</v>
      </c>
      <c r="HB700" s="122">
        <v>450</v>
      </c>
      <c r="HC700" s="122">
        <v>300</v>
      </c>
      <c r="HD700" s="122">
        <v>500</v>
      </c>
      <c r="HE700" s="122">
        <v>600</v>
      </c>
      <c r="HF700" s="122">
        <f>ROUNDUP(HE700/HD700,0)</f>
        <v>2</v>
      </c>
      <c r="HG700" s="122">
        <v>5</v>
      </c>
      <c r="HH700" s="122">
        <f>HF700*HG700</f>
        <v>10</v>
      </c>
      <c r="HI700" s="122">
        <v>650</v>
      </c>
      <c r="HJ700" s="122">
        <f>HH700*HI700</f>
        <v>6500</v>
      </c>
      <c r="HK700" s="122"/>
      <c r="HL700" s="122"/>
      <c r="HM700" s="122">
        <v>2</v>
      </c>
      <c r="HN700" s="122">
        <f>HM700*12*25*HE700</f>
        <v>360000</v>
      </c>
      <c r="HO700" s="202">
        <f>IF(GY700="carton box",HI700/HD700,HJ700/HN700)</f>
        <v>1.8055555555555554E-2</v>
      </c>
      <c r="HP700" s="122">
        <v>160</v>
      </c>
      <c r="HQ700" s="122">
        <v>0</v>
      </c>
      <c r="HR700" s="122">
        <v>0</v>
      </c>
      <c r="HS700" s="122">
        <v>0</v>
      </c>
      <c r="HT700" s="122">
        <v>0</v>
      </c>
      <c r="HU700" s="122"/>
      <c r="HV700" s="202">
        <f>HO700+HT700</f>
        <v>1.8055555555555554E-2</v>
      </c>
      <c r="HW700" s="202"/>
      <c r="HX700" s="122">
        <v>5016</v>
      </c>
      <c r="HY700" s="122">
        <v>1976</v>
      </c>
      <c r="HZ700" s="122">
        <v>2280</v>
      </c>
      <c r="IA700" s="202">
        <f t="shared" si="656"/>
        <v>7</v>
      </c>
      <c r="IB700" s="202">
        <f t="shared" si="656"/>
        <v>4</v>
      </c>
      <c r="IC700" s="202">
        <f t="shared" si="656"/>
        <v>7</v>
      </c>
      <c r="ID700" s="210">
        <v>1</v>
      </c>
      <c r="IE700" s="202">
        <f>ROUND(PRODUCT(IA700:ID700),0)-146</f>
        <v>50</v>
      </c>
      <c r="IF700" s="122">
        <v>500</v>
      </c>
      <c r="IG700" s="202">
        <f>IF700/(IE700*HD700)</f>
        <v>0.02</v>
      </c>
      <c r="IH700" s="20"/>
    </row>
    <row r="701" spans="1:242" ht="30">
      <c r="A701">
        <v>686</v>
      </c>
      <c r="B701" t="s">
        <v>468</v>
      </c>
      <c r="C701" t="s">
        <v>567</v>
      </c>
      <c r="D701" s="28" t="s">
        <v>1520</v>
      </c>
      <c r="E701" s="28" t="s">
        <v>1521</v>
      </c>
      <c r="F701" s="28" t="s">
        <v>2444</v>
      </c>
      <c r="G701" s="27" t="s">
        <v>102</v>
      </c>
      <c r="I701" s="27" t="s">
        <v>226</v>
      </c>
      <c r="J701" s="28">
        <v>21691</v>
      </c>
      <c r="K701" s="27" t="s">
        <v>404</v>
      </c>
      <c r="L701" s="121"/>
      <c r="M701" s="121"/>
      <c r="N701" s="115" t="s">
        <v>2770</v>
      </c>
      <c r="O701" s="115" t="s">
        <v>1836</v>
      </c>
      <c r="P701" s="333">
        <v>45274</v>
      </c>
      <c r="Q701" s="115"/>
      <c r="R701" s="121"/>
      <c r="S701" s="121"/>
      <c r="T701" s="121"/>
      <c r="U701" s="121"/>
      <c r="V701" s="353" t="s">
        <v>2748</v>
      </c>
      <c r="W701" s="218" t="s">
        <v>2789</v>
      </c>
      <c r="X701" s="121"/>
      <c r="Y701" s="121"/>
      <c r="Z701" s="121"/>
      <c r="AA701" s="115"/>
      <c r="AB701" s="122"/>
      <c r="AC701" s="121"/>
      <c r="AD701" s="122"/>
      <c r="AE701" s="220"/>
      <c r="AF701" s="220"/>
      <c r="AG701" s="220"/>
      <c r="AH701" s="220"/>
      <c r="AI701" s="122"/>
      <c r="AJ701" s="122"/>
      <c r="AK701" s="122"/>
      <c r="AL701" s="122"/>
      <c r="AM701" s="122"/>
      <c r="AN701" s="122"/>
      <c r="AO701" s="122"/>
      <c r="AP701" s="122"/>
      <c r="AQ701" s="204">
        <f t="shared" si="654"/>
        <v>0</v>
      </c>
      <c r="AR701" s="122"/>
      <c r="AS701" s="122"/>
      <c r="AT701" s="122"/>
      <c r="AU701" s="122"/>
      <c r="AV701" s="204">
        <f t="shared" si="655"/>
        <v>0</v>
      </c>
    </row>
    <row r="702" spans="1:242" ht="30">
      <c r="A702">
        <v>687</v>
      </c>
      <c r="B702" t="s">
        <v>468</v>
      </c>
      <c r="C702" s="121" t="s">
        <v>2790</v>
      </c>
      <c r="D702" s="28" t="s">
        <v>1522</v>
      </c>
      <c r="E702" s="28" t="s">
        <v>1523</v>
      </c>
      <c r="F702" s="28" t="s">
        <v>2182</v>
      </c>
      <c r="G702" s="27" t="s">
        <v>102</v>
      </c>
      <c r="I702" s="27" t="s">
        <v>121</v>
      </c>
      <c r="J702" s="28">
        <v>21697</v>
      </c>
      <c r="K702" s="27" t="s">
        <v>227</v>
      </c>
      <c r="L702" s="121"/>
      <c r="M702" s="121"/>
      <c r="N702" s="115"/>
      <c r="O702" s="115"/>
      <c r="P702" s="115"/>
      <c r="Q702" s="115" t="s">
        <v>2778</v>
      </c>
      <c r="R702" s="121" t="s">
        <v>2779</v>
      </c>
      <c r="S702" s="121" t="s">
        <v>2791</v>
      </c>
      <c r="T702" s="121" t="s">
        <v>2762</v>
      </c>
      <c r="U702" s="326">
        <v>44233</v>
      </c>
      <c r="V702" s="353" t="s">
        <v>2748</v>
      </c>
      <c r="W702" s="218"/>
      <c r="X702" s="121"/>
      <c r="Y702" s="121"/>
      <c r="Z702" s="121"/>
      <c r="AA702" s="115" t="s">
        <v>2792</v>
      </c>
      <c r="AB702" s="121">
        <v>190.5</v>
      </c>
      <c r="AC702" s="121">
        <v>20</v>
      </c>
      <c r="AD702" s="122" t="s">
        <v>2313</v>
      </c>
      <c r="AE702" s="219">
        <f>BA702</f>
        <v>1.0984750000000001</v>
      </c>
      <c r="AF702" s="219"/>
      <c r="AG702" s="219">
        <f>EU702</f>
        <v>0.52785923753665687</v>
      </c>
      <c r="AH702" s="219">
        <f>DP702</f>
        <v>0</v>
      </c>
      <c r="AI702" s="219">
        <f>DO702</f>
        <v>0</v>
      </c>
      <c r="AJ702" s="219">
        <f>GW702</f>
        <v>1.0557184750733138E-2</v>
      </c>
      <c r="AK702" s="219">
        <f>GU702</f>
        <v>2.0329177969208214E-2</v>
      </c>
      <c r="AL702" s="219">
        <f>GS702</f>
        <v>0.17889676612903227</v>
      </c>
      <c r="AM702" s="219">
        <f>HV702</f>
        <v>2.7083333333333334E-2</v>
      </c>
      <c r="AN702" s="219">
        <f>IG702</f>
        <v>0.01</v>
      </c>
      <c r="AO702" s="220">
        <v>0</v>
      </c>
      <c r="AP702" s="220"/>
      <c r="AQ702" s="204">
        <f t="shared" si="654"/>
        <v>1.8732006997189639</v>
      </c>
      <c r="AR702" s="219"/>
      <c r="AS702" s="219"/>
      <c r="AT702" s="220"/>
      <c r="AU702" s="219"/>
      <c r="AV702" s="204">
        <f t="shared" si="655"/>
        <v>1.8732006997189639</v>
      </c>
      <c r="AW702" s="230">
        <v>5.9500000000000004E-3</v>
      </c>
      <c r="AX702" s="230">
        <v>4.2000000000000006E-3</v>
      </c>
      <c r="AY702" s="210">
        <v>1</v>
      </c>
      <c r="AZ702" s="352">
        <f>AW702-AX702</f>
        <v>1.7499999999999998E-3</v>
      </c>
      <c r="BA702" s="202">
        <f>AW702*AB702-AZ702*AC702</f>
        <v>1.0984750000000001</v>
      </c>
      <c r="BB702" s="202"/>
      <c r="BC702" s="202"/>
      <c r="BD702" s="202"/>
      <c r="BE702" s="202"/>
      <c r="BF702" s="202"/>
      <c r="BG702" s="202"/>
      <c r="BH702" s="202"/>
      <c r="BI702" s="202"/>
      <c r="BJ702" s="202"/>
      <c r="BK702" s="202"/>
      <c r="BL702" s="202"/>
      <c r="BM702" s="202"/>
      <c r="BN702" s="202"/>
      <c r="BO702" s="202"/>
      <c r="BP702" s="202"/>
      <c r="BQ702" s="202"/>
      <c r="BR702" s="202"/>
      <c r="BS702" s="202"/>
      <c r="BT702" s="202"/>
      <c r="BU702" s="202"/>
      <c r="BV702" s="202"/>
      <c r="BW702" s="202"/>
      <c r="BX702" s="202"/>
      <c r="BY702" s="202"/>
      <c r="BZ702" s="202"/>
      <c r="CA702" s="202"/>
      <c r="CB702" s="202"/>
      <c r="CC702" s="202"/>
      <c r="CD702" s="122"/>
      <c r="CE702" s="122">
        <v>0</v>
      </c>
      <c r="CF702" s="122">
        <v>0</v>
      </c>
      <c r="CG702" s="122">
        <v>0</v>
      </c>
      <c r="CH702" s="122">
        <v>0</v>
      </c>
      <c r="CI702" s="121"/>
      <c r="CJ702" s="121"/>
      <c r="CK702" s="122"/>
      <c r="CL702" s="122"/>
      <c r="CM702" s="122"/>
      <c r="CN702" s="122"/>
      <c r="CO702" s="122"/>
      <c r="CP702" s="122"/>
      <c r="CQ702" s="122"/>
      <c r="CR702" s="122"/>
      <c r="CS702" s="122"/>
      <c r="CT702" s="122"/>
      <c r="CU702" s="122"/>
      <c r="CV702" s="122"/>
      <c r="CW702" s="122"/>
      <c r="CX702" s="122"/>
      <c r="CY702" s="122"/>
      <c r="CZ702" s="122"/>
      <c r="DA702" s="122"/>
      <c r="DB702" s="122"/>
      <c r="DC702" s="122"/>
      <c r="DD702" s="122"/>
      <c r="DE702" s="122"/>
      <c r="DF702" s="122"/>
      <c r="DG702" s="122"/>
      <c r="DH702" s="122"/>
      <c r="DI702" s="122"/>
      <c r="DJ702" s="122"/>
      <c r="DK702" s="122"/>
      <c r="DL702" s="122"/>
      <c r="DM702" s="122">
        <v>0</v>
      </c>
      <c r="DN702" s="211">
        <v>1.2500000000000001E-2</v>
      </c>
      <c r="DO702" s="202">
        <f>DN702*CG702*CF702</f>
        <v>0</v>
      </c>
      <c r="DP702" s="122">
        <f>CG702*CF702</f>
        <v>0</v>
      </c>
      <c r="DQ702" s="122"/>
      <c r="DR702" s="122"/>
      <c r="DS702" s="122"/>
      <c r="DT702" s="122"/>
      <c r="DU702" s="122"/>
      <c r="DV702" s="122"/>
      <c r="DW702" s="122"/>
      <c r="DX702" s="122"/>
      <c r="DY702" s="122"/>
      <c r="DZ702" s="122"/>
      <c r="EA702" s="122"/>
      <c r="EB702" s="122"/>
      <c r="EC702" s="122"/>
      <c r="ED702" s="122"/>
      <c r="EE702" s="122"/>
      <c r="EF702" s="122">
        <v>90</v>
      </c>
      <c r="EG702" s="122">
        <v>900</v>
      </c>
      <c r="EH702" s="122">
        <v>7.5</v>
      </c>
      <c r="EI702" s="210">
        <v>0.9</v>
      </c>
      <c r="EJ702" s="122">
        <v>4</v>
      </c>
      <c r="EK702" s="122">
        <v>57</v>
      </c>
      <c r="EL702" s="122">
        <f>ROUND(3600/EK702*EH702*EJ702*EI702,0)</f>
        <v>1705</v>
      </c>
      <c r="EM702" s="122"/>
      <c r="EN702" s="122"/>
      <c r="EO702" s="122"/>
      <c r="EP702" s="122"/>
      <c r="EQ702" s="122"/>
      <c r="ER702" s="122"/>
      <c r="ES702" s="122"/>
      <c r="ET702" s="122"/>
      <c r="EU702" s="202">
        <f>EG702/EL702</f>
        <v>0.52785923753665687</v>
      </c>
      <c r="EV702" s="122"/>
      <c r="EW702" s="122"/>
      <c r="EX702" s="122"/>
      <c r="EY702" s="122"/>
      <c r="EZ702" s="122"/>
      <c r="FA702" s="122"/>
      <c r="FB702" s="122"/>
      <c r="FC702" s="122"/>
      <c r="FD702" s="122"/>
      <c r="FE702" s="122"/>
      <c r="FF702" s="122"/>
      <c r="FG702" s="122"/>
      <c r="FH702" s="122"/>
      <c r="FI702" s="122"/>
      <c r="FJ702" s="122"/>
      <c r="FK702" s="122"/>
      <c r="FL702" s="122"/>
      <c r="FM702" s="122"/>
      <c r="FN702" s="122"/>
      <c r="FO702" s="122"/>
      <c r="FP702" s="122"/>
      <c r="FQ702" s="122"/>
      <c r="FR702" s="122"/>
      <c r="FS702" s="122"/>
      <c r="FT702" s="122"/>
      <c r="FU702" s="122"/>
      <c r="FV702" s="122"/>
      <c r="FW702" s="122"/>
      <c r="FX702" s="122"/>
      <c r="FY702" s="122"/>
      <c r="FZ702" s="122"/>
      <c r="GA702" s="122"/>
      <c r="GB702" s="122"/>
      <c r="GC702" s="122"/>
      <c r="GD702" s="122"/>
      <c r="GE702" s="122"/>
      <c r="GF702" s="122"/>
      <c r="GG702" s="122"/>
      <c r="GH702" s="122"/>
      <c r="GI702" s="122"/>
      <c r="GJ702" s="122"/>
      <c r="GK702" s="122"/>
      <c r="GL702" s="122"/>
      <c r="GM702" s="122"/>
      <c r="GN702" s="122"/>
      <c r="GO702" s="122"/>
      <c r="GP702" s="122"/>
      <c r="GQ702" s="122"/>
      <c r="GR702" s="207">
        <v>0.11</v>
      </c>
      <c r="GS702" s="203">
        <f>GR702*(BA702+EU702)</f>
        <v>0.17889676612903227</v>
      </c>
      <c r="GT702" s="208">
        <v>1.2500000000000001E-2</v>
      </c>
      <c r="GU702" s="203">
        <f>GT702*(BA702+EU702)</f>
        <v>2.0329177969208214E-2</v>
      </c>
      <c r="GV702" s="207">
        <v>0.02</v>
      </c>
      <c r="GW702" s="203">
        <f>GV702*EU702</f>
        <v>1.0557184750733138E-2</v>
      </c>
      <c r="GX702" s="203">
        <f>GS702+GU702+GW702</f>
        <v>0.20978312884897363</v>
      </c>
      <c r="GY702" s="122" t="s">
        <v>43</v>
      </c>
      <c r="GZ702" s="122" t="s">
        <v>87</v>
      </c>
      <c r="HA702" s="122">
        <v>650</v>
      </c>
      <c r="HB702" s="122">
        <v>450</v>
      </c>
      <c r="HC702" s="122">
        <v>330</v>
      </c>
      <c r="HD702" s="122">
        <v>1000</v>
      </c>
      <c r="HE702" s="122">
        <v>200</v>
      </c>
      <c r="HF702" s="122">
        <f>ROUNDUP(HE702/HD702,0)</f>
        <v>1</v>
      </c>
      <c r="HG702" s="122">
        <v>5</v>
      </c>
      <c r="HH702" s="122">
        <f>HF702*HG702</f>
        <v>5</v>
      </c>
      <c r="HI702" s="122">
        <v>650</v>
      </c>
      <c r="HJ702" s="122">
        <f>HH702*HI702</f>
        <v>3250</v>
      </c>
      <c r="HK702" s="122"/>
      <c r="HL702" s="122"/>
      <c r="HM702" s="122">
        <v>2</v>
      </c>
      <c r="HN702" s="122">
        <f>HM702*12*25*HE702</f>
        <v>120000</v>
      </c>
      <c r="HO702" s="202">
        <f>IF(GY702="carton box",HI702/HD702,HJ702/HN702)</f>
        <v>2.7083333333333334E-2</v>
      </c>
      <c r="HP702" s="122">
        <v>160</v>
      </c>
      <c r="HQ702" s="122">
        <v>0</v>
      </c>
      <c r="HR702" s="122">
        <v>0</v>
      </c>
      <c r="HS702" s="122">
        <v>0</v>
      </c>
      <c r="HT702" s="122">
        <v>0</v>
      </c>
      <c r="HU702" s="122"/>
      <c r="HV702" s="202">
        <f>HO702+HT702</f>
        <v>2.7083333333333334E-2</v>
      </c>
      <c r="HW702" s="202"/>
      <c r="HX702" s="122">
        <v>4200</v>
      </c>
      <c r="HY702" s="122">
        <v>1900</v>
      </c>
      <c r="HZ702" s="122">
        <v>1975</v>
      </c>
      <c r="IA702" s="202">
        <f t="shared" ref="IA702:IC703" si="657">ROUNDDOWN(HX702/HA702,0)</f>
        <v>6</v>
      </c>
      <c r="IB702" s="202">
        <f t="shared" si="657"/>
        <v>4</v>
      </c>
      <c r="IC702" s="202">
        <f t="shared" si="657"/>
        <v>5</v>
      </c>
      <c r="ID702" s="207">
        <v>1</v>
      </c>
      <c r="IE702" s="203">
        <f>ROUND(PRODUCT(IA702:ID702),0)</f>
        <v>120</v>
      </c>
      <c r="IF702" s="122">
        <v>500</v>
      </c>
      <c r="IG702" s="203">
        <f>ROUNDUP(IF702/(IE702*HD702),2)</f>
        <v>0.01</v>
      </c>
      <c r="IH702" s="368"/>
    </row>
    <row r="703" spans="1:242" ht="30">
      <c r="A703">
        <v>688</v>
      </c>
      <c r="B703" t="s">
        <v>468</v>
      </c>
      <c r="C703" s="137" t="s">
        <v>2783</v>
      </c>
      <c r="D703" s="28" t="s">
        <v>1522</v>
      </c>
      <c r="E703" s="28" t="s">
        <v>1523</v>
      </c>
      <c r="F703" s="28" t="s">
        <v>2182</v>
      </c>
      <c r="G703" s="27" t="s">
        <v>102</v>
      </c>
      <c r="I703" s="27" t="s">
        <v>226</v>
      </c>
      <c r="J703" s="28">
        <v>21590</v>
      </c>
      <c r="K703" s="27" t="s">
        <v>397</v>
      </c>
      <c r="L703" s="137"/>
      <c r="M703" s="137"/>
      <c r="N703" s="137" t="s">
        <v>2783</v>
      </c>
      <c r="O703" s="139" t="s">
        <v>2784</v>
      </c>
      <c r="P703" s="337">
        <v>45103</v>
      </c>
      <c r="Q703" s="115"/>
      <c r="R703" s="121"/>
      <c r="S703" s="137"/>
      <c r="T703" s="137" t="s">
        <v>2762</v>
      </c>
      <c r="U703" s="338">
        <v>45103</v>
      </c>
      <c r="V703" s="354" t="s">
        <v>2748</v>
      </c>
      <c r="W703" s="140" t="s">
        <v>2785</v>
      </c>
      <c r="X703" s="137"/>
      <c r="Y703" s="137"/>
      <c r="Z703" s="137"/>
      <c r="AA703" s="139" t="s">
        <v>2793</v>
      </c>
      <c r="AB703" s="121">
        <v>190.5</v>
      </c>
      <c r="AC703" s="121">
        <v>20</v>
      </c>
      <c r="AD703" s="137" t="s">
        <v>1200</v>
      </c>
      <c r="AE703" s="219">
        <f>BA703</f>
        <v>1.0984750000000001</v>
      </c>
      <c r="AF703" s="219"/>
      <c r="AG703" s="219">
        <f>EU703</f>
        <v>0.52785923753665687</v>
      </c>
      <c r="AH703" s="219">
        <f>DP703</f>
        <v>0</v>
      </c>
      <c r="AI703" s="219">
        <f>DO703</f>
        <v>0</v>
      </c>
      <c r="AJ703" s="219">
        <f>GW703</f>
        <v>1.0557184750733138E-2</v>
      </c>
      <c r="AK703" s="219">
        <f>GU703</f>
        <v>2.0329177969208214E-2</v>
      </c>
      <c r="AL703" s="219">
        <f>GS703</f>
        <v>0.17889676612903227</v>
      </c>
      <c r="AM703" s="219">
        <f>HV703</f>
        <v>2.7083333333333334E-2</v>
      </c>
      <c r="AN703" s="219">
        <f>IG703</f>
        <v>0.02</v>
      </c>
      <c r="AO703" s="220">
        <v>0</v>
      </c>
      <c r="AP703" s="220"/>
      <c r="AQ703" s="204">
        <f t="shared" si="654"/>
        <v>1.8832006997189639</v>
      </c>
      <c r="AR703" s="219"/>
      <c r="AS703" s="219"/>
      <c r="AT703" s="220">
        <f>2.28-1.88</f>
        <v>0.39999999999999991</v>
      </c>
      <c r="AU703" s="219"/>
      <c r="AV703" s="204">
        <f t="shared" si="655"/>
        <v>2.2832006997189636</v>
      </c>
      <c r="AW703" s="230">
        <v>5.9500000000000004E-3</v>
      </c>
      <c r="AX703" s="230">
        <v>4.2000000000000006E-3</v>
      </c>
      <c r="AY703" s="210">
        <v>1</v>
      </c>
      <c r="AZ703" s="352">
        <f>AW703-AX703</f>
        <v>1.7499999999999998E-3</v>
      </c>
      <c r="BA703" s="202">
        <f>AW703*AB703-AZ703*AC703</f>
        <v>1.0984750000000001</v>
      </c>
      <c r="BB703" s="202"/>
      <c r="BC703" s="202"/>
      <c r="BD703" s="202"/>
      <c r="BE703" s="202"/>
      <c r="BF703" s="202"/>
      <c r="BG703" s="202"/>
      <c r="BH703" s="202"/>
      <c r="BI703" s="202"/>
      <c r="BJ703" s="202"/>
      <c r="BK703" s="202"/>
      <c r="BL703" s="202"/>
      <c r="BM703" s="202"/>
      <c r="BN703" s="202"/>
      <c r="BO703" s="202"/>
      <c r="BP703" s="202"/>
      <c r="BQ703" s="202"/>
      <c r="BR703" s="202"/>
      <c r="BS703" s="202"/>
      <c r="BT703" s="202"/>
      <c r="BU703" s="202"/>
      <c r="BV703" s="202"/>
      <c r="BW703" s="202"/>
      <c r="BX703" s="202"/>
      <c r="BY703" s="202"/>
      <c r="BZ703" s="202"/>
      <c r="CA703" s="202"/>
      <c r="CB703" s="202"/>
      <c r="CC703" s="202"/>
      <c r="CD703" s="122"/>
      <c r="CE703" s="122">
        <v>0</v>
      </c>
      <c r="CF703" s="122">
        <v>0</v>
      </c>
      <c r="CG703" s="122">
        <v>0</v>
      </c>
      <c r="CH703" s="122">
        <v>0</v>
      </c>
      <c r="CI703" s="121"/>
      <c r="CJ703" s="121"/>
      <c r="CK703" s="122"/>
      <c r="CL703" s="122"/>
      <c r="CM703" s="122"/>
      <c r="CN703" s="122"/>
      <c r="CO703" s="122"/>
      <c r="CP703" s="122"/>
      <c r="CQ703" s="122"/>
      <c r="CR703" s="122"/>
      <c r="CS703" s="122"/>
      <c r="CT703" s="122"/>
      <c r="CU703" s="122"/>
      <c r="CV703" s="122"/>
      <c r="CW703" s="122"/>
      <c r="CX703" s="122"/>
      <c r="CY703" s="122"/>
      <c r="CZ703" s="122"/>
      <c r="DA703" s="122"/>
      <c r="DB703" s="122"/>
      <c r="DC703" s="122"/>
      <c r="DD703" s="122"/>
      <c r="DE703" s="122"/>
      <c r="DF703" s="122"/>
      <c r="DG703" s="122"/>
      <c r="DH703" s="122"/>
      <c r="DI703" s="122"/>
      <c r="DJ703" s="122"/>
      <c r="DK703" s="122"/>
      <c r="DL703" s="122"/>
      <c r="DM703" s="122">
        <v>0</v>
      </c>
      <c r="DN703" s="211">
        <v>1.2500000000000001E-2</v>
      </c>
      <c r="DO703" s="202">
        <f>DN703*CG703*CF703</f>
        <v>0</v>
      </c>
      <c r="DP703" s="122">
        <f>CG703*CF703</f>
        <v>0</v>
      </c>
      <c r="DQ703" s="122"/>
      <c r="DR703" s="122"/>
      <c r="DS703" s="122"/>
      <c r="DT703" s="122"/>
      <c r="DU703" s="122"/>
      <c r="DV703" s="122"/>
      <c r="DW703" s="122"/>
      <c r="DX703" s="122"/>
      <c r="DY703" s="122"/>
      <c r="DZ703" s="122"/>
      <c r="EA703" s="122"/>
      <c r="EB703" s="122"/>
      <c r="EC703" s="122"/>
      <c r="ED703" s="122"/>
      <c r="EE703" s="122"/>
      <c r="EF703" s="122">
        <v>90</v>
      </c>
      <c r="EG703" s="122">
        <v>900</v>
      </c>
      <c r="EH703" s="122">
        <v>7.5</v>
      </c>
      <c r="EI703" s="210">
        <v>0.9</v>
      </c>
      <c r="EJ703" s="122">
        <v>4</v>
      </c>
      <c r="EK703" s="122">
        <v>57</v>
      </c>
      <c r="EL703" s="122">
        <f>ROUND(3600/EK703*EH703*EJ703*EI703,0)</f>
        <v>1705</v>
      </c>
      <c r="EM703" s="122"/>
      <c r="EN703" s="122"/>
      <c r="EO703" s="122"/>
      <c r="EP703" s="122"/>
      <c r="EQ703" s="122"/>
      <c r="ER703" s="122"/>
      <c r="ES703" s="122"/>
      <c r="ET703" s="122"/>
      <c r="EU703" s="202">
        <f>EG703/EL703</f>
        <v>0.52785923753665687</v>
      </c>
      <c r="EV703" s="122"/>
      <c r="EW703" s="122"/>
      <c r="EX703" s="122"/>
      <c r="EY703" s="122"/>
      <c r="EZ703" s="122"/>
      <c r="FA703" s="122"/>
      <c r="FB703" s="122"/>
      <c r="FC703" s="122"/>
      <c r="FD703" s="122"/>
      <c r="FE703" s="122"/>
      <c r="FF703" s="122"/>
      <c r="FG703" s="122"/>
      <c r="FH703" s="122"/>
      <c r="FI703" s="122"/>
      <c r="FJ703" s="122"/>
      <c r="FK703" s="122"/>
      <c r="FL703" s="122"/>
      <c r="FM703" s="122"/>
      <c r="FN703" s="122"/>
      <c r="FO703" s="122"/>
      <c r="FP703" s="122"/>
      <c r="FQ703" s="122"/>
      <c r="FR703" s="122"/>
      <c r="FS703" s="122"/>
      <c r="FT703" s="122"/>
      <c r="FU703" s="122"/>
      <c r="FV703" s="122"/>
      <c r="FW703" s="122"/>
      <c r="FX703" s="122"/>
      <c r="FY703" s="122"/>
      <c r="FZ703" s="122"/>
      <c r="GA703" s="122"/>
      <c r="GB703" s="122"/>
      <c r="GC703" s="122"/>
      <c r="GD703" s="122"/>
      <c r="GE703" s="122"/>
      <c r="GF703" s="122"/>
      <c r="GG703" s="122"/>
      <c r="GH703" s="122"/>
      <c r="GI703" s="122"/>
      <c r="GJ703" s="122"/>
      <c r="GK703" s="122"/>
      <c r="GL703" s="122"/>
      <c r="GM703" s="122"/>
      <c r="GN703" s="122"/>
      <c r="GO703" s="122"/>
      <c r="GP703" s="122"/>
      <c r="GQ703" s="122"/>
      <c r="GR703" s="207">
        <v>0.11</v>
      </c>
      <c r="GS703" s="203">
        <f>GR703*(BA703+EU703)</f>
        <v>0.17889676612903227</v>
      </c>
      <c r="GT703" s="208">
        <v>1.2500000000000001E-2</v>
      </c>
      <c r="GU703" s="203">
        <f>GT703*(BA703+EU703)</f>
        <v>2.0329177969208214E-2</v>
      </c>
      <c r="GV703" s="207">
        <v>0.02</v>
      </c>
      <c r="GW703" s="203">
        <f>GV703*EU703</f>
        <v>1.0557184750733138E-2</v>
      </c>
      <c r="GX703" s="203">
        <f>GS703+GU703+GW703</f>
        <v>0.20978312884897363</v>
      </c>
      <c r="GY703" s="122" t="s">
        <v>43</v>
      </c>
      <c r="GZ703" s="122" t="s">
        <v>87</v>
      </c>
      <c r="HA703" s="122">
        <v>650</v>
      </c>
      <c r="HB703" s="122">
        <v>450</v>
      </c>
      <c r="HC703" s="122">
        <v>330</v>
      </c>
      <c r="HD703" s="122">
        <v>4000</v>
      </c>
      <c r="HE703" s="122">
        <v>200</v>
      </c>
      <c r="HF703" s="122">
        <f>ROUNDUP(HE703/HD703,0)</f>
        <v>1</v>
      </c>
      <c r="HG703" s="122">
        <v>5</v>
      </c>
      <c r="HH703" s="122">
        <f>HF703*HG703</f>
        <v>5</v>
      </c>
      <c r="HI703" s="122">
        <v>650</v>
      </c>
      <c r="HJ703" s="122">
        <f>HH703*HI703</f>
        <v>3250</v>
      </c>
      <c r="HK703" s="122"/>
      <c r="HL703" s="122"/>
      <c r="HM703" s="122">
        <v>2</v>
      </c>
      <c r="HN703" s="122">
        <f>HM703*12*25*HE703</f>
        <v>120000</v>
      </c>
      <c r="HO703" s="202">
        <f>IF(GY703="carton box",HI703/HD703,HJ703/HN703)</f>
        <v>2.7083333333333334E-2</v>
      </c>
      <c r="HP703" s="122">
        <v>160</v>
      </c>
      <c r="HQ703" s="122">
        <v>0</v>
      </c>
      <c r="HR703" s="122">
        <v>0</v>
      </c>
      <c r="HS703" s="122">
        <v>0</v>
      </c>
      <c r="HT703" s="122">
        <v>0</v>
      </c>
      <c r="HU703" s="122"/>
      <c r="HV703" s="202">
        <f>HO703+HT703</f>
        <v>2.7083333333333334E-2</v>
      </c>
      <c r="HW703" s="202"/>
      <c r="HX703" s="122">
        <v>4200</v>
      </c>
      <c r="HY703" s="122">
        <v>1900</v>
      </c>
      <c r="HZ703" s="122">
        <v>1975</v>
      </c>
      <c r="IA703" s="202">
        <f t="shared" si="657"/>
        <v>6</v>
      </c>
      <c r="IB703" s="202">
        <f t="shared" si="657"/>
        <v>4</v>
      </c>
      <c r="IC703" s="202">
        <f t="shared" si="657"/>
        <v>5</v>
      </c>
      <c r="ID703" s="207">
        <v>0.95</v>
      </c>
      <c r="IE703" s="203">
        <f>ROUND(PRODUCT(IA703:ID703),0)</f>
        <v>114</v>
      </c>
      <c r="IF703" s="122">
        <v>5000</v>
      </c>
      <c r="IG703" s="203">
        <f>ROUNDUP(IF703/(IE703*HD703),2)</f>
        <v>0.02</v>
      </c>
      <c r="IH703" s="368"/>
    </row>
    <row r="704" spans="1:242">
      <c r="A704">
        <v>689</v>
      </c>
      <c r="B704" s="301" t="s">
        <v>1947</v>
      </c>
      <c r="D704" s="28" t="s">
        <v>762</v>
      </c>
      <c r="E704" s="28" t="s">
        <v>763</v>
      </c>
      <c r="F704" s="28" t="s">
        <v>1947</v>
      </c>
      <c r="G704" s="27" t="s">
        <v>102</v>
      </c>
      <c r="I704" s="27" t="s">
        <v>226</v>
      </c>
      <c r="J704" s="28">
        <v>21480</v>
      </c>
      <c r="K704" s="27" t="s">
        <v>97</v>
      </c>
    </row>
    <row r="705" spans="1:242" ht="30">
      <c r="A705">
        <v>690</v>
      </c>
      <c r="B705" t="s">
        <v>468</v>
      </c>
      <c r="C705" s="121" t="s">
        <v>1202</v>
      </c>
      <c r="D705" s="28" t="s">
        <v>762</v>
      </c>
      <c r="E705" s="28" t="s">
        <v>763</v>
      </c>
      <c r="F705" s="28" t="s">
        <v>2182</v>
      </c>
      <c r="G705" s="27" t="s">
        <v>102</v>
      </c>
      <c r="I705" s="27" t="s">
        <v>226</v>
      </c>
      <c r="J705" s="28">
        <v>21590</v>
      </c>
      <c r="K705" s="27" t="s">
        <v>397</v>
      </c>
      <c r="L705" s="121"/>
      <c r="M705" s="121"/>
      <c r="N705" s="115"/>
      <c r="O705" s="115"/>
      <c r="P705" s="115"/>
      <c r="Q705" s="115" t="s">
        <v>2773</v>
      </c>
      <c r="R705" s="121" t="s">
        <v>2760</v>
      </c>
      <c r="S705" s="121" t="s">
        <v>2794</v>
      </c>
      <c r="T705" s="121" t="s">
        <v>2762</v>
      </c>
      <c r="U705" s="326">
        <v>45119</v>
      </c>
      <c r="V705" s="353" t="s">
        <v>2748</v>
      </c>
      <c r="W705" s="218"/>
      <c r="X705" s="121"/>
      <c r="Y705" s="121"/>
      <c r="Z705" s="121"/>
      <c r="AA705" s="218" t="s">
        <v>2795</v>
      </c>
      <c r="AB705" s="121">
        <v>111.01</v>
      </c>
      <c r="AC705" s="121">
        <v>20</v>
      </c>
      <c r="AD705" s="122" t="s">
        <v>1200</v>
      </c>
      <c r="AE705" s="219">
        <f>BA705</f>
        <v>15.65241</v>
      </c>
      <c r="AF705" s="219"/>
      <c r="AG705" s="219">
        <f>EU705</f>
        <v>6.1728395061728394</v>
      </c>
      <c r="AH705" s="219">
        <f>DP705</f>
        <v>0</v>
      </c>
      <c r="AI705" s="219">
        <f>DO705</f>
        <v>0</v>
      </c>
      <c r="AJ705" s="219">
        <f>GW705</f>
        <v>0.1234567901234568</v>
      </c>
      <c r="AK705" s="219">
        <f>GU705</f>
        <v>0.27281561882716049</v>
      </c>
      <c r="AL705" s="219">
        <f>GS705</f>
        <v>2.4007774456790121</v>
      </c>
      <c r="AM705" s="219">
        <f>HV705</f>
        <v>0.32750000000000001</v>
      </c>
      <c r="AN705" s="219">
        <f>IG705</f>
        <v>0.13</v>
      </c>
      <c r="AO705" s="220">
        <v>0</v>
      </c>
      <c r="AP705" s="220"/>
      <c r="AQ705" s="204">
        <f>SUM(AE705:AP705)</f>
        <v>25.079799360802465</v>
      </c>
      <c r="AR705" s="219"/>
      <c r="AS705" s="219"/>
      <c r="AT705" s="220"/>
      <c r="AU705" s="219"/>
      <c r="AV705" s="204">
        <f>SUM(AQ705:AU705)</f>
        <v>25.079799360802465</v>
      </c>
      <c r="AW705" s="122">
        <v>0.14099999999999999</v>
      </c>
      <c r="AX705" s="122">
        <v>0.14099999999999999</v>
      </c>
      <c r="AY705" s="210">
        <v>1</v>
      </c>
      <c r="AZ705" s="352">
        <f>AW705-AX705</f>
        <v>0</v>
      </c>
      <c r="BA705" s="202">
        <f>AW705*AB705-AZ705*AC705</f>
        <v>15.65241</v>
      </c>
      <c r="BB705" s="202"/>
      <c r="BC705" s="202"/>
      <c r="BD705" s="202"/>
      <c r="BE705" s="202"/>
      <c r="BF705" s="202"/>
      <c r="BG705" s="202"/>
      <c r="BH705" s="202"/>
      <c r="BI705" s="202"/>
      <c r="BJ705" s="202"/>
      <c r="BK705" s="202"/>
      <c r="BL705" s="202"/>
      <c r="BM705" s="202"/>
      <c r="BN705" s="202"/>
      <c r="BO705" s="202"/>
      <c r="BP705" s="202"/>
      <c r="BQ705" s="202"/>
      <c r="BR705" s="202"/>
      <c r="BS705" s="202"/>
      <c r="BT705" s="202"/>
      <c r="BU705" s="202"/>
      <c r="BV705" s="202"/>
      <c r="BW705" s="202"/>
      <c r="BX705" s="202"/>
      <c r="BY705" s="202"/>
      <c r="BZ705" s="202"/>
      <c r="CA705" s="202"/>
      <c r="CB705" s="202"/>
      <c r="CC705" s="202"/>
      <c r="CD705" s="122"/>
      <c r="CE705" s="122">
        <v>0</v>
      </c>
      <c r="CF705" s="122">
        <v>0</v>
      </c>
      <c r="CG705" s="122">
        <v>0</v>
      </c>
      <c r="CH705" s="122">
        <v>0</v>
      </c>
      <c r="CI705" s="121"/>
      <c r="CJ705" s="121"/>
      <c r="CK705" s="122"/>
      <c r="CL705" s="122"/>
      <c r="CM705" s="122"/>
      <c r="CN705" s="122"/>
      <c r="CO705" s="122"/>
      <c r="CP705" s="122"/>
      <c r="CQ705" s="122"/>
      <c r="CR705" s="122"/>
      <c r="CS705" s="122"/>
      <c r="CT705" s="122"/>
      <c r="CU705" s="122"/>
      <c r="CV705" s="122"/>
      <c r="CW705" s="122"/>
      <c r="CX705" s="122"/>
      <c r="CY705" s="122"/>
      <c r="CZ705" s="122"/>
      <c r="DA705" s="122"/>
      <c r="DB705" s="122"/>
      <c r="DC705" s="122"/>
      <c r="DD705" s="122"/>
      <c r="DE705" s="122"/>
      <c r="DF705" s="122"/>
      <c r="DG705" s="122"/>
      <c r="DH705" s="122"/>
      <c r="DI705" s="122"/>
      <c r="DJ705" s="122"/>
      <c r="DK705" s="122"/>
      <c r="DL705" s="122"/>
      <c r="DM705" s="122">
        <v>0</v>
      </c>
      <c r="DN705" s="211">
        <v>1.2500000000000001E-2</v>
      </c>
      <c r="DO705" s="202">
        <f>DN705*CG705*CF705</f>
        <v>0</v>
      </c>
      <c r="DP705" s="122">
        <f>CG705*CF705</f>
        <v>0</v>
      </c>
      <c r="DQ705" s="122"/>
      <c r="DR705" s="122"/>
      <c r="DS705" s="122"/>
      <c r="DT705" s="122"/>
      <c r="DU705" s="122"/>
      <c r="DV705" s="122"/>
      <c r="DW705" s="122"/>
      <c r="DX705" s="122"/>
      <c r="DY705" s="122"/>
      <c r="DZ705" s="122"/>
      <c r="EA705" s="122"/>
      <c r="EB705" s="122"/>
      <c r="EC705" s="122"/>
      <c r="ED705" s="122"/>
      <c r="EE705" s="122"/>
      <c r="EF705" s="122">
        <v>250</v>
      </c>
      <c r="EG705" s="122">
        <v>2500</v>
      </c>
      <c r="EH705" s="122">
        <v>7.5</v>
      </c>
      <c r="EI705" s="210">
        <v>0.9</v>
      </c>
      <c r="EJ705" s="122">
        <v>1</v>
      </c>
      <c r="EK705" s="122">
        <v>60</v>
      </c>
      <c r="EL705" s="122">
        <f>ROUND(3600/EK705*EH705*EJ705*EI705,0)</f>
        <v>405</v>
      </c>
      <c r="EM705" s="122"/>
      <c r="EN705" s="122"/>
      <c r="EO705" s="122"/>
      <c r="EP705" s="122"/>
      <c r="EQ705" s="122"/>
      <c r="ER705" s="122"/>
      <c r="ES705" s="122"/>
      <c r="ET705" s="122"/>
      <c r="EU705" s="202">
        <f>EG705/EL705</f>
        <v>6.1728395061728394</v>
      </c>
      <c r="EV705" s="122"/>
      <c r="EW705" s="122"/>
      <c r="EX705" s="122"/>
      <c r="EY705" s="122"/>
      <c r="EZ705" s="122"/>
      <c r="FA705" s="122"/>
      <c r="FB705" s="122"/>
      <c r="FC705" s="122"/>
      <c r="FD705" s="122"/>
      <c r="FE705" s="122"/>
      <c r="FF705" s="122"/>
      <c r="FG705" s="122"/>
      <c r="FH705" s="122"/>
      <c r="FI705" s="122"/>
      <c r="FJ705" s="122"/>
      <c r="FK705" s="122"/>
      <c r="FL705" s="122"/>
      <c r="FM705" s="122"/>
      <c r="FN705" s="122"/>
      <c r="FO705" s="122"/>
      <c r="FP705" s="122"/>
      <c r="FQ705" s="122"/>
      <c r="FR705" s="122"/>
      <c r="FS705" s="122"/>
      <c r="FT705" s="122"/>
      <c r="FU705" s="122"/>
      <c r="FV705" s="122"/>
      <c r="FW705" s="122"/>
      <c r="FX705" s="122"/>
      <c r="FY705" s="122"/>
      <c r="FZ705" s="122"/>
      <c r="GA705" s="122"/>
      <c r="GB705" s="122"/>
      <c r="GC705" s="122"/>
      <c r="GD705" s="122"/>
      <c r="GE705" s="122"/>
      <c r="GF705" s="122"/>
      <c r="GG705" s="122"/>
      <c r="GH705" s="122"/>
      <c r="GI705" s="122"/>
      <c r="GJ705" s="122"/>
      <c r="GK705" s="122"/>
      <c r="GL705" s="122"/>
      <c r="GM705" s="122"/>
      <c r="GN705" s="122"/>
      <c r="GO705" s="122"/>
      <c r="GP705" s="122"/>
      <c r="GQ705" s="122"/>
      <c r="GR705" s="210">
        <v>0.11</v>
      </c>
      <c r="GS705" s="203">
        <f>GR705*(BA705+EU705)</f>
        <v>2.4007774456790121</v>
      </c>
      <c r="GT705" s="208">
        <v>1.2500000000000001E-2</v>
      </c>
      <c r="GU705" s="203">
        <f>GT705*(BA705+EU705)</f>
        <v>0.27281561882716049</v>
      </c>
      <c r="GV705" s="207">
        <v>0.02</v>
      </c>
      <c r="GW705" s="203">
        <f>GV705*EU705</f>
        <v>0.1234567901234568</v>
      </c>
      <c r="GX705" s="203">
        <f>GS705+GU705+GW705</f>
        <v>2.7970498546296296</v>
      </c>
      <c r="GY705" s="122" t="s">
        <v>43</v>
      </c>
      <c r="GZ705" s="122" t="s">
        <v>87</v>
      </c>
      <c r="HA705" s="122">
        <v>810</v>
      </c>
      <c r="HB705" s="122">
        <v>568</v>
      </c>
      <c r="HC705" s="122">
        <v>425</v>
      </c>
      <c r="HD705" s="122">
        <v>70</v>
      </c>
      <c r="HE705" s="122">
        <v>400</v>
      </c>
      <c r="HF705" s="122">
        <f>ROUNDUP(HE705/HD705,0)</f>
        <v>6</v>
      </c>
      <c r="HG705" s="122">
        <v>5</v>
      </c>
      <c r="HH705" s="122">
        <f>HF705*HG705</f>
        <v>30</v>
      </c>
      <c r="HI705" s="122">
        <v>1100</v>
      </c>
      <c r="HJ705" s="122">
        <f>HH705*HI705</f>
        <v>33000</v>
      </c>
      <c r="HK705" s="122"/>
      <c r="HL705" s="122"/>
      <c r="HM705" s="122">
        <v>2</v>
      </c>
      <c r="HN705" s="122">
        <f>HM705*12*25*HE705</f>
        <v>240000</v>
      </c>
      <c r="HO705" s="202">
        <f>IF(GY705="carton box",HI705/HD705,HJ705/HN705)</f>
        <v>0.13750000000000001</v>
      </c>
      <c r="HP705" s="122">
        <v>160</v>
      </c>
      <c r="HQ705" s="122">
        <v>0</v>
      </c>
      <c r="HR705" s="122">
        <v>0.19</v>
      </c>
      <c r="HS705" s="122">
        <v>1</v>
      </c>
      <c r="HT705" s="203">
        <f>HR705/HS705</f>
        <v>0.19</v>
      </c>
      <c r="HU705" s="203"/>
      <c r="HV705" s="202">
        <f>HO705+HT705</f>
        <v>0.32750000000000001</v>
      </c>
      <c r="HW705" s="202"/>
      <c r="HX705" s="122">
        <v>4200</v>
      </c>
      <c r="HY705" s="122">
        <v>1900</v>
      </c>
      <c r="HZ705" s="122">
        <v>1975</v>
      </c>
      <c r="IA705" s="202">
        <f>ROUNDDOWN(HX705/HA705,0)</f>
        <v>5</v>
      </c>
      <c r="IB705" s="202">
        <f>ROUNDDOWN(HY705/HB705,0)</f>
        <v>3</v>
      </c>
      <c r="IC705" s="202">
        <f>ROUNDDOWN(HZ705/HC705,0)</f>
        <v>4</v>
      </c>
      <c r="ID705" s="207">
        <v>0.95</v>
      </c>
      <c r="IE705" s="203">
        <f>ROUND(PRODUCT(IA705:ID705),0)</f>
        <v>57</v>
      </c>
      <c r="IF705" s="122">
        <v>500</v>
      </c>
      <c r="IG705" s="203">
        <f>ROUNDUP(IF705/(IE705*HD705),2)</f>
        <v>0.13</v>
      </c>
      <c r="IH705" s="368"/>
    </row>
    <row r="706" spans="1:242">
      <c r="A706">
        <v>691</v>
      </c>
      <c r="B706" s="301" t="s">
        <v>1947</v>
      </c>
      <c r="D706" s="28" t="s">
        <v>774</v>
      </c>
      <c r="E706" s="28" t="s">
        <v>773</v>
      </c>
      <c r="F706" s="28" t="s">
        <v>1947</v>
      </c>
      <c r="G706" s="27" t="s">
        <v>102</v>
      </c>
      <c r="I706" s="27" t="s">
        <v>121</v>
      </c>
      <c r="J706" s="28">
        <v>21480</v>
      </c>
      <c r="K706" s="27" t="s">
        <v>97</v>
      </c>
    </row>
    <row r="707" spans="1:242" ht="30">
      <c r="A707">
        <v>692</v>
      </c>
      <c r="B707" t="s">
        <v>468</v>
      </c>
      <c r="C707" s="121" t="s">
        <v>2796</v>
      </c>
      <c r="D707" s="28" t="s">
        <v>774</v>
      </c>
      <c r="E707" s="28" t="s">
        <v>773</v>
      </c>
      <c r="F707" s="28" t="s">
        <v>2182</v>
      </c>
      <c r="G707" s="27" t="s">
        <v>102</v>
      </c>
      <c r="I707" s="27" t="s">
        <v>121</v>
      </c>
      <c r="J707" s="28">
        <v>21697</v>
      </c>
      <c r="K707" s="27" t="s">
        <v>227</v>
      </c>
      <c r="L707" s="121"/>
      <c r="M707" s="121"/>
      <c r="N707" s="115"/>
      <c r="O707" s="115"/>
      <c r="P707" s="115"/>
      <c r="Q707" s="115" t="s">
        <v>2773</v>
      </c>
      <c r="R707" s="121" t="s">
        <v>2760</v>
      </c>
      <c r="S707" s="121" t="s">
        <v>2797</v>
      </c>
      <c r="T707" s="121" t="s">
        <v>2762</v>
      </c>
      <c r="U707" s="326">
        <v>45114</v>
      </c>
      <c r="V707" s="353" t="s">
        <v>2748</v>
      </c>
      <c r="W707" s="218"/>
      <c r="X707" s="121"/>
      <c r="Y707" s="121"/>
      <c r="Z707" s="121"/>
      <c r="AA707" s="218" t="s">
        <v>2798</v>
      </c>
      <c r="AB707" s="121">
        <v>105.6</v>
      </c>
      <c r="AC707" s="121">
        <v>20</v>
      </c>
      <c r="AD707" s="122" t="s">
        <v>1200</v>
      </c>
      <c r="AE707" s="219">
        <f>BA707</f>
        <v>27.244799999999998</v>
      </c>
      <c r="AF707" s="219"/>
      <c r="AG707" s="219">
        <f>EU707</f>
        <v>6.1728395061728394</v>
      </c>
      <c r="AH707" s="219">
        <f>DP707</f>
        <v>0</v>
      </c>
      <c r="AI707" s="219">
        <f>DO707</f>
        <v>0</v>
      </c>
      <c r="AJ707" s="219">
        <f>GW707</f>
        <v>0.1234567901234568</v>
      </c>
      <c r="AK707" s="219">
        <f>GU707</f>
        <v>0.41772049382716053</v>
      </c>
      <c r="AL707" s="219">
        <f>GS707</f>
        <v>3.6759403456790123</v>
      </c>
      <c r="AM707" s="219">
        <f>HV707</f>
        <v>0.83458333333333323</v>
      </c>
      <c r="AN707" s="219">
        <f>IG707</f>
        <v>0.37</v>
      </c>
      <c r="AO707" s="220">
        <v>0</v>
      </c>
      <c r="AP707" s="220"/>
      <c r="AQ707" s="204">
        <f>SUM(AE707:AP707)</f>
        <v>38.839340469135799</v>
      </c>
      <c r="AR707" s="219"/>
      <c r="AS707" s="219"/>
      <c r="AT707" s="220"/>
      <c r="AU707" s="219"/>
      <c r="AV707" s="204">
        <f>SUM(AQ707:AU707)</f>
        <v>38.839340469135799</v>
      </c>
      <c r="AW707" s="122">
        <v>0.25800000000000001</v>
      </c>
      <c r="AX707" s="122">
        <v>0.25800000000000001</v>
      </c>
      <c r="AY707" s="210">
        <v>1</v>
      </c>
      <c r="AZ707" s="352">
        <f>AW707-AX707</f>
        <v>0</v>
      </c>
      <c r="BA707" s="202">
        <f>AW707*AB707-AZ707*AC707</f>
        <v>27.244799999999998</v>
      </c>
      <c r="BB707" s="202"/>
      <c r="BC707" s="202"/>
      <c r="BD707" s="202"/>
      <c r="BE707" s="202"/>
      <c r="BF707" s="202"/>
      <c r="BG707" s="202"/>
      <c r="BH707" s="202"/>
      <c r="BI707" s="202"/>
      <c r="BJ707" s="202"/>
      <c r="BK707" s="202"/>
      <c r="BL707" s="202"/>
      <c r="BM707" s="202"/>
      <c r="BN707" s="202"/>
      <c r="BO707" s="202"/>
      <c r="BP707" s="202"/>
      <c r="BQ707" s="202"/>
      <c r="BR707" s="202"/>
      <c r="BS707" s="202"/>
      <c r="BT707" s="202"/>
      <c r="BU707" s="202"/>
      <c r="BV707" s="202"/>
      <c r="BW707" s="202"/>
      <c r="BX707" s="202"/>
      <c r="BY707" s="202"/>
      <c r="BZ707" s="202"/>
      <c r="CA707" s="202"/>
      <c r="CB707" s="202"/>
      <c r="CC707" s="202"/>
      <c r="CD707" s="122"/>
      <c r="CE707" s="122"/>
      <c r="CF707" s="122"/>
      <c r="CG707" s="122"/>
      <c r="CH707" s="122"/>
      <c r="CI707" s="121"/>
      <c r="CJ707" s="121"/>
      <c r="CK707" s="122"/>
      <c r="CL707" s="122"/>
      <c r="CM707" s="122"/>
      <c r="CN707" s="122"/>
      <c r="CO707" s="122"/>
      <c r="CP707" s="122"/>
      <c r="CQ707" s="122"/>
      <c r="CR707" s="122"/>
      <c r="CS707" s="122"/>
      <c r="CT707" s="122"/>
      <c r="CU707" s="122"/>
      <c r="CV707" s="122"/>
      <c r="CW707" s="122"/>
      <c r="CX707" s="122"/>
      <c r="CY707" s="122"/>
      <c r="CZ707" s="122"/>
      <c r="DA707" s="122"/>
      <c r="DB707" s="122"/>
      <c r="DC707" s="122"/>
      <c r="DD707" s="122"/>
      <c r="DE707" s="122"/>
      <c r="DF707" s="122"/>
      <c r="DG707" s="122"/>
      <c r="DH707" s="122"/>
      <c r="DI707" s="122"/>
      <c r="DJ707" s="122"/>
      <c r="DK707" s="122"/>
      <c r="DL707" s="122"/>
      <c r="DM707" s="122">
        <v>0</v>
      </c>
      <c r="DN707" s="211">
        <v>1.2500000000000001E-2</v>
      </c>
      <c r="DO707" s="202">
        <f>DN707*CG707*CF707</f>
        <v>0</v>
      </c>
      <c r="DP707" s="122">
        <f>CG707*CF707</f>
        <v>0</v>
      </c>
      <c r="DQ707" s="122"/>
      <c r="DR707" s="122"/>
      <c r="DS707" s="122"/>
      <c r="DT707" s="122"/>
      <c r="DU707" s="122"/>
      <c r="DV707" s="122"/>
      <c r="DW707" s="122"/>
      <c r="DX707" s="122"/>
      <c r="DY707" s="122"/>
      <c r="DZ707" s="122"/>
      <c r="EA707" s="122"/>
      <c r="EB707" s="122"/>
      <c r="EC707" s="122"/>
      <c r="ED707" s="122"/>
      <c r="EE707" s="122"/>
      <c r="EF707" s="122">
        <v>250</v>
      </c>
      <c r="EG707" s="122">
        <v>2500</v>
      </c>
      <c r="EH707" s="122">
        <v>7.5</v>
      </c>
      <c r="EI707" s="210">
        <v>0.9</v>
      </c>
      <c r="EJ707" s="122">
        <v>1</v>
      </c>
      <c r="EK707" s="122">
        <v>60</v>
      </c>
      <c r="EL707" s="122">
        <f>ROUND(3600/EK707*EH707*EJ707*EI707,0)</f>
        <v>405</v>
      </c>
      <c r="EM707" s="122"/>
      <c r="EN707" s="122"/>
      <c r="EO707" s="122"/>
      <c r="EP707" s="122"/>
      <c r="EQ707" s="122"/>
      <c r="ER707" s="122"/>
      <c r="ES707" s="122"/>
      <c r="ET707" s="122"/>
      <c r="EU707" s="202">
        <f>EG707/EL707</f>
        <v>6.1728395061728394</v>
      </c>
      <c r="EV707" s="122"/>
      <c r="EW707" s="122"/>
      <c r="EX707" s="122"/>
      <c r="EY707" s="122"/>
      <c r="EZ707" s="122"/>
      <c r="FA707" s="122"/>
      <c r="FB707" s="122"/>
      <c r="FC707" s="122"/>
      <c r="FD707" s="122"/>
      <c r="FE707" s="122"/>
      <c r="FF707" s="122"/>
      <c r="FG707" s="122"/>
      <c r="FH707" s="122"/>
      <c r="FI707" s="122"/>
      <c r="FJ707" s="122"/>
      <c r="FK707" s="122"/>
      <c r="FL707" s="122"/>
      <c r="FM707" s="122"/>
      <c r="FN707" s="122"/>
      <c r="FO707" s="122"/>
      <c r="FP707" s="122"/>
      <c r="FQ707" s="122"/>
      <c r="FR707" s="122"/>
      <c r="FS707" s="122"/>
      <c r="FT707" s="122"/>
      <c r="FU707" s="122"/>
      <c r="FV707" s="122"/>
      <c r="FW707" s="122"/>
      <c r="FX707" s="122"/>
      <c r="FY707" s="122"/>
      <c r="FZ707" s="122"/>
      <c r="GA707" s="122"/>
      <c r="GB707" s="122"/>
      <c r="GC707" s="122"/>
      <c r="GD707" s="122"/>
      <c r="GE707" s="122"/>
      <c r="GF707" s="122"/>
      <c r="GG707" s="122"/>
      <c r="GH707" s="122"/>
      <c r="GI707" s="122"/>
      <c r="GJ707" s="122"/>
      <c r="GK707" s="122"/>
      <c r="GL707" s="122"/>
      <c r="GM707" s="122"/>
      <c r="GN707" s="122"/>
      <c r="GO707" s="122"/>
      <c r="GP707" s="122"/>
      <c r="GQ707" s="122"/>
      <c r="GR707" s="210">
        <v>0.11</v>
      </c>
      <c r="GS707" s="203">
        <f>GR707*(BA707+EU707)</f>
        <v>3.6759403456790123</v>
      </c>
      <c r="GT707" s="208">
        <v>1.2500000000000001E-2</v>
      </c>
      <c r="GU707" s="203">
        <f>GT707*(BA707+EU707)</f>
        <v>0.41772049382716053</v>
      </c>
      <c r="GV707" s="207">
        <v>0.02</v>
      </c>
      <c r="GW707" s="203">
        <f>GV707*EU707</f>
        <v>0.1234567901234568</v>
      </c>
      <c r="GX707" s="203">
        <f>GS707+GU707+GW707</f>
        <v>4.2171176296296293</v>
      </c>
      <c r="GY707" s="122" t="s">
        <v>43</v>
      </c>
      <c r="GZ707" s="122" t="s">
        <v>87</v>
      </c>
      <c r="HA707" s="122">
        <v>650</v>
      </c>
      <c r="HB707" s="122">
        <v>450</v>
      </c>
      <c r="HC707" s="122">
        <v>330</v>
      </c>
      <c r="HD707" s="122">
        <v>12</v>
      </c>
      <c r="HE707" s="122">
        <v>400</v>
      </c>
      <c r="HF707" s="122">
        <f>ROUNDUP(HE707/HD707,0)</f>
        <v>34</v>
      </c>
      <c r="HG707" s="330">
        <v>7</v>
      </c>
      <c r="HH707" s="122">
        <f>HF707*HG707</f>
        <v>238</v>
      </c>
      <c r="HI707" s="122">
        <v>650</v>
      </c>
      <c r="HJ707" s="122">
        <f>HH707*HI707</f>
        <v>154700</v>
      </c>
      <c r="HK707" s="122"/>
      <c r="HL707" s="122"/>
      <c r="HM707" s="122">
        <v>2</v>
      </c>
      <c r="HN707" s="122">
        <f>HM707*12*25*HE707</f>
        <v>240000</v>
      </c>
      <c r="HO707" s="202">
        <f>IF(GY707="carton box",HI707/HD707,HJ707/HN707)</f>
        <v>0.64458333333333329</v>
      </c>
      <c r="HP707" s="122">
        <v>160</v>
      </c>
      <c r="HQ707" s="122">
        <v>0</v>
      </c>
      <c r="HR707" s="122">
        <v>0.19</v>
      </c>
      <c r="HS707" s="122">
        <v>1</v>
      </c>
      <c r="HT707" s="203">
        <f>HR707/HS707</f>
        <v>0.19</v>
      </c>
      <c r="HU707" s="203"/>
      <c r="HV707" s="202">
        <f>HO707+HT707</f>
        <v>0.83458333333333323</v>
      </c>
      <c r="HW707" s="202"/>
      <c r="HX707" s="122">
        <v>4200</v>
      </c>
      <c r="HY707" s="122">
        <v>1900</v>
      </c>
      <c r="HZ707" s="122">
        <v>1975</v>
      </c>
      <c r="IA707" s="202">
        <f t="shared" ref="IA707:IC709" si="658">ROUNDDOWN(HX707/HA707,0)</f>
        <v>6</v>
      </c>
      <c r="IB707" s="202">
        <f t="shared" si="658"/>
        <v>4</v>
      </c>
      <c r="IC707" s="202">
        <f t="shared" si="658"/>
        <v>5</v>
      </c>
      <c r="ID707" s="207">
        <v>0.95</v>
      </c>
      <c r="IE707" s="203">
        <f>ROUND(PRODUCT(IA707:ID707),0)</f>
        <v>114</v>
      </c>
      <c r="IF707" s="122">
        <v>500</v>
      </c>
      <c r="IG707" s="203">
        <f>ROUNDUP(IF707/(IE707*HD707),2)</f>
        <v>0.37</v>
      </c>
      <c r="IH707" s="368"/>
    </row>
    <row r="708" spans="1:242" ht="30">
      <c r="A708">
        <v>693</v>
      </c>
      <c r="B708" t="s">
        <v>468</v>
      </c>
      <c r="C708" s="121" t="s">
        <v>2796</v>
      </c>
      <c r="D708" s="28" t="s">
        <v>774</v>
      </c>
      <c r="E708" s="28" t="s">
        <v>773</v>
      </c>
      <c r="F708" s="28" t="s">
        <v>2182</v>
      </c>
      <c r="G708" s="27" t="s">
        <v>102</v>
      </c>
      <c r="I708" s="27" t="s">
        <v>226</v>
      </c>
      <c r="J708" s="28">
        <v>21590</v>
      </c>
      <c r="K708" s="27" t="s">
        <v>397</v>
      </c>
      <c r="L708" s="121"/>
      <c r="M708" s="121"/>
      <c r="N708" s="115"/>
      <c r="O708" s="115"/>
      <c r="P708" s="115"/>
      <c r="Q708" s="115" t="s">
        <v>2773</v>
      </c>
      <c r="R708" s="121" t="s">
        <v>2760</v>
      </c>
      <c r="S708" s="121" t="s">
        <v>2797</v>
      </c>
      <c r="T708" s="121" t="s">
        <v>2762</v>
      </c>
      <c r="U708" s="326">
        <v>45114</v>
      </c>
      <c r="V708" s="353" t="s">
        <v>2748</v>
      </c>
      <c r="W708" s="218" t="s">
        <v>2799</v>
      </c>
      <c r="X708" s="121"/>
      <c r="Y708" s="121"/>
      <c r="Z708" s="121"/>
      <c r="AA708" s="218" t="s">
        <v>2798</v>
      </c>
      <c r="AB708" s="121">
        <v>105.6</v>
      </c>
      <c r="AC708" s="121">
        <v>20</v>
      </c>
      <c r="AD708" s="122" t="s">
        <v>1200</v>
      </c>
      <c r="AE708" s="219">
        <f>BA708</f>
        <v>27.244799999999998</v>
      </c>
      <c r="AF708" s="219"/>
      <c r="AG708" s="219">
        <f>EU708</f>
        <v>6.1728395061728394</v>
      </c>
      <c r="AH708" s="219">
        <f>DP708</f>
        <v>0</v>
      </c>
      <c r="AI708" s="219">
        <f>DO708</f>
        <v>0</v>
      </c>
      <c r="AJ708" s="219">
        <f>GW708</f>
        <v>0.1234567901234568</v>
      </c>
      <c r="AK708" s="219">
        <f>GU708</f>
        <v>0.41772049382716053</v>
      </c>
      <c r="AL708" s="219">
        <f>GS708</f>
        <v>3.6759403456790123</v>
      </c>
      <c r="AM708" s="219">
        <f>HV708</f>
        <v>0.83458333333333323</v>
      </c>
      <c r="AN708" s="219">
        <f>IG708</f>
        <v>0.37</v>
      </c>
      <c r="AO708" s="220">
        <v>0</v>
      </c>
      <c r="AP708" s="220"/>
      <c r="AQ708" s="204">
        <f>SUM(AE708:AP708)</f>
        <v>38.839340469135799</v>
      </c>
      <c r="AR708" s="219"/>
      <c r="AS708" s="219"/>
      <c r="AT708" s="220"/>
      <c r="AU708" s="219"/>
      <c r="AV708" s="204">
        <f>SUM(AQ708:AU708)</f>
        <v>38.839340469135799</v>
      </c>
      <c r="AW708" s="122">
        <v>0.25800000000000001</v>
      </c>
      <c r="AX708" s="122">
        <v>0.25800000000000001</v>
      </c>
      <c r="AY708" s="210">
        <v>1</v>
      </c>
      <c r="AZ708" s="352">
        <f>AW708-AX708</f>
        <v>0</v>
      </c>
      <c r="BA708" s="202">
        <f>AW708*AB708-AZ708*AC708</f>
        <v>27.244799999999998</v>
      </c>
      <c r="BB708" s="202"/>
      <c r="BC708" s="202"/>
      <c r="BD708" s="202"/>
      <c r="BE708" s="202"/>
      <c r="BF708" s="202"/>
      <c r="BG708" s="202"/>
      <c r="BH708" s="202"/>
      <c r="BI708" s="202"/>
      <c r="BJ708" s="202"/>
      <c r="BK708" s="202"/>
      <c r="BL708" s="202"/>
      <c r="BM708" s="202"/>
      <c r="BN708" s="202"/>
      <c r="BO708" s="202"/>
      <c r="BP708" s="202"/>
      <c r="BQ708" s="202"/>
      <c r="BR708" s="202"/>
      <c r="BS708" s="202"/>
      <c r="BT708" s="202"/>
      <c r="BU708" s="202"/>
      <c r="BV708" s="202"/>
      <c r="BW708" s="202"/>
      <c r="BX708" s="202"/>
      <c r="BY708" s="202"/>
      <c r="BZ708" s="202"/>
      <c r="CA708" s="202"/>
      <c r="CB708" s="202"/>
      <c r="CC708" s="202"/>
      <c r="CD708" s="122"/>
      <c r="CE708" s="122"/>
      <c r="CF708" s="122"/>
      <c r="CG708" s="122"/>
      <c r="CH708" s="122"/>
      <c r="CI708" s="121"/>
      <c r="CJ708" s="121"/>
      <c r="CK708" s="122"/>
      <c r="CL708" s="122"/>
      <c r="CM708" s="122"/>
      <c r="CN708" s="122"/>
      <c r="CO708" s="122"/>
      <c r="CP708" s="122"/>
      <c r="CQ708" s="122"/>
      <c r="CR708" s="122"/>
      <c r="CS708" s="122"/>
      <c r="CT708" s="122"/>
      <c r="CU708" s="122"/>
      <c r="CV708" s="122"/>
      <c r="CW708" s="122"/>
      <c r="CX708" s="122"/>
      <c r="CY708" s="122"/>
      <c r="CZ708" s="122"/>
      <c r="DA708" s="122"/>
      <c r="DB708" s="122"/>
      <c r="DC708" s="122"/>
      <c r="DD708" s="122"/>
      <c r="DE708" s="122"/>
      <c r="DF708" s="122"/>
      <c r="DG708" s="122"/>
      <c r="DH708" s="122"/>
      <c r="DI708" s="122"/>
      <c r="DJ708" s="122"/>
      <c r="DK708" s="122"/>
      <c r="DL708" s="122"/>
      <c r="DM708" s="122">
        <v>0</v>
      </c>
      <c r="DN708" s="211">
        <v>1.2500000000000001E-2</v>
      </c>
      <c r="DO708" s="202">
        <f>DN708*CG708*CF708</f>
        <v>0</v>
      </c>
      <c r="DP708" s="122">
        <f>CG708*CF708</f>
        <v>0</v>
      </c>
      <c r="DQ708" s="122"/>
      <c r="DR708" s="122"/>
      <c r="DS708" s="122"/>
      <c r="DT708" s="122"/>
      <c r="DU708" s="122"/>
      <c r="DV708" s="122"/>
      <c r="DW708" s="122"/>
      <c r="DX708" s="122"/>
      <c r="DY708" s="122"/>
      <c r="DZ708" s="122"/>
      <c r="EA708" s="122"/>
      <c r="EB708" s="122"/>
      <c r="EC708" s="122"/>
      <c r="ED708" s="122"/>
      <c r="EE708" s="122"/>
      <c r="EF708" s="122">
        <v>250</v>
      </c>
      <c r="EG708" s="122">
        <v>2500</v>
      </c>
      <c r="EH708" s="122">
        <v>7.5</v>
      </c>
      <c r="EI708" s="210">
        <v>0.9</v>
      </c>
      <c r="EJ708" s="122">
        <v>1</v>
      </c>
      <c r="EK708" s="122">
        <v>60</v>
      </c>
      <c r="EL708" s="122">
        <f>ROUND(3600/EK708*EH708*EJ708*EI708,0)</f>
        <v>405</v>
      </c>
      <c r="EM708" s="122"/>
      <c r="EN708" s="122"/>
      <c r="EO708" s="122"/>
      <c r="EP708" s="122"/>
      <c r="EQ708" s="122"/>
      <c r="ER708" s="122"/>
      <c r="ES708" s="122"/>
      <c r="ET708" s="122"/>
      <c r="EU708" s="202">
        <f>EG708/EL708</f>
        <v>6.1728395061728394</v>
      </c>
      <c r="EV708" s="122"/>
      <c r="EW708" s="122"/>
      <c r="EX708" s="122"/>
      <c r="EY708" s="122"/>
      <c r="EZ708" s="122"/>
      <c r="FA708" s="122"/>
      <c r="FB708" s="122"/>
      <c r="FC708" s="122"/>
      <c r="FD708" s="122"/>
      <c r="FE708" s="122"/>
      <c r="FF708" s="122"/>
      <c r="FG708" s="122"/>
      <c r="FH708" s="122"/>
      <c r="FI708" s="122"/>
      <c r="FJ708" s="122"/>
      <c r="FK708" s="122"/>
      <c r="FL708" s="122"/>
      <c r="FM708" s="122"/>
      <c r="FN708" s="122"/>
      <c r="FO708" s="122"/>
      <c r="FP708" s="122"/>
      <c r="FQ708" s="122"/>
      <c r="FR708" s="122"/>
      <c r="FS708" s="122"/>
      <c r="FT708" s="122"/>
      <c r="FU708" s="122"/>
      <c r="FV708" s="122"/>
      <c r="FW708" s="122"/>
      <c r="FX708" s="122"/>
      <c r="FY708" s="122"/>
      <c r="FZ708" s="122"/>
      <c r="GA708" s="122"/>
      <c r="GB708" s="122"/>
      <c r="GC708" s="122"/>
      <c r="GD708" s="122"/>
      <c r="GE708" s="122"/>
      <c r="GF708" s="122"/>
      <c r="GG708" s="122"/>
      <c r="GH708" s="122"/>
      <c r="GI708" s="122"/>
      <c r="GJ708" s="122"/>
      <c r="GK708" s="122"/>
      <c r="GL708" s="122"/>
      <c r="GM708" s="122"/>
      <c r="GN708" s="122"/>
      <c r="GO708" s="122"/>
      <c r="GP708" s="122"/>
      <c r="GQ708" s="122"/>
      <c r="GR708" s="210">
        <v>0.11</v>
      </c>
      <c r="GS708" s="203">
        <f>GR708*(BA708+EU708)</f>
        <v>3.6759403456790123</v>
      </c>
      <c r="GT708" s="208">
        <v>1.2500000000000001E-2</v>
      </c>
      <c r="GU708" s="203">
        <f>GT708*(BA708+EU708)</f>
        <v>0.41772049382716053</v>
      </c>
      <c r="GV708" s="207">
        <v>0.02</v>
      </c>
      <c r="GW708" s="203">
        <f>GV708*EU708</f>
        <v>0.1234567901234568</v>
      </c>
      <c r="GX708" s="203">
        <f>GS708+GU708+GW708</f>
        <v>4.2171176296296293</v>
      </c>
      <c r="GY708" s="122" t="s">
        <v>43</v>
      </c>
      <c r="GZ708" s="122" t="s">
        <v>87</v>
      </c>
      <c r="HA708" s="122">
        <v>650</v>
      </c>
      <c r="HB708" s="122">
        <v>450</v>
      </c>
      <c r="HC708" s="122">
        <v>330</v>
      </c>
      <c r="HD708" s="122">
        <v>12</v>
      </c>
      <c r="HE708" s="122">
        <v>400</v>
      </c>
      <c r="HF708" s="122">
        <f>ROUNDUP(HE708/HD708,0)</f>
        <v>34</v>
      </c>
      <c r="HG708" s="330">
        <v>7</v>
      </c>
      <c r="HH708" s="122">
        <f>HF708*HG708</f>
        <v>238</v>
      </c>
      <c r="HI708" s="122">
        <v>650</v>
      </c>
      <c r="HJ708" s="122">
        <f>HH708*HI708</f>
        <v>154700</v>
      </c>
      <c r="HK708" s="122"/>
      <c r="HL708" s="122"/>
      <c r="HM708" s="122">
        <v>2</v>
      </c>
      <c r="HN708" s="122">
        <f>HM708*12*25*HE708</f>
        <v>240000</v>
      </c>
      <c r="HO708" s="202">
        <f>IF(GY708="carton box",HI708/HD708,HJ708/HN708)</f>
        <v>0.64458333333333329</v>
      </c>
      <c r="HP708" s="122">
        <v>160</v>
      </c>
      <c r="HQ708" s="122">
        <v>0</v>
      </c>
      <c r="HR708" s="122">
        <v>0.19</v>
      </c>
      <c r="HS708" s="122">
        <v>1</v>
      </c>
      <c r="HT708" s="203">
        <f>HR708/HS708</f>
        <v>0.19</v>
      </c>
      <c r="HU708" s="203"/>
      <c r="HV708" s="202">
        <f>HO708+HT708</f>
        <v>0.83458333333333323</v>
      </c>
      <c r="HW708" s="202"/>
      <c r="HX708" s="122">
        <v>4200</v>
      </c>
      <c r="HY708" s="122">
        <v>1900</v>
      </c>
      <c r="HZ708" s="122">
        <v>1975</v>
      </c>
      <c r="IA708" s="202">
        <f t="shared" si="658"/>
        <v>6</v>
      </c>
      <c r="IB708" s="202">
        <f t="shared" si="658"/>
        <v>4</v>
      </c>
      <c r="IC708" s="202">
        <f t="shared" si="658"/>
        <v>5</v>
      </c>
      <c r="ID708" s="207">
        <v>0.95</v>
      </c>
      <c r="IE708" s="203">
        <f>ROUND(PRODUCT(IA708:ID708),0)</f>
        <v>114</v>
      </c>
      <c r="IF708" s="122">
        <v>500</v>
      </c>
      <c r="IG708" s="203">
        <f>ROUNDUP(IF708/(IE708*HD708),2)</f>
        <v>0.37</v>
      </c>
      <c r="IH708" s="368"/>
    </row>
    <row r="709" spans="1:242" ht="30">
      <c r="A709">
        <v>694</v>
      </c>
      <c r="B709" t="s">
        <v>468</v>
      </c>
      <c r="C709" s="335" t="s">
        <v>2800</v>
      </c>
      <c r="D709" s="28" t="s">
        <v>1524</v>
      </c>
      <c r="E709" s="28" t="s">
        <v>367</v>
      </c>
      <c r="F709" s="28" t="s">
        <v>2182</v>
      </c>
      <c r="G709" s="27" t="s">
        <v>102</v>
      </c>
      <c r="I709" s="27" t="s">
        <v>121</v>
      </c>
      <c r="J709" s="28">
        <v>21677</v>
      </c>
      <c r="K709" s="27" t="s">
        <v>228</v>
      </c>
      <c r="L709" s="121"/>
      <c r="M709" s="121"/>
      <c r="N709" s="115"/>
      <c r="O709" s="115"/>
      <c r="P709" s="115"/>
      <c r="Q709" s="115" t="s">
        <v>2759</v>
      </c>
      <c r="R709" s="121" t="s">
        <v>2779</v>
      </c>
      <c r="S709" s="121" t="s">
        <v>2801</v>
      </c>
      <c r="T709" s="121" t="s">
        <v>2762</v>
      </c>
      <c r="U709" s="326">
        <v>44410</v>
      </c>
      <c r="V709" s="121" t="s">
        <v>2748</v>
      </c>
      <c r="W709" s="218" t="s">
        <v>2802</v>
      </c>
      <c r="X709" s="121"/>
      <c r="Y709" s="121"/>
      <c r="Z709" s="121"/>
      <c r="AA709" s="218" t="s">
        <v>2809</v>
      </c>
      <c r="AB709" s="121">
        <v>240</v>
      </c>
      <c r="AC709" s="121">
        <v>20</v>
      </c>
      <c r="AD709" s="122"/>
      <c r="AE709" s="219">
        <f>BA709</f>
        <v>16.534000000000002</v>
      </c>
      <c r="AF709" s="219"/>
      <c r="AG709" s="219">
        <f>EU709</f>
        <v>2.2650056625141564</v>
      </c>
      <c r="AH709" s="219">
        <f>DP709</f>
        <v>0</v>
      </c>
      <c r="AI709" s="219">
        <f>DO709</f>
        <v>0</v>
      </c>
      <c r="AJ709" s="219">
        <f>GW709</f>
        <v>4.5300113250283131E-2</v>
      </c>
      <c r="AK709" s="219">
        <f>GU709</f>
        <v>0.23498757078142699</v>
      </c>
      <c r="AL709" s="219">
        <f>GS709</f>
        <v>2.0678906228765572</v>
      </c>
      <c r="AM709" s="219">
        <f>HV709</f>
        <v>8.458333333333333E-2</v>
      </c>
      <c r="AN709" s="219">
        <f>IG709</f>
        <v>0.1</v>
      </c>
      <c r="AO709" s="220">
        <v>0</v>
      </c>
      <c r="AP709" s="220"/>
      <c r="AQ709" s="204">
        <f>SUM(AE709:AP709)</f>
        <v>21.331767302755765</v>
      </c>
      <c r="AR709" s="219"/>
      <c r="AS709" s="219"/>
      <c r="AT709" s="220"/>
      <c r="AU709" s="219">
        <f>21.45-21.33</f>
        <v>0.12000000000000099</v>
      </c>
      <c r="AV709" s="204">
        <f>SUM(AQ709:AU709)</f>
        <v>21.451767302755766</v>
      </c>
      <c r="AW709" s="122">
        <v>6.9100000000000009E-2</v>
      </c>
      <c r="AX709" s="122">
        <v>6.6600000000000006E-2</v>
      </c>
      <c r="AY709" s="210">
        <v>1</v>
      </c>
      <c r="AZ709" s="352">
        <f>AW709-AX709</f>
        <v>2.5000000000000022E-3</v>
      </c>
      <c r="BA709" s="202">
        <f>AW709*AB709-AZ709*AC709</f>
        <v>16.534000000000002</v>
      </c>
      <c r="BB709" s="202"/>
      <c r="BC709" s="202"/>
      <c r="BD709" s="202"/>
      <c r="BE709" s="202"/>
      <c r="BF709" s="202"/>
      <c r="BG709" s="202"/>
      <c r="BH709" s="202"/>
      <c r="BI709" s="202"/>
      <c r="BJ709" s="202"/>
      <c r="BK709" s="202"/>
      <c r="BL709" s="202"/>
      <c r="BM709" s="202"/>
      <c r="BN709" s="202"/>
      <c r="BO709" s="202"/>
      <c r="BP709" s="202"/>
      <c r="BQ709" s="202"/>
      <c r="BR709" s="202"/>
      <c r="BS709" s="202"/>
      <c r="BT709" s="202"/>
      <c r="BU709" s="202"/>
      <c r="BV709" s="202"/>
      <c r="BW709" s="202"/>
      <c r="BX709" s="202"/>
      <c r="BY709" s="202"/>
      <c r="BZ709" s="202"/>
      <c r="CA709" s="202"/>
      <c r="CB709" s="202"/>
      <c r="CC709" s="202"/>
      <c r="CD709" s="122"/>
      <c r="CE709" s="122">
        <v>0</v>
      </c>
      <c r="CF709" s="122">
        <v>0</v>
      </c>
      <c r="CG709" s="122">
        <v>0</v>
      </c>
      <c r="CH709" s="122">
        <v>0</v>
      </c>
      <c r="CI709" s="121"/>
      <c r="CJ709" s="121"/>
      <c r="CK709" s="122"/>
      <c r="CL709" s="122"/>
      <c r="CM709" s="122"/>
      <c r="CN709" s="122"/>
      <c r="CO709" s="122"/>
      <c r="CP709" s="122"/>
      <c r="CQ709" s="122"/>
      <c r="CR709" s="122"/>
      <c r="CS709" s="122"/>
      <c r="CT709" s="122"/>
      <c r="CU709" s="122"/>
      <c r="CV709" s="122"/>
      <c r="CW709" s="122"/>
      <c r="CX709" s="122"/>
      <c r="CY709" s="122"/>
      <c r="CZ709" s="122"/>
      <c r="DA709" s="122"/>
      <c r="DB709" s="122"/>
      <c r="DC709" s="122"/>
      <c r="DD709" s="122"/>
      <c r="DE709" s="122"/>
      <c r="DF709" s="122"/>
      <c r="DG709" s="122"/>
      <c r="DH709" s="122"/>
      <c r="DI709" s="122"/>
      <c r="DJ709" s="122"/>
      <c r="DK709" s="122"/>
      <c r="DL709" s="122"/>
      <c r="DM709" s="122">
        <v>0</v>
      </c>
      <c r="DN709" s="211">
        <v>1.2500000000000001E-2</v>
      </c>
      <c r="DO709" s="202">
        <f>DN709*CG709*CF709</f>
        <v>0</v>
      </c>
      <c r="DP709" s="122">
        <f>CG709*CF709</f>
        <v>0</v>
      </c>
      <c r="DQ709" s="122"/>
      <c r="DR709" s="122"/>
      <c r="DS709" s="122"/>
      <c r="DT709" s="122"/>
      <c r="DU709" s="122"/>
      <c r="DV709" s="122"/>
      <c r="DW709" s="122"/>
      <c r="DX709" s="122"/>
      <c r="DY709" s="122"/>
      <c r="DZ709" s="122"/>
      <c r="EA709" s="122"/>
      <c r="EB709" s="122"/>
      <c r="EC709" s="122"/>
      <c r="ED709" s="122"/>
      <c r="EE709" s="122"/>
      <c r="EF709" s="122">
        <v>200</v>
      </c>
      <c r="EG709" s="122">
        <v>2000</v>
      </c>
      <c r="EH709" s="122">
        <v>8</v>
      </c>
      <c r="EI709" s="210">
        <v>0.95</v>
      </c>
      <c r="EJ709" s="122">
        <v>2</v>
      </c>
      <c r="EK709" s="122">
        <v>62</v>
      </c>
      <c r="EL709" s="122">
        <f>ROUND(3600/EK709*EH709*EJ709*EI709,0)</f>
        <v>883</v>
      </c>
      <c r="EM709" s="122"/>
      <c r="EN709" s="122"/>
      <c r="EO709" s="122"/>
      <c r="EP709" s="122"/>
      <c r="EQ709" s="122"/>
      <c r="ER709" s="122"/>
      <c r="ES709" s="122"/>
      <c r="ET709" s="122"/>
      <c r="EU709" s="202">
        <f>EG709/EL709</f>
        <v>2.2650056625141564</v>
      </c>
      <c r="EV709" s="122"/>
      <c r="EW709" s="122"/>
      <c r="EX709" s="122"/>
      <c r="EY709" s="122"/>
      <c r="EZ709" s="122"/>
      <c r="FA709" s="122"/>
      <c r="FB709" s="122"/>
      <c r="FC709" s="122"/>
      <c r="FD709" s="122"/>
      <c r="FE709" s="122"/>
      <c r="FF709" s="122"/>
      <c r="FG709" s="122"/>
      <c r="FH709" s="122"/>
      <c r="FI709" s="122"/>
      <c r="FJ709" s="122"/>
      <c r="FK709" s="122"/>
      <c r="FL709" s="122"/>
      <c r="FM709" s="122"/>
      <c r="FN709" s="122"/>
      <c r="FO709" s="122"/>
      <c r="FP709" s="122"/>
      <c r="FQ709" s="122"/>
      <c r="FR709" s="122"/>
      <c r="FS709" s="122"/>
      <c r="FT709" s="122"/>
      <c r="FU709" s="122"/>
      <c r="FV709" s="122"/>
      <c r="FW709" s="122"/>
      <c r="FX709" s="122"/>
      <c r="FY709" s="122"/>
      <c r="FZ709" s="122"/>
      <c r="GA709" s="122"/>
      <c r="GB709" s="122"/>
      <c r="GC709" s="122"/>
      <c r="GD709" s="122"/>
      <c r="GE709" s="122"/>
      <c r="GF709" s="122"/>
      <c r="GG709" s="122"/>
      <c r="GH709" s="122"/>
      <c r="GI709" s="122"/>
      <c r="GJ709" s="122"/>
      <c r="GK709" s="122"/>
      <c r="GL709" s="122"/>
      <c r="GM709" s="122"/>
      <c r="GN709" s="122"/>
      <c r="GO709" s="122"/>
      <c r="GP709" s="122"/>
      <c r="GQ709" s="122"/>
      <c r="GR709" s="210">
        <v>0.11</v>
      </c>
      <c r="GS709" s="203">
        <f>GR709*(BA709+EU709)</f>
        <v>2.0678906228765572</v>
      </c>
      <c r="GT709" s="208">
        <v>1.2500000000000001E-2</v>
      </c>
      <c r="GU709" s="203">
        <f>GT709*(BA709+EU709)</f>
        <v>0.23498757078142699</v>
      </c>
      <c r="GV709" s="207">
        <v>0.02</v>
      </c>
      <c r="GW709" s="203">
        <f>GV709*EU709</f>
        <v>4.5300113250283131E-2</v>
      </c>
      <c r="GX709" s="203">
        <f>GS709+GU709+GW709</f>
        <v>2.3481783069082671</v>
      </c>
      <c r="GY709" s="122" t="s">
        <v>43</v>
      </c>
      <c r="GZ709" s="122" t="s">
        <v>87</v>
      </c>
      <c r="HA709" s="122">
        <v>810</v>
      </c>
      <c r="HB709" s="122">
        <v>568</v>
      </c>
      <c r="HC709" s="122">
        <v>425</v>
      </c>
      <c r="HD709" s="122">
        <v>150</v>
      </c>
      <c r="HE709" s="122">
        <v>1000</v>
      </c>
      <c r="HF709" s="122">
        <f>ROUNDUP(HE709/HD709,0)</f>
        <v>7</v>
      </c>
      <c r="HG709" s="122">
        <v>5</v>
      </c>
      <c r="HH709" s="122">
        <f>HF709*HG709</f>
        <v>35</v>
      </c>
      <c r="HI709" s="122">
        <v>1450</v>
      </c>
      <c r="HJ709" s="122">
        <f>HH709*HI709</f>
        <v>50750</v>
      </c>
      <c r="HK709" s="122"/>
      <c r="HL709" s="122"/>
      <c r="HM709" s="122">
        <v>2</v>
      </c>
      <c r="HN709" s="122">
        <f>HM709*12*25*HE709</f>
        <v>600000</v>
      </c>
      <c r="HO709" s="202">
        <f>IF(GY709="carton box",HI709/HD709,HJ709/HN709)</f>
        <v>8.458333333333333E-2</v>
      </c>
      <c r="HP709" s="122">
        <v>160</v>
      </c>
      <c r="HQ709" s="122">
        <v>0</v>
      </c>
      <c r="HR709" s="122">
        <v>0</v>
      </c>
      <c r="HS709" s="122">
        <v>0</v>
      </c>
      <c r="HT709" s="122">
        <v>0</v>
      </c>
      <c r="HU709" s="122"/>
      <c r="HV709" s="202">
        <f>HO709+HT709</f>
        <v>8.458333333333333E-2</v>
      </c>
      <c r="HW709" s="202"/>
      <c r="HX709" s="122">
        <v>5016</v>
      </c>
      <c r="HY709" s="122">
        <v>1976</v>
      </c>
      <c r="HZ709" s="122">
        <v>2280</v>
      </c>
      <c r="IA709" s="202">
        <f t="shared" si="658"/>
        <v>6</v>
      </c>
      <c r="IB709" s="202">
        <f t="shared" si="658"/>
        <v>3</v>
      </c>
      <c r="IC709" s="202">
        <f t="shared" si="658"/>
        <v>5</v>
      </c>
      <c r="ID709" s="210">
        <v>1</v>
      </c>
      <c r="IE709" s="202">
        <f>ROUND(PRODUCT(IA709:ID709),0)-40</f>
        <v>50</v>
      </c>
      <c r="IF709" s="122">
        <v>750</v>
      </c>
      <c r="IG709" s="203">
        <f>ROUNDUP(IF709/(IE709*HD709),2)</f>
        <v>0.1</v>
      </c>
      <c r="IH709" s="368"/>
    </row>
    <row r="710" spans="1:242">
      <c r="A710">
        <v>695</v>
      </c>
      <c r="B710" s="301" t="s">
        <v>1947</v>
      </c>
      <c r="D710" s="28" t="s">
        <v>1524</v>
      </c>
      <c r="E710" s="28" t="s">
        <v>367</v>
      </c>
      <c r="F710" s="28" t="s">
        <v>1947</v>
      </c>
      <c r="G710" s="27" t="s">
        <v>102</v>
      </c>
      <c r="I710" s="27" t="s">
        <v>121</v>
      </c>
      <c r="J710" s="28">
        <v>21758</v>
      </c>
      <c r="K710" s="27" t="s">
        <v>398</v>
      </c>
    </row>
    <row r="711" spans="1:242" ht="30">
      <c r="A711">
        <v>696</v>
      </c>
      <c r="C711" s="66" t="s">
        <v>567</v>
      </c>
      <c r="D711" s="28" t="s">
        <v>1524</v>
      </c>
      <c r="E711" s="28" t="s">
        <v>367</v>
      </c>
      <c r="F711" s="28" t="s">
        <v>2444</v>
      </c>
      <c r="G711" s="27" t="s">
        <v>102</v>
      </c>
      <c r="I711" s="27" t="s">
        <v>226</v>
      </c>
      <c r="J711" s="28">
        <v>21691</v>
      </c>
      <c r="K711" s="27" t="s">
        <v>404</v>
      </c>
      <c r="L711" s="121"/>
      <c r="M711" s="121"/>
      <c r="N711" s="115" t="s">
        <v>2770</v>
      </c>
      <c r="O711" s="115" t="s">
        <v>1836</v>
      </c>
      <c r="P711" s="333">
        <v>45274</v>
      </c>
      <c r="Q711" s="115"/>
      <c r="R711" s="121"/>
      <c r="S711" s="121"/>
      <c r="T711" s="121"/>
      <c r="U711" s="121"/>
      <c r="V711" s="121" t="s">
        <v>2748</v>
      </c>
      <c r="W711" s="218" t="s">
        <v>2803</v>
      </c>
    </row>
    <row r="712" spans="1:242">
      <c r="A712">
        <v>697</v>
      </c>
      <c r="B712" s="301" t="s">
        <v>1947</v>
      </c>
      <c r="D712" s="28" t="s">
        <v>1524</v>
      </c>
      <c r="E712" s="28" t="s">
        <v>367</v>
      </c>
      <c r="F712" s="28" t="s">
        <v>1947</v>
      </c>
      <c r="G712" s="27" t="s">
        <v>102</v>
      </c>
      <c r="I712" s="27" t="s">
        <v>226</v>
      </c>
      <c r="J712" s="28">
        <v>21085</v>
      </c>
      <c r="K712" s="27" t="s">
        <v>399</v>
      </c>
    </row>
    <row r="713" spans="1:242">
      <c r="A713">
        <v>698</v>
      </c>
      <c r="B713" t="s">
        <v>468</v>
      </c>
      <c r="C713" s="121" t="s">
        <v>2804</v>
      </c>
      <c r="D713" s="28" t="s">
        <v>1525</v>
      </c>
      <c r="E713" s="28" t="s">
        <v>1526</v>
      </c>
      <c r="F713" s="28" t="s">
        <v>2182</v>
      </c>
      <c r="G713" s="27" t="s">
        <v>102</v>
      </c>
      <c r="I713" s="27" t="s">
        <v>121</v>
      </c>
      <c r="J713" s="28">
        <v>21697</v>
      </c>
      <c r="K713" s="27" t="s">
        <v>227</v>
      </c>
      <c r="L713" s="121"/>
      <c r="M713" s="121"/>
      <c r="N713" s="115"/>
      <c r="O713" s="115"/>
      <c r="P713" s="115"/>
      <c r="Q713" s="115" t="s">
        <v>2805</v>
      </c>
      <c r="R713" s="121" t="s">
        <v>2760</v>
      </c>
      <c r="S713" s="121" t="s">
        <v>2806</v>
      </c>
      <c r="T713" s="121" t="s">
        <v>2762</v>
      </c>
      <c r="U713" s="326">
        <v>44755</v>
      </c>
      <c r="V713" s="121" t="s">
        <v>2748</v>
      </c>
      <c r="W713" s="218"/>
      <c r="X713" s="121"/>
      <c r="Y713" s="121"/>
      <c r="Z713" s="121"/>
      <c r="AA713" s="115"/>
      <c r="AB713" s="121">
        <v>227.17</v>
      </c>
      <c r="AC713" s="121">
        <v>20</v>
      </c>
      <c r="AD713" s="122" t="s">
        <v>2807</v>
      </c>
      <c r="AE713" s="219">
        <f t="shared" ref="AE713:AE727" si="659">BA713</f>
        <v>15.367560000000001</v>
      </c>
      <c r="AF713" s="219"/>
      <c r="AG713" s="219">
        <f>EU713+EM713</f>
        <v>2.0361990950226243</v>
      </c>
      <c r="AH713" s="219">
        <f>DP713</f>
        <v>0</v>
      </c>
      <c r="AI713" s="219">
        <f t="shared" ref="AI713:AI727" si="660">DO713</f>
        <v>0</v>
      </c>
      <c r="AJ713" s="219">
        <f t="shared" ref="AJ713:AJ727" si="661">GW713</f>
        <v>4.072398190045249E-2</v>
      </c>
      <c r="AK713" s="219">
        <f t="shared" ref="AK713:AK727" si="662">GU713</f>
        <v>0.21754698868778283</v>
      </c>
      <c r="AL713" s="219">
        <f t="shared" ref="AL713:AL727" si="663">GS713</f>
        <v>1.9144135004524887</v>
      </c>
      <c r="AM713" s="219">
        <f t="shared" ref="AM713:AM727" si="664">HV713</f>
        <v>0.05</v>
      </c>
      <c r="AN713" s="219">
        <f t="shared" ref="AN713:AN727" si="665">IG713</f>
        <v>0.04</v>
      </c>
      <c r="AO713" s="220">
        <v>0</v>
      </c>
      <c r="AP713" s="220"/>
      <c r="AQ713" s="204">
        <f t="shared" ref="AQ713:AQ727" si="666">SUM(AE713:AP713)</f>
        <v>19.66644356606335</v>
      </c>
      <c r="AR713" s="219"/>
      <c r="AS713" s="219"/>
      <c r="AT713" s="220"/>
      <c r="AU713" s="219"/>
      <c r="AV713" s="204">
        <f t="shared" ref="AV713:AV727" si="667">SUM(AQ713:AU713)</f>
        <v>19.66644356606335</v>
      </c>
      <c r="AW713" s="122">
        <v>6.8000000000000005E-2</v>
      </c>
      <c r="AX713" s="122">
        <v>6.4000000000000001E-2</v>
      </c>
      <c r="AY713" s="210">
        <v>1</v>
      </c>
      <c r="AZ713" s="352">
        <f t="shared" ref="AZ713:AZ727" si="668">AW713-AX713</f>
        <v>4.0000000000000036E-3</v>
      </c>
      <c r="BA713" s="202">
        <f t="shared" ref="BA713:BA727" si="669">AW713*AB713-AZ713*AC713</f>
        <v>15.367560000000001</v>
      </c>
      <c r="BB713" s="202"/>
      <c r="BC713" s="202"/>
      <c r="BD713" s="202"/>
      <c r="BE713" s="202"/>
      <c r="BF713" s="202"/>
      <c r="BG713" s="202"/>
      <c r="BH713" s="202"/>
      <c r="BI713" s="202"/>
      <c r="BJ713" s="202"/>
      <c r="BK713" s="202"/>
      <c r="BL713" s="202"/>
      <c r="BM713" s="202"/>
      <c r="BN713" s="202"/>
      <c r="BO713" s="202"/>
      <c r="BP713" s="202"/>
      <c r="BQ713" s="202"/>
      <c r="BR713" s="202"/>
      <c r="BS713" s="202"/>
      <c r="BT713" s="202"/>
      <c r="BU713" s="202"/>
      <c r="BV713" s="202"/>
      <c r="BW713" s="202"/>
      <c r="BX713" s="202"/>
      <c r="BY713" s="202"/>
      <c r="BZ713" s="202"/>
      <c r="CA713" s="202"/>
      <c r="CB713" s="202"/>
      <c r="CC713" s="202"/>
      <c r="CD713" s="122"/>
      <c r="CE713" s="122">
        <v>0</v>
      </c>
      <c r="CF713" s="122">
        <v>0</v>
      </c>
      <c r="CG713" s="122">
        <v>0</v>
      </c>
      <c r="CH713" s="122">
        <v>0</v>
      </c>
      <c r="CI713" s="121"/>
      <c r="CJ713" s="121"/>
      <c r="CK713" s="122"/>
      <c r="CL713" s="122"/>
      <c r="CM713" s="122"/>
      <c r="CN713" s="122"/>
      <c r="CO713" s="122"/>
      <c r="CP713" s="122"/>
      <c r="CQ713" s="122"/>
      <c r="CR713" s="122"/>
      <c r="CS713" s="122"/>
      <c r="CT713" s="122"/>
      <c r="CU713" s="122"/>
      <c r="CV713" s="122"/>
      <c r="CW713" s="122"/>
      <c r="CX713" s="122"/>
      <c r="CY713" s="122"/>
      <c r="CZ713" s="122"/>
      <c r="DA713" s="122"/>
      <c r="DB713" s="122"/>
      <c r="DC713" s="122"/>
      <c r="DD713" s="122"/>
      <c r="DE713" s="122"/>
      <c r="DF713" s="122"/>
      <c r="DG713" s="122"/>
      <c r="DH713" s="122"/>
      <c r="DI713" s="122"/>
      <c r="DJ713" s="122"/>
      <c r="DK713" s="122"/>
      <c r="DL713" s="122"/>
      <c r="DM713" s="103">
        <f>CM713+CR713+CW713+DB713+DG713+DL713+CH713</f>
        <v>0</v>
      </c>
      <c r="DN713" s="211">
        <v>1.2500000000000001E-2</v>
      </c>
      <c r="DO713" s="202">
        <f t="shared" ref="DO713:DO727" si="670">DM713*DN713</f>
        <v>0</v>
      </c>
      <c r="DP713" s="122">
        <f>CG713*CF713</f>
        <v>0</v>
      </c>
      <c r="DQ713" s="122"/>
      <c r="DR713" s="122"/>
      <c r="DS713" s="122"/>
      <c r="DT713" s="122"/>
      <c r="DU713" s="122"/>
      <c r="DV713" s="122"/>
      <c r="DW713" s="122"/>
      <c r="DX713" s="122"/>
      <c r="DY713" s="122"/>
      <c r="DZ713" s="122"/>
      <c r="EA713" s="122"/>
      <c r="EB713" s="122"/>
      <c r="EC713" s="122"/>
      <c r="ED713" s="122"/>
      <c r="EE713" s="122"/>
      <c r="EF713" s="122">
        <v>90</v>
      </c>
      <c r="EG713" s="122">
        <v>900</v>
      </c>
      <c r="EH713" s="122">
        <v>7.5</v>
      </c>
      <c r="EI713" s="210">
        <v>0.9</v>
      </c>
      <c r="EJ713" s="122">
        <v>1</v>
      </c>
      <c r="EK713" s="122">
        <v>55</v>
      </c>
      <c r="EL713" s="122">
        <f>ROUND(3600/EK713*EH713*EJ713*EI713,0)</f>
        <v>442</v>
      </c>
      <c r="EM713" s="122"/>
      <c r="EN713" s="122"/>
      <c r="EO713" s="122"/>
      <c r="EP713" s="122"/>
      <c r="EQ713" s="122"/>
      <c r="ER713" s="122"/>
      <c r="ES713" s="122"/>
      <c r="ET713" s="122"/>
      <c r="EU713" s="202">
        <f t="shared" ref="EU713:EU727" si="671">EG713/EL713</f>
        <v>2.0361990950226243</v>
      </c>
      <c r="EV713" s="122"/>
      <c r="EW713" s="122"/>
      <c r="EX713" s="122"/>
      <c r="EY713" s="122"/>
      <c r="EZ713" s="122"/>
      <c r="FA713" s="122"/>
      <c r="FB713" s="122"/>
      <c r="FC713" s="122"/>
      <c r="FD713" s="122"/>
      <c r="FE713" s="122"/>
      <c r="FF713" s="122"/>
      <c r="FG713" s="122"/>
      <c r="FH713" s="122"/>
      <c r="FI713" s="122"/>
      <c r="FJ713" s="122"/>
      <c r="FK713" s="122"/>
      <c r="FL713" s="122"/>
      <c r="FM713" s="122"/>
      <c r="FN713" s="122"/>
      <c r="FO713" s="122"/>
      <c r="FP713" s="122"/>
      <c r="FQ713" s="122"/>
      <c r="FR713" s="122"/>
      <c r="FS713" s="122"/>
      <c r="FT713" s="122"/>
      <c r="FU713" s="122"/>
      <c r="FV713" s="122"/>
      <c r="FW713" s="122"/>
      <c r="FX713" s="122"/>
      <c r="FY713" s="122"/>
      <c r="FZ713" s="122"/>
      <c r="GA713" s="122"/>
      <c r="GB713" s="122"/>
      <c r="GC713" s="122"/>
      <c r="GD713" s="122"/>
      <c r="GE713" s="122"/>
      <c r="GF713" s="122"/>
      <c r="GG713" s="122"/>
      <c r="GH713" s="122"/>
      <c r="GI713" s="122"/>
      <c r="GJ713" s="122"/>
      <c r="GK713" s="122"/>
      <c r="GL713" s="122"/>
      <c r="GM713" s="122"/>
      <c r="GN713" s="122"/>
      <c r="GO713" s="122"/>
      <c r="GP713" s="122"/>
      <c r="GQ713" s="122"/>
      <c r="GR713" s="210">
        <v>0.11</v>
      </c>
      <c r="GS713" s="203">
        <f t="shared" ref="GS713:GS727" si="672">GR713*(BA713+EU713)</f>
        <v>1.9144135004524887</v>
      </c>
      <c r="GT713" s="208">
        <v>1.2500000000000001E-2</v>
      </c>
      <c r="GU713" s="203">
        <f t="shared" ref="GU713:GU727" si="673">GT713*(BA713+EU713)</f>
        <v>0.21754698868778283</v>
      </c>
      <c r="GV713" s="207">
        <v>0.02</v>
      </c>
      <c r="GW713" s="203">
        <f t="shared" ref="GW713:GW727" si="674">GV713*EU713</f>
        <v>4.072398190045249E-2</v>
      </c>
      <c r="GX713" s="203">
        <f t="shared" ref="GX713:GX727" si="675">GS713+GU713+GW713</f>
        <v>2.172684471040724</v>
      </c>
      <c r="GY713" s="122" t="s">
        <v>43</v>
      </c>
      <c r="GZ713" s="122" t="s">
        <v>87</v>
      </c>
      <c r="HA713" s="122">
        <v>650</v>
      </c>
      <c r="HB713" s="122">
        <v>450</v>
      </c>
      <c r="HC713" s="122">
        <v>330</v>
      </c>
      <c r="HD713" s="122">
        <v>140</v>
      </c>
      <c r="HE713" s="122">
        <v>400</v>
      </c>
      <c r="HF713" s="122">
        <f t="shared" ref="HF713:HF727" si="676">ROUNDUP(HE713/HD713,0)</f>
        <v>3</v>
      </c>
      <c r="HG713" s="330">
        <v>5</v>
      </c>
      <c r="HH713" s="202">
        <f t="shared" ref="HH713:HH727" si="677">HF713*HG713</f>
        <v>15</v>
      </c>
      <c r="HI713" s="122">
        <v>650</v>
      </c>
      <c r="HJ713" s="122">
        <f t="shared" ref="HJ713:HJ727" si="678">HH713*HI713</f>
        <v>9750</v>
      </c>
      <c r="HK713" s="122"/>
      <c r="HL713" s="122"/>
      <c r="HM713" s="122">
        <v>2</v>
      </c>
      <c r="HN713" s="122">
        <f t="shared" ref="HN713:HN727" si="679">HM713*12*25*HE713</f>
        <v>240000</v>
      </c>
      <c r="HO713" s="202">
        <f t="shared" ref="HO713:HO727" si="680">IF(GY713="carton box",HI713/HD713,HJ713/HN713)</f>
        <v>4.0625000000000001E-2</v>
      </c>
      <c r="HP713" s="122">
        <v>160</v>
      </c>
      <c r="HQ713" s="122">
        <v>0</v>
      </c>
      <c r="HR713" s="122">
        <v>0</v>
      </c>
      <c r="HS713" s="122">
        <v>0</v>
      </c>
      <c r="HT713" s="122">
        <v>0</v>
      </c>
      <c r="HU713" s="122"/>
      <c r="HV713" s="202">
        <f>ROUNDUP((HO713+HT713),2)</f>
        <v>0.05</v>
      </c>
      <c r="HW713" s="202"/>
      <c r="HX713" s="122">
        <v>4200</v>
      </c>
      <c r="HY713" s="122">
        <v>1900</v>
      </c>
      <c r="HZ713" s="122">
        <v>1975</v>
      </c>
      <c r="IA713" s="202">
        <f t="shared" ref="IA713:IA727" si="681">ROUNDDOWN(HX713/HA713,0)</f>
        <v>6</v>
      </c>
      <c r="IB713" s="202">
        <f t="shared" ref="IB713:IB727" si="682">ROUNDDOWN(HY713/HB713,0)</f>
        <v>4</v>
      </c>
      <c r="IC713" s="202">
        <f t="shared" ref="IC713:IC727" si="683">ROUNDDOWN(HZ713/HC713,0)</f>
        <v>5</v>
      </c>
      <c r="ID713" s="207">
        <v>0.95</v>
      </c>
      <c r="IE713" s="203">
        <f>ROUND(PRODUCT(IA713:ID713),0)</f>
        <v>114</v>
      </c>
      <c r="IF713" s="122">
        <v>500</v>
      </c>
      <c r="IG713" s="203">
        <f>ROUNDUP(IF713/(IE713*HD713),2)</f>
        <v>0.04</v>
      </c>
      <c r="IH713" s="368"/>
    </row>
    <row r="714" spans="1:242">
      <c r="A714">
        <v>699</v>
      </c>
      <c r="B714" t="s">
        <v>468</v>
      </c>
      <c r="C714" s="335" t="s">
        <v>2808</v>
      </c>
      <c r="D714" s="28" t="s">
        <v>1527</v>
      </c>
      <c r="E714" s="28" t="s">
        <v>146</v>
      </c>
      <c r="F714" s="28" t="s">
        <v>2182</v>
      </c>
      <c r="G714" s="27" t="s">
        <v>102</v>
      </c>
      <c r="I714" s="27" t="s">
        <v>121</v>
      </c>
      <c r="J714" s="28">
        <v>21677</v>
      </c>
      <c r="K714" s="27" t="s">
        <v>228</v>
      </c>
      <c r="L714" s="121"/>
      <c r="M714" s="121"/>
      <c r="N714" s="115"/>
      <c r="O714" s="115"/>
      <c r="P714" s="115"/>
      <c r="Q714" s="115" t="s">
        <v>2778</v>
      </c>
      <c r="R714" s="121" t="s">
        <v>2779</v>
      </c>
      <c r="S714" s="121" t="s">
        <v>2810</v>
      </c>
      <c r="T714" s="121" t="s">
        <v>2811</v>
      </c>
      <c r="U714" s="121" t="s">
        <v>2811</v>
      </c>
      <c r="V714" s="121" t="s">
        <v>2748</v>
      </c>
      <c r="W714" s="218" t="s">
        <v>2812</v>
      </c>
      <c r="X714" s="121"/>
      <c r="Y714" s="121"/>
      <c r="Z714" s="121"/>
      <c r="AA714" s="115" t="s">
        <v>2817</v>
      </c>
      <c r="AB714" s="121">
        <v>76.099999999999994</v>
      </c>
      <c r="AC714" s="121">
        <v>20</v>
      </c>
      <c r="AD714" s="122" t="s">
        <v>596</v>
      </c>
      <c r="AE714" s="219">
        <f t="shared" si="659"/>
        <v>7.5780499999999993</v>
      </c>
      <c r="AF714" s="219"/>
      <c r="AG714" s="219">
        <f>EU714+EM714</f>
        <v>3.3975084937712343</v>
      </c>
      <c r="AH714" s="219">
        <f>DP714</f>
        <v>0</v>
      </c>
      <c r="AI714" s="219">
        <f t="shared" si="660"/>
        <v>0</v>
      </c>
      <c r="AJ714" s="219">
        <f t="shared" si="661"/>
        <v>6.7950169875424682E-2</v>
      </c>
      <c r="AK714" s="219">
        <f t="shared" si="662"/>
        <v>0.13719448117214042</v>
      </c>
      <c r="AL714" s="219">
        <f t="shared" si="663"/>
        <v>1.2073114343148357</v>
      </c>
      <c r="AM714" s="219">
        <f t="shared" si="664"/>
        <v>0.18333333333333332</v>
      </c>
      <c r="AN714" s="219">
        <f t="shared" si="665"/>
        <v>0.2</v>
      </c>
      <c r="AO714" s="220">
        <v>0</v>
      </c>
      <c r="AP714" s="220"/>
      <c r="AQ714" s="204">
        <f t="shared" si="666"/>
        <v>12.771347912466968</v>
      </c>
      <c r="AR714" s="219"/>
      <c r="AS714" s="219"/>
      <c r="AT714" s="220"/>
      <c r="AU714" s="219">
        <f>12.93-12.77</f>
        <v>0.16000000000000014</v>
      </c>
      <c r="AV714" s="204">
        <f t="shared" si="667"/>
        <v>12.931347912466968</v>
      </c>
      <c r="AW714" s="230">
        <v>0.10050000000000001</v>
      </c>
      <c r="AX714" s="122">
        <v>9.7000000000000003E-2</v>
      </c>
      <c r="AY714" s="210">
        <v>1</v>
      </c>
      <c r="AZ714" s="352">
        <f t="shared" si="668"/>
        <v>3.5000000000000031E-3</v>
      </c>
      <c r="BA714" s="202">
        <f t="shared" si="669"/>
        <v>7.5780499999999993</v>
      </c>
      <c r="BB714" s="202"/>
      <c r="BC714" s="202"/>
      <c r="BD714" s="202"/>
      <c r="BE714" s="202"/>
      <c r="BF714" s="202"/>
      <c r="BG714" s="202"/>
      <c r="BH714" s="202"/>
      <c r="BI714" s="202"/>
      <c r="BJ714" s="202"/>
      <c r="BK714" s="202"/>
      <c r="BL714" s="202"/>
      <c r="BM714" s="202"/>
      <c r="BN714" s="202"/>
      <c r="BO714" s="202"/>
      <c r="BP714" s="202"/>
      <c r="BQ714" s="202"/>
      <c r="BR714" s="202"/>
      <c r="BS714" s="202"/>
      <c r="BT714" s="202"/>
      <c r="BU714" s="202"/>
      <c r="BV714" s="202"/>
      <c r="BW714" s="202"/>
      <c r="BX714" s="202"/>
      <c r="BY714" s="202"/>
      <c r="BZ714" s="202"/>
      <c r="CA714" s="202"/>
      <c r="CB714" s="202"/>
      <c r="CC714" s="202"/>
      <c r="CD714" s="122"/>
      <c r="CE714" s="122">
        <v>0</v>
      </c>
      <c r="CF714" s="122">
        <v>0</v>
      </c>
      <c r="CG714" s="122">
        <v>0</v>
      </c>
      <c r="CH714" s="122">
        <v>0</v>
      </c>
      <c r="CI714" s="121"/>
      <c r="CJ714" s="121"/>
      <c r="CK714" s="122"/>
      <c r="CL714" s="122"/>
      <c r="CM714" s="122"/>
      <c r="CN714" s="122"/>
      <c r="CO714" s="122"/>
      <c r="CP714" s="122"/>
      <c r="CQ714" s="122"/>
      <c r="CR714" s="122"/>
      <c r="CS714" s="122"/>
      <c r="CT714" s="122"/>
      <c r="CU714" s="122"/>
      <c r="CV714" s="122"/>
      <c r="CW714" s="122"/>
      <c r="CX714" s="122"/>
      <c r="CY714" s="122"/>
      <c r="CZ714" s="122"/>
      <c r="DA714" s="122"/>
      <c r="DB714" s="122"/>
      <c r="DC714" s="122"/>
      <c r="DD714" s="122"/>
      <c r="DE714" s="122"/>
      <c r="DF714" s="122"/>
      <c r="DG714" s="122"/>
      <c r="DH714" s="122"/>
      <c r="DI714" s="122"/>
      <c r="DJ714" s="122"/>
      <c r="DK714" s="122"/>
      <c r="DL714" s="122"/>
      <c r="DM714" s="103">
        <f>CM714+CR714+CW714+DB714+DG714+DL714+CH714</f>
        <v>0</v>
      </c>
      <c r="DN714" s="211">
        <v>1.2500000000000001E-2</v>
      </c>
      <c r="DO714" s="202">
        <f t="shared" si="670"/>
        <v>0</v>
      </c>
      <c r="DP714" s="122">
        <f>CG714*CF714</f>
        <v>0</v>
      </c>
      <c r="DQ714" s="122"/>
      <c r="DR714" s="122"/>
      <c r="DS714" s="122"/>
      <c r="DT714" s="122"/>
      <c r="DU714" s="122"/>
      <c r="DV714" s="122"/>
      <c r="DW714" s="122"/>
      <c r="DX714" s="122"/>
      <c r="DY714" s="122"/>
      <c r="DZ714" s="122"/>
      <c r="EA714" s="122"/>
      <c r="EB714" s="122"/>
      <c r="EC714" s="122"/>
      <c r="ED714" s="122"/>
      <c r="EE714" s="122"/>
      <c r="EF714" s="122">
        <v>300</v>
      </c>
      <c r="EG714" s="122">
        <v>3000</v>
      </c>
      <c r="EH714" s="122">
        <v>8</v>
      </c>
      <c r="EI714" s="210">
        <v>0.95</v>
      </c>
      <c r="EJ714" s="122">
        <v>2</v>
      </c>
      <c r="EK714" s="122">
        <v>62</v>
      </c>
      <c r="EL714" s="122">
        <f>ROUND(3600/EK714*EH714*EJ714*EI714,0)</f>
        <v>883</v>
      </c>
      <c r="EM714" s="122"/>
      <c r="EN714" s="122"/>
      <c r="EO714" s="122"/>
      <c r="EP714" s="122"/>
      <c r="EQ714" s="122"/>
      <c r="ER714" s="122"/>
      <c r="ES714" s="122"/>
      <c r="ET714" s="122"/>
      <c r="EU714" s="202">
        <f t="shared" si="671"/>
        <v>3.3975084937712343</v>
      </c>
      <c r="EV714" s="122"/>
      <c r="EW714" s="122"/>
      <c r="EX714" s="122"/>
      <c r="EY714" s="122"/>
      <c r="EZ714" s="122"/>
      <c r="FA714" s="122"/>
      <c r="FB714" s="122"/>
      <c r="FC714" s="122"/>
      <c r="FD714" s="122"/>
      <c r="FE714" s="122"/>
      <c r="FF714" s="122"/>
      <c r="FG714" s="122"/>
      <c r="FH714" s="122"/>
      <c r="FI714" s="122"/>
      <c r="FJ714" s="122"/>
      <c r="FK714" s="122"/>
      <c r="FL714" s="122"/>
      <c r="FM714" s="122"/>
      <c r="FN714" s="122"/>
      <c r="FO714" s="122"/>
      <c r="FP714" s="122"/>
      <c r="FQ714" s="122"/>
      <c r="FR714" s="122"/>
      <c r="FS714" s="122"/>
      <c r="FT714" s="122"/>
      <c r="FU714" s="122"/>
      <c r="FV714" s="122"/>
      <c r="FW714" s="122"/>
      <c r="FX714" s="122"/>
      <c r="FY714" s="122"/>
      <c r="FZ714" s="122"/>
      <c r="GA714" s="122"/>
      <c r="GB714" s="122"/>
      <c r="GC714" s="122"/>
      <c r="GD714" s="122"/>
      <c r="GE714" s="122"/>
      <c r="GF714" s="122"/>
      <c r="GG714" s="122"/>
      <c r="GH714" s="122"/>
      <c r="GI714" s="122"/>
      <c r="GJ714" s="122"/>
      <c r="GK714" s="122"/>
      <c r="GL714" s="122"/>
      <c r="GM714" s="122"/>
      <c r="GN714" s="122"/>
      <c r="GO714" s="122"/>
      <c r="GP714" s="122"/>
      <c r="GQ714" s="122"/>
      <c r="GR714" s="210">
        <v>0.11</v>
      </c>
      <c r="GS714" s="202">
        <f t="shared" si="672"/>
        <v>1.2073114343148357</v>
      </c>
      <c r="GT714" s="208">
        <v>1.2500000000000001E-2</v>
      </c>
      <c r="GU714" s="203">
        <f t="shared" si="673"/>
        <v>0.13719448117214042</v>
      </c>
      <c r="GV714" s="207">
        <v>0.02</v>
      </c>
      <c r="GW714" s="203">
        <f t="shared" si="674"/>
        <v>6.7950169875424682E-2</v>
      </c>
      <c r="GX714" s="203">
        <f t="shared" si="675"/>
        <v>1.4124560853624009</v>
      </c>
      <c r="GY714" s="122" t="s">
        <v>43</v>
      </c>
      <c r="GZ714" s="122" t="s">
        <v>87</v>
      </c>
      <c r="HA714" s="122">
        <v>810</v>
      </c>
      <c r="HB714" s="122">
        <v>568</v>
      </c>
      <c r="HC714" s="122">
        <v>425</v>
      </c>
      <c r="HD714" s="122">
        <v>50</v>
      </c>
      <c r="HE714" s="122">
        <v>400</v>
      </c>
      <c r="HF714" s="122">
        <f t="shared" si="676"/>
        <v>8</v>
      </c>
      <c r="HG714" s="122">
        <v>5</v>
      </c>
      <c r="HH714" s="202">
        <f t="shared" si="677"/>
        <v>40</v>
      </c>
      <c r="HI714" s="122">
        <v>1100</v>
      </c>
      <c r="HJ714" s="122">
        <f t="shared" si="678"/>
        <v>44000</v>
      </c>
      <c r="HK714" s="122"/>
      <c r="HL714" s="122"/>
      <c r="HM714" s="122">
        <v>2</v>
      </c>
      <c r="HN714" s="122">
        <f t="shared" si="679"/>
        <v>240000</v>
      </c>
      <c r="HO714" s="202">
        <f t="shared" si="680"/>
        <v>0.18333333333333332</v>
      </c>
      <c r="HP714" s="122">
        <v>160</v>
      </c>
      <c r="HQ714" s="122">
        <v>0</v>
      </c>
      <c r="HR714" s="122">
        <v>0</v>
      </c>
      <c r="HS714" s="122">
        <v>0</v>
      </c>
      <c r="HT714" s="122">
        <v>0</v>
      </c>
      <c r="HU714" s="122"/>
      <c r="HV714" s="202">
        <f t="shared" ref="HV714:HV727" si="684">HO714+HT714</f>
        <v>0.18333333333333332</v>
      </c>
      <c r="HW714" s="202"/>
      <c r="HX714" s="122">
        <v>5016</v>
      </c>
      <c r="HY714" s="122">
        <v>1976</v>
      </c>
      <c r="HZ714" s="122">
        <v>2280</v>
      </c>
      <c r="IA714" s="202">
        <f t="shared" si="681"/>
        <v>6</v>
      </c>
      <c r="IB714" s="202">
        <f t="shared" si="682"/>
        <v>3</v>
      </c>
      <c r="IC714" s="202">
        <f t="shared" si="683"/>
        <v>5</v>
      </c>
      <c r="ID714" s="210">
        <v>1</v>
      </c>
      <c r="IE714" s="202">
        <f>ROUND(PRODUCT(IA714:ID714),0)-40</f>
        <v>50</v>
      </c>
      <c r="IF714" s="122">
        <v>500</v>
      </c>
      <c r="IG714" s="203">
        <f>ROUNDUP(IF714/(IE714*HD714),2)</f>
        <v>0.2</v>
      </c>
      <c r="IH714" s="368"/>
    </row>
    <row r="715" spans="1:242">
      <c r="A715">
        <v>700</v>
      </c>
      <c r="B715" t="s">
        <v>468</v>
      </c>
      <c r="C715" s="121" t="s">
        <v>2814</v>
      </c>
      <c r="D715" s="28" t="s">
        <v>1527</v>
      </c>
      <c r="E715" s="28" t="s">
        <v>146</v>
      </c>
      <c r="F715" s="28" t="s">
        <v>2182</v>
      </c>
      <c r="G715" s="27" t="s">
        <v>102</v>
      </c>
      <c r="I715" s="27" t="s">
        <v>226</v>
      </c>
      <c r="J715" s="28">
        <v>21590</v>
      </c>
      <c r="K715" s="27" t="s">
        <v>397</v>
      </c>
      <c r="L715" s="121"/>
      <c r="M715" s="121"/>
      <c r="N715" s="115"/>
      <c r="O715" s="115"/>
      <c r="P715" s="115"/>
      <c r="Q715" s="115" t="s">
        <v>2773</v>
      </c>
      <c r="R715" s="121" t="s">
        <v>2760</v>
      </c>
      <c r="S715" s="121" t="s">
        <v>2794</v>
      </c>
      <c r="T715" s="121" t="s">
        <v>2762</v>
      </c>
      <c r="U715" s="326">
        <v>45107</v>
      </c>
      <c r="V715" s="121" t="s">
        <v>2748</v>
      </c>
      <c r="W715" s="218"/>
      <c r="X715" s="121"/>
      <c r="Y715" s="121"/>
      <c r="Z715" s="121"/>
      <c r="AA715" s="115" t="s">
        <v>2816</v>
      </c>
      <c r="AB715" s="121">
        <v>94.68</v>
      </c>
      <c r="AC715" s="121">
        <v>20</v>
      </c>
      <c r="AD715" s="122" t="s">
        <v>2813</v>
      </c>
      <c r="AE715" s="219">
        <f t="shared" si="659"/>
        <v>9.482680000000002</v>
      </c>
      <c r="AF715" s="219"/>
      <c r="AG715" s="219">
        <f>EU715+EM715</f>
        <v>3.3967391304347827</v>
      </c>
      <c r="AH715" s="219">
        <f>DP715</f>
        <v>0</v>
      </c>
      <c r="AI715" s="219">
        <f t="shared" si="660"/>
        <v>0</v>
      </c>
      <c r="AJ715" s="219">
        <f t="shared" si="661"/>
        <v>6.7934782608695662E-2</v>
      </c>
      <c r="AK715" s="219">
        <f t="shared" si="662"/>
        <v>0.16099273913043483</v>
      </c>
      <c r="AL715" s="219">
        <f t="shared" si="663"/>
        <v>1.4167361043478264</v>
      </c>
      <c r="AM715" s="219">
        <f t="shared" si="664"/>
        <v>0.29833333333333334</v>
      </c>
      <c r="AN715" s="219">
        <f t="shared" si="665"/>
        <v>0.09</v>
      </c>
      <c r="AO715" s="220">
        <v>0</v>
      </c>
      <c r="AP715" s="220"/>
      <c r="AQ715" s="204">
        <f t="shared" si="666"/>
        <v>14.913416089855076</v>
      </c>
      <c r="AR715" s="219"/>
      <c r="AS715" s="219"/>
      <c r="AT715" s="220"/>
      <c r="AU715" s="219"/>
      <c r="AV715" s="204">
        <f t="shared" si="667"/>
        <v>14.913416089855076</v>
      </c>
      <c r="AW715" s="122">
        <v>0.10100000000000001</v>
      </c>
      <c r="AX715" s="122">
        <v>9.7000000000000003E-2</v>
      </c>
      <c r="AY715" s="210">
        <v>1</v>
      </c>
      <c r="AZ715" s="352">
        <f t="shared" si="668"/>
        <v>4.0000000000000036E-3</v>
      </c>
      <c r="BA715" s="202">
        <f t="shared" si="669"/>
        <v>9.482680000000002</v>
      </c>
      <c r="BB715" s="202"/>
      <c r="BC715" s="202"/>
      <c r="BD715" s="202"/>
      <c r="BE715" s="202"/>
      <c r="BF715" s="202"/>
      <c r="BG715" s="202"/>
      <c r="BH715" s="202"/>
      <c r="BI715" s="202"/>
      <c r="BJ715" s="202"/>
      <c r="BK715" s="202"/>
      <c r="BL715" s="202"/>
      <c r="BM715" s="202"/>
      <c r="BN715" s="202"/>
      <c r="BO715" s="202"/>
      <c r="BP715" s="202"/>
      <c r="BQ715" s="202"/>
      <c r="BR715" s="202"/>
      <c r="BS715" s="202"/>
      <c r="BT715" s="202"/>
      <c r="BU715" s="202"/>
      <c r="BV715" s="202"/>
      <c r="BW715" s="202"/>
      <c r="BX715" s="202"/>
      <c r="BY715" s="202"/>
      <c r="BZ715" s="202"/>
      <c r="CA715" s="202"/>
      <c r="CB715" s="202"/>
      <c r="CC715" s="202"/>
      <c r="CD715" s="122"/>
      <c r="CE715" s="122">
        <v>0</v>
      </c>
      <c r="CF715" s="122">
        <v>0</v>
      </c>
      <c r="CG715" s="122">
        <v>0</v>
      </c>
      <c r="CH715" s="122">
        <v>0</v>
      </c>
      <c r="CI715" s="121"/>
      <c r="CJ715" s="121"/>
      <c r="CK715" s="122"/>
      <c r="CL715" s="122"/>
      <c r="CM715" s="122"/>
      <c r="CN715" s="122"/>
      <c r="CO715" s="122"/>
      <c r="CP715" s="122"/>
      <c r="CQ715" s="122"/>
      <c r="CR715" s="122"/>
      <c r="CS715" s="122"/>
      <c r="CT715" s="122"/>
      <c r="CU715" s="122"/>
      <c r="CV715" s="122"/>
      <c r="CW715" s="122"/>
      <c r="CX715" s="122"/>
      <c r="CY715" s="122"/>
      <c r="CZ715" s="122"/>
      <c r="DA715" s="122"/>
      <c r="DB715" s="122"/>
      <c r="DC715" s="122"/>
      <c r="DD715" s="122"/>
      <c r="DE715" s="122"/>
      <c r="DF715" s="122"/>
      <c r="DG715" s="122"/>
      <c r="DH715" s="122"/>
      <c r="DI715" s="122"/>
      <c r="DJ715" s="122"/>
      <c r="DK715" s="122"/>
      <c r="DL715" s="122"/>
      <c r="DM715" s="103">
        <f>CM715+CR715+CW715+DB715+DG715+DL715+CH715</f>
        <v>0</v>
      </c>
      <c r="DN715" s="211">
        <v>1.2500000000000001E-2</v>
      </c>
      <c r="DO715" s="202">
        <f t="shared" si="670"/>
        <v>0</v>
      </c>
      <c r="DP715" s="122">
        <f>CG715*CF715</f>
        <v>0</v>
      </c>
      <c r="DQ715" s="122"/>
      <c r="DR715" s="122"/>
      <c r="DS715" s="122"/>
      <c r="DT715" s="122"/>
      <c r="DU715" s="122"/>
      <c r="DV715" s="122"/>
      <c r="DW715" s="122"/>
      <c r="DX715" s="122"/>
      <c r="DY715" s="122"/>
      <c r="DZ715" s="122"/>
      <c r="EA715" s="122"/>
      <c r="EB715" s="122"/>
      <c r="EC715" s="122"/>
      <c r="ED715" s="122"/>
      <c r="EE715" s="122"/>
      <c r="EF715" s="122">
        <v>250</v>
      </c>
      <c r="EG715" s="122">
        <v>2500</v>
      </c>
      <c r="EH715" s="122">
        <v>7.5</v>
      </c>
      <c r="EI715" s="210">
        <v>0.9</v>
      </c>
      <c r="EJ715" s="122">
        <v>2</v>
      </c>
      <c r="EK715" s="122">
        <v>66</v>
      </c>
      <c r="EL715" s="122">
        <f>ROUND(3600/EK715*EH715*EJ715*EI715,0)</f>
        <v>736</v>
      </c>
      <c r="EM715" s="122"/>
      <c r="EN715" s="122"/>
      <c r="EO715" s="122"/>
      <c r="EP715" s="122"/>
      <c r="EQ715" s="122"/>
      <c r="ER715" s="122"/>
      <c r="ES715" s="122"/>
      <c r="ET715" s="122"/>
      <c r="EU715" s="202">
        <f t="shared" si="671"/>
        <v>3.3967391304347827</v>
      </c>
      <c r="EV715" s="122"/>
      <c r="EW715" s="122"/>
      <c r="EX715" s="122"/>
      <c r="EY715" s="122"/>
      <c r="EZ715" s="122"/>
      <c r="FA715" s="122"/>
      <c r="FB715" s="122"/>
      <c r="FC715" s="122"/>
      <c r="FD715" s="122"/>
      <c r="FE715" s="122"/>
      <c r="FF715" s="122"/>
      <c r="FG715" s="122"/>
      <c r="FH715" s="122"/>
      <c r="FI715" s="122"/>
      <c r="FJ715" s="122"/>
      <c r="FK715" s="122"/>
      <c r="FL715" s="122"/>
      <c r="FM715" s="122"/>
      <c r="FN715" s="122"/>
      <c r="FO715" s="122"/>
      <c r="FP715" s="122"/>
      <c r="FQ715" s="122"/>
      <c r="FR715" s="122"/>
      <c r="FS715" s="122"/>
      <c r="FT715" s="122"/>
      <c r="FU715" s="122"/>
      <c r="FV715" s="122"/>
      <c r="FW715" s="122"/>
      <c r="FX715" s="122"/>
      <c r="FY715" s="122"/>
      <c r="FZ715" s="122"/>
      <c r="GA715" s="122"/>
      <c r="GB715" s="122"/>
      <c r="GC715" s="122"/>
      <c r="GD715" s="122"/>
      <c r="GE715" s="122"/>
      <c r="GF715" s="122"/>
      <c r="GG715" s="122"/>
      <c r="GH715" s="122"/>
      <c r="GI715" s="122"/>
      <c r="GJ715" s="122"/>
      <c r="GK715" s="122"/>
      <c r="GL715" s="122"/>
      <c r="GM715" s="122"/>
      <c r="GN715" s="122"/>
      <c r="GO715" s="122"/>
      <c r="GP715" s="122"/>
      <c r="GQ715" s="122"/>
      <c r="GR715" s="210">
        <v>0.11</v>
      </c>
      <c r="GS715" s="202">
        <f t="shared" si="672"/>
        <v>1.4167361043478264</v>
      </c>
      <c r="GT715" s="208">
        <v>1.2500000000000001E-2</v>
      </c>
      <c r="GU715" s="203">
        <f t="shared" si="673"/>
        <v>0.16099273913043483</v>
      </c>
      <c r="GV715" s="207">
        <v>0.02</v>
      </c>
      <c r="GW715" s="203">
        <f t="shared" si="674"/>
        <v>6.7934782608695662E-2</v>
      </c>
      <c r="GX715" s="203">
        <f t="shared" si="675"/>
        <v>1.6456636260869568</v>
      </c>
      <c r="GY715" s="122" t="s">
        <v>43</v>
      </c>
      <c r="GZ715" s="122" t="s">
        <v>87</v>
      </c>
      <c r="HA715" s="122">
        <v>650</v>
      </c>
      <c r="HB715" s="122">
        <v>450</v>
      </c>
      <c r="HC715" s="122">
        <v>330</v>
      </c>
      <c r="HD715" s="122">
        <v>50</v>
      </c>
      <c r="HE715" s="122">
        <v>400</v>
      </c>
      <c r="HF715" s="122">
        <f t="shared" si="676"/>
        <v>8</v>
      </c>
      <c r="HG715" s="122">
        <v>5</v>
      </c>
      <c r="HH715" s="202">
        <f t="shared" si="677"/>
        <v>40</v>
      </c>
      <c r="HI715" s="122">
        <v>650</v>
      </c>
      <c r="HJ715" s="122">
        <f t="shared" si="678"/>
        <v>26000</v>
      </c>
      <c r="HK715" s="122"/>
      <c r="HL715" s="122"/>
      <c r="HM715" s="122">
        <v>2</v>
      </c>
      <c r="HN715" s="122">
        <f t="shared" si="679"/>
        <v>240000</v>
      </c>
      <c r="HO715" s="202">
        <f t="shared" si="680"/>
        <v>0.10833333333333334</v>
      </c>
      <c r="HP715" s="122">
        <v>160</v>
      </c>
      <c r="HQ715" s="122">
        <v>0</v>
      </c>
      <c r="HR715" s="122">
        <v>0.19</v>
      </c>
      <c r="HS715" s="122">
        <v>1</v>
      </c>
      <c r="HT715" s="203">
        <f>HR715/HS715</f>
        <v>0.19</v>
      </c>
      <c r="HU715" s="203"/>
      <c r="HV715" s="202">
        <f t="shared" si="684"/>
        <v>0.29833333333333334</v>
      </c>
      <c r="HW715" s="202"/>
      <c r="HX715" s="122">
        <v>4200</v>
      </c>
      <c r="HY715" s="122">
        <v>1900</v>
      </c>
      <c r="HZ715" s="122">
        <v>1975</v>
      </c>
      <c r="IA715" s="202">
        <f t="shared" si="681"/>
        <v>6</v>
      </c>
      <c r="IB715" s="202">
        <f t="shared" si="682"/>
        <v>4</v>
      </c>
      <c r="IC715" s="202">
        <f t="shared" si="683"/>
        <v>5</v>
      </c>
      <c r="ID715" s="207">
        <v>0.95</v>
      </c>
      <c r="IE715" s="203">
        <f>ROUND(PRODUCT(IA715:ID715),0)</f>
        <v>114</v>
      </c>
      <c r="IF715" s="122">
        <v>500</v>
      </c>
      <c r="IG715" s="203">
        <f>ROUNDUP(IF715/(IE715*HD715),2)</f>
        <v>0.09</v>
      </c>
      <c r="IH715" s="368"/>
    </row>
    <row r="716" spans="1:242">
      <c r="A716">
        <v>701</v>
      </c>
      <c r="B716" t="s">
        <v>468</v>
      </c>
      <c r="C716" s="121" t="s">
        <v>2815</v>
      </c>
      <c r="D716" s="28" t="s">
        <v>1528</v>
      </c>
      <c r="E716" s="28" t="s">
        <v>1529</v>
      </c>
      <c r="F716" s="28" t="s">
        <v>2182</v>
      </c>
      <c r="G716" s="27" t="s">
        <v>102</v>
      </c>
      <c r="I716" s="27" t="s">
        <v>121</v>
      </c>
      <c r="J716" s="28">
        <v>21677</v>
      </c>
      <c r="K716" s="27" t="s">
        <v>228</v>
      </c>
      <c r="L716" s="121">
        <v>21401</v>
      </c>
      <c r="M716" s="121" t="s">
        <v>121</v>
      </c>
      <c r="N716" s="115"/>
      <c r="O716" s="115"/>
      <c r="P716" s="115"/>
      <c r="Q716" s="115" t="s">
        <v>2818</v>
      </c>
      <c r="R716" s="121" t="s">
        <v>1769</v>
      </c>
      <c r="S716" s="121" t="s">
        <v>2819</v>
      </c>
      <c r="T716" s="121" t="s">
        <v>2762</v>
      </c>
      <c r="U716" s="326">
        <v>43448</v>
      </c>
      <c r="V716" s="121" t="s">
        <v>2748</v>
      </c>
      <c r="W716" s="218" t="s">
        <v>2820</v>
      </c>
      <c r="X716" s="121"/>
      <c r="Y716" s="121"/>
      <c r="Z716" s="121"/>
      <c r="AA716" s="115" t="s">
        <v>2821</v>
      </c>
      <c r="AB716" s="121">
        <v>163</v>
      </c>
      <c r="AC716" s="121">
        <v>20</v>
      </c>
      <c r="AD716" s="122"/>
      <c r="AE716" s="219">
        <f t="shared" si="659"/>
        <v>56.134999999999991</v>
      </c>
      <c r="AF716" s="219"/>
      <c r="AG716" s="219">
        <f>EU716+EM716</f>
        <v>10.361842105263158</v>
      </c>
      <c r="AH716" s="219">
        <f>DP716</f>
        <v>0</v>
      </c>
      <c r="AI716" s="219">
        <f t="shared" si="660"/>
        <v>0</v>
      </c>
      <c r="AJ716" s="219">
        <f t="shared" si="661"/>
        <v>0.20723684210526316</v>
      </c>
      <c r="AK716" s="219">
        <f t="shared" si="662"/>
        <v>0.83121052631578929</v>
      </c>
      <c r="AL716" s="219">
        <f t="shared" si="663"/>
        <v>7.3146526315789453</v>
      </c>
      <c r="AM716" s="219">
        <f t="shared" si="664"/>
        <v>1.038888888888889</v>
      </c>
      <c r="AN716" s="219">
        <f t="shared" si="665"/>
        <v>0.84</v>
      </c>
      <c r="AO716" s="220">
        <v>0</v>
      </c>
      <c r="AP716" s="220"/>
      <c r="AQ716" s="204">
        <f t="shared" si="666"/>
        <v>76.728830994152034</v>
      </c>
      <c r="AR716" s="219"/>
      <c r="AS716" s="219"/>
      <c r="AT716" s="220"/>
      <c r="AU716" s="219"/>
      <c r="AV716" s="204">
        <f t="shared" si="667"/>
        <v>76.728830994152034</v>
      </c>
      <c r="AW716" s="122">
        <v>0.34499999999999997</v>
      </c>
      <c r="AX716" s="122">
        <v>0.34</v>
      </c>
      <c r="AY716" s="210">
        <v>1</v>
      </c>
      <c r="AZ716" s="352">
        <f t="shared" si="668"/>
        <v>4.9999999999999489E-3</v>
      </c>
      <c r="BA716" s="202">
        <f t="shared" si="669"/>
        <v>56.134999999999991</v>
      </c>
      <c r="BB716" s="202"/>
      <c r="BC716" s="202"/>
      <c r="BD716" s="202"/>
      <c r="BE716" s="202"/>
      <c r="BF716" s="202"/>
      <c r="BG716" s="202"/>
      <c r="BH716" s="202"/>
      <c r="BI716" s="202"/>
      <c r="BJ716" s="202"/>
      <c r="BK716" s="202"/>
      <c r="BL716" s="202"/>
      <c r="BM716" s="202"/>
      <c r="BN716" s="202"/>
      <c r="BO716" s="202"/>
      <c r="BP716" s="202"/>
      <c r="BQ716" s="202"/>
      <c r="BR716" s="202"/>
      <c r="BS716" s="202"/>
      <c r="BT716" s="202"/>
      <c r="BU716" s="202"/>
      <c r="BV716" s="202"/>
      <c r="BW716" s="202"/>
      <c r="BX716" s="202"/>
      <c r="BY716" s="202"/>
      <c r="BZ716" s="202"/>
      <c r="CA716" s="202"/>
      <c r="CB716" s="202"/>
      <c r="CC716" s="202"/>
      <c r="CD716" s="122"/>
      <c r="CE716" s="122">
        <v>0</v>
      </c>
      <c r="CF716" s="122">
        <v>0</v>
      </c>
      <c r="CG716" s="122">
        <v>0</v>
      </c>
      <c r="CH716" s="122">
        <v>0</v>
      </c>
      <c r="CI716" s="121"/>
      <c r="CJ716" s="121"/>
      <c r="CK716" s="122"/>
      <c r="CL716" s="122"/>
      <c r="CM716" s="122"/>
      <c r="CN716" s="122"/>
      <c r="CO716" s="122"/>
      <c r="CP716" s="122"/>
      <c r="CQ716" s="122"/>
      <c r="CR716" s="122"/>
      <c r="CS716" s="122"/>
      <c r="CT716" s="122"/>
      <c r="CU716" s="122"/>
      <c r="CV716" s="122"/>
      <c r="CW716" s="122"/>
      <c r="CX716" s="122"/>
      <c r="CY716" s="122"/>
      <c r="CZ716" s="122"/>
      <c r="DA716" s="122"/>
      <c r="DB716" s="122"/>
      <c r="DC716" s="122"/>
      <c r="DD716" s="122"/>
      <c r="DE716" s="122"/>
      <c r="DF716" s="122"/>
      <c r="DG716" s="122"/>
      <c r="DH716" s="122"/>
      <c r="DI716" s="122"/>
      <c r="DJ716" s="122"/>
      <c r="DK716" s="122"/>
      <c r="DL716" s="122"/>
      <c r="DM716" s="103">
        <f>CM716+CR716+CW716+DB716+DG716+DL716+CH716</f>
        <v>0</v>
      </c>
      <c r="DN716" s="211">
        <v>1.2500000000000001E-2</v>
      </c>
      <c r="DO716" s="202">
        <f t="shared" si="670"/>
        <v>0</v>
      </c>
      <c r="DP716" s="122">
        <f>CG716*CF716</f>
        <v>0</v>
      </c>
      <c r="DQ716" s="122"/>
      <c r="DR716" s="122"/>
      <c r="DS716" s="122"/>
      <c r="DT716" s="122"/>
      <c r="DU716" s="122"/>
      <c r="DV716" s="122"/>
      <c r="DW716" s="122"/>
      <c r="DX716" s="122"/>
      <c r="DY716" s="122"/>
      <c r="DZ716" s="122"/>
      <c r="EA716" s="122"/>
      <c r="EB716" s="122"/>
      <c r="EC716" s="122"/>
      <c r="ED716" s="122"/>
      <c r="EE716" s="122"/>
      <c r="EF716" s="122">
        <v>450</v>
      </c>
      <c r="EG716" s="122">
        <v>4500</v>
      </c>
      <c r="EH716" s="122">
        <v>8</v>
      </c>
      <c r="EI716" s="210">
        <v>0.95</v>
      </c>
      <c r="EJ716" s="122">
        <v>1</v>
      </c>
      <c r="EK716" s="122">
        <v>63</v>
      </c>
      <c r="EL716" s="221">
        <f t="shared" ref="EL716:EL727" si="685">(3600/EK716*EH716*EJ716*EI716)</f>
        <v>434.28571428571428</v>
      </c>
      <c r="EM716" s="122"/>
      <c r="EN716" s="122"/>
      <c r="EO716" s="122"/>
      <c r="EP716" s="122"/>
      <c r="EQ716" s="122"/>
      <c r="ER716" s="122"/>
      <c r="ES716" s="122"/>
      <c r="ET716" s="122"/>
      <c r="EU716" s="202">
        <f t="shared" si="671"/>
        <v>10.361842105263158</v>
      </c>
      <c r="EV716" s="122"/>
      <c r="EW716" s="122"/>
      <c r="EX716" s="122"/>
      <c r="EY716" s="122"/>
      <c r="EZ716" s="122"/>
      <c r="FA716" s="122"/>
      <c r="FB716" s="122"/>
      <c r="FC716" s="122"/>
      <c r="FD716" s="122"/>
      <c r="FE716" s="122"/>
      <c r="FF716" s="122"/>
      <c r="FG716" s="122"/>
      <c r="FH716" s="122"/>
      <c r="FI716" s="122"/>
      <c r="FJ716" s="122"/>
      <c r="FK716" s="122"/>
      <c r="FL716" s="122"/>
      <c r="FM716" s="122"/>
      <c r="FN716" s="122"/>
      <c r="FO716" s="122"/>
      <c r="FP716" s="122"/>
      <c r="FQ716" s="122"/>
      <c r="FR716" s="122"/>
      <c r="FS716" s="122"/>
      <c r="FT716" s="122"/>
      <c r="FU716" s="122"/>
      <c r="FV716" s="122"/>
      <c r="FW716" s="122"/>
      <c r="FX716" s="122"/>
      <c r="FY716" s="122"/>
      <c r="FZ716" s="122"/>
      <c r="GA716" s="122"/>
      <c r="GB716" s="122"/>
      <c r="GC716" s="122"/>
      <c r="GD716" s="122"/>
      <c r="GE716" s="122"/>
      <c r="GF716" s="122"/>
      <c r="GG716" s="122"/>
      <c r="GH716" s="122"/>
      <c r="GI716" s="122"/>
      <c r="GJ716" s="122"/>
      <c r="GK716" s="122"/>
      <c r="GL716" s="122"/>
      <c r="GM716" s="122"/>
      <c r="GN716" s="122"/>
      <c r="GO716" s="122"/>
      <c r="GP716" s="122"/>
      <c r="GQ716" s="122"/>
      <c r="GR716" s="210">
        <v>0.11</v>
      </c>
      <c r="GS716" s="202">
        <f t="shared" si="672"/>
        <v>7.3146526315789453</v>
      </c>
      <c r="GT716" s="208">
        <v>1.2500000000000001E-2</v>
      </c>
      <c r="GU716" s="203">
        <f t="shared" si="673"/>
        <v>0.83121052631578929</v>
      </c>
      <c r="GV716" s="207">
        <v>0.02</v>
      </c>
      <c r="GW716" s="203">
        <f t="shared" si="674"/>
        <v>0.20723684210526316</v>
      </c>
      <c r="GX716" s="203">
        <f t="shared" si="675"/>
        <v>8.3530999999999977</v>
      </c>
      <c r="GY716" s="122" t="s">
        <v>43</v>
      </c>
      <c r="GZ716" s="122" t="s">
        <v>87</v>
      </c>
      <c r="HA716" s="122">
        <v>805</v>
      </c>
      <c r="HB716" s="122">
        <v>675</v>
      </c>
      <c r="HC716" s="122">
        <v>405</v>
      </c>
      <c r="HD716" s="122">
        <v>6</v>
      </c>
      <c r="HE716" s="122">
        <v>100</v>
      </c>
      <c r="HF716" s="122">
        <f t="shared" si="676"/>
        <v>17</v>
      </c>
      <c r="HG716" s="122">
        <v>5</v>
      </c>
      <c r="HH716" s="122">
        <f t="shared" si="677"/>
        <v>85</v>
      </c>
      <c r="HI716" s="122">
        <v>1100</v>
      </c>
      <c r="HJ716" s="122">
        <f t="shared" si="678"/>
        <v>93500</v>
      </c>
      <c r="HK716" s="122"/>
      <c r="HL716" s="122"/>
      <c r="HM716" s="122">
        <v>3</v>
      </c>
      <c r="HN716" s="122">
        <f t="shared" si="679"/>
        <v>90000</v>
      </c>
      <c r="HO716" s="202">
        <f t="shared" si="680"/>
        <v>1.038888888888889</v>
      </c>
      <c r="HP716" s="122">
        <v>160</v>
      </c>
      <c r="HQ716" s="122">
        <v>0</v>
      </c>
      <c r="HR716" s="122">
        <v>0</v>
      </c>
      <c r="HS716" s="122">
        <v>0</v>
      </c>
      <c r="HT716" s="122">
        <v>0</v>
      </c>
      <c r="HU716" s="122"/>
      <c r="HV716" s="202">
        <f t="shared" si="684"/>
        <v>1.038888888888889</v>
      </c>
      <c r="HW716" s="202"/>
      <c r="HX716" s="122">
        <v>5016</v>
      </c>
      <c r="HY716" s="122">
        <v>1976</v>
      </c>
      <c r="HZ716" s="122">
        <v>2280</v>
      </c>
      <c r="IA716" s="122">
        <f t="shared" si="681"/>
        <v>6</v>
      </c>
      <c r="IB716" s="122">
        <f t="shared" si="682"/>
        <v>2</v>
      </c>
      <c r="IC716" s="122">
        <f t="shared" si="683"/>
        <v>5</v>
      </c>
      <c r="ID716" s="210">
        <v>1</v>
      </c>
      <c r="IE716" s="203">
        <f>(PRODUCT(IA716:ID716))+40</f>
        <v>100</v>
      </c>
      <c r="IF716" s="122">
        <v>500</v>
      </c>
      <c r="IG716" s="122">
        <f>ROUNDUP(IF716/(IE716*HD716),2)</f>
        <v>0.84</v>
      </c>
      <c r="IH716" s="21"/>
    </row>
    <row r="717" spans="1:242">
      <c r="A717">
        <v>702</v>
      </c>
      <c r="B717" t="s">
        <v>468</v>
      </c>
      <c r="C717" s="121" t="s">
        <v>2822</v>
      </c>
      <c r="D717" s="28" t="s">
        <v>1530</v>
      </c>
      <c r="E717" s="28" t="s">
        <v>688</v>
      </c>
      <c r="F717" s="28" t="s">
        <v>2182</v>
      </c>
      <c r="G717" s="27" t="s">
        <v>102</v>
      </c>
      <c r="I717" s="27" t="s">
        <v>121</v>
      </c>
      <c r="J717" s="28">
        <v>21677</v>
      </c>
      <c r="K717" s="27" t="s">
        <v>228</v>
      </c>
      <c r="L717" s="121">
        <v>21401</v>
      </c>
      <c r="M717" s="121" t="s">
        <v>121</v>
      </c>
      <c r="N717" s="115"/>
      <c r="O717" s="115"/>
      <c r="P717" s="115"/>
      <c r="Q717" s="115" t="s">
        <v>2818</v>
      </c>
      <c r="R717" s="121" t="s">
        <v>1769</v>
      </c>
      <c r="S717" s="121" t="s">
        <v>2819</v>
      </c>
      <c r="T717" s="121" t="s">
        <v>2762</v>
      </c>
      <c r="U717" s="326">
        <v>43448</v>
      </c>
      <c r="V717" s="121" t="s">
        <v>2748</v>
      </c>
      <c r="W717" s="218" t="s">
        <v>2820</v>
      </c>
      <c r="X717" s="121"/>
      <c r="Y717" s="121"/>
      <c r="Z717" s="121"/>
      <c r="AA717" s="115" t="s">
        <v>2823</v>
      </c>
      <c r="AB717" s="121">
        <v>114</v>
      </c>
      <c r="AC717" s="121">
        <v>20</v>
      </c>
      <c r="AD717" s="122"/>
      <c r="AE717" s="219">
        <f t="shared" si="659"/>
        <v>32.275999999999996</v>
      </c>
      <c r="AF717" s="219"/>
      <c r="AG717" s="219">
        <f>EU717+EM717</f>
        <v>4.5687134502923978</v>
      </c>
      <c r="AH717" s="219">
        <f>DP717</f>
        <v>0</v>
      </c>
      <c r="AI717" s="219">
        <f t="shared" si="660"/>
        <v>0</v>
      </c>
      <c r="AJ717" s="219">
        <f t="shared" si="661"/>
        <v>9.1374269005847955E-2</v>
      </c>
      <c r="AK717" s="219">
        <f t="shared" si="662"/>
        <v>0.46055891812865496</v>
      </c>
      <c r="AL717" s="219">
        <f t="shared" si="663"/>
        <v>4.0529184795321633</v>
      </c>
      <c r="AM717" s="219">
        <f t="shared" si="664"/>
        <v>0.36666666666666664</v>
      </c>
      <c r="AN717" s="219">
        <f t="shared" si="665"/>
        <v>0.27777777777777779</v>
      </c>
      <c r="AO717" s="220">
        <v>0</v>
      </c>
      <c r="AP717" s="220"/>
      <c r="AQ717" s="204">
        <f t="shared" si="666"/>
        <v>42.09400956140351</v>
      </c>
      <c r="AR717" s="219"/>
      <c r="AS717" s="219"/>
      <c r="AT717" s="220"/>
      <c r="AU717" s="219"/>
      <c r="AV717" s="204">
        <f t="shared" si="667"/>
        <v>42.09400956140351</v>
      </c>
      <c r="AW717" s="122">
        <v>0.28399999999999997</v>
      </c>
      <c r="AX717" s="122">
        <v>0.27900000000000003</v>
      </c>
      <c r="AY717" s="210">
        <v>1</v>
      </c>
      <c r="AZ717" s="122">
        <f t="shared" si="668"/>
        <v>4.9999999999999489E-3</v>
      </c>
      <c r="BA717" s="202">
        <f t="shared" si="669"/>
        <v>32.275999999999996</v>
      </c>
      <c r="BB717" s="202"/>
      <c r="BC717" s="202"/>
      <c r="BD717" s="202"/>
      <c r="BE717" s="202"/>
      <c r="BF717" s="202"/>
      <c r="BG717" s="202"/>
      <c r="BH717" s="202"/>
      <c r="BI717" s="202"/>
      <c r="BJ717" s="202"/>
      <c r="BK717" s="202"/>
      <c r="BL717" s="202"/>
      <c r="BM717" s="202"/>
      <c r="BN717" s="202"/>
      <c r="BO717" s="202"/>
      <c r="BP717" s="202"/>
      <c r="BQ717" s="202"/>
      <c r="BR717" s="202"/>
      <c r="BS717" s="202"/>
      <c r="BT717" s="202"/>
      <c r="BU717" s="202"/>
      <c r="BV717" s="202"/>
      <c r="BW717" s="202"/>
      <c r="BX717" s="202"/>
      <c r="BY717" s="202"/>
      <c r="BZ717" s="202"/>
      <c r="CA717" s="202"/>
      <c r="CB717" s="202"/>
      <c r="CC717" s="202"/>
      <c r="CD717" s="122"/>
      <c r="CE717" s="122">
        <v>0</v>
      </c>
      <c r="CF717" s="122">
        <v>0</v>
      </c>
      <c r="CG717" s="122">
        <v>0</v>
      </c>
      <c r="CH717" s="122">
        <v>0</v>
      </c>
      <c r="CI717" s="121"/>
      <c r="CJ717" s="121"/>
      <c r="CK717" s="122"/>
      <c r="CL717" s="122"/>
      <c r="CM717" s="122"/>
      <c r="CN717" s="122"/>
      <c r="CO717" s="122"/>
      <c r="CP717" s="122"/>
      <c r="CQ717" s="122"/>
      <c r="CR717" s="122"/>
      <c r="CS717" s="122"/>
      <c r="CT717" s="122"/>
      <c r="CU717" s="122"/>
      <c r="CV717" s="122"/>
      <c r="CW717" s="122"/>
      <c r="CX717" s="122"/>
      <c r="CY717" s="122"/>
      <c r="CZ717" s="122"/>
      <c r="DA717" s="122"/>
      <c r="DB717" s="122"/>
      <c r="DC717" s="122"/>
      <c r="DD717" s="122"/>
      <c r="DE717" s="122"/>
      <c r="DF717" s="122"/>
      <c r="DG717" s="122"/>
      <c r="DH717" s="122"/>
      <c r="DI717" s="122"/>
      <c r="DJ717" s="122"/>
      <c r="DK717" s="122"/>
      <c r="DL717" s="122"/>
      <c r="DM717" s="103">
        <v>0</v>
      </c>
      <c r="DN717" s="211">
        <v>1.2500000000000001E-2</v>
      </c>
      <c r="DO717" s="202">
        <f t="shared" si="670"/>
        <v>0</v>
      </c>
      <c r="DP717" s="122">
        <v>0</v>
      </c>
      <c r="DQ717" s="122"/>
      <c r="DR717" s="122"/>
      <c r="DS717" s="122"/>
      <c r="DT717" s="122"/>
      <c r="DU717" s="122"/>
      <c r="DV717" s="122"/>
      <c r="DW717" s="122"/>
      <c r="DX717" s="122"/>
      <c r="DY717" s="122"/>
      <c r="DZ717" s="122"/>
      <c r="EA717" s="122"/>
      <c r="EB717" s="122"/>
      <c r="EC717" s="122"/>
      <c r="ED717" s="122"/>
      <c r="EE717" s="122"/>
      <c r="EF717" s="122">
        <v>250</v>
      </c>
      <c r="EG717" s="122">
        <v>2500</v>
      </c>
      <c r="EH717" s="122">
        <v>8</v>
      </c>
      <c r="EI717" s="210">
        <v>0.95</v>
      </c>
      <c r="EJ717" s="122">
        <v>1</v>
      </c>
      <c r="EK717" s="122">
        <v>50</v>
      </c>
      <c r="EL717" s="221">
        <f t="shared" si="685"/>
        <v>547.19999999999993</v>
      </c>
      <c r="EM717" s="122"/>
      <c r="EN717" s="122"/>
      <c r="EO717" s="122"/>
      <c r="EP717" s="122"/>
      <c r="EQ717" s="122"/>
      <c r="ER717" s="122"/>
      <c r="ES717" s="122"/>
      <c r="ET717" s="122"/>
      <c r="EU717" s="202">
        <f t="shared" si="671"/>
        <v>4.5687134502923978</v>
      </c>
      <c r="EV717" s="122"/>
      <c r="EW717" s="122"/>
      <c r="EX717" s="122"/>
      <c r="EY717" s="122"/>
      <c r="EZ717" s="122"/>
      <c r="FA717" s="122"/>
      <c r="FB717" s="122"/>
      <c r="FC717" s="122"/>
      <c r="FD717" s="122"/>
      <c r="FE717" s="122"/>
      <c r="FF717" s="122"/>
      <c r="FG717" s="122"/>
      <c r="FH717" s="122"/>
      <c r="FI717" s="122"/>
      <c r="FJ717" s="122"/>
      <c r="FK717" s="122"/>
      <c r="FL717" s="122"/>
      <c r="FM717" s="122"/>
      <c r="FN717" s="122"/>
      <c r="FO717" s="122"/>
      <c r="FP717" s="122"/>
      <c r="FQ717" s="122"/>
      <c r="FR717" s="122"/>
      <c r="FS717" s="122"/>
      <c r="FT717" s="122"/>
      <c r="FU717" s="122"/>
      <c r="FV717" s="122"/>
      <c r="FW717" s="122"/>
      <c r="FX717" s="122"/>
      <c r="FY717" s="122"/>
      <c r="FZ717" s="122"/>
      <c r="GA717" s="122"/>
      <c r="GB717" s="122"/>
      <c r="GC717" s="122"/>
      <c r="GD717" s="122"/>
      <c r="GE717" s="122"/>
      <c r="GF717" s="122"/>
      <c r="GG717" s="122"/>
      <c r="GH717" s="122"/>
      <c r="GI717" s="122"/>
      <c r="GJ717" s="122"/>
      <c r="GK717" s="122"/>
      <c r="GL717" s="122"/>
      <c r="GM717" s="122"/>
      <c r="GN717" s="122"/>
      <c r="GO717" s="122"/>
      <c r="GP717" s="122"/>
      <c r="GQ717" s="122"/>
      <c r="GR717" s="210">
        <v>0.11</v>
      </c>
      <c r="GS717" s="202">
        <f t="shared" si="672"/>
        <v>4.0529184795321633</v>
      </c>
      <c r="GT717" s="208">
        <v>1.2500000000000001E-2</v>
      </c>
      <c r="GU717" s="203">
        <f t="shared" si="673"/>
        <v>0.46055891812865496</v>
      </c>
      <c r="GV717" s="207">
        <v>0.02</v>
      </c>
      <c r="GW717" s="203">
        <f t="shared" si="674"/>
        <v>9.1374269005847955E-2</v>
      </c>
      <c r="GX717" s="203">
        <f t="shared" si="675"/>
        <v>4.6048516666666659</v>
      </c>
      <c r="GY717" s="122" t="s">
        <v>43</v>
      </c>
      <c r="GZ717" s="122" t="s">
        <v>87</v>
      </c>
      <c r="HA717" s="122">
        <v>805</v>
      </c>
      <c r="HB717" s="122">
        <v>675</v>
      </c>
      <c r="HC717" s="122">
        <v>405</v>
      </c>
      <c r="HD717" s="122">
        <v>18</v>
      </c>
      <c r="HE717" s="122">
        <v>100</v>
      </c>
      <c r="HF717" s="122">
        <f t="shared" si="676"/>
        <v>6</v>
      </c>
      <c r="HG717" s="122">
        <v>5</v>
      </c>
      <c r="HH717" s="122">
        <f t="shared" si="677"/>
        <v>30</v>
      </c>
      <c r="HI717" s="122">
        <v>1100</v>
      </c>
      <c r="HJ717" s="122">
        <f t="shared" si="678"/>
        <v>33000</v>
      </c>
      <c r="HK717" s="122"/>
      <c r="HL717" s="122"/>
      <c r="HM717" s="122">
        <v>3</v>
      </c>
      <c r="HN717" s="122">
        <f t="shared" si="679"/>
        <v>90000</v>
      </c>
      <c r="HO717" s="202">
        <f t="shared" si="680"/>
        <v>0.36666666666666664</v>
      </c>
      <c r="HP717" s="122">
        <v>160</v>
      </c>
      <c r="HQ717" s="122">
        <v>0</v>
      </c>
      <c r="HR717" s="122">
        <v>0</v>
      </c>
      <c r="HS717" s="122">
        <v>0</v>
      </c>
      <c r="HT717" s="122">
        <v>0</v>
      </c>
      <c r="HU717" s="122"/>
      <c r="HV717" s="202">
        <f t="shared" si="684"/>
        <v>0.36666666666666664</v>
      </c>
      <c r="HW717" s="202"/>
      <c r="HX717" s="122">
        <v>5016</v>
      </c>
      <c r="HY717" s="122">
        <v>1976</v>
      </c>
      <c r="HZ717" s="122">
        <v>2280</v>
      </c>
      <c r="IA717" s="122">
        <f t="shared" si="681"/>
        <v>6</v>
      </c>
      <c r="IB717" s="122">
        <f t="shared" si="682"/>
        <v>2</v>
      </c>
      <c r="IC717" s="122">
        <f t="shared" si="683"/>
        <v>5</v>
      </c>
      <c r="ID717" s="210">
        <v>1</v>
      </c>
      <c r="IE717" s="203">
        <f>(PRODUCT(IA717:ID717))+40</f>
        <v>100</v>
      </c>
      <c r="IF717" s="122">
        <v>500</v>
      </c>
      <c r="IG717" s="202">
        <f t="shared" ref="IG717:IG727" si="686">(IF717/(IE717*HD717))</f>
        <v>0.27777777777777779</v>
      </c>
      <c r="IH717" s="20"/>
    </row>
    <row r="718" spans="1:242">
      <c r="A718">
        <v>703</v>
      </c>
      <c r="B718" t="s">
        <v>468</v>
      </c>
      <c r="C718" s="121" t="s">
        <v>2825</v>
      </c>
      <c r="D718" s="28" t="s">
        <v>1531</v>
      </c>
      <c r="E718" s="28" t="s">
        <v>1532</v>
      </c>
      <c r="F718" s="28" t="s">
        <v>2182</v>
      </c>
      <c r="G718" s="27" t="s">
        <v>102</v>
      </c>
      <c r="I718" s="27" t="s">
        <v>121</v>
      </c>
      <c r="J718" s="28">
        <v>21677</v>
      </c>
      <c r="K718" s="27" t="s">
        <v>228</v>
      </c>
      <c r="L718" s="121"/>
      <c r="M718" s="121"/>
      <c r="N718" s="115"/>
      <c r="O718" s="115"/>
      <c r="P718" s="115"/>
      <c r="Q718" s="115" t="s">
        <v>2778</v>
      </c>
      <c r="R718" s="121" t="s">
        <v>2779</v>
      </c>
      <c r="S718" s="121" t="s">
        <v>2824</v>
      </c>
      <c r="T718" s="121" t="s">
        <v>2762</v>
      </c>
      <c r="U718" s="326">
        <v>44409</v>
      </c>
      <c r="V718" s="121" t="s">
        <v>2748</v>
      </c>
      <c r="W718" s="218"/>
      <c r="X718" s="121"/>
      <c r="Y718" s="121"/>
      <c r="Z718" s="121"/>
      <c r="AA718" s="115" t="s">
        <v>2821</v>
      </c>
      <c r="AB718" s="121">
        <v>126.69</v>
      </c>
      <c r="AC718" s="121">
        <v>20</v>
      </c>
      <c r="AD718" s="122" t="s">
        <v>596</v>
      </c>
      <c r="AE718" s="219">
        <f t="shared" si="659"/>
        <v>48.535649999999997</v>
      </c>
      <c r="AF718" s="219"/>
      <c r="AG718" s="219">
        <f>EU718+EM718+EO718</f>
        <v>19.164952350010829</v>
      </c>
      <c r="AH718" s="219">
        <f>DM718</f>
        <v>0.2</v>
      </c>
      <c r="AI718" s="219">
        <f t="shared" si="660"/>
        <v>2.5000000000000005E-3</v>
      </c>
      <c r="AJ718" s="219">
        <f t="shared" si="661"/>
        <v>0.33260233918128657</v>
      </c>
      <c r="AK718" s="219">
        <f t="shared" si="662"/>
        <v>0.81457208698830419</v>
      </c>
      <c r="AL718" s="219">
        <f t="shared" si="663"/>
        <v>7.1682343654970762</v>
      </c>
      <c r="AM718" s="219">
        <f t="shared" si="664"/>
        <v>5.7133333333333329</v>
      </c>
      <c r="AN718" s="219">
        <f t="shared" si="665"/>
        <v>0.66666666666666663</v>
      </c>
      <c r="AO718" s="220">
        <v>0</v>
      </c>
      <c r="AP718" s="220"/>
      <c r="AQ718" s="219">
        <f t="shared" si="666"/>
        <v>82.598511141677506</v>
      </c>
      <c r="AR718" s="219"/>
      <c r="AS718" s="219"/>
      <c r="AT718" s="220">
        <f>109.16-82.6</f>
        <v>26.560000000000002</v>
      </c>
      <c r="AU718" s="219"/>
      <c r="AV718" s="219">
        <f t="shared" si="667"/>
        <v>109.15851114167751</v>
      </c>
      <c r="AW718" s="122">
        <v>0.38500000000000001</v>
      </c>
      <c r="AX718" s="122">
        <v>0.373</v>
      </c>
      <c r="AY718" s="210">
        <v>1</v>
      </c>
      <c r="AZ718" s="122">
        <f t="shared" si="668"/>
        <v>1.2000000000000011E-2</v>
      </c>
      <c r="BA718" s="202">
        <f t="shared" si="669"/>
        <v>48.535649999999997</v>
      </c>
      <c r="BB718" s="202"/>
      <c r="BC718" s="202"/>
      <c r="BD718" s="202"/>
      <c r="BE718" s="202"/>
      <c r="BF718" s="202"/>
      <c r="BG718" s="202"/>
      <c r="BH718" s="202"/>
      <c r="BI718" s="202"/>
      <c r="BJ718" s="202"/>
      <c r="BK718" s="202"/>
      <c r="BL718" s="202"/>
      <c r="BM718" s="202"/>
      <c r="BN718" s="202"/>
      <c r="BO718" s="202"/>
      <c r="BP718" s="202"/>
      <c r="BQ718" s="202"/>
      <c r="BR718" s="202"/>
      <c r="BS718" s="202"/>
      <c r="BT718" s="202"/>
      <c r="BU718" s="202"/>
      <c r="BV718" s="202"/>
      <c r="BW718" s="202"/>
      <c r="BX718" s="202"/>
      <c r="BY718" s="202"/>
      <c r="BZ718" s="202"/>
      <c r="CA718" s="202"/>
      <c r="CB718" s="202"/>
      <c r="CC718" s="202"/>
      <c r="CD718" s="122"/>
      <c r="CE718" s="122">
        <v>0</v>
      </c>
      <c r="CF718" s="122">
        <v>1</v>
      </c>
      <c r="CG718" s="122">
        <v>0.2</v>
      </c>
      <c r="CH718" s="122">
        <f>CG718*CF718</f>
        <v>0.2</v>
      </c>
      <c r="CI718" s="121"/>
      <c r="CJ718" s="121"/>
      <c r="CK718" s="122"/>
      <c r="CL718" s="122"/>
      <c r="CM718" s="122"/>
      <c r="CN718" s="122"/>
      <c r="CO718" s="122"/>
      <c r="CP718" s="122"/>
      <c r="CQ718" s="122"/>
      <c r="CR718" s="122"/>
      <c r="CS718" s="122"/>
      <c r="CT718" s="122"/>
      <c r="CU718" s="122"/>
      <c r="CV718" s="122"/>
      <c r="CW718" s="122"/>
      <c r="CX718" s="122"/>
      <c r="CY718" s="122"/>
      <c r="CZ718" s="122"/>
      <c r="DA718" s="122"/>
      <c r="DB718" s="122"/>
      <c r="DC718" s="122"/>
      <c r="DD718" s="122"/>
      <c r="DE718" s="122"/>
      <c r="DF718" s="122"/>
      <c r="DG718" s="122"/>
      <c r="DH718" s="122"/>
      <c r="DI718" s="122"/>
      <c r="DJ718" s="122"/>
      <c r="DK718" s="122"/>
      <c r="DL718" s="122"/>
      <c r="DM718" s="122">
        <f>CH718+CM718+CR718+CW718+DB718+DG718+DL718</f>
        <v>0.2</v>
      </c>
      <c r="DN718" s="211">
        <v>1.2500000000000001E-2</v>
      </c>
      <c r="DO718" s="202">
        <f t="shared" si="670"/>
        <v>2.5000000000000005E-3</v>
      </c>
      <c r="DP718" s="122">
        <v>0</v>
      </c>
      <c r="DQ718" s="122"/>
      <c r="DR718" s="122"/>
      <c r="DS718" s="122"/>
      <c r="DT718" s="122"/>
      <c r="DU718" s="122"/>
      <c r="DV718" s="122"/>
      <c r="DW718" s="122"/>
      <c r="DX718" s="122"/>
      <c r="DY718" s="122"/>
      <c r="DZ718" s="122"/>
      <c r="EA718" s="122"/>
      <c r="EB718" s="122"/>
      <c r="EC718" s="122"/>
      <c r="ED718" s="122"/>
      <c r="EE718" s="122"/>
      <c r="EF718" s="122">
        <v>650</v>
      </c>
      <c r="EG718" s="122">
        <v>6500</v>
      </c>
      <c r="EH718" s="122">
        <v>8</v>
      </c>
      <c r="EI718" s="210">
        <v>0.95</v>
      </c>
      <c r="EJ718" s="122">
        <v>1</v>
      </c>
      <c r="EK718" s="122">
        <v>70</v>
      </c>
      <c r="EL718" s="221">
        <f t="shared" si="685"/>
        <v>390.85714285714283</v>
      </c>
      <c r="EM718" s="122"/>
      <c r="EN718" s="122"/>
      <c r="EO718" s="355">
        <f>(106.66*12+16*8)/(3600/70*0.9*12)</f>
        <v>2.5348353909465016</v>
      </c>
      <c r="EP718" s="122"/>
      <c r="EQ718" s="122"/>
      <c r="ER718" s="122"/>
      <c r="ES718" s="122"/>
      <c r="ET718" s="122"/>
      <c r="EU718" s="202">
        <f t="shared" si="671"/>
        <v>16.630116959064328</v>
      </c>
      <c r="EV718" s="122"/>
      <c r="EW718" s="122"/>
      <c r="EX718" s="122"/>
      <c r="EY718" s="122"/>
      <c r="EZ718" s="122"/>
      <c r="FA718" s="122"/>
      <c r="FB718" s="122"/>
      <c r="FC718" s="122"/>
      <c r="FD718" s="122"/>
      <c r="FE718" s="122"/>
      <c r="FF718" s="122"/>
      <c r="FG718" s="122"/>
      <c r="FH718" s="122"/>
      <c r="FI718" s="122"/>
      <c r="FJ718" s="122"/>
      <c r="FK718" s="122"/>
      <c r="FL718" s="122"/>
      <c r="FM718" s="122"/>
      <c r="FN718" s="122"/>
      <c r="FO718" s="122"/>
      <c r="FP718" s="122"/>
      <c r="FQ718" s="122"/>
      <c r="FR718" s="122"/>
      <c r="FS718" s="122"/>
      <c r="FT718" s="122"/>
      <c r="FU718" s="122"/>
      <c r="FV718" s="122"/>
      <c r="FW718" s="122"/>
      <c r="FX718" s="122"/>
      <c r="FY718" s="122"/>
      <c r="FZ718" s="122"/>
      <c r="GA718" s="122"/>
      <c r="GB718" s="122"/>
      <c r="GC718" s="122"/>
      <c r="GD718" s="122"/>
      <c r="GE718" s="122"/>
      <c r="GF718" s="122"/>
      <c r="GG718" s="122"/>
      <c r="GH718" s="122"/>
      <c r="GI718" s="122"/>
      <c r="GJ718" s="122"/>
      <c r="GK718" s="122"/>
      <c r="GL718" s="122"/>
      <c r="GM718" s="122"/>
      <c r="GN718" s="122"/>
      <c r="GO718" s="122"/>
      <c r="GP718" s="122"/>
      <c r="GQ718" s="122"/>
      <c r="GR718" s="210">
        <v>0.11</v>
      </c>
      <c r="GS718" s="202">
        <f t="shared" si="672"/>
        <v>7.1682343654970762</v>
      </c>
      <c r="GT718" s="211">
        <v>1.2500000000000001E-2</v>
      </c>
      <c r="GU718" s="202">
        <f t="shared" si="673"/>
        <v>0.81457208698830419</v>
      </c>
      <c r="GV718" s="210">
        <v>0.02</v>
      </c>
      <c r="GW718" s="202">
        <f t="shared" si="674"/>
        <v>0.33260233918128657</v>
      </c>
      <c r="GX718" s="202">
        <f t="shared" si="675"/>
        <v>8.3154087916666679</v>
      </c>
      <c r="GY718" s="122" t="s">
        <v>130</v>
      </c>
      <c r="GZ718" s="122"/>
      <c r="HA718" s="122">
        <v>1350</v>
      </c>
      <c r="HB718" s="122">
        <v>950</v>
      </c>
      <c r="HC718" s="122">
        <v>2400</v>
      </c>
      <c r="HD718" s="122">
        <v>150</v>
      </c>
      <c r="HE718" s="122">
        <v>600</v>
      </c>
      <c r="HF718" s="122">
        <f t="shared" si="676"/>
        <v>4</v>
      </c>
      <c r="HG718" s="122">
        <v>5</v>
      </c>
      <c r="HH718" s="122">
        <f t="shared" si="677"/>
        <v>20</v>
      </c>
      <c r="HI718" s="122">
        <v>24000</v>
      </c>
      <c r="HJ718" s="122">
        <f t="shared" si="678"/>
        <v>480000</v>
      </c>
      <c r="HK718" s="122"/>
      <c r="HL718" s="122"/>
      <c r="HM718" s="122">
        <v>2</v>
      </c>
      <c r="HN718" s="122">
        <f t="shared" si="679"/>
        <v>360000</v>
      </c>
      <c r="HO718" s="202">
        <f t="shared" si="680"/>
        <v>1.3333333333333333</v>
      </c>
      <c r="HP718" s="122">
        <v>160</v>
      </c>
      <c r="HQ718" s="122">
        <v>0</v>
      </c>
      <c r="HR718" s="122">
        <f>3.71+0.67</f>
        <v>4.38</v>
      </c>
      <c r="HS718" s="122">
        <v>1</v>
      </c>
      <c r="HT718" s="202">
        <f>HR718/HS718</f>
        <v>4.38</v>
      </c>
      <c r="HU718" s="202"/>
      <c r="HV718" s="202">
        <f t="shared" si="684"/>
        <v>5.7133333333333329</v>
      </c>
      <c r="HW718" s="202"/>
      <c r="HX718" s="122">
        <v>5016</v>
      </c>
      <c r="HY718" s="122">
        <v>1976</v>
      </c>
      <c r="HZ718" s="122">
        <v>2280</v>
      </c>
      <c r="IA718" s="122">
        <f t="shared" si="681"/>
        <v>3</v>
      </c>
      <c r="IB718" s="122">
        <f t="shared" si="682"/>
        <v>2</v>
      </c>
      <c r="IC718" s="122">
        <f t="shared" si="683"/>
        <v>0</v>
      </c>
      <c r="ID718" s="210">
        <v>1</v>
      </c>
      <c r="IE718" s="202">
        <f>(PRODUCT(IA718:ID718))+5</f>
        <v>5</v>
      </c>
      <c r="IF718" s="122">
        <v>500</v>
      </c>
      <c r="IG718" s="202">
        <f t="shared" si="686"/>
        <v>0.66666666666666663</v>
      </c>
      <c r="IH718" s="20"/>
    </row>
    <row r="719" spans="1:242">
      <c r="A719">
        <v>704</v>
      </c>
      <c r="B719" t="s">
        <v>468</v>
      </c>
      <c r="C719" s="121" t="s">
        <v>2827</v>
      </c>
      <c r="D719" s="28" t="s">
        <v>1531</v>
      </c>
      <c r="E719" s="28" t="s">
        <v>1532</v>
      </c>
      <c r="F719" s="28" t="s">
        <v>2182</v>
      </c>
      <c r="G719" s="27" t="s">
        <v>102</v>
      </c>
      <c r="I719" s="27" t="s">
        <v>226</v>
      </c>
      <c r="J719" s="28">
        <v>21590</v>
      </c>
      <c r="K719" s="27" t="s">
        <v>397</v>
      </c>
      <c r="L719" s="121"/>
      <c r="M719" s="121"/>
      <c r="N719" s="115"/>
      <c r="O719" s="115"/>
      <c r="P719" s="115"/>
      <c r="Q719" s="115" t="s">
        <v>2773</v>
      </c>
      <c r="R719" s="121" t="s">
        <v>2760</v>
      </c>
      <c r="S719" s="121" t="s">
        <v>2828</v>
      </c>
      <c r="T719" s="121" t="s">
        <v>2762</v>
      </c>
      <c r="U719" s="326">
        <v>45107</v>
      </c>
      <c r="V719" s="121" t="s">
        <v>2748</v>
      </c>
      <c r="W719" s="218"/>
      <c r="X719" s="121"/>
      <c r="Y719" s="121"/>
      <c r="Z719" s="121"/>
      <c r="AA719" s="115" t="s">
        <v>2821</v>
      </c>
      <c r="AB719" s="121">
        <v>179.4</v>
      </c>
      <c r="AC719" s="121">
        <v>20</v>
      </c>
      <c r="AD719" s="122" t="s">
        <v>1200</v>
      </c>
      <c r="AE719" s="219">
        <f t="shared" si="659"/>
        <v>64.763400000000004</v>
      </c>
      <c r="AF719" s="219"/>
      <c r="AG719" s="219">
        <f>EU719+EM719</f>
        <v>18.197530864197532</v>
      </c>
      <c r="AH719" s="219">
        <f>DP719</f>
        <v>0</v>
      </c>
      <c r="AI719" s="219">
        <f t="shared" si="660"/>
        <v>0</v>
      </c>
      <c r="AJ719" s="219">
        <f t="shared" si="661"/>
        <v>0.36395061728395062</v>
      </c>
      <c r="AK719" s="219">
        <f t="shared" si="662"/>
        <v>1.0370116358024692</v>
      </c>
      <c r="AL719" s="219">
        <f t="shared" si="663"/>
        <v>9.1257023950617295</v>
      </c>
      <c r="AM719" s="219">
        <f t="shared" si="664"/>
        <v>4.7358333333333329</v>
      </c>
      <c r="AN719" s="219">
        <f t="shared" si="665"/>
        <v>1.0964912280701755</v>
      </c>
      <c r="AO719" s="220">
        <v>0</v>
      </c>
      <c r="AP719" s="220"/>
      <c r="AQ719" s="204">
        <f t="shared" si="666"/>
        <v>99.319920073749188</v>
      </c>
      <c r="AR719" s="219"/>
      <c r="AS719" s="219"/>
      <c r="AT719" s="220"/>
      <c r="AU719" s="219"/>
      <c r="AV719" s="204">
        <f t="shared" si="667"/>
        <v>99.319920073749188</v>
      </c>
      <c r="AW719" s="122">
        <v>0.36099999999999999</v>
      </c>
      <c r="AX719" s="122">
        <v>0.36099999999999999</v>
      </c>
      <c r="AY719" s="210">
        <v>1</v>
      </c>
      <c r="AZ719" s="122">
        <f t="shared" si="668"/>
        <v>0</v>
      </c>
      <c r="BA719" s="202">
        <f t="shared" si="669"/>
        <v>64.763400000000004</v>
      </c>
      <c r="BB719" s="202"/>
      <c r="BC719" s="202"/>
      <c r="BD719" s="202"/>
      <c r="BE719" s="202"/>
      <c r="BF719" s="202"/>
      <c r="BG719" s="202"/>
      <c r="BH719" s="202"/>
      <c r="BI719" s="202"/>
      <c r="BJ719" s="202"/>
      <c r="BK719" s="202"/>
      <c r="BL719" s="202"/>
      <c r="BM719" s="202"/>
      <c r="BN719" s="202"/>
      <c r="BO719" s="202"/>
      <c r="BP719" s="202"/>
      <c r="BQ719" s="202"/>
      <c r="BR719" s="202"/>
      <c r="BS719" s="202"/>
      <c r="BT719" s="202"/>
      <c r="BU719" s="202"/>
      <c r="BV719" s="202"/>
      <c r="BW719" s="202"/>
      <c r="BX719" s="202"/>
      <c r="BY719" s="202"/>
      <c r="BZ719" s="202"/>
      <c r="CA719" s="202"/>
      <c r="CB719" s="202"/>
      <c r="CC719" s="202"/>
      <c r="CD719" s="122"/>
      <c r="CE719" s="122">
        <v>0</v>
      </c>
      <c r="CF719" s="122">
        <v>0</v>
      </c>
      <c r="CG719" s="122">
        <v>0</v>
      </c>
      <c r="CH719" s="122">
        <v>0</v>
      </c>
      <c r="CI719" s="121"/>
      <c r="CJ719" s="121"/>
      <c r="CK719" s="122"/>
      <c r="CL719" s="122"/>
      <c r="CM719" s="122"/>
      <c r="CN719" s="122"/>
      <c r="CO719" s="122"/>
      <c r="CP719" s="122"/>
      <c r="CQ719" s="122"/>
      <c r="CR719" s="122"/>
      <c r="CS719" s="122"/>
      <c r="CT719" s="122"/>
      <c r="CU719" s="122"/>
      <c r="CV719" s="122"/>
      <c r="CW719" s="122"/>
      <c r="CX719" s="122"/>
      <c r="CY719" s="122"/>
      <c r="CZ719" s="122"/>
      <c r="DA719" s="122"/>
      <c r="DB719" s="122"/>
      <c r="DC719" s="122"/>
      <c r="DD719" s="122"/>
      <c r="DE719" s="122"/>
      <c r="DF719" s="122"/>
      <c r="DG719" s="122"/>
      <c r="DH719" s="122"/>
      <c r="DI719" s="122"/>
      <c r="DJ719" s="122"/>
      <c r="DK719" s="122"/>
      <c r="DL719" s="122"/>
      <c r="DM719" s="122">
        <v>0</v>
      </c>
      <c r="DN719" s="211">
        <v>1.2500000000000001E-2</v>
      </c>
      <c r="DO719" s="202">
        <f t="shared" si="670"/>
        <v>0</v>
      </c>
      <c r="DP719" s="122">
        <v>0</v>
      </c>
      <c r="DQ719" s="122"/>
      <c r="DR719" s="122"/>
      <c r="DS719" s="122"/>
      <c r="DT719" s="122"/>
      <c r="DU719" s="122"/>
      <c r="DV719" s="122"/>
      <c r="DW719" s="122"/>
      <c r="DX719" s="122"/>
      <c r="DY719" s="122"/>
      <c r="DZ719" s="122"/>
      <c r="EA719" s="122"/>
      <c r="EB719" s="122"/>
      <c r="EC719" s="122"/>
      <c r="ED719" s="122"/>
      <c r="EE719" s="122"/>
      <c r="EF719" s="122">
        <v>660</v>
      </c>
      <c r="EG719" s="122">
        <v>6600</v>
      </c>
      <c r="EH719" s="122">
        <v>7.5</v>
      </c>
      <c r="EI719" s="210">
        <v>0.9</v>
      </c>
      <c r="EJ719" s="122">
        <v>1</v>
      </c>
      <c r="EK719" s="122">
        <v>67</v>
      </c>
      <c r="EL719" s="221">
        <f t="shared" si="685"/>
        <v>362.68656716417911</v>
      </c>
      <c r="EM719" s="122"/>
      <c r="EN719" s="122"/>
      <c r="EO719" s="122"/>
      <c r="EP719" s="122"/>
      <c r="EQ719" s="122"/>
      <c r="ER719" s="122"/>
      <c r="ES719" s="122"/>
      <c r="ET719" s="122"/>
      <c r="EU719" s="202">
        <f t="shared" si="671"/>
        <v>18.197530864197532</v>
      </c>
      <c r="EV719" s="122"/>
      <c r="EW719" s="122"/>
      <c r="EX719" s="122"/>
      <c r="EY719" s="122"/>
      <c r="EZ719" s="122"/>
      <c r="FA719" s="122"/>
      <c r="FB719" s="122"/>
      <c r="FC719" s="122"/>
      <c r="FD719" s="122"/>
      <c r="FE719" s="122"/>
      <c r="FF719" s="122"/>
      <c r="FG719" s="122"/>
      <c r="FH719" s="122"/>
      <c r="FI719" s="122"/>
      <c r="FJ719" s="122"/>
      <c r="FK719" s="122"/>
      <c r="FL719" s="122"/>
      <c r="FM719" s="122"/>
      <c r="FN719" s="122"/>
      <c r="FO719" s="122"/>
      <c r="FP719" s="122"/>
      <c r="FQ719" s="122"/>
      <c r="FR719" s="122"/>
      <c r="FS719" s="122"/>
      <c r="FT719" s="122"/>
      <c r="FU719" s="122"/>
      <c r="FV719" s="122"/>
      <c r="FW719" s="122"/>
      <c r="FX719" s="122"/>
      <c r="FY719" s="122"/>
      <c r="FZ719" s="122"/>
      <c r="GA719" s="122"/>
      <c r="GB719" s="122"/>
      <c r="GC719" s="122"/>
      <c r="GD719" s="122"/>
      <c r="GE719" s="122"/>
      <c r="GF719" s="122"/>
      <c r="GG719" s="122"/>
      <c r="GH719" s="122"/>
      <c r="GI719" s="122"/>
      <c r="GJ719" s="122"/>
      <c r="GK719" s="122"/>
      <c r="GL719" s="122"/>
      <c r="GM719" s="122"/>
      <c r="GN719" s="122"/>
      <c r="GO719" s="122"/>
      <c r="GP719" s="122"/>
      <c r="GQ719" s="122"/>
      <c r="GR719" s="210">
        <v>0.11</v>
      </c>
      <c r="GS719" s="202">
        <f t="shared" si="672"/>
        <v>9.1257023950617295</v>
      </c>
      <c r="GT719" s="208">
        <v>1.2500000000000001E-2</v>
      </c>
      <c r="GU719" s="203">
        <f t="shared" si="673"/>
        <v>1.0370116358024692</v>
      </c>
      <c r="GV719" s="207">
        <v>0.02</v>
      </c>
      <c r="GW719" s="203">
        <f t="shared" si="674"/>
        <v>0.36395061728395062</v>
      </c>
      <c r="GX719" s="203">
        <f t="shared" si="675"/>
        <v>10.526664648148151</v>
      </c>
      <c r="GY719" s="122" t="s">
        <v>43</v>
      </c>
      <c r="GZ719" s="122" t="s">
        <v>87</v>
      </c>
      <c r="HA719" s="122">
        <v>810</v>
      </c>
      <c r="HB719" s="122">
        <v>568</v>
      </c>
      <c r="HC719" s="122">
        <v>425</v>
      </c>
      <c r="HD719" s="122">
        <v>8</v>
      </c>
      <c r="HE719" s="122">
        <v>400</v>
      </c>
      <c r="HF719" s="122">
        <f t="shared" si="676"/>
        <v>50</v>
      </c>
      <c r="HG719" s="122">
        <v>5</v>
      </c>
      <c r="HH719" s="122">
        <f t="shared" si="677"/>
        <v>250</v>
      </c>
      <c r="HI719" s="122">
        <v>1100</v>
      </c>
      <c r="HJ719" s="122">
        <f t="shared" si="678"/>
        <v>275000</v>
      </c>
      <c r="HK719" s="122"/>
      <c r="HL719" s="122"/>
      <c r="HM719" s="122">
        <v>2</v>
      </c>
      <c r="HN719" s="122">
        <f t="shared" si="679"/>
        <v>240000</v>
      </c>
      <c r="HO719" s="202">
        <f t="shared" si="680"/>
        <v>1.1458333333333333</v>
      </c>
      <c r="HP719" s="122">
        <v>160</v>
      </c>
      <c r="HQ719" s="122">
        <v>0</v>
      </c>
      <c r="HR719" s="203">
        <v>3.59</v>
      </c>
      <c r="HS719" s="122">
        <v>1</v>
      </c>
      <c r="HT719" s="203">
        <f>HR719/HS719</f>
        <v>3.59</v>
      </c>
      <c r="HU719" s="203"/>
      <c r="HV719" s="202">
        <f t="shared" si="684"/>
        <v>4.7358333333333329</v>
      </c>
      <c r="HW719" s="202"/>
      <c r="HX719" s="122">
        <v>4200</v>
      </c>
      <c r="HY719" s="122">
        <v>1900</v>
      </c>
      <c r="HZ719" s="122">
        <v>1975</v>
      </c>
      <c r="IA719" s="202">
        <f t="shared" si="681"/>
        <v>5</v>
      </c>
      <c r="IB719" s="122">
        <f t="shared" si="682"/>
        <v>3</v>
      </c>
      <c r="IC719" s="122">
        <f t="shared" si="683"/>
        <v>4</v>
      </c>
      <c r="ID719" s="207">
        <v>0.95</v>
      </c>
      <c r="IE719" s="203">
        <f>ROUND(PRODUCT(IA719:ID719),0)</f>
        <v>57</v>
      </c>
      <c r="IF719" s="122">
        <v>500</v>
      </c>
      <c r="IG719" s="202">
        <f t="shared" si="686"/>
        <v>1.0964912280701755</v>
      </c>
      <c r="IH719" s="20"/>
    </row>
    <row r="720" spans="1:242">
      <c r="A720">
        <v>705</v>
      </c>
      <c r="B720" t="s">
        <v>468</v>
      </c>
      <c r="C720" s="121" t="s">
        <v>2826</v>
      </c>
      <c r="D720" s="28" t="s">
        <v>1533</v>
      </c>
      <c r="E720" s="28" t="s">
        <v>1534</v>
      </c>
      <c r="F720" s="28" t="s">
        <v>2182</v>
      </c>
      <c r="G720" s="27" t="s">
        <v>102</v>
      </c>
      <c r="I720" s="27" t="s">
        <v>121</v>
      </c>
      <c r="J720" s="28">
        <v>21677</v>
      </c>
      <c r="K720" s="27" t="s">
        <v>228</v>
      </c>
      <c r="L720" s="121"/>
      <c r="M720" s="121"/>
      <c r="N720" s="115"/>
      <c r="O720" s="115"/>
      <c r="P720" s="115"/>
      <c r="Q720" s="115" t="s">
        <v>2778</v>
      </c>
      <c r="R720" s="121" t="s">
        <v>2779</v>
      </c>
      <c r="S720" s="121" t="s">
        <v>2824</v>
      </c>
      <c r="T720" s="121" t="s">
        <v>2762</v>
      </c>
      <c r="U720" s="326">
        <v>45107</v>
      </c>
      <c r="V720" s="121" t="s">
        <v>2748</v>
      </c>
      <c r="W720" s="218"/>
      <c r="X720" s="121"/>
      <c r="Y720" s="121"/>
      <c r="Z720" s="121"/>
      <c r="AA720" s="115" t="s">
        <v>2821</v>
      </c>
      <c r="AB720" s="121">
        <v>126.69</v>
      </c>
      <c r="AC720" s="121">
        <v>20</v>
      </c>
      <c r="AD720" s="122" t="s">
        <v>596</v>
      </c>
      <c r="AE720" s="219">
        <f t="shared" si="659"/>
        <v>48.535649999999997</v>
      </c>
      <c r="AF720" s="219"/>
      <c r="AG720" s="219">
        <f>EU720+EM720+EO720</f>
        <v>19.164952350010829</v>
      </c>
      <c r="AH720" s="219">
        <f>DM720</f>
        <v>0.2</v>
      </c>
      <c r="AI720" s="219">
        <f t="shared" si="660"/>
        <v>2.5000000000000005E-3</v>
      </c>
      <c r="AJ720" s="219">
        <f t="shared" si="661"/>
        <v>0.33260233918128657</v>
      </c>
      <c r="AK720" s="219">
        <f t="shared" si="662"/>
        <v>0.81457208698830419</v>
      </c>
      <c r="AL720" s="219">
        <f t="shared" si="663"/>
        <v>7.1682343654970762</v>
      </c>
      <c r="AM720" s="219">
        <f t="shared" si="664"/>
        <v>5.7133333333333329</v>
      </c>
      <c r="AN720" s="219">
        <f t="shared" si="665"/>
        <v>0.66666666666666663</v>
      </c>
      <c r="AO720" s="220">
        <v>0</v>
      </c>
      <c r="AP720" s="220"/>
      <c r="AQ720" s="219">
        <f t="shared" si="666"/>
        <v>82.598511141677506</v>
      </c>
      <c r="AR720" s="219"/>
      <c r="AS720" s="219"/>
      <c r="AT720" s="220">
        <f>111.12-82.6</f>
        <v>28.52000000000001</v>
      </c>
      <c r="AU720" s="219"/>
      <c r="AV720" s="219">
        <f t="shared" si="667"/>
        <v>111.11851114167752</v>
      </c>
      <c r="AW720" s="122">
        <v>0.38500000000000001</v>
      </c>
      <c r="AX720" s="122">
        <v>0.373</v>
      </c>
      <c r="AY720" s="210">
        <v>1</v>
      </c>
      <c r="AZ720" s="122">
        <f t="shared" si="668"/>
        <v>1.2000000000000011E-2</v>
      </c>
      <c r="BA720" s="202">
        <f t="shared" si="669"/>
        <v>48.535649999999997</v>
      </c>
      <c r="BB720" s="202"/>
      <c r="BC720" s="202"/>
      <c r="BD720" s="202"/>
      <c r="BE720" s="202"/>
      <c r="BF720" s="202"/>
      <c r="BG720" s="202"/>
      <c r="BH720" s="202"/>
      <c r="BI720" s="202"/>
      <c r="BJ720" s="202"/>
      <c r="BK720" s="202"/>
      <c r="BL720" s="202"/>
      <c r="BM720" s="202"/>
      <c r="BN720" s="202"/>
      <c r="BO720" s="202"/>
      <c r="BP720" s="202"/>
      <c r="BQ720" s="202"/>
      <c r="BR720" s="202"/>
      <c r="BS720" s="202"/>
      <c r="BT720" s="202"/>
      <c r="BU720" s="202"/>
      <c r="BV720" s="202"/>
      <c r="BW720" s="202"/>
      <c r="BX720" s="202"/>
      <c r="BY720" s="202"/>
      <c r="BZ720" s="202"/>
      <c r="CA720" s="202"/>
      <c r="CB720" s="202"/>
      <c r="CC720" s="202"/>
      <c r="CD720" s="122"/>
      <c r="CE720" s="122">
        <v>0</v>
      </c>
      <c r="CF720" s="122">
        <v>1</v>
      </c>
      <c r="CG720" s="122">
        <v>0.2</v>
      </c>
      <c r="CH720" s="122">
        <f>CG720*CF720</f>
        <v>0.2</v>
      </c>
      <c r="CI720" s="121"/>
      <c r="CJ720" s="121"/>
      <c r="CK720" s="122"/>
      <c r="CL720" s="122"/>
      <c r="CM720" s="122"/>
      <c r="CN720" s="122"/>
      <c r="CO720" s="122"/>
      <c r="CP720" s="122"/>
      <c r="CQ720" s="122"/>
      <c r="CR720" s="122"/>
      <c r="CS720" s="122"/>
      <c r="CT720" s="122"/>
      <c r="CU720" s="122"/>
      <c r="CV720" s="122"/>
      <c r="CW720" s="122"/>
      <c r="CX720" s="122"/>
      <c r="CY720" s="122"/>
      <c r="CZ720" s="122"/>
      <c r="DA720" s="122"/>
      <c r="DB720" s="122"/>
      <c r="DC720" s="122"/>
      <c r="DD720" s="122"/>
      <c r="DE720" s="122"/>
      <c r="DF720" s="122"/>
      <c r="DG720" s="122"/>
      <c r="DH720" s="122"/>
      <c r="DI720" s="122"/>
      <c r="DJ720" s="122"/>
      <c r="DK720" s="122"/>
      <c r="DL720" s="122"/>
      <c r="DM720" s="122">
        <f>CH720+CM720+CR720+CW720+DB720+DG720+DL720</f>
        <v>0.2</v>
      </c>
      <c r="DN720" s="211">
        <v>1.2500000000000001E-2</v>
      </c>
      <c r="DO720" s="202">
        <f t="shared" si="670"/>
        <v>2.5000000000000005E-3</v>
      </c>
      <c r="DP720" s="122">
        <v>0</v>
      </c>
      <c r="DQ720" s="122"/>
      <c r="DR720" s="122"/>
      <c r="DS720" s="122"/>
      <c r="DT720" s="122"/>
      <c r="DU720" s="122"/>
      <c r="DV720" s="122"/>
      <c r="DW720" s="122"/>
      <c r="DX720" s="122"/>
      <c r="DY720" s="122"/>
      <c r="DZ720" s="122"/>
      <c r="EA720" s="122"/>
      <c r="EB720" s="122"/>
      <c r="EC720" s="122"/>
      <c r="ED720" s="122"/>
      <c r="EE720" s="122"/>
      <c r="EF720" s="122">
        <v>650</v>
      </c>
      <c r="EG720" s="122">
        <v>6500</v>
      </c>
      <c r="EH720" s="122">
        <v>8</v>
      </c>
      <c r="EI720" s="210">
        <v>0.95</v>
      </c>
      <c r="EJ720" s="122">
        <v>1</v>
      </c>
      <c r="EK720" s="122">
        <v>70</v>
      </c>
      <c r="EL720" s="221">
        <f t="shared" si="685"/>
        <v>390.85714285714283</v>
      </c>
      <c r="EM720" s="122"/>
      <c r="EN720" s="122"/>
      <c r="EO720" s="355">
        <f>(106.66*12+16*8)/(3600/70*0.9*12)</f>
        <v>2.5348353909465016</v>
      </c>
      <c r="EP720" s="122"/>
      <c r="EQ720" s="122"/>
      <c r="ER720" s="122"/>
      <c r="ES720" s="122"/>
      <c r="ET720" s="122"/>
      <c r="EU720" s="202">
        <f t="shared" si="671"/>
        <v>16.630116959064328</v>
      </c>
      <c r="EV720" s="122"/>
      <c r="EW720" s="122"/>
      <c r="EX720" s="122"/>
      <c r="EY720" s="122"/>
      <c r="EZ720" s="122"/>
      <c r="FA720" s="122"/>
      <c r="FB720" s="122"/>
      <c r="FC720" s="122"/>
      <c r="FD720" s="122"/>
      <c r="FE720" s="122"/>
      <c r="FF720" s="122"/>
      <c r="FG720" s="122"/>
      <c r="FH720" s="122"/>
      <c r="FI720" s="122"/>
      <c r="FJ720" s="122"/>
      <c r="FK720" s="122"/>
      <c r="FL720" s="122"/>
      <c r="FM720" s="122"/>
      <c r="FN720" s="122"/>
      <c r="FO720" s="122"/>
      <c r="FP720" s="122"/>
      <c r="FQ720" s="122"/>
      <c r="FR720" s="122"/>
      <c r="FS720" s="122"/>
      <c r="FT720" s="122"/>
      <c r="FU720" s="122"/>
      <c r="FV720" s="122"/>
      <c r="FW720" s="122"/>
      <c r="FX720" s="122"/>
      <c r="FY720" s="122"/>
      <c r="FZ720" s="122"/>
      <c r="GA720" s="122"/>
      <c r="GB720" s="122"/>
      <c r="GC720" s="122"/>
      <c r="GD720" s="122"/>
      <c r="GE720" s="122"/>
      <c r="GF720" s="122"/>
      <c r="GG720" s="122"/>
      <c r="GH720" s="122"/>
      <c r="GI720" s="122"/>
      <c r="GJ720" s="122"/>
      <c r="GK720" s="122"/>
      <c r="GL720" s="122"/>
      <c r="GM720" s="122"/>
      <c r="GN720" s="122"/>
      <c r="GO720" s="122"/>
      <c r="GP720" s="122"/>
      <c r="GQ720" s="122"/>
      <c r="GR720" s="210">
        <v>0.11</v>
      </c>
      <c r="GS720" s="202">
        <f t="shared" si="672"/>
        <v>7.1682343654970762</v>
      </c>
      <c r="GT720" s="211">
        <v>1.2500000000000001E-2</v>
      </c>
      <c r="GU720" s="202">
        <f t="shared" si="673"/>
        <v>0.81457208698830419</v>
      </c>
      <c r="GV720" s="210">
        <v>0.02</v>
      </c>
      <c r="GW720" s="202">
        <f t="shared" si="674"/>
        <v>0.33260233918128657</v>
      </c>
      <c r="GX720" s="202">
        <f t="shared" si="675"/>
        <v>8.3154087916666679</v>
      </c>
      <c r="GY720" s="122" t="s">
        <v>130</v>
      </c>
      <c r="GZ720" s="122"/>
      <c r="HA720" s="122">
        <v>1350</v>
      </c>
      <c r="HB720" s="122">
        <v>950</v>
      </c>
      <c r="HC720" s="122">
        <v>2400</v>
      </c>
      <c r="HD720" s="122">
        <v>150</v>
      </c>
      <c r="HE720" s="122">
        <v>600</v>
      </c>
      <c r="HF720" s="122">
        <f t="shared" si="676"/>
        <v>4</v>
      </c>
      <c r="HG720" s="122">
        <v>5</v>
      </c>
      <c r="HH720" s="122">
        <f t="shared" si="677"/>
        <v>20</v>
      </c>
      <c r="HI720" s="122">
        <v>24000</v>
      </c>
      <c r="HJ720" s="122">
        <f t="shared" si="678"/>
        <v>480000</v>
      </c>
      <c r="HK720" s="122"/>
      <c r="HL720" s="122"/>
      <c r="HM720" s="122">
        <v>2</v>
      </c>
      <c r="HN720" s="122">
        <f t="shared" si="679"/>
        <v>360000</v>
      </c>
      <c r="HO720" s="202">
        <f t="shared" si="680"/>
        <v>1.3333333333333333</v>
      </c>
      <c r="HP720" s="122">
        <v>160</v>
      </c>
      <c r="HQ720" s="122">
        <v>0</v>
      </c>
      <c r="HR720" s="122">
        <f>3.71+0.67</f>
        <v>4.38</v>
      </c>
      <c r="HS720" s="122">
        <v>1</v>
      </c>
      <c r="HT720" s="202">
        <f>HR720/HS720</f>
        <v>4.38</v>
      </c>
      <c r="HU720" s="202"/>
      <c r="HV720" s="202">
        <f t="shared" si="684"/>
        <v>5.7133333333333329</v>
      </c>
      <c r="HW720" s="202"/>
      <c r="HX720" s="122">
        <v>5016</v>
      </c>
      <c r="HY720" s="122">
        <v>1976</v>
      </c>
      <c r="HZ720" s="122">
        <v>2280</v>
      </c>
      <c r="IA720" s="122">
        <f t="shared" si="681"/>
        <v>3</v>
      </c>
      <c r="IB720" s="122">
        <f t="shared" si="682"/>
        <v>2</v>
      </c>
      <c r="IC720" s="122">
        <f t="shared" si="683"/>
        <v>0</v>
      </c>
      <c r="ID720" s="210">
        <v>1</v>
      </c>
      <c r="IE720" s="202">
        <f>(PRODUCT(IA720:ID720))+5</f>
        <v>5</v>
      </c>
      <c r="IF720" s="122">
        <v>500</v>
      </c>
      <c r="IG720" s="202">
        <f t="shared" si="686"/>
        <v>0.66666666666666663</v>
      </c>
      <c r="IH720" s="20"/>
    </row>
    <row r="721" spans="1:339">
      <c r="A721">
        <v>706</v>
      </c>
      <c r="B721" t="s">
        <v>468</v>
      </c>
      <c r="C721" s="121" t="s">
        <v>2829</v>
      </c>
      <c r="D721" s="28" t="s">
        <v>1533</v>
      </c>
      <c r="E721" s="28" t="s">
        <v>1534</v>
      </c>
      <c r="F721" s="28" t="s">
        <v>2182</v>
      </c>
      <c r="G721" s="27" t="s">
        <v>102</v>
      </c>
      <c r="I721" s="27" t="s">
        <v>226</v>
      </c>
      <c r="J721" s="28">
        <v>21590</v>
      </c>
      <c r="K721" s="27" t="s">
        <v>397</v>
      </c>
      <c r="L721" s="121"/>
      <c r="M721" s="121"/>
      <c r="N721" s="115"/>
      <c r="O721" s="115"/>
      <c r="P721" s="115"/>
      <c r="Q721" s="115" t="s">
        <v>2773</v>
      </c>
      <c r="R721" s="121" t="s">
        <v>2760</v>
      </c>
      <c r="S721" s="121" t="s">
        <v>2828</v>
      </c>
      <c r="T721" s="121" t="s">
        <v>2762</v>
      </c>
      <c r="U721" s="326">
        <v>45107</v>
      </c>
      <c r="V721" s="121" t="s">
        <v>2748</v>
      </c>
      <c r="W721" s="218"/>
      <c r="X721" s="121"/>
      <c r="Y721" s="121"/>
      <c r="Z721" s="121"/>
      <c r="AA721" s="115" t="s">
        <v>2830</v>
      </c>
      <c r="AB721" s="121">
        <v>179.4</v>
      </c>
      <c r="AC721" s="121">
        <v>20</v>
      </c>
      <c r="AD721" s="122" t="s">
        <v>1200</v>
      </c>
      <c r="AE721" s="219">
        <f t="shared" si="659"/>
        <v>64.763400000000004</v>
      </c>
      <c r="AF721" s="219"/>
      <c r="AG721" s="219">
        <f t="shared" ref="AG721:AG727" si="687">EU721+EM721</f>
        <v>18.197530864197532</v>
      </c>
      <c r="AH721" s="219">
        <f>DP721</f>
        <v>0</v>
      </c>
      <c r="AI721" s="219">
        <f t="shared" si="660"/>
        <v>0</v>
      </c>
      <c r="AJ721" s="219">
        <f t="shared" si="661"/>
        <v>0.36395061728395062</v>
      </c>
      <c r="AK721" s="219">
        <f t="shared" si="662"/>
        <v>1.0370116358024692</v>
      </c>
      <c r="AL721" s="219">
        <f t="shared" si="663"/>
        <v>9.1257023950617295</v>
      </c>
      <c r="AM721" s="219">
        <f t="shared" si="664"/>
        <v>4.7358333333333329</v>
      </c>
      <c r="AN721" s="219">
        <f t="shared" si="665"/>
        <v>1.0964912280701755</v>
      </c>
      <c r="AO721" s="220">
        <v>0</v>
      </c>
      <c r="AP721" s="220"/>
      <c r="AQ721" s="204">
        <f t="shared" si="666"/>
        <v>99.319920073749188</v>
      </c>
      <c r="AR721" s="219"/>
      <c r="AS721" s="219"/>
      <c r="AT721" s="220"/>
      <c r="AU721" s="219"/>
      <c r="AV721" s="204">
        <f t="shared" si="667"/>
        <v>99.319920073749188</v>
      </c>
      <c r="AW721" s="122">
        <v>0.36099999999999999</v>
      </c>
      <c r="AX721" s="122">
        <v>0.36099999999999999</v>
      </c>
      <c r="AY721" s="210">
        <v>1</v>
      </c>
      <c r="AZ721" s="122">
        <f t="shared" si="668"/>
        <v>0</v>
      </c>
      <c r="BA721" s="202">
        <f t="shared" si="669"/>
        <v>64.763400000000004</v>
      </c>
      <c r="BB721" s="202"/>
      <c r="BC721" s="202"/>
      <c r="BD721" s="202"/>
      <c r="BE721" s="202"/>
      <c r="BF721" s="202"/>
      <c r="BG721" s="202"/>
      <c r="BH721" s="202"/>
      <c r="BI721" s="202"/>
      <c r="BJ721" s="202"/>
      <c r="BK721" s="202"/>
      <c r="BL721" s="202"/>
      <c r="BM721" s="202"/>
      <c r="BN721" s="202"/>
      <c r="BO721" s="202"/>
      <c r="BP721" s="202"/>
      <c r="BQ721" s="202"/>
      <c r="BR721" s="202"/>
      <c r="BS721" s="202"/>
      <c r="BT721" s="202"/>
      <c r="BU721" s="202"/>
      <c r="BV721" s="202"/>
      <c r="BW721" s="202"/>
      <c r="BX721" s="202"/>
      <c r="BY721" s="202"/>
      <c r="BZ721" s="202"/>
      <c r="CA721" s="202"/>
      <c r="CB721" s="202"/>
      <c r="CC721" s="202"/>
      <c r="CD721" s="122"/>
      <c r="CE721" s="122">
        <v>0</v>
      </c>
      <c r="CF721" s="122">
        <v>0</v>
      </c>
      <c r="CG721" s="122">
        <v>0</v>
      </c>
      <c r="CH721" s="122">
        <v>0</v>
      </c>
      <c r="CI721" s="121"/>
      <c r="CJ721" s="121"/>
      <c r="CK721" s="122"/>
      <c r="CL721" s="122"/>
      <c r="CM721" s="122"/>
      <c r="CN721" s="122"/>
      <c r="CO721" s="122"/>
      <c r="CP721" s="122"/>
      <c r="CQ721" s="122"/>
      <c r="CR721" s="122"/>
      <c r="CS721" s="122"/>
      <c r="CT721" s="122"/>
      <c r="CU721" s="122"/>
      <c r="CV721" s="122"/>
      <c r="CW721" s="122"/>
      <c r="CX721" s="122"/>
      <c r="CY721" s="122"/>
      <c r="CZ721" s="122"/>
      <c r="DA721" s="122"/>
      <c r="DB721" s="122"/>
      <c r="DC721" s="122"/>
      <c r="DD721" s="122"/>
      <c r="DE721" s="122"/>
      <c r="DF721" s="122"/>
      <c r="DG721" s="122"/>
      <c r="DH721" s="122"/>
      <c r="DI721" s="122"/>
      <c r="DJ721" s="122"/>
      <c r="DK721" s="122"/>
      <c r="DL721" s="122"/>
      <c r="DM721" s="122">
        <v>0</v>
      </c>
      <c r="DN721" s="211">
        <v>1.2500000000000001E-2</v>
      </c>
      <c r="DO721" s="202">
        <f t="shared" si="670"/>
        <v>0</v>
      </c>
      <c r="DP721" s="122">
        <v>0</v>
      </c>
      <c r="DQ721" s="122"/>
      <c r="DR721" s="122"/>
      <c r="DS721" s="122"/>
      <c r="DT721" s="122"/>
      <c r="DU721" s="122"/>
      <c r="DV721" s="122"/>
      <c r="DW721" s="122"/>
      <c r="DX721" s="122"/>
      <c r="DY721" s="122"/>
      <c r="DZ721" s="122"/>
      <c r="EA721" s="122"/>
      <c r="EB721" s="122"/>
      <c r="EC721" s="122"/>
      <c r="ED721" s="122"/>
      <c r="EE721" s="122"/>
      <c r="EF721" s="122">
        <v>660</v>
      </c>
      <c r="EG721" s="122">
        <v>6600</v>
      </c>
      <c r="EH721" s="122">
        <v>7.5</v>
      </c>
      <c r="EI721" s="210">
        <v>0.9</v>
      </c>
      <c r="EJ721" s="122">
        <v>1</v>
      </c>
      <c r="EK721" s="122">
        <v>67</v>
      </c>
      <c r="EL721" s="221">
        <f t="shared" si="685"/>
        <v>362.68656716417911</v>
      </c>
      <c r="EM721" s="122"/>
      <c r="EN721" s="122"/>
      <c r="EO721" s="122"/>
      <c r="EP721" s="122"/>
      <c r="EQ721" s="122"/>
      <c r="ER721" s="122"/>
      <c r="ES721" s="122"/>
      <c r="ET721" s="122"/>
      <c r="EU721" s="202">
        <f t="shared" si="671"/>
        <v>18.197530864197532</v>
      </c>
      <c r="EV721" s="122"/>
      <c r="EW721" s="122"/>
      <c r="EX721" s="122"/>
      <c r="EY721" s="122"/>
      <c r="EZ721" s="122"/>
      <c r="FA721" s="122"/>
      <c r="FB721" s="122"/>
      <c r="FC721" s="122"/>
      <c r="FD721" s="122"/>
      <c r="FE721" s="122"/>
      <c r="FF721" s="122"/>
      <c r="FG721" s="122"/>
      <c r="FH721" s="122"/>
      <c r="FI721" s="122"/>
      <c r="FJ721" s="122"/>
      <c r="FK721" s="122"/>
      <c r="FL721" s="122"/>
      <c r="FM721" s="122"/>
      <c r="FN721" s="122"/>
      <c r="FO721" s="122"/>
      <c r="FP721" s="122"/>
      <c r="FQ721" s="122"/>
      <c r="FR721" s="122"/>
      <c r="FS721" s="122"/>
      <c r="FT721" s="122"/>
      <c r="FU721" s="122"/>
      <c r="FV721" s="122"/>
      <c r="FW721" s="122"/>
      <c r="FX721" s="122"/>
      <c r="FY721" s="122"/>
      <c r="FZ721" s="122"/>
      <c r="GA721" s="122"/>
      <c r="GB721" s="122"/>
      <c r="GC721" s="122"/>
      <c r="GD721" s="122"/>
      <c r="GE721" s="122"/>
      <c r="GF721" s="122"/>
      <c r="GG721" s="122"/>
      <c r="GH721" s="122"/>
      <c r="GI721" s="122"/>
      <c r="GJ721" s="122"/>
      <c r="GK721" s="122"/>
      <c r="GL721" s="122"/>
      <c r="GM721" s="122"/>
      <c r="GN721" s="122"/>
      <c r="GO721" s="122"/>
      <c r="GP721" s="122"/>
      <c r="GQ721" s="122"/>
      <c r="GR721" s="210">
        <v>0.11</v>
      </c>
      <c r="GS721" s="202">
        <f t="shared" si="672"/>
        <v>9.1257023950617295</v>
      </c>
      <c r="GT721" s="208">
        <v>1.2500000000000001E-2</v>
      </c>
      <c r="GU721" s="203">
        <f t="shared" si="673"/>
        <v>1.0370116358024692</v>
      </c>
      <c r="GV721" s="207">
        <v>0.02</v>
      </c>
      <c r="GW721" s="203">
        <f t="shared" si="674"/>
        <v>0.36395061728395062</v>
      </c>
      <c r="GX721" s="203">
        <f t="shared" si="675"/>
        <v>10.526664648148151</v>
      </c>
      <c r="GY721" s="122" t="s">
        <v>43</v>
      </c>
      <c r="GZ721" s="122" t="s">
        <v>87</v>
      </c>
      <c r="HA721" s="122">
        <v>810</v>
      </c>
      <c r="HB721" s="122">
        <v>568</v>
      </c>
      <c r="HC721" s="122">
        <v>425</v>
      </c>
      <c r="HD721" s="122">
        <v>8</v>
      </c>
      <c r="HE721" s="122">
        <v>400</v>
      </c>
      <c r="HF721" s="122">
        <f t="shared" si="676"/>
        <v>50</v>
      </c>
      <c r="HG721" s="122">
        <v>5</v>
      </c>
      <c r="HH721" s="122">
        <f t="shared" si="677"/>
        <v>250</v>
      </c>
      <c r="HI721" s="122">
        <v>1100</v>
      </c>
      <c r="HJ721" s="122">
        <f t="shared" si="678"/>
        <v>275000</v>
      </c>
      <c r="HK721" s="122"/>
      <c r="HL721" s="122"/>
      <c r="HM721" s="122">
        <v>2</v>
      </c>
      <c r="HN721" s="122">
        <f t="shared" si="679"/>
        <v>240000</v>
      </c>
      <c r="HO721" s="202">
        <f t="shared" si="680"/>
        <v>1.1458333333333333</v>
      </c>
      <c r="HP721" s="122">
        <v>160</v>
      </c>
      <c r="HQ721" s="122">
        <v>0</v>
      </c>
      <c r="HR721" s="203">
        <v>3.59</v>
      </c>
      <c r="HS721" s="122">
        <v>1</v>
      </c>
      <c r="HT721" s="203">
        <f>HR721/HS721</f>
        <v>3.59</v>
      </c>
      <c r="HU721" s="203"/>
      <c r="HV721" s="202">
        <f t="shared" si="684"/>
        <v>4.7358333333333329</v>
      </c>
      <c r="HW721" s="202"/>
      <c r="HX721" s="122">
        <v>4200</v>
      </c>
      <c r="HY721" s="122">
        <v>1900</v>
      </c>
      <c r="HZ721" s="122">
        <v>1975</v>
      </c>
      <c r="IA721" s="202">
        <f t="shared" si="681"/>
        <v>5</v>
      </c>
      <c r="IB721" s="122">
        <f t="shared" si="682"/>
        <v>3</v>
      </c>
      <c r="IC721" s="122">
        <f t="shared" si="683"/>
        <v>4</v>
      </c>
      <c r="ID721" s="207">
        <v>0.95</v>
      </c>
      <c r="IE721" s="203">
        <f>ROUND(PRODUCT(IA721:ID721),0)</f>
        <v>57</v>
      </c>
      <c r="IF721" s="122">
        <v>500</v>
      </c>
      <c r="IG721" s="202">
        <f t="shared" si="686"/>
        <v>1.0964912280701755</v>
      </c>
      <c r="IH721" s="20"/>
    </row>
    <row r="722" spans="1:339">
      <c r="A722">
        <v>707</v>
      </c>
      <c r="B722" t="s">
        <v>468</v>
      </c>
      <c r="C722" s="121" t="s">
        <v>2831</v>
      </c>
      <c r="D722" s="28" t="s">
        <v>1535</v>
      </c>
      <c r="E722" s="28" t="s">
        <v>1536</v>
      </c>
      <c r="F722" s="28" t="s">
        <v>2182</v>
      </c>
      <c r="G722" s="27" t="s">
        <v>102</v>
      </c>
      <c r="I722" s="27" t="s">
        <v>121</v>
      </c>
      <c r="J722" s="28">
        <v>21677</v>
      </c>
      <c r="K722" s="27" t="s">
        <v>228</v>
      </c>
      <c r="L722" s="121"/>
      <c r="M722" s="121"/>
      <c r="N722" s="115"/>
      <c r="O722" s="115"/>
      <c r="P722" s="115"/>
      <c r="Q722" s="115" t="s">
        <v>2778</v>
      </c>
      <c r="R722" s="121" t="s">
        <v>2779</v>
      </c>
      <c r="S722" s="121" t="s">
        <v>2832</v>
      </c>
      <c r="T722" s="121"/>
      <c r="U722" s="121"/>
      <c r="V722" s="121" t="s">
        <v>2748</v>
      </c>
      <c r="W722" s="218"/>
      <c r="X722" s="121"/>
      <c r="Y722" s="121"/>
      <c r="Z722" s="121"/>
      <c r="AA722" s="115" t="s">
        <v>2833</v>
      </c>
      <c r="AB722" s="121">
        <v>85.45</v>
      </c>
      <c r="AC722" s="121">
        <v>20</v>
      </c>
      <c r="AD722" s="122" t="s">
        <v>596</v>
      </c>
      <c r="AE722" s="219">
        <f t="shared" si="659"/>
        <v>10.726700000000001</v>
      </c>
      <c r="AF722" s="219"/>
      <c r="AG722" s="219">
        <f t="shared" si="687"/>
        <v>5.5921052631578956</v>
      </c>
      <c r="AH722" s="219">
        <f>DP722</f>
        <v>0</v>
      </c>
      <c r="AI722" s="219">
        <f t="shared" si="660"/>
        <v>0</v>
      </c>
      <c r="AJ722" s="219">
        <f t="shared" si="661"/>
        <v>0.11184210526315791</v>
      </c>
      <c r="AK722" s="219">
        <f t="shared" si="662"/>
        <v>0.20398506578947373</v>
      </c>
      <c r="AL722" s="219">
        <f t="shared" si="663"/>
        <v>1.7950685789473688</v>
      </c>
      <c r="AM722" s="219">
        <f t="shared" si="664"/>
        <v>0.13750000000000001</v>
      </c>
      <c r="AN722" s="219">
        <f t="shared" si="665"/>
        <v>0.14285714285714285</v>
      </c>
      <c r="AO722" s="220">
        <v>0</v>
      </c>
      <c r="AP722" s="220"/>
      <c r="AQ722" s="204">
        <f t="shared" si="666"/>
        <v>18.710058156015041</v>
      </c>
      <c r="AR722" s="219"/>
      <c r="AS722" s="219"/>
      <c r="AT722" s="220"/>
      <c r="AU722" s="219"/>
      <c r="AV722" s="204">
        <f t="shared" si="667"/>
        <v>18.710058156015041</v>
      </c>
      <c r="AW722" s="122">
        <v>0.126</v>
      </c>
      <c r="AX722" s="122">
        <v>0.124</v>
      </c>
      <c r="AY722" s="210">
        <v>1</v>
      </c>
      <c r="AZ722" s="122">
        <f t="shared" si="668"/>
        <v>2.0000000000000018E-3</v>
      </c>
      <c r="BA722" s="202">
        <f t="shared" si="669"/>
        <v>10.726700000000001</v>
      </c>
      <c r="BB722" s="202"/>
      <c r="BC722" s="202"/>
      <c r="BD722" s="202"/>
      <c r="BE722" s="202"/>
      <c r="BF722" s="202"/>
      <c r="BG722" s="202"/>
      <c r="BH722" s="202"/>
      <c r="BI722" s="202"/>
      <c r="BJ722" s="202"/>
      <c r="BK722" s="202"/>
      <c r="BL722" s="202"/>
      <c r="BM722" s="202"/>
      <c r="BN722" s="202"/>
      <c r="BO722" s="202"/>
      <c r="BP722" s="202"/>
      <c r="BQ722" s="202"/>
      <c r="BR722" s="202"/>
      <c r="BS722" s="202"/>
      <c r="BT722" s="202"/>
      <c r="BU722" s="202"/>
      <c r="BV722" s="202"/>
      <c r="BW722" s="202"/>
      <c r="BX722" s="202"/>
      <c r="BY722" s="202"/>
      <c r="BZ722" s="202"/>
      <c r="CA722" s="202"/>
      <c r="CB722" s="202"/>
      <c r="CC722" s="202"/>
      <c r="CD722" s="122"/>
      <c r="CE722" s="122">
        <v>0</v>
      </c>
      <c r="CF722" s="122">
        <v>0</v>
      </c>
      <c r="CG722" s="122">
        <v>0</v>
      </c>
      <c r="CH722" s="122">
        <v>0</v>
      </c>
      <c r="CI722" s="121"/>
      <c r="CJ722" s="121"/>
      <c r="CK722" s="122"/>
      <c r="CL722" s="122"/>
      <c r="CM722" s="122"/>
      <c r="CN722" s="122"/>
      <c r="CO722" s="122"/>
      <c r="CP722" s="122"/>
      <c r="CQ722" s="122"/>
      <c r="CR722" s="122"/>
      <c r="CS722" s="122"/>
      <c r="CT722" s="122"/>
      <c r="CU722" s="122"/>
      <c r="CV722" s="122"/>
      <c r="CW722" s="122"/>
      <c r="CX722" s="122"/>
      <c r="CY722" s="122"/>
      <c r="CZ722" s="122"/>
      <c r="DA722" s="122"/>
      <c r="DB722" s="122"/>
      <c r="DC722" s="122"/>
      <c r="DD722" s="122"/>
      <c r="DE722" s="122"/>
      <c r="DF722" s="122"/>
      <c r="DG722" s="122"/>
      <c r="DH722" s="122"/>
      <c r="DI722" s="122"/>
      <c r="DJ722" s="122"/>
      <c r="DK722" s="122"/>
      <c r="DL722" s="122"/>
      <c r="DM722" s="122">
        <v>0</v>
      </c>
      <c r="DN722" s="211">
        <v>1.2500000000000001E-2</v>
      </c>
      <c r="DO722" s="202">
        <f t="shared" si="670"/>
        <v>0</v>
      </c>
      <c r="DP722" s="122">
        <v>0</v>
      </c>
      <c r="DQ722" s="122"/>
      <c r="DR722" s="122"/>
      <c r="DS722" s="122"/>
      <c r="DT722" s="122"/>
      <c r="DU722" s="122"/>
      <c r="DV722" s="122"/>
      <c r="DW722" s="122"/>
      <c r="DX722" s="122"/>
      <c r="DY722" s="122"/>
      <c r="DZ722" s="122"/>
      <c r="EA722" s="122"/>
      <c r="EB722" s="122"/>
      <c r="EC722" s="122"/>
      <c r="ED722" s="122"/>
      <c r="EE722" s="122"/>
      <c r="EF722" s="122">
        <v>450</v>
      </c>
      <c r="EG722" s="122">
        <v>4500</v>
      </c>
      <c r="EH722" s="122">
        <v>8</v>
      </c>
      <c r="EI722" s="210">
        <v>0.95</v>
      </c>
      <c r="EJ722" s="122">
        <v>2</v>
      </c>
      <c r="EK722" s="122">
        <v>68</v>
      </c>
      <c r="EL722" s="221">
        <f t="shared" si="685"/>
        <v>804.7058823529411</v>
      </c>
      <c r="EM722" s="122"/>
      <c r="EN722" s="122"/>
      <c r="EO722" s="122"/>
      <c r="EP722" s="122"/>
      <c r="EQ722" s="122"/>
      <c r="ER722" s="122"/>
      <c r="ES722" s="122"/>
      <c r="ET722" s="122"/>
      <c r="EU722" s="202">
        <f t="shared" si="671"/>
        <v>5.5921052631578956</v>
      </c>
      <c r="EV722" s="122"/>
      <c r="EW722" s="122"/>
      <c r="EX722" s="122"/>
      <c r="EY722" s="122"/>
      <c r="EZ722" s="122"/>
      <c r="FA722" s="122"/>
      <c r="FB722" s="122"/>
      <c r="FC722" s="122"/>
      <c r="FD722" s="122"/>
      <c r="FE722" s="122"/>
      <c r="FF722" s="122"/>
      <c r="FG722" s="122"/>
      <c r="FH722" s="122"/>
      <c r="FI722" s="122"/>
      <c r="FJ722" s="122"/>
      <c r="FK722" s="122"/>
      <c r="FL722" s="122"/>
      <c r="FM722" s="122"/>
      <c r="FN722" s="122"/>
      <c r="FO722" s="122"/>
      <c r="FP722" s="122"/>
      <c r="FQ722" s="122"/>
      <c r="FR722" s="122"/>
      <c r="FS722" s="122"/>
      <c r="FT722" s="122"/>
      <c r="FU722" s="122"/>
      <c r="FV722" s="122"/>
      <c r="FW722" s="122"/>
      <c r="FX722" s="122"/>
      <c r="FY722" s="122"/>
      <c r="FZ722" s="122"/>
      <c r="GA722" s="122"/>
      <c r="GB722" s="122"/>
      <c r="GC722" s="122"/>
      <c r="GD722" s="122"/>
      <c r="GE722" s="122"/>
      <c r="GF722" s="122"/>
      <c r="GG722" s="122"/>
      <c r="GH722" s="122"/>
      <c r="GI722" s="122"/>
      <c r="GJ722" s="122"/>
      <c r="GK722" s="122"/>
      <c r="GL722" s="122"/>
      <c r="GM722" s="122"/>
      <c r="GN722" s="122"/>
      <c r="GO722" s="122"/>
      <c r="GP722" s="122"/>
      <c r="GQ722" s="122"/>
      <c r="GR722" s="210">
        <v>0.11</v>
      </c>
      <c r="GS722" s="202">
        <f t="shared" si="672"/>
        <v>1.7950685789473688</v>
      </c>
      <c r="GT722" s="208">
        <v>1.2500000000000001E-2</v>
      </c>
      <c r="GU722" s="203">
        <f t="shared" si="673"/>
        <v>0.20398506578947373</v>
      </c>
      <c r="GV722" s="207">
        <v>0.02</v>
      </c>
      <c r="GW722" s="203">
        <f t="shared" si="674"/>
        <v>0.11184210526315791</v>
      </c>
      <c r="GX722" s="203">
        <f t="shared" si="675"/>
        <v>2.1108957500000005</v>
      </c>
      <c r="GY722" s="122" t="s">
        <v>43</v>
      </c>
      <c r="GZ722" s="122" t="s">
        <v>87</v>
      </c>
      <c r="HA722" s="122">
        <v>805</v>
      </c>
      <c r="HB722" s="122">
        <v>675</v>
      </c>
      <c r="HC722" s="122">
        <v>405</v>
      </c>
      <c r="HD722" s="122">
        <v>70</v>
      </c>
      <c r="HE722" s="122">
        <v>600</v>
      </c>
      <c r="HF722" s="122">
        <f t="shared" si="676"/>
        <v>9</v>
      </c>
      <c r="HG722" s="122">
        <v>5</v>
      </c>
      <c r="HH722" s="122">
        <f t="shared" si="677"/>
        <v>45</v>
      </c>
      <c r="HI722" s="122">
        <v>1100</v>
      </c>
      <c r="HJ722" s="122">
        <f t="shared" si="678"/>
        <v>49500</v>
      </c>
      <c r="HK722" s="122"/>
      <c r="HL722" s="122"/>
      <c r="HM722" s="122">
        <v>2</v>
      </c>
      <c r="HN722" s="122">
        <f t="shared" si="679"/>
        <v>360000</v>
      </c>
      <c r="HO722" s="202">
        <f t="shared" si="680"/>
        <v>0.13750000000000001</v>
      </c>
      <c r="HP722" s="122">
        <v>160</v>
      </c>
      <c r="HQ722" s="122">
        <v>0</v>
      </c>
      <c r="HR722" s="122">
        <v>0</v>
      </c>
      <c r="HS722" s="122">
        <v>0</v>
      </c>
      <c r="HT722" s="203">
        <v>0</v>
      </c>
      <c r="HU722" s="203"/>
      <c r="HV722" s="202">
        <f t="shared" si="684"/>
        <v>0.13750000000000001</v>
      </c>
      <c r="HW722" s="202"/>
      <c r="HX722" s="122">
        <v>5016</v>
      </c>
      <c r="HY722" s="122">
        <v>1976</v>
      </c>
      <c r="HZ722" s="122">
        <v>2280</v>
      </c>
      <c r="IA722" s="122">
        <f t="shared" si="681"/>
        <v>6</v>
      </c>
      <c r="IB722" s="122">
        <f t="shared" si="682"/>
        <v>2</v>
      </c>
      <c r="IC722" s="122">
        <f t="shared" si="683"/>
        <v>5</v>
      </c>
      <c r="ID722" s="210">
        <v>1</v>
      </c>
      <c r="IE722" s="203">
        <f>ROUND(PRODUCT(IA722:ID722),0)-10</f>
        <v>50</v>
      </c>
      <c r="IF722" s="122">
        <v>500</v>
      </c>
      <c r="IG722" s="202">
        <f t="shared" si="686"/>
        <v>0.14285714285714285</v>
      </c>
      <c r="IH722" s="20"/>
    </row>
    <row r="723" spans="1:339">
      <c r="A723">
        <v>708</v>
      </c>
      <c r="B723" t="s">
        <v>468</v>
      </c>
      <c r="C723" s="121" t="s">
        <v>2834</v>
      </c>
      <c r="D723" s="28" t="s">
        <v>1537</v>
      </c>
      <c r="E723" s="28" t="s">
        <v>1538</v>
      </c>
      <c r="F723" s="28" t="s">
        <v>2182</v>
      </c>
      <c r="G723" s="27" t="s">
        <v>102</v>
      </c>
      <c r="I723" s="27" t="s">
        <v>121</v>
      </c>
      <c r="J723" s="28">
        <v>21677</v>
      </c>
      <c r="K723" s="27" t="s">
        <v>228</v>
      </c>
      <c r="L723" s="121"/>
      <c r="M723" s="121"/>
      <c r="N723" s="115"/>
      <c r="O723" s="115"/>
      <c r="P723" s="115"/>
      <c r="Q723" s="115" t="s">
        <v>2778</v>
      </c>
      <c r="R723" s="121" t="s">
        <v>2779</v>
      </c>
      <c r="S723" s="121" t="s">
        <v>2832</v>
      </c>
      <c r="T723" s="121"/>
      <c r="U723" s="121"/>
      <c r="V723" s="121" t="s">
        <v>2748</v>
      </c>
      <c r="W723" s="218"/>
      <c r="X723" s="121"/>
      <c r="Y723" s="121"/>
      <c r="Z723" s="121"/>
      <c r="AA723" s="115" t="s">
        <v>2833</v>
      </c>
      <c r="AB723" s="121">
        <v>85.45</v>
      </c>
      <c r="AC723" s="121">
        <v>20</v>
      </c>
      <c r="AD723" s="122" t="s">
        <v>596</v>
      </c>
      <c r="AE723" s="219">
        <f t="shared" si="659"/>
        <v>10.726700000000001</v>
      </c>
      <c r="AF723" s="219"/>
      <c r="AG723" s="219">
        <f t="shared" si="687"/>
        <v>5.5921052631578956</v>
      </c>
      <c r="AH723" s="219">
        <f>DP723</f>
        <v>0</v>
      </c>
      <c r="AI723" s="219">
        <f t="shared" si="660"/>
        <v>0</v>
      </c>
      <c r="AJ723" s="219">
        <f t="shared" si="661"/>
        <v>0.11184210526315791</v>
      </c>
      <c r="AK723" s="219">
        <f t="shared" si="662"/>
        <v>0.20398506578947373</v>
      </c>
      <c r="AL723" s="219">
        <f t="shared" si="663"/>
        <v>1.7950685789473688</v>
      </c>
      <c r="AM723" s="219">
        <f t="shared" si="664"/>
        <v>0.13750000000000001</v>
      </c>
      <c r="AN723" s="219">
        <f t="shared" si="665"/>
        <v>0.14285714285714285</v>
      </c>
      <c r="AO723" s="220">
        <v>0</v>
      </c>
      <c r="AP723" s="220"/>
      <c r="AQ723" s="204">
        <f t="shared" si="666"/>
        <v>18.710058156015041</v>
      </c>
      <c r="AR723" s="219"/>
      <c r="AS723" s="219"/>
      <c r="AT723" s="220"/>
      <c r="AU723" s="219"/>
      <c r="AV723" s="204">
        <f t="shared" si="667"/>
        <v>18.710058156015041</v>
      </c>
      <c r="AW723" s="122">
        <v>0.126</v>
      </c>
      <c r="AX723" s="122">
        <v>0.124</v>
      </c>
      <c r="AY723" s="210">
        <v>1</v>
      </c>
      <c r="AZ723" s="122">
        <f t="shared" si="668"/>
        <v>2.0000000000000018E-3</v>
      </c>
      <c r="BA723" s="202">
        <f t="shared" si="669"/>
        <v>10.726700000000001</v>
      </c>
      <c r="BB723" s="202"/>
      <c r="BC723" s="202"/>
      <c r="BD723" s="202"/>
      <c r="BE723" s="202"/>
      <c r="BF723" s="202"/>
      <c r="BG723" s="202"/>
      <c r="BH723" s="202"/>
      <c r="BI723" s="202"/>
      <c r="BJ723" s="202"/>
      <c r="BK723" s="202"/>
      <c r="BL723" s="202"/>
      <c r="BM723" s="202"/>
      <c r="BN723" s="202"/>
      <c r="BO723" s="202"/>
      <c r="BP723" s="202"/>
      <c r="BQ723" s="202"/>
      <c r="BR723" s="202"/>
      <c r="BS723" s="202"/>
      <c r="BT723" s="202"/>
      <c r="BU723" s="202"/>
      <c r="BV723" s="202"/>
      <c r="BW723" s="202"/>
      <c r="BX723" s="202"/>
      <c r="BY723" s="202"/>
      <c r="BZ723" s="202"/>
      <c r="CA723" s="202"/>
      <c r="CB723" s="202"/>
      <c r="CC723" s="202"/>
      <c r="CD723" s="122"/>
      <c r="CE723" s="122">
        <v>0</v>
      </c>
      <c r="CF723" s="122">
        <v>0</v>
      </c>
      <c r="CG723" s="122">
        <v>0</v>
      </c>
      <c r="CH723" s="122">
        <v>0</v>
      </c>
      <c r="CI723" s="121"/>
      <c r="CJ723" s="121"/>
      <c r="CK723" s="122"/>
      <c r="CL723" s="122"/>
      <c r="CM723" s="122"/>
      <c r="CN723" s="122"/>
      <c r="CO723" s="122"/>
      <c r="CP723" s="122"/>
      <c r="CQ723" s="122"/>
      <c r="CR723" s="122"/>
      <c r="CS723" s="122"/>
      <c r="CT723" s="122"/>
      <c r="CU723" s="122"/>
      <c r="CV723" s="122"/>
      <c r="CW723" s="122"/>
      <c r="CX723" s="122"/>
      <c r="CY723" s="122"/>
      <c r="CZ723" s="122"/>
      <c r="DA723" s="122"/>
      <c r="DB723" s="122"/>
      <c r="DC723" s="122"/>
      <c r="DD723" s="122"/>
      <c r="DE723" s="122"/>
      <c r="DF723" s="122"/>
      <c r="DG723" s="122"/>
      <c r="DH723" s="122"/>
      <c r="DI723" s="122"/>
      <c r="DJ723" s="122"/>
      <c r="DK723" s="122"/>
      <c r="DL723" s="122"/>
      <c r="DM723" s="122">
        <v>0</v>
      </c>
      <c r="DN723" s="211">
        <v>1.2500000000000001E-2</v>
      </c>
      <c r="DO723" s="202">
        <f t="shared" si="670"/>
        <v>0</v>
      </c>
      <c r="DP723" s="122">
        <v>0</v>
      </c>
      <c r="DQ723" s="122"/>
      <c r="DR723" s="122"/>
      <c r="DS723" s="122"/>
      <c r="DT723" s="122"/>
      <c r="DU723" s="122"/>
      <c r="DV723" s="122"/>
      <c r="DW723" s="122"/>
      <c r="DX723" s="122"/>
      <c r="DY723" s="122"/>
      <c r="DZ723" s="122"/>
      <c r="EA723" s="122"/>
      <c r="EB723" s="122"/>
      <c r="EC723" s="122"/>
      <c r="ED723" s="122"/>
      <c r="EE723" s="122"/>
      <c r="EF723" s="122">
        <v>450</v>
      </c>
      <c r="EG723" s="122">
        <v>4500</v>
      </c>
      <c r="EH723" s="122">
        <v>8</v>
      </c>
      <c r="EI723" s="210">
        <v>0.95</v>
      </c>
      <c r="EJ723" s="122">
        <v>2</v>
      </c>
      <c r="EK723" s="122">
        <v>68</v>
      </c>
      <c r="EL723" s="221">
        <f t="shared" si="685"/>
        <v>804.7058823529411</v>
      </c>
      <c r="EM723" s="122"/>
      <c r="EN723" s="122"/>
      <c r="EO723" s="122"/>
      <c r="EP723" s="122"/>
      <c r="EQ723" s="122"/>
      <c r="ER723" s="122"/>
      <c r="ES723" s="122"/>
      <c r="ET723" s="122"/>
      <c r="EU723" s="202">
        <f t="shared" si="671"/>
        <v>5.5921052631578956</v>
      </c>
      <c r="EV723" s="122"/>
      <c r="EW723" s="122"/>
      <c r="EX723" s="122"/>
      <c r="EY723" s="122"/>
      <c r="EZ723" s="122"/>
      <c r="FA723" s="122"/>
      <c r="FB723" s="122"/>
      <c r="FC723" s="122"/>
      <c r="FD723" s="122"/>
      <c r="FE723" s="122"/>
      <c r="FF723" s="122"/>
      <c r="FG723" s="122"/>
      <c r="FH723" s="122"/>
      <c r="FI723" s="122"/>
      <c r="FJ723" s="122"/>
      <c r="FK723" s="122"/>
      <c r="FL723" s="122"/>
      <c r="FM723" s="122"/>
      <c r="FN723" s="122"/>
      <c r="FO723" s="122"/>
      <c r="FP723" s="122"/>
      <c r="FQ723" s="122"/>
      <c r="FR723" s="122"/>
      <c r="FS723" s="122"/>
      <c r="FT723" s="122"/>
      <c r="FU723" s="122"/>
      <c r="FV723" s="122"/>
      <c r="FW723" s="122"/>
      <c r="FX723" s="122"/>
      <c r="FY723" s="122"/>
      <c r="FZ723" s="122"/>
      <c r="GA723" s="122"/>
      <c r="GB723" s="122"/>
      <c r="GC723" s="122"/>
      <c r="GD723" s="122"/>
      <c r="GE723" s="122"/>
      <c r="GF723" s="122"/>
      <c r="GG723" s="122"/>
      <c r="GH723" s="122"/>
      <c r="GI723" s="122"/>
      <c r="GJ723" s="122"/>
      <c r="GK723" s="122"/>
      <c r="GL723" s="122"/>
      <c r="GM723" s="122"/>
      <c r="GN723" s="122"/>
      <c r="GO723" s="122"/>
      <c r="GP723" s="122"/>
      <c r="GQ723" s="122"/>
      <c r="GR723" s="210">
        <v>0.11</v>
      </c>
      <c r="GS723" s="202">
        <f t="shared" si="672"/>
        <v>1.7950685789473688</v>
      </c>
      <c r="GT723" s="208">
        <v>1.2500000000000001E-2</v>
      </c>
      <c r="GU723" s="203">
        <f t="shared" si="673"/>
        <v>0.20398506578947373</v>
      </c>
      <c r="GV723" s="207">
        <v>0.02</v>
      </c>
      <c r="GW723" s="203">
        <f t="shared" si="674"/>
        <v>0.11184210526315791</v>
      </c>
      <c r="GX723" s="203">
        <f t="shared" si="675"/>
        <v>2.1108957500000005</v>
      </c>
      <c r="GY723" s="122" t="s">
        <v>43</v>
      </c>
      <c r="GZ723" s="122" t="s">
        <v>87</v>
      </c>
      <c r="HA723" s="122">
        <v>805</v>
      </c>
      <c r="HB723" s="122">
        <v>675</v>
      </c>
      <c r="HC723" s="122">
        <v>405</v>
      </c>
      <c r="HD723" s="122">
        <v>70</v>
      </c>
      <c r="HE723" s="122">
        <v>600</v>
      </c>
      <c r="HF723" s="122">
        <f t="shared" si="676"/>
        <v>9</v>
      </c>
      <c r="HG723" s="122">
        <v>5</v>
      </c>
      <c r="HH723" s="122">
        <f t="shared" si="677"/>
        <v>45</v>
      </c>
      <c r="HI723" s="122">
        <v>1100</v>
      </c>
      <c r="HJ723" s="122">
        <f t="shared" si="678"/>
        <v>49500</v>
      </c>
      <c r="HK723" s="122"/>
      <c r="HL723" s="122"/>
      <c r="HM723" s="122">
        <v>2</v>
      </c>
      <c r="HN723" s="122">
        <f t="shared" si="679"/>
        <v>360000</v>
      </c>
      <c r="HO723" s="202">
        <f t="shared" si="680"/>
        <v>0.13750000000000001</v>
      </c>
      <c r="HP723" s="122">
        <v>160</v>
      </c>
      <c r="HQ723" s="122">
        <v>0</v>
      </c>
      <c r="HR723" s="122">
        <v>0</v>
      </c>
      <c r="HS723" s="122">
        <v>0</v>
      </c>
      <c r="HT723" s="203">
        <v>0</v>
      </c>
      <c r="HU723" s="203"/>
      <c r="HV723" s="202">
        <f t="shared" si="684"/>
        <v>0.13750000000000001</v>
      </c>
      <c r="HW723" s="202"/>
      <c r="HX723" s="122">
        <v>5016</v>
      </c>
      <c r="HY723" s="122">
        <v>1976</v>
      </c>
      <c r="HZ723" s="122">
        <v>2280</v>
      </c>
      <c r="IA723" s="122">
        <f t="shared" si="681"/>
        <v>6</v>
      </c>
      <c r="IB723" s="122">
        <f t="shared" si="682"/>
        <v>2</v>
      </c>
      <c r="IC723" s="122">
        <f t="shared" si="683"/>
        <v>5</v>
      </c>
      <c r="ID723" s="210">
        <v>1</v>
      </c>
      <c r="IE723" s="203">
        <f>ROUND(PRODUCT(IA723:ID723),0)-10</f>
        <v>50</v>
      </c>
      <c r="IF723" s="122">
        <v>500</v>
      </c>
      <c r="IG723" s="202">
        <f t="shared" si="686"/>
        <v>0.14285714285714285</v>
      </c>
      <c r="IH723" s="20"/>
    </row>
    <row r="724" spans="1:339">
      <c r="A724">
        <v>709</v>
      </c>
      <c r="B724" t="s">
        <v>468</v>
      </c>
      <c r="C724" s="335" t="s">
        <v>2835</v>
      </c>
      <c r="D724" s="28" t="s">
        <v>781</v>
      </c>
      <c r="E724" s="28" t="s">
        <v>782</v>
      </c>
      <c r="F724" s="28" t="s">
        <v>2182</v>
      </c>
      <c r="G724" s="27" t="s">
        <v>102</v>
      </c>
      <c r="I724" s="27" t="s">
        <v>226</v>
      </c>
      <c r="J724" s="28">
        <v>21691</v>
      </c>
      <c r="K724" s="27" t="s">
        <v>404</v>
      </c>
      <c r="L724" s="121"/>
      <c r="M724" s="121"/>
      <c r="N724" s="115"/>
      <c r="O724" s="115"/>
      <c r="P724" s="115"/>
      <c r="Q724" s="115" t="s">
        <v>2805</v>
      </c>
      <c r="R724" s="121" t="s">
        <v>2760</v>
      </c>
      <c r="S724" s="121" t="s">
        <v>2836</v>
      </c>
      <c r="T724" s="121"/>
      <c r="U724" s="121"/>
      <c r="V724" s="121" t="s">
        <v>2748</v>
      </c>
      <c r="W724" s="218" t="s">
        <v>2837</v>
      </c>
      <c r="X724" s="121"/>
      <c r="Y724" s="121"/>
      <c r="Z724" s="121"/>
      <c r="AA724" s="115" t="s">
        <v>2821</v>
      </c>
      <c r="AB724" s="121">
        <v>188.79</v>
      </c>
      <c r="AC724" s="121">
        <v>20</v>
      </c>
      <c r="AD724" s="122" t="s">
        <v>310</v>
      </c>
      <c r="AE724" s="219">
        <f t="shared" si="659"/>
        <v>14.014854999999999</v>
      </c>
      <c r="AF724" s="219"/>
      <c r="AG724" s="219">
        <f t="shared" si="687"/>
        <v>2.604166666666667</v>
      </c>
      <c r="AH724" s="219">
        <f>DM724</f>
        <v>0.2</v>
      </c>
      <c r="AI724" s="219">
        <f t="shared" si="660"/>
        <v>2.5000000000000005E-3</v>
      </c>
      <c r="AJ724" s="219">
        <f t="shared" si="661"/>
        <v>5.2083333333333343E-2</v>
      </c>
      <c r="AK724" s="219">
        <f t="shared" si="662"/>
        <v>0.20773777083333334</v>
      </c>
      <c r="AL724" s="219">
        <f t="shared" si="663"/>
        <v>1.8280923833333331</v>
      </c>
      <c r="AM724" s="219">
        <f t="shared" si="664"/>
        <v>0.86018518518518527</v>
      </c>
      <c r="AN724" s="219">
        <f t="shared" si="665"/>
        <v>0.16666666666666666</v>
      </c>
      <c r="AO724" s="220">
        <v>0</v>
      </c>
      <c r="AP724" s="220"/>
      <c r="AQ724" s="204">
        <f t="shared" si="666"/>
        <v>19.936287006018517</v>
      </c>
      <c r="AR724" s="219"/>
      <c r="AS724" s="219"/>
      <c r="AT724" s="220"/>
      <c r="AU724" s="219">
        <f>20.05-19.94</f>
        <v>0.10999999999999943</v>
      </c>
      <c r="AV724" s="204">
        <f t="shared" si="667"/>
        <v>20.046287006018517</v>
      </c>
      <c r="AW724" s="230">
        <v>7.4499999999999997E-2</v>
      </c>
      <c r="AX724" s="122">
        <v>7.1999999999999995E-2</v>
      </c>
      <c r="AY724" s="210">
        <v>1</v>
      </c>
      <c r="AZ724" s="122">
        <f t="shared" si="668"/>
        <v>2.5000000000000022E-3</v>
      </c>
      <c r="BA724" s="202">
        <f t="shared" si="669"/>
        <v>14.014854999999999</v>
      </c>
      <c r="BB724" s="202"/>
      <c r="BC724" s="202"/>
      <c r="BD724" s="202"/>
      <c r="BE724" s="202"/>
      <c r="BF724" s="202"/>
      <c r="BG724" s="202"/>
      <c r="BH724" s="202"/>
      <c r="BI724" s="202"/>
      <c r="BJ724" s="202"/>
      <c r="BK724" s="202"/>
      <c r="BL724" s="202"/>
      <c r="BM724" s="202"/>
      <c r="BN724" s="202"/>
      <c r="BO724" s="202"/>
      <c r="BP724" s="202"/>
      <c r="BQ724" s="202"/>
      <c r="BR724" s="202"/>
      <c r="BS724" s="202"/>
      <c r="BT724" s="202"/>
      <c r="BU724" s="202"/>
      <c r="BV724" s="202"/>
      <c r="BW724" s="202"/>
      <c r="BX724" s="202"/>
      <c r="BY724" s="202"/>
      <c r="BZ724" s="202"/>
      <c r="CA724" s="202"/>
      <c r="CB724" s="202"/>
      <c r="CC724" s="202"/>
      <c r="CD724" s="122"/>
      <c r="CE724" s="122">
        <v>0</v>
      </c>
      <c r="CF724" s="122">
        <v>1</v>
      </c>
      <c r="CG724" s="122">
        <v>0.2</v>
      </c>
      <c r="CH724" s="103">
        <f>CG724*CF724</f>
        <v>0.2</v>
      </c>
      <c r="CI724" s="121"/>
      <c r="CJ724" s="121"/>
      <c r="CK724" s="122"/>
      <c r="CL724" s="122"/>
      <c r="CM724" s="122"/>
      <c r="CN724" s="122"/>
      <c r="CO724" s="122"/>
      <c r="CP724" s="122"/>
      <c r="CQ724" s="122"/>
      <c r="CR724" s="122"/>
      <c r="CS724" s="122"/>
      <c r="CT724" s="122"/>
      <c r="CU724" s="122"/>
      <c r="CV724" s="122"/>
      <c r="CW724" s="122"/>
      <c r="CX724" s="122"/>
      <c r="CY724" s="122"/>
      <c r="CZ724" s="122"/>
      <c r="DA724" s="122"/>
      <c r="DB724" s="122"/>
      <c r="DC724" s="122"/>
      <c r="DD724" s="122"/>
      <c r="DE724" s="122"/>
      <c r="DF724" s="122"/>
      <c r="DG724" s="122"/>
      <c r="DH724" s="122"/>
      <c r="DI724" s="122"/>
      <c r="DJ724" s="122"/>
      <c r="DK724" s="122"/>
      <c r="DL724" s="122"/>
      <c r="DM724" s="122">
        <f>CH724+CM724+CR724+CW724+DB724+DG724+DL724</f>
        <v>0.2</v>
      </c>
      <c r="DN724" s="211">
        <v>1.2500000000000001E-2</v>
      </c>
      <c r="DO724" s="202">
        <f t="shared" si="670"/>
        <v>2.5000000000000005E-3</v>
      </c>
      <c r="DP724" s="122">
        <v>0</v>
      </c>
      <c r="DQ724" s="122"/>
      <c r="DR724" s="122"/>
      <c r="DS724" s="122"/>
      <c r="DT724" s="122"/>
      <c r="DU724" s="122"/>
      <c r="DV724" s="122"/>
      <c r="DW724" s="122"/>
      <c r="DX724" s="122"/>
      <c r="DY724" s="122"/>
      <c r="DZ724" s="122"/>
      <c r="EA724" s="122"/>
      <c r="EB724" s="122"/>
      <c r="EC724" s="122"/>
      <c r="ED724" s="122"/>
      <c r="EE724" s="122"/>
      <c r="EF724" s="122">
        <v>250</v>
      </c>
      <c r="EG724" s="122">
        <v>2500</v>
      </c>
      <c r="EH724" s="122">
        <v>8</v>
      </c>
      <c r="EI724" s="210">
        <v>0.95</v>
      </c>
      <c r="EJ724" s="122">
        <v>2</v>
      </c>
      <c r="EK724" s="122">
        <v>57</v>
      </c>
      <c r="EL724" s="122">
        <f t="shared" si="685"/>
        <v>959.99999999999989</v>
      </c>
      <c r="EM724" s="122"/>
      <c r="EN724" s="122"/>
      <c r="EO724" s="122"/>
      <c r="EP724" s="122"/>
      <c r="EQ724" s="122"/>
      <c r="ER724" s="122"/>
      <c r="ES724" s="122"/>
      <c r="ET724" s="122"/>
      <c r="EU724" s="202">
        <f t="shared" si="671"/>
        <v>2.604166666666667</v>
      </c>
      <c r="EV724" s="122"/>
      <c r="EW724" s="122"/>
      <c r="EX724" s="122"/>
      <c r="EY724" s="122"/>
      <c r="EZ724" s="122"/>
      <c r="FA724" s="122"/>
      <c r="FB724" s="122"/>
      <c r="FC724" s="122"/>
      <c r="FD724" s="122"/>
      <c r="FE724" s="122"/>
      <c r="FF724" s="122"/>
      <c r="FG724" s="122"/>
      <c r="FH724" s="122"/>
      <c r="FI724" s="122"/>
      <c r="FJ724" s="122"/>
      <c r="FK724" s="122"/>
      <c r="FL724" s="122"/>
      <c r="FM724" s="122"/>
      <c r="FN724" s="122"/>
      <c r="FO724" s="122"/>
      <c r="FP724" s="122"/>
      <c r="FQ724" s="122"/>
      <c r="FR724" s="122"/>
      <c r="FS724" s="122"/>
      <c r="FT724" s="122"/>
      <c r="FU724" s="122"/>
      <c r="FV724" s="122"/>
      <c r="FW724" s="122"/>
      <c r="FX724" s="122"/>
      <c r="FY724" s="122"/>
      <c r="FZ724" s="122"/>
      <c r="GA724" s="122"/>
      <c r="GB724" s="122"/>
      <c r="GC724" s="122"/>
      <c r="GD724" s="122"/>
      <c r="GE724" s="122"/>
      <c r="GF724" s="122"/>
      <c r="GG724" s="122"/>
      <c r="GH724" s="122"/>
      <c r="GI724" s="122"/>
      <c r="GJ724" s="122"/>
      <c r="GK724" s="122"/>
      <c r="GL724" s="122"/>
      <c r="GM724" s="122"/>
      <c r="GN724" s="122"/>
      <c r="GO724" s="122"/>
      <c r="GP724" s="122"/>
      <c r="GQ724" s="122"/>
      <c r="GR724" s="210">
        <v>0.11</v>
      </c>
      <c r="GS724" s="202">
        <f t="shared" si="672"/>
        <v>1.8280923833333331</v>
      </c>
      <c r="GT724" s="208">
        <v>1.2500000000000001E-2</v>
      </c>
      <c r="GU724" s="203">
        <f t="shared" si="673"/>
        <v>0.20773777083333334</v>
      </c>
      <c r="GV724" s="207">
        <v>0.02</v>
      </c>
      <c r="GW724" s="203">
        <f t="shared" si="674"/>
        <v>5.2083333333333343E-2</v>
      </c>
      <c r="GX724" s="203">
        <f t="shared" si="675"/>
        <v>2.0879134874999998</v>
      </c>
      <c r="GY724" s="122" t="s">
        <v>43</v>
      </c>
      <c r="GZ724" s="122" t="s">
        <v>87</v>
      </c>
      <c r="HA724" s="122">
        <v>650</v>
      </c>
      <c r="HB724" s="122">
        <v>450</v>
      </c>
      <c r="HC724" s="122">
        <v>315</v>
      </c>
      <c r="HD724" s="122">
        <v>60</v>
      </c>
      <c r="HE724" s="122">
        <v>600</v>
      </c>
      <c r="HF724" s="122">
        <f t="shared" si="676"/>
        <v>10</v>
      </c>
      <c r="HG724" s="122">
        <v>5</v>
      </c>
      <c r="HH724" s="122">
        <f t="shared" si="677"/>
        <v>50</v>
      </c>
      <c r="HI724" s="122">
        <v>650</v>
      </c>
      <c r="HJ724" s="122">
        <f t="shared" si="678"/>
        <v>32500</v>
      </c>
      <c r="HK724" s="122"/>
      <c r="HL724" s="122"/>
      <c r="HM724" s="122">
        <v>3</v>
      </c>
      <c r="HN724" s="122">
        <f t="shared" si="679"/>
        <v>540000</v>
      </c>
      <c r="HO724" s="202">
        <f t="shared" si="680"/>
        <v>6.0185185185185182E-2</v>
      </c>
      <c r="HP724" s="122">
        <v>160</v>
      </c>
      <c r="HQ724" s="122">
        <v>0</v>
      </c>
      <c r="HR724" s="122">
        <v>0.8</v>
      </c>
      <c r="HS724" s="122">
        <v>1</v>
      </c>
      <c r="HT724" s="203">
        <f>HR724/HS724</f>
        <v>0.8</v>
      </c>
      <c r="HU724" s="203"/>
      <c r="HV724" s="202">
        <f t="shared" si="684"/>
        <v>0.86018518518518527</v>
      </c>
      <c r="HW724" s="202"/>
      <c r="HX724" s="122">
        <v>5016</v>
      </c>
      <c r="HY724" s="122">
        <v>1976</v>
      </c>
      <c r="HZ724" s="122">
        <v>2280</v>
      </c>
      <c r="IA724" s="122">
        <f t="shared" si="681"/>
        <v>7</v>
      </c>
      <c r="IB724" s="122">
        <f t="shared" si="682"/>
        <v>4</v>
      </c>
      <c r="IC724" s="122">
        <f t="shared" si="683"/>
        <v>7</v>
      </c>
      <c r="ID724" s="210">
        <v>1</v>
      </c>
      <c r="IE724" s="202">
        <f>ROUND(PRODUCT(IA724:ID724),0)-146</f>
        <v>50</v>
      </c>
      <c r="IF724" s="122">
        <v>500</v>
      </c>
      <c r="IG724" s="202">
        <f t="shared" si="686"/>
        <v>0.16666666666666666</v>
      </c>
      <c r="IH724" s="20"/>
    </row>
    <row r="725" spans="1:339">
      <c r="A725">
        <v>710</v>
      </c>
      <c r="B725" t="s">
        <v>468</v>
      </c>
      <c r="C725" s="335" t="s">
        <v>2838</v>
      </c>
      <c r="D725" s="28" t="s">
        <v>783</v>
      </c>
      <c r="E725" s="28" t="s">
        <v>784</v>
      </c>
      <c r="F725" s="28" t="s">
        <v>2182</v>
      </c>
      <c r="G725" s="27" t="s">
        <v>102</v>
      </c>
      <c r="I725" s="27" t="s">
        <v>226</v>
      </c>
      <c r="J725" s="28">
        <v>21691</v>
      </c>
      <c r="K725" s="27" t="s">
        <v>404</v>
      </c>
      <c r="L725" s="121"/>
      <c r="M725" s="121"/>
      <c r="N725" s="115"/>
      <c r="O725" s="115"/>
      <c r="P725" s="115"/>
      <c r="Q725" s="115" t="s">
        <v>2805</v>
      </c>
      <c r="R725" s="121" t="s">
        <v>2760</v>
      </c>
      <c r="S725" s="121" t="s">
        <v>2836</v>
      </c>
      <c r="T725" s="121"/>
      <c r="U725" s="121"/>
      <c r="V725" s="121" t="s">
        <v>2748</v>
      </c>
      <c r="W725" s="218" t="s">
        <v>2837</v>
      </c>
      <c r="X725" s="121"/>
      <c r="Y725" s="121"/>
      <c r="Z725" s="121"/>
      <c r="AA725" s="115" t="s">
        <v>2821</v>
      </c>
      <c r="AB725" s="121">
        <v>188.79</v>
      </c>
      <c r="AC725" s="121">
        <v>20</v>
      </c>
      <c r="AD725" s="122" t="s">
        <v>310</v>
      </c>
      <c r="AE725" s="219">
        <f t="shared" si="659"/>
        <v>14.014854999999999</v>
      </c>
      <c r="AF725" s="219"/>
      <c r="AG725" s="219">
        <f t="shared" si="687"/>
        <v>2.604166666666667</v>
      </c>
      <c r="AH725" s="219">
        <f>DM725</f>
        <v>0.2</v>
      </c>
      <c r="AI725" s="219">
        <f t="shared" si="660"/>
        <v>2.5000000000000005E-3</v>
      </c>
      <c r="AJ725" s="219">
        <f t="shared" si="661"/>
        <v>5.2083333333333343E-2</v>
      </c>
      <c r="AK725" s="219">
        <f t="shared" si="662"/>
        <v>0.20773777083333334</v>
      </c>
      <c r="AL725" s="219">
        <f t="shared" si="663"/>
        <v>1.8280923833333331</v>
      </c>
      <c r="AM725" s="219">
        <f t="shared" si="664"/>
        <v>0.86018518518518527</v>
      </c>
      <c r="AN725" s="219">
        <f t="shared" si="665"/>
        <v>0.16666666666666666</v>
      </c>
      <c r="AO725" s="220">
        <v>0</v>
      </c>
      <c r="AP725" s="220"/>
      <c r="AQ725" s="204">
        <f t="shared" si="666"/>
        <v>19.936287006018517</v>
      </c>
      <c r="AR725" s="219"/>
      <c r="AS725" s="219"/>
      <c r="AT725" s="220"/>
      <c r="AU725" s="219">
        <f>20.05-19.94</f>
        <v>0.10999999999999943</v>
      </c>
      <c r="AV725" s="204">
        <f t="shared" si="667"/>
        <v>20.046287006018517</v>
      </c>
      <c r="AW725" s="230">
        <v>7.4499999999999997E-2</v>
      </c>
      <c r="AX725" s="122">
        <v>7.1999999999999995E-2</v>
      </c>
      <c r="AY725" s="210">
        <v>1</v>
      </c>
      <c r="AZ725" s="122">
        <f t="shared" si="668"/>
        <v>2.5000000000000022E-3</v>
      </c>
      <c r="BA725" s="202">
        <f t="shared" si="669"/>
        <v>14.014854999999999</v>
      </c>
      <c r="BB725" s="202"/>
      <c r="BC725" s="202"/>
      <c r="BD725" s="202"/>
      <c r="BE725" s="202"/>
      <c r="BF725" s="202"/>
      <c r="BG725" s="202"/>
      <c r="BH725" s="202"/>
      <c r="BI725" s="202"/>
      <c r="BJ725" s="202"/>
      <c r="BK725" s="202"/>
      <c r="BL725" s="202"/>
      <c r="BM725" s="202"/>
      <c r="BN725" s="202"/>
      <c r="BO725" s="202"/>
      <c r="BP725" s="202"/>
      <c r="BQ725" s="202"/>
      <c r="BR725" s="202"/>
      <c r="BS725" s="202"/>
      <c r="BT725" s="202"/>
      <c r="BU725" s="202"/>
      <c r="BV725" s="202"/>
      <c r="BW725" s="202"/>
      <c r="BX725" s="202"/>
      <c r="BY725" s="202"/>
      <c r="BZ725" s="202"/>
      <c r="CA725" s="202"/>
      <c r="CB725" s="202"/>
      <c r="CC725" s="202"/>
      <c r="CD725" s="122"/>
      <c r="CE725" s="122">
        <v>0</v>
      </c>
      <c r="CF725" s="122">
        <v>1</v>
      </c>
      <c r="CG725" s="122">
        <v>0.2</v>
      </c>
      <c r="CH725" s="103">
        <f>CG725*CF725</f>
        <v>0.2</v>
      </c>
      <c r="CI725" s="121"/>
      <c r="CJ725" s="121"/>
      <c r="CK725" s="122"/>
      <c r="CL725" s="122"/>
      <c r="CM725" s="122"/>
      <c r="CN725" s="122"/>
      <c r="CO725" s="122"/>
      <c r="CP725" s="122"/>
      <c r="CQ725" s="122"/>
      <c r="CR725" s="122"/>
      <c r="CS725" s="122"/>
      <c r="CT725" s="122"/>
      <c r="CU725" s="122"/>
      <c r="CV725" s="122"/>
      <c r="CW725" s="122"/>
      <c r="CX725" s="122"/>
      <c r="CY725" s="122"/>
      <c r="CZ725" s="122"/>
      <c r="DA725" s="122"/>
      <c r="DB725" s="122"/>
      <c r="DC725" s="122"/>
      <c r="DD725" s="122"/>
      <c r="DE725" s="122"/>
      <c r="DF725" s="122"/>
      <c r="DG725" s="122"/>
      <c r="DH725" s="122"/>
      <c r="DI725" s="122"/>
      <c r="DJ725" s="122"/>
      <c r="DK725" s="122"/>
      <c r="DL725" s="122"/>
      <c r="DM725" s="122">
        <f>CH725+CM725+CR725+CW725+DB725+DG725+DL725</f>
        <v>0.2</v>
      </c>
      <c r="DN725" s="211">
        <v>1.2500000000000001E-2</v>
      </c>
      <c r="DO725" s="202">
        <f t="shared" si="670"/>
        <v>2.5000000000000005E-3</v>
      </c>
      <c r="DP725" s="122">
        <v>0</v>
      </c>
      <c r="DQ725" s="122"/>
      <c r="DR725" s="122"/>
      <c r="DS725" s="122"/>
      <c r="DT725" s="122"/>
      <c r="DU725" s="122"/>
      <c r="DV725" s="122"/>
      <c r="DW725" s="122"/>
      <c r="DX725" s="122"/>
      <c r="DY725" s="122"/>
      <c r="DZ725" s="122"/>
      <c r="EA725" s="122"/>
      <c r="EB725" s="122"/>
      <c r="EC725" s="122"/>
      <c r="ED725" s="122"/>
      <c r="EE725" s="122"/>
      <c r="EF725" s="122">
        <v>250</v>
      </c>
      <c r="EG725" s="122">
        <v>2500</v>
      </c>
      <c r="EH725" s="122">
        <v>8</v>
      </c>
      <c r="EI725" s="210">
        <v>0.95</v>
      </c>
      <c r="EJ725" s="122">
        <v>2</v>
      </c>
      <c r="EK725" s="122">
        <v>57</v>
      </c>
      <c r="EL725" s="122">
        <f t="shared" si="685"/>
        <v>959.99999999999989</v>
      </c>
      <c r="EM725" s="122"/>
      <c r="EN725" s="122"/>
      <c r="EO725" s="122"/>
      <c r="EP725" s="122"/>
      <c r="EQ725" s="122"/>
      <c r="ER725" s="122"/>
      <c r="ES725" s="122"/>
      <c r="ET725" s="122"/>
      <c r="EU725" s="202">
        <f t="shared" si="671"/>
        <v>2.604166666666667</v>
      </c>
      <c r="EV725" s="122"/>
      <c r="EW725" s="122"/>
      <c r="EX725" s="122"/>
      <c r="EY725" s="122"/>
      <c r="EZ725" s="122"/>
      <c r="FA725" s="122"/>
      <c r="FB725" s="122"/>
      <c r="FC725" s="122"/>
      <c r="FD725" s="122"/>
      <c r="FE725" s="122"/>
      <c r="FF725" s="122"/>
      <c r="FG725" s="122"/>
      <c r="FH725" s="122"/>
      <c r="FI725" s="122"/>
      <c r="FJ725" s="122"/>
      <c r="FK725" s="122"/>
      <c r="FL725" s="122"/>
      <c r="FM725" s="122"/>
      <c r="FN725" s="122"/>
      <c r="FO725" s="122"/>
      <c r="FP725" s="122"/>
      <c r="FQ725" s="122"/>
      <c r="FR725" s="122"/>
      <c r="FS725" s="122"/>
      <c r="FT725" s="122"/>
      <c r="FU725" s="122"/>
      <c r="FV725" s="122"/>
      <c r="FW725" s="122"/>
      <c r="FX725" s="122"/>
      <c r="FY725" s="122"/>
      <c r="FZ725" s="122"/>
      <c r="GA725" s="122"/>
      <c r="GB725" s="122"/>
      <c r="GC725" s="122"/>
      <c r="GD725" s="122"/>
      <c r="GE725" s="122"/>
      <c r="GF725" s="122"/>
      <c r="GG725" s="122"/>
      <c r="GH725" s="122"/>
      <c r="GI725" s="122"/>
      <c r="GJ725" s="122"/>
      <c r="GK725" s="122"/>
      <c r="GL725" s="122"/>
      <c r="GM725" s="122"/>
      <c r="GN725" s="122"/>
      <c r="GO725" s="122"/>
      <c r="GP725" s="122"/>
      <c r="GQ725" s="122"/>
      <c r="GR725" s="210">
        <v>0.11</v>
      </c>
      <c r="GS725" s="202">
        <f t="shared" si="672"/>
        <v>1.8280923833333331</v>
      </c>
      <c r="GT725" s="208">
        <v>1.2500000000000001E-2</v>
      </c>
      <c r="GU725" s="203">
        <f t="shared" si="673"/>
        <v>0.20773777083333334</v>
      </c>
      <c r="GV725" s="207">
        <v>0.02</v>
      </c>
      <c r="GW725" s="203">
        <f t="shared" si="674"/>
        <v>5.2083333333333343E-2</v>
      </c>
      <c r="GX725" s="203">
        <f t="shared" si="675"/>
        <v>2.0879134874999998</v>
      </c>
      <c r="GY725" s="122" t="s">
        <v>43</v>
      </c>
      <c r="GZ725" s="122" t="s">
        <v>87</v>
      </c>
      <c r="HA725" s="122">
        <v>650</v>
      </c>
      <c r="HB725" s="122">
        <v>450</v>
      </c>
      <c r="HC725" s="122">
        <v>315</v>
      </c>
      <c r="HD725" s="122">
        <v>60</v>
      </c>
      <c r="HE725" s="122">
        <v>600</v>
      </c>
      <c r="HF725" s="122">
        <f t="shared" si="676"/>
        <v>10</v>
      </c>
      <c r="HG725" s="122">
        <v>5</v>
      </c>
      <c r="HH725" s="122">
        <f t="shared" si="677"/>
        <v>50</v>
      </c>
      <c r="HI725" s="122">
        <v>650</v>
      </c>
      <c r="HJ725" s="122">
        <f t="shared" si="678"/>
        <v>32500</v>
      </c>
      <c r="HK725" s="122"/>
      <c r="HL725" s="122"/>
      <c r="HM725" s="122">
        <v>3</v>
      </c>
      <c r="HN725" s="122">
        <f t="shared" si="679"/>
        <v>540000</v>
      </c>
      <c r="HO725" s="202">
        <f t="shared" si="680"/>
        <v>6.0185185185185182E-2</v>
      </c>
      <c r="HP725" s="122">
        <v>160</v>
      </c>
      <c r="HQ725" s="122">
        <v>0</v>
      </c>
      <c r="HR725" s="122">
        <v>0.8</v>
      </c>
      <c r="HS725" s="122">
        <v>1</v>
      </c>
      <c r="HT725" s="203">
        <f>HR725/HS725</f>
        <v>0.8</v>
      </c>
      <c r="HU725" s="203"/>
      <c r="HV725" s="202">
        <f t="shared" si="684"/>
        <v>0.86018518518518527</v>
      </c>
      <c r="HW725" s="202"/>
      <c r="HX725" s="122">
        <v>5016</v>
      </c>
      <c r="HY725" s="122">
        <v>1976</v>
      </c>
      <c r="HZ725" s="122">
        <v>2280</v>
      </c>
      <c r="IA725" s="122">
        <f t="shared" si="681"/>
        <v>7</v>
      </c>
      <c r="IB725" s="122">
        <f t="shared" si="682"/>
        <v>4</v>
      </c>
      <c r="IC725" s="122">
        <f t="shared" si="683"/>
        <v>7</v>
      </c>
      <c r="ID725" s="210">
        <v>1</v>
      </c>
      <c r="IE725" s="202">
        <f>ROUND(PRODUCT(IA725:ID725),0)-146</f>
        <v>50</v>
      </c>
      <c r="IF725" s="122">
        <v>500</v>
      </c>
      <c r="IG725" s="202">
        <f t="shared" si="686"/>
        <v>0.16666666666666666</v>
      </c>
      <c r="IH725" s="20"/>
    </row>
    <row r="726" spans="1:339">
      <c r="A726">
        <v>711</v>
      </c>
      <c r="B726" t="s">
        <v>468</v>
      </c>
      <c r="C726" s="121" t="s">
        <v>2839</v>
      </c>
      <c r="D726" s="28" t="s">
        <v>1539</v>
      </c>
      <c r="E726" s="28" t="s">
        <v>1540</v>
      </c>
      <c r="F726" s="28" t="s">
        <v>2182</v>
      </c>
      <c r="G726" s="27" t="s">
        <v>102</v>
      </c>
      <c r="I726" s="27" t="s">
        <v>121</v>
      </c>
      <c r="J726" s="28">
        <v>21677</v>
      </c>
      <c r="K726" s="27" t="s">
        <v>228</v>
      </c>
      <c r="L726" s="121"/>
      <c r="M726" s="121"/>
      <c r="N726" s="115"/>
      <c r="O726" s="115"/>
      <c r="P726" s="115"/>
      <c r="Q726" s="115" t="s">
        <v>2778</v>
      </c>
      <c r="R726" s="121" t="s">
        <v>2779</v>
      </c>
      <c r="S726" s="121" t="s">
        <v>2840</v>
      </c>
      <c r="T726" s="121" t="s">
        <v>2841</v>
      </c>
      <c r="U726" s="121"/>
      <c r="V726" s="121" t="s">
        <v>2748</v>
      </c>
      <c r="W726" s="218" t="s">
        <v>2842</v>
      </c>
      <c r="X726" s="121"/>
      <c r="Y726" s="121"/>
      <c r="Z726" s="121"/>
      <c r="AA726" s="115" t="s">
        <v>2821</v>
      </c>
      <c r="AB726" s="121">
        <v>126.69</v>
      </c>
      <c r="AC726" s="121">
        <v>20</v>
      </c>
      <c r="AD726" s="122" t="s">
        <v>596</v>
      </c>
      <c r="AE726" s="219">
        <f t="shared" si="659"/>
        <v>22.870889999999999</v>
      </c>
      <c r="AF726" s="219"/>
      <c r="AG726" s="219">
        <f t="shared" si="687"/>
        <v>3.7280701754385968</v>
      </c>
      <c r="AH726" s="219">
        <f>DP726</f>
        <v>0</v>
      </c>
      <c r="AI726" s="219">
        <f t="shared" si="660"/>
        <v>0</v>
      </c>
      <c r="AJ726" s="219">
        <f t="shared" si="661"/>
        <v>7.456140350877194E-2</v>
      </c>
      <c r="AK726" s="219">
        <f t="shared" si="662"/>
        <v>0.33248700219298244</v>
      </c>
      <c r="AL726" s="219">
        <f t="shared" si="663"/>
        <v>2.9258856192982456</v>
      </c>
      <c r="AM726" s="219">
        <f t="shared" si="664"/>
        <v>4.0766666666666662</v>
      </c>
      <c r="AN726" s="219">
        <f t="shared" si="665"/>
        <v>0.4</v>
      </c>
      <c r="AO726" s="220">
        <v>0</v>
      </c>
      <c r="AP726" s="220"/>
      <c r="AQ726" s="204">
        <f t="shared" si="666"/>
        <v>34.408560867105258</v>
      </c>
      <c r="AR726" s="219"/>
      <c r="AS726" s="219"/>
      <c r="AT726" s="220"/>
      <c r="AU726" s="219"/>
      <c r="AV726" s="204">
        <f t="shared" si="667"/>
        <v>34.408560867105258</v>
      </c>
      <c r="AW726" s="122">
        <v>0.18099999999999999</v>
      </c>
      <c r="AX726" s="122">
        <v>0.17799999999999999</v>
      </c>
      <c r="AY726" s="210">
        <v>1</v>
      </c>
      <c r="AZ726" s="122">
        <f t="shared" si="668"/>
        <v>3.0000000000000027E-3</v>
      </c>
      <c r="BA726" s="202">
        <f t="shared" si="669"/>
        <v>22.870889999999999</v>
      </c>
      <c r="BB726" s="202"/>
      <c r="BC726" s="202"/>
      <c r="BD726" s="202"/>
      <c r="BE726" s="202"/>
      <c r="BF726" s="202"/>
      <c r="BG726" s="202"/>
      <c r="BH726" s="202"/>
      <c r="BI726" s="202"/>
      <c r="BJ726" s="202"/>
      <c r="BK726" s="202"/>
      <c r="BL726" s="202"/>
      <c r="BM726" s="202"/>
      <c r="BN726" s="202"/>
      <c r="BO726" s="202"/>
      <c r="BP726" s="202"/>
      <c r="BQ726" s="202"/>
      <c r="BR726" s="202"/>
      <c r="BS726" s="202"/>
      <c r="BT726" s="202"/>
      <c r="BU726" s="202"/>
      <c r="BV726" s="202"/>
      <c r="BW726" s="202"/>
      <c r="BX726" s="202"/>
      <c r="BY726" s="202"/>
      <c r="BZ726" s="202"/>
      <c r="CA726" s="202"/>
      <c r="CB726" s="202"/>
      <c r="CC726" s="202"/>
      <c r="CD726" s="122"/>
      <c r="CE726" s="122">
        <v>0</v>
      </c>
      <c r="CF726" s="122">
        <v>0</v>
      </c>
      <c r="CG726" s="122">
        <v>0</v>
      </c>
      <c r="CH726" s="122">
        <v>0</v>
      </c>
      <c r="CI726" s="121"/>
      <c r="CJ726" s="121"/>
      <c r="CK726" s="122"/>
      <c r="CL726" s="122"/>
      <c r="CM726" s="122"/>
      <c r="CN726" s="122"/>
      <c r="CO726" s="122"/>
      <c r="CP726" s="122"/>
      <c r="CQ726" s="122"/>
      <c r="CR726" s="122"/>
      <c r="CS726" s="122"/>
      <c r="CT726" s="122"/>
      <c r="CU726" s="122"/>
      <c r="CV726" s="122"/>
      <c r="CW726" s="122"/>
      <c r="CX726" s="122"/>
      <c r="CY726" s="122"/>
      <c r="CZ726" s="122"/>
      <c r="DA726" s="122"/>
      <c r="DB726" s="122"/>
      <c r="DC726" s="122"/>
      <c r="DD726" s="122"/>
      <c r="DE726" s="122"/>
      <c r="DF726" s="122"/>
      <c r="DG726" s="122"/>
      <c r="DH726" s="122"/>
      <c r="DI726" s="122"/>
      <c r="DJ726" s="122"/>
      <c r="DK726" s="122"/>
      <c r="DL726" s="122"/>
      <c r="DM726" s="103">
        <f>CM726+CR726+CW726+DB726+DG726+DL726+CH726</f>
        <v>0</v>
      </c>
      <c r="DN726" s="211">
        <v>1.2500000000000001E-2</v>
      </c>
      <c r="DO726" s="202">
        <f t="shared" si="670"/>
        <v>0</v>
      </c>
      <c r="DP726" s="122">
        <f>CG726*CF726</f>
        <v>0</v>
      </c>
      <c r="DQ726" s="122"/>
      <c r="DR726" s="122"/>
      <c r="DS726" s="122"/>
      <c r="DT726" s="122"/>
      <c r="DU726" s="122"/>
      <c r="DV726" s="122"/>
      <c r="DW726" s="122"/>
      <c r="DX726" s="122"/>
      <c r="DY726" s="122"/>
      <c r="DZ726" s="122"/>
      <c r="EA726" s="122"/>
      <c r="EB726" s="122"/>
      <c r="EC726" s="122"/>
      <c r="ED726" s="122"/>
      <c r="EE726" s="122"/>
      <c r="EF726" s="122">
        <v>300</v>
      </c>
      <c r="EG726" s="122">
        <v>3000</v>
      </c>
      <c r="EH726" s="122">
        <v>8</v>
      </c>
      <c r="EI726" s="210">
        <v>0.95</v>
      </c>
      <c r="EJ726" s="122">
        <v>2</v>
      </c>
      <c r="EK726" s="122">
        <v>68</v>
      </c>
      <c r="EL726" s="221">
        <f t="shared" si="685"/>
        <v>804.7058823529411</v>
      </c>
      <c r="EM726" s="122"/>
      <c r="EN726" s="122"/>
      <c r="EO726" s="122"/>
      <c r="EP726" s="122"/>
      <c r="EQ726" s="122"/>
      <c r="ER726" s="122"/>
      <c r="ES726" s="122"/>
      <c r="ET726" s="122"/>
      <c r="EU726" s="202">
        <f t="shared" si="671"/>
        <v>3.7280701754385968</v>
      </c>
      <c r="EV726" s="122"/>
      <c r="EW726" s="122"/>
      <c r="EX726" s="122"/>
      <c r="EY726" s="122"/>
      <c r="EZ726" s="122"/>
      <c r="FA726" s="122"/>
      <c r="FB726" s="122"/>
      <c r="FC726" s="122"/>
      <c r="FD726" s="122"/>
      <c r="FE726" s="122"/>
      <c r="FF726" s="122"/>
      <c r="FG726" s="122"/>
      <c r="FH726" s="122"/>
      <c r="FI726" s="122"/>
      <c r="FJ726" s="122"/>
      <c r="FK726" s="122"/>
      <c r="FL726" s="122"/>
      <c r="FM726" s="122"/>
      <c r="FN726" s="122"/>
      <c r="FO726" s="122"/>
      <c r="FP726" s="122"/>
      <c r="FQ726" s="122"/>
      <c r="FR726" s="122"/>
      <c r="FS726" s="122"/>
      <c r="FT726" s="122"/>
      <c r="FU726" s="122"/>
      <c r="FV726" s="122"/>
      <c r="FW726" s="122"/>
      <c r="FX726" s="122"/>
      <c r="FY726" s="122"/>
      <c r="FZ726" s="122"/>
      <c r="GA726" s="122"/>
      <c r="GB726" s="122"/>
      <c r="GC726" s="122"/>
      <c r="GD726" s="122"/>
      <c r="GE726" s="122"/>
      <c r="GF726" s="122"/>
      <c r="GG726" s="122"/>
      <c r="GH726" s="122"/>
      <c r="GI726" s="122"/>
      <c r="GJ726" s="122"/>
      <c r="GK726" s="122"/>
      <c r="GL726" s="122"/>
      <c r="GM726" s="122"/>
      <c r="GN726" s="122"/>
      <c r="GO726" s="122"/>
      <c r="GP726" s="122"/>
      <c r="GQ726" s="122"/>
      <c r="GR726" s="210">
        <v>0.11</v>
      </c>
      <c r="GS726" s="202">
        <f t="shared" si="672"/>
        <v>2.9258856192982456</v>
      </c>
      <c r="GT726" s="208">
        <v>1.2500000000000001E-2</v>
      </c>
      <c r="GU726" s="203">
        <f t="shared" si="673"/>
        <v>0.33248700219298244</v>
      </c>
      <c r="GV726" s="207">
        <v>0.02</v>
      </c>
      <c r="GW726" s="203">
        <f t="shared" si="674"/>
        <v>7.456140350877194E-2</v>
      </c>
      <c r="GX726" s="203">
        <f t="shared" si="675"/>
        <v>3.3329340249999997</v>
      </c>
      <c r="GY726" s="122" t="s">
        <v>43</v>
      </c>
      <c r="GZ726" s="122" t="s">
        <v>87</v>
      </c>
      <c r="HA726" s="122">
        <v>805</v>
      </c>
      <c r="HB726" s="122">
        <v>675</v>
      </c>
      <c r="HC726" s="122">
        <v>405</v>
      </c>
      <c r="HD726" s="122">
        <v>25</v>
      </c>
      <c r="HE726" s="122">
        <v>600</v>
      </c>
      <c r="HF726" s="122">
        <f t="shared" si="676"/>
        <v>24</v>
      </c>
      <c r="HG726" s="122">
        <v>5</v>
      </c>
      <c r="HH726" s="122">
        <f t="shared" si="677"/>
        <v>120</v>
      </c>
      <c r="HI726" s="122">
        <v>1100</v>
      </c>
      <c r="HJ726" s="122">
        <f t="shared" si="678"/>
        <v>132000</v>
      </c>
      <c r="HK726" s="122"/>
      <c r="HL726" s="122"/>
      <c r="HM726" s="122">
        <v>2</v>
      </c>
      <c r="HN726" s="122">
        <f t="shared" si="679"/>
        <v>360000</v>
      </c>
      <c r="HO726" s="202">
        <f t="shared" si="680"/>
        <v>0.36666666666666664</v>
      </c>
      <c r="HP726" s="122">
        <v>160</v>
      </c>
      <c r="HQ726" s="122">
        <v>0</v>
      </c>
      <c r="HR726" s="122">
        <v>3.71</v>
      </c>
      <c r="HS726" s="122">
        <v>1</v>
      </c>
      <c r="HT726" s="203">
        <f>HR726/HS726</f>
        <v>3.71</v>
      </c>
      <c r="HU726" s="203"/>
      <c r="HV726" s="202">
        <f t="shared" si="684"/>
        <v>4.0766666666666662</v>
      </c>
      <c r="HW726" s="202"/>
      <c r="HX726" s="122">
        <v>5016</v>
      </c>
      <c r="HY726" s="122">
        <v>1976</v>
      </c>
      <c r="HZ726" s="122">
        <v>2280</v>
      </c>
      <c r="IA726" s="122">
        <f t="shared" si="681"/>
        <v>6</v>
      </c>
      <c r="IB726" s="122">
        <f t="shared" si="682"/>
        <v>2</v>
      </c>
      <c r="IC726" s="122">
        <f t="shared" si="683"/>
        <v>5</v>
      </c>
      <c r="ID726" s="210">
        <v>1</v>
      </c>
      <c r="IE726" s="203">
        <f>ROUND(PRODUCT(IA726:ID726),0)-10</f>
        <v>50</v>
      </c>
      <c r="IF726" s="122">
        <v>500</v>
      </c>
      <c r="IG726" s="122">
        <f t="shared" si="686"/>
        <v>0.4</v>
      </c>
      <c r="IH726" s="21"/>
    </row>
    <row r="727" spans="1:339">
      <c r="A727">
        <v>712</v>
      </c>
      <c r="B727" t="s">
        <v>468</v>
      </c>
      <c r="C727" s="121" t="s">
        <v>2843</v>
      </c>
      <c r="D727" s="28" t="s">
        <v>1541</v>
      </c>
      <c r="E727" s="28" t="s">
        <v>1542</v>
      </c>
      <c r="F727" s="28" t="s">
        <v>2182</v>
      </c>
      <c r="G727" s="27" t="s">
        <v>102</v>
      </c>
      <c r="I727" s="27" t="s">
        <v>121</v>
      </c>
      <c r="J727" s="28">
        <v>21677</v>
      </c>
      <c r="K727" s="27" t="s">
        <v>228</v>
      </c>
      <c r="L727" s="121"/>
      <c r="M727" s="121"/>
      <c r="N727" s="115"/>
      <c r="O727" s="115"/>
      <c r="P727" s="115"/>
      <c r="Q727" s="115" t="s">
        <v>2778</v>
      </c>
      <c r="R727" s="121" t="s">
        <v>2779</v>
      </c>
      <c r="S727" s="121" t="s">
        <v>2840</v>
      </c>
      <c r="T727" s="121"/>
      <c r="U727" s="121"/>
      <c r="V727" s="121" t="s">
        <v>2748</v>
      </c>
      <c r="W727" s="218" t="s">
        <v>2842</v>
      </c>
      <c r="X727" s="121"/>
      <c r="Y727" s="121"/>
      <c r="Z727" s="121"/>
      <c r="AA727" s="115" t="s">
        <v>2821</v>
      </c>
      <c r="AB727" s="121">
        <v>126.69</v>
      </c>
      <c r="AC727" s="121">
        <v>20</v>
      </c>
      <c r="AD727" s="122" t="s">
        <v>596</v>
      </c>
      <c r="AE727" s="219">
        <f t="shared" si="659"/>
        <v>22.870889999999999</v>
      </c>
      <c r="AF727" s="219"/>
      <c r="AG727" s="219">
        <f t="shared" si="687"/>
        <v>3.7280701754385968</v>
      </c>
      <c r="AH727" s="219">
        <f>DP727</f>
        <v>0</v>
      </c>
      <c r="AI727" s="219">
        <f t="shared" si="660"/>
        <v>0</v>
      </c>
      <c r="AJ727" s="219">
        <f t="shared" si="661"/>
        <v>7.456140350877194E-2</v>
      </c>
      <c r="AK727" s="219">
        <f t="shared" si="662"/>
        <v>0.33248700219298244</v>
      </c>
      <c r="AL727" s="219">
        <f t="shared" si="663"/>
        <v>2.9258856192982456</v>
      </c>
      <c r="AM727" s="219">
        <f t="shared" si="664"/>
        <v>4.0766666666666662</v>
      </c>
      <c r="AN727" s="219">
        <f t="shared" si="665"/>
        <v>0.4</v>
      </c>
      <c r="AO727" s="220">
        <v>0</v>
      </c>
      <c r="AP727" s="220"/>
      <c r="AQ727" s="204">
        <f t="shared" si="666"/>
        <v>34.408560867105258</v>
      </c>
      <c r="AR727" s="219"/>
      <c r="AS727" s="219"/>
      <c r="AT727" s="220"/>
      <c r="AU727" s="219"/>
      <c r="AV727" s="204">
        <f t="shared" si="667"/>
        <v>34.408560867105258</v>
      </c>
      <c r="AW727" s="122">
        <v>0.18099999999999999</v>
      </c>
      <c r="AX727" s="122">
        <v>0.17799999999999999</v>
      </c>
      <c r="AY727" s="210">
        <v>1</v>
      </c>
      <c r="AZ727" s="122">
        <f t="shared" si="668"/>
        <v>3.0000000000000027E-3</v>
      </c>
      <c r="BA727" s="202">
        <f t="shared" si="669"/>
        <v>22.870889999999999</v>
      </c>
      <c r="BB727" s="202"/>
      <c r="BC727" s="202"/>
      <c r="BD727" s="202"/>
      <c r="BE727" s="202"/>
      <c r="BF727" s="202"/>
      <c r="BG727" s="202"/>
      <c r="BH727" s="202"/>
      <c r="BI727" s="202"/>
      <c r="BJ727" s="202"/>
      <c r="BK727" s="202"/>
      <c r="BL727" s="202"/>
      <c r="BM727" s="202"/>
      <c r="BN727" s="202"/>
      <c r="BO727" s="202"/>
      <c r="BP727" s="202"/>
      <c r="BQ727" s="202"/>
      <c r="BR727" s="202"/>
      <c r="BS727" s="202"/>
      <c r="BT727" s="202"/>
      <c r="BU727" s="202"/>
      <c r="BV727" s="202"/>
      <c r="BW727" s="202"/>
      <c r="BX727" s="202"/>
      <c r="BY727" s="202"/>
      <c r="BZ727" s="202"/>
      <c r="CA727" s="202"/>
      <c r="CB727" s="202"/>
      <c r="CC727" s="202"/>
      <c r="CD727" s="122"/>
      <c r="CE727" s="122">
        <v>0</v>
      </c>
      <c r="CF727" s="122">
        <v>0</v>
      </c>
      <c r="CG727" s="122">
        <v>0</v>
      </c>
      <c r="CH727" s="122">
        <v>0</v>
      </c>
      <c r="CI727" s="121"/>
      <c r="CJ727" s="121"/>
      <c r="CK727" s="122"/>
      <c r="CL727" s="122"/>
      <c r="CM727" s="122"/>
      <c r="CN727" s="122"/>
      <c r="CO727" s="122"/>
      <c r="CP727" s="122"/>
      <c r="CQ727" s="122"/>
      <c r="CR727" s="122"/>
      <c r="CS727" s="122"/>
      <c r="CT727" s="122"/>
      <c r="CU727" s="122"/>
      <c r="CV727" s="122"/>
      <c r="CW727" s="122"/>
      <c r="CX727" s="122"/>
      <c r="CY727" s="122"/>
      <c r="CZ727" s="122"/>
      <c r="DA727" s="122"/>
      <c r="DB727" s="122"/>
      <c r="DC727" s="122"/>
      <c r="DD727" s="122"/>
      <c r="DE727" s="122"/>
      <c r="DF727" s="122"/>
      <c r="DG727" s="122"/>
      <c r="DH727" s="122"/>
      <c r="DI727" s="122"/>
      <c r="DJ727" s="122"/>
      <c r="DK727" s="122"/>
      <c r="DL727" s="122"/>
      <c r="DM727" s="103">
        <f>CM727+CR727+CW727+DB727+DG727+DL727+CH727</f>
        <v>0</v>
      </c>
      <c r="DN727" s="211">
        <v>1.2500000000000001E-2</v>
      </c>
      <c r="DO727" s="202">
        <f t="shared" si="670"/>
        <v>0</v>
      </c>
      <c r="DP727" s="122">
        <f>CG727*CF727</f>
        <v>0</v>
      </c>
      <c r="DQ727" s="122"/>
      <c r="DR727" s="122"/>
      <c r="DS727" s="122"/>
      <c r="DT727" s="122"/>
      <c r="DU727" s="122"/>
      <c r="DV727" s="122"/>
      <c r="DW727" s="122"/>
      <c r="DX727" s="122"/>
      <c r="DY727" s="122"/>
      <c r="DZ727" s="122"/>
      <c r="EA727" s="122"/>
      <c r="EB727" s="122"/>
      <c r="EC727" s="122"/>
      <c r="ED727" s="122"/>
      <c r="EE727" s="122"/>
      <c r="EF727" s="122">
        <v>300</v>
      </c>
      <c r="EG727" s="122">
        <v>3000</v>
      </c>
      <c r="EH727" s="122">
        <v>8</v>
      </c>
      <c r="EI727" s="210">
        <v>0.95</v>
      </c>
      <c r="EJ727" s="122">
        <v>2</v>
      </c>
      <c r="EK727" s="122">
        <v>68</v>
      </c>
      <c r="EL727" s="221">
        <f t="shared" si="685"/>
        <v>804.7058823529411</v>
      </c>
      <c r="EM727" s="122"/>
      <c r="EN727" s="122"/>
      <c r="EO727" s="122"/>
      <c r="EP727" s="122"/>
      <c r="EQ727" s="122"/>
      <c r="ER727" s="122"/>
      <c r="ES727" s="122"/>
      <c r="ET727" s="122"/>
      <c r="EU727" s="202">
        <f t="shared" si="671"/>
        <v>3.7280701754385968</v>
      </c>
      <c r="EV727" s="122"/>
      <c r="EW727" s="122"/>
      <c r="EX727" s="122"/>
      <c r="EY727" s="122"/>
      <c r="EZ727" s="122"/>
      <c r="FA727" s="122"/>
      <c r="FB727" s="122"/>
      <c r="FC727" s="122"/>
      <c r="FD727" s="122"/>
      <c r="FE727" s="122"/>
      <c r="FF727" s="122"/>
      <c r="FG727" s="122"/>
      <c r="FH727" s="122"/>
      <c r="FI727" s="122"/>
      <c r="FJ727" s="122"/>
      <c r="FK727" s="122"/>
      <c r="FL727" s="122"/>
      <c r="FM727" s="122"/>
      <c r="FN727" s="122"/>
      <c r="FO727" s="122"/>
      <c r="FP727" s="122"/>
      <c r="FQ727" s="122"/>
      <c r="FR727" s="122"/>
      <c r="FS727" s="122"/>
      <c r="FT727" s="122"/>
      <c r="FU727" s="122"/>
      <c r="FV727" s="122"/>
      <c r="FW727" s="122"/>
      <c r="FX727" s="122"/>
      <c r="FY727" s="122"/>
      <c r="FZ727" s="122"/>
      <c r="GA727" s="122"/>
      <c r="GB727" s="122"/>
      <c r="GC727" s="122"/>
      <c r="GD727" s="122"/>
      <c r="GE727" s="122"/>
      <c r="GF727" s="122"/>
      <c r="GG727" s="122"/>
      <c r="GH727" s="122"/>
      <c r="GI727" s="122"/>
      <c r="GJ727" s="122"/>
      <c r="GK727" s="122"/>
      <c r="GL727" s="122"/>
      <c r="GM727" s="122"/>
      <c r="GN727" s="122"/>
      <c r="GO727" s="122"/>
      <c r="GP727" s="122"/>
      <c r="GQ727" s="122"/>
      <c r="GR727" s="210">
        <v>0.11</v>
      </c>
      <c r="GS727" s="202">
        <f t="shared" si="672"/>
        <v>2.9258856192982456</v>
      </c>
      <c r="GT727" s="208">
        <v>1.2500000000000001E-2</v>
      </c>
      <c r="GU727" s="203">
        <f t="shared" si="673"/>
        <v>0.33248700219298244</v>
      </c>
      <c r="GV727" s="207">
        <v>0.02</v>
      </c>
      <c r="GW727" s="203">
        <f t="shared" si="674"/>
        <v>7.456140350877194E-2</v>
      </c>
      <c r="GX727" s="203">
        <f t="shared" si="675"/>
        <v>3.3329340249999997</v>
      </c>
      <c r="GY727" s="122" t="s">
        <v>43</v>
      </c>
      <c r="GZ727" s="122" t="s">
        <v>87</v>
      </c>
      <c r="HA727" s="122">
        <v>805</v>
      </c>
      <c r="HB727" s="122">
        <v>675</v>
      </c>
      <c r="HC727" s="122">
        <v>405</v>
      </c>
      <c r="HD727" s="122">
        <v>25</v>
      </c>
      <c r="HE727" s="122">
        <v>600</v>
      </c>
      <c r="HF727" s="122">
        <f t="shared" si="676"/>
        <v>24</v>
      </c>
      <c r="HG727" s="122">
        <v>5</v>
      </c>
      <c r="HH727" s="122">
        <f t="shared" si="677"/>
        <v>120</v>
      </c>
      <c r="HI727" s="122">
        <v>1100</v>
      </c>
      <c r="HJ727" s="122">
        <f t="shared" si="678"/>
        <v>132000</v>
      </c>
      <c r="HK727" s="122"/>
      <c r="HL727" s="122"/>
      <c r="HM727" s="122">
        <v>2</v>
      </c>
      <c r="HN727" s="122">
        <f t="shared" si="679"/>
        <v>360000</v>
      </c>
      <c r="HO727" s="202">
        <f t="shared" si="680"/>
        <v>0.36666666666666664</v>
      </c>
      <c r="HP727" s="122">
        <v>160</v>
      </c>
      <c r="HQ727" s="122">
        <v>0</v>
      </c>
      <c r="HR727" s="122">
        <v>3.71</v>
      </c>
      <c r="HS727" s="122">
        <v>1</v>
      </c>
      <c r="HT727" s="203">
        <f>HR727/HS727</f>
        <v>3.71</v>
      </c>
      <c r="HU727" s="203"/>
      <c r="HV727" s="202">
        <f t="shared" si="684"/>
        <v>4.0766666666666662</v>
      </c>
      <c r="HW727" s="202"/>
      <c r="HX727" s="122">
        <v>5016</v>
      </c>
      <c r="HY727" s="122">
        <v>1976</v>
      </c>
      <c r="HZ727" s="122">
        <v>2280</v>
      </c>
      <c r="IA727" s="122">
        <f t="shared" si="681"/>
        <v>6</v>
      </c>
      <c r="IB727" s="122">
        <f t="shared" si="682"/>
        <v>2</v>
      </c>
      <c r="IC727" s="122">
        <f t="shared" si="683"/>
        <v>5</v>
      </c>
      <c r="ID727" s="210">
        <v>1</v>
      </c>
      <c r="IE727" s="203">
        <f>ROUND(PRODUCT(IA727:ID727),0)-10</f>
        <v>50</v>
      </c>
      <c r="IF727" s="122">
        <v>500</v>
      </c>
      <c r="IG727" s="122">
        <f t="shared" si="686"/>
        <v>0.4</v>
      </c>
      <c r="IH727" s="21"/>
    </row>
    <row r="728" spans="1:339">
      <c r="A728">
        <v>713</v>
      </c>
      <c r="B728" s="328" t="s">
        <v>1947</v>
      </c>
      <c r="D728" s="28" t="s">
        <v>1543</v>
      </c>
      <c r="E728" s="28" t="s">
        <v>1544</v>
      </c>
      <c r="F728" s="28" t="s">
        <v>1947</v>
      </c>
      <c r="G728" s="27" t="s">
        <v>102</v>
      </c>
      <c r="I728" s="27" t="s">
        <v>121</v>
      </c>
      <c r="J728" s="28">
        <v>21677</v>
      </c>
      <c r="K728" s="27" t="s">
        <v>228</v>
      </c>
    </row>
    <row r="729" spans="1:339">
      <c r="A729">
        <v>714</v>
      </c>
      <c r="B729" s="328" t="s">
        <v>1947</v>
      </c>
      <c r="C729" s="121"/>
      <c r="D729" s="28" t="s">
        <v>787</v>
      </c>
      <c r="E729" s="28" t="s">
        <v>788</v>
      </c>
      <c r="F729" s="28" t="s">
        <v>1947</v>
      </c>
      <c r="G729" s="27" t="s">
        <v>102</v>
      </c>
      <c r="I729" s="27" t="s">
        <v>226</v>
      </c>
      <c r="J729" s="28">
        <v>21480</v>
      </c>
      <c r="K729" s="27" t="s">
        <v>97</v>
      </c>
    </row>
    <row r="730" spans="1:339">
      <c r="A730">
        <v>715</v>
      </c>
      <c r="B730" t="s">
        <v>468</v>
      </c>
      <c r="C730" s="335" t="s">
        <v>2844</v>
      </c>
      <c r="D730" s="28" t="s">
        <v>787</v>
      </c>
      <c r="E730" s="28" t="s">
        <v>788</v>
      </c>
      <c r="F730" s="28" t="s">
        <v>2182</v>
      </c>
      <c r="G730" s="27" t="s">
        <v>102</v>
      </c>
      <c r="I730" s="27" t="s">
        <v>226</v>
      </c>
      <c r="J730" s="28">
        <v>21691</v>
      </c>
      <c r="K730" s="27" t="s">
        <v>404</v>
      </c>
      <c r="L730" s="121"/>
      <c r="M730" s="121"/>
      <c r="N730" s="115"/>
      <c r="O730" s="115"/>
      <c r="P730" s="115"/>
      <c r="Q730" s="115" t="s">
        <v>2773</v>
      </c>
      <c r="R730" s="121" t="s">
        <v>1836</v>
      </c>
      <c r="S730" s="121" t="s">
        <v>2867</v>
      </c>
      <c r="T730" s="121"/>
      <c r="U730" s="121"/>
      <c r="V730" s="121" t="s">
        <v>2748</v>
      </c>
      <c r="W730" s="218" t="s">
        <v>2868</v>
      </c>
      <c r="X730" s="121"/>
      <c r="Y730" s="121"/>
      <c r="Z730" s="121"/>
      <c r="AA730" s="115" t="s">
        <v>2821</v>
      </c>
      <c r="AB730" s="121">
        <v>188.79</v>
      </c>
      <c r="AC730" s="121">
        <v>20</v>
      </c>
      <c r="AD730" s="122" t="s">
        <v>310</v>
      </c>
      <c r="AE730" s="219">
        <f>BA730</f>
        <v>22.132825</v>
      </c>
      <c r="AF730" s="219"/>
      <c r="AG730" s="219">
        <f>EU730+EM730</f>
        <v>4.5138888888888893</v>
      </c>
      <c r="AH730" s="219">
        <f>DP730</f>
        <v>0.2</v>
      </c>
      <c r="AI730" s="219">
        <f>DO730</f>
        <v>2.5000000000000005E-3</v>
      </c>
      <c r="AJ730" s="219">
        <f>GW730</f>
        <v>9.027777777777779E-2</v>
      </c>
      <c r="AK730" s="219">
        <f>GU730</f>
        <v>0.33308392361111117</v>
      </c>
      <c r="AL730" s="219">
        <f>GS730</f>
        <v>2.9311385277777777</v>
      </c>
      <c r="AM730" s="219">
        <f>HV730</f>
        <v>1.2472222222222222</v>
      </c>
      <c r="AN730" s="219">
        <f>IG730</f>
        <v>0.33333333333333331</v>
      </c>
      <c r="AO730" s="220">
        <v>0</v>
      </c>
      <c r="AP730" s="220"/>
      <c r="AQ730" s="204">
        <f>SUM(AE730:AP730)</f>
        <v>31.784269673611114</v>
      </c>
      <c r="AR730" s="219"/>
      <c r="AS730" s="219"/>
      <c r="AT730" s="220"/>
      <c r="AU730" s="219">
        <f>31.89-31.78</f>
        <v>0.10999999999999943</v>
      </c>
      <c r="AV730" s="204">
        <f>SUM(AQ730:AU730)</f>
        <v>31.894269673611113</v>
      </c>
      <c r="AW730" s="230">
        <v>0.11750000000000001</v>
      </c>
      <c r="AX730" s="122">
        <v>0.115</v>
      </c>
      <c r="AY730" s="210">
        <v>1</v>
      </c>
      <c r="AZ730" s="122">
        <f>AW730-AX730</f>
        <v>2.5000000000000022E-3</v>
      </c>
      <c r="BA730" s="202">
        <f>AW730*AB730-AZ730*AC730</f>
        <v>22.132825</v>
      </c>
      <c r="BB730" s="202"/>
      <c r="BC730" s="202"/>
      <c r="BD730" s="202"/>
      <c r="BE730" s="202"/>
      <c r="BF730" s="202"/>
      <c r="BG730" s="202"/>
      <c r="BH730" s="202"/>
      <c r="BI730" s="202"/>
      <c r="BJ730" s="202"/>
      <c r="BK730" s="202"/>
      <c r="BL730" s="202"/>
      <c r="BM730" s="202"/>
      <c r="BN730" s="202"/>
      <c r="BO730" s="202"/>
      <c r="BP730" s="202"/>
      <c r="BQ730" s="202"/>
      <c r="BR730" s="202"/>
      <c r="BS730" s="202"/>
      <c r="BT730" s="202"/>
      <c r="BU730" s="202"/>
      <c r="BV730" s="202"/>
      <c r="BW730" s="202"/>
      <c r="BX730" s="202"/>
      <c r="BY730" s="202"/>
      <c r="BZ730" s="202"/>
      <c r="CA730" s="202"/>
      <c r="CB730" s="202"/>
      <c r="CC730" s="202"/>
      <c r="CD730" s="122"/>
      <c r="CE730" s="122">
        <v>0</v>
      </c>
      <c r="CF730" s="122">
        <v>1</v>
      </c>
      <c r="CG730" s="122">
        <v>0.2</v>
      </c>
      <c r="CH730" s="103">
        <f>CG730*CF730</f>
        <v>0.2</v>
      </c>
      <c r="CI730" s="121"/>
      <c r="CJ730" s="121"/>
      <c r="CK730" s="122"/>
      <c r="CL730" s="122"/>
      <c r="CM730" s="122"/>
      <c r="CN730" s="122"/>
      <c r="CO730" s="122"/>
      <c r="CP730" s="122"/>
      <c r="CQ730" s="122"/>
      <c r="CR730" s="122"/>
      <c r="CS730" s="122"/>
      <c r="CT730" s="122"/>
      <c r="CU730" s="122"/>
      <c r="CV730" s="122"/>
      <c r="CW730" s="122"/>
      <c r="CX730" s="122"/>
      <c r="CY730" s="122"/>
      <c r="CZ730" s="122"/>
      <c r="DA730" s="122"/>
      <c r="DB730" s="122"/>
      <c r="DC730" s="122"/>
      <c r="DD730" s="122"/>
      <c r="DE730" s="122"/>
      <c r="DF730" s="122"/>
      <c r="DG730" s="122"/>
      <c r="DH730" s="122"/>
      <c r="DI730" s="122"/>
      <c r="DJ730" s="122"/>
      <c r="DK730" s="122"/>
      <c r="DL730" s="122"/>
      <c r="DM730" s="103">
        <f>CM730+CR730+CW730+DB730+DG730+DL730+CH730</f>
        <v>0.2</v>
      </c>
      <c r="DN730" s="211">
        <v>1.2500000000000001E-2</v>
      </c>
      <c r="DO730" s="122">
        <f>DN730*CG730*CF730</f>
        <v>2.5000000000000005E-3</v>
      </c>
      <c r="DP730" s="122">
        <f>CG730*CF730</f>
        <v>0.2</v>
      </c>
      <c r="DQ730" s="122"/>
      <c r="DR730" s="122"/>
      <c r="DS730" s="122"/>
      <c r="DT730" s="122"/>
      <c r="DU730" s="122"/>
      <c r="DV730" s="122"/>
      <c r="DW730" s="122"/>
      <c r="DX730" s="122"/>
      <c r="DY730" s="122"/>
      <c r="DZ730" s="122"/>
      <c r="EA730" s="122"/>
      <c r="EB730" s="122"/>
      <c r="EC730" s="122"/>
      <c r="ED730" s="122"/>
      <c r="EE730" s="122"/>
      <c r="EF730" s="122">
        <v>380</v>
      </c>
      <c r="EG730" s="122">
        <v>3800</v>
      </c>
      <c r="EH730" s="122">
        <v>8</v>
      </c>
      <c r="EI730" s="210">
        <v>0.95</v>
      </c>
      <c r="EJ730" s="122">
        <v>2</v>
      </c>
      <c r="EK730" s="122">
        <v>65</v>
      </c>
      <c r="EL730" s="221">
        <f>(3600/EK730*EH730*EJ730*EI730)</f>
        <v>841.84615384615381</v>
      </c>
      <c r="EM730" s="122"/>
      <c r="EN730" s="122"/>
      <c r="EO730" s="122"/>
      <c r="EP730" s="122"/>
      <c r="EQ730" s="122"/>
      <c r="ER730" s="122"/>
      <c r="ES730" s="122"/>
      <c r="ET730" s="122"/>
      <c r="EU730" s="202">
        <f>EG730/EL730</f>
        <v>4.5138888888888893</v>
      </c>
      <c r="EV730" s="122"/>
      <c r="EW730" s="122"/>
      <c r="EX730" s="122"/>
      <c r="EY730" s="122"/>
      <c r="EZ730" s="122"/>
      <c r="FA730" s="122"/>
      <c r="FB730" s="122"/>
      <c r="FC730" s="122"/>
      <c r="FD730" s="122"/>
      <c r="FE730" s="122"/>
      <c r="FF730" s="122"/>
      <c r="FG730" s="122"/>
      <c r="FH730" s="122"/>
      <c r="FI730" s="122"/>
      <c r="FJ730" s="122"/>
      <c r="FK730" s="122"/>
      <c r="FL730" s="122"/>
      <c r="FM730" s="122"/>
      <c r="FN730" s="122"/>
      <c r="FO730" s="122"/>
      <c r="FP730" s="122"/>
      <c r="FQ730" s="122"/>
      <c r="FR730" s="122"/>
      <c r="FS730" s="122"/>
      <c r="FT730" s="122"/>
      <c r="FU730" s="122"/>
      <c r="FV730" s="122"/>
      <c r="FW730" s="122"/>
      <c r="FX730" s="122"/>
      <c r="FY730" s="122"/>
      <c r="FZ730" s="122"/>
      <c r="GA730" s="122"/>
      <c r="GB730" s="122"/>
      <c r="GC730" s="122"/>
      <c r="GD730" s="122"/>
      <c r="GE730" s="122"/>
      <c r="GF730" s="122"/>
      <c r="GG730" s="122"/>
      <c r="GH730" s="122"/>
      <c r="GI730" s="122"/>
      <c r="GJ730" s="122"/>
      <c r="GK730" s="122"/>
      <c r="GL730" s="122"/>
      <c r="GM730" s="122"/>
      <c r="GN730" s="122"/>
      <c r="GO730" s="122"/>
      <c r="GP730" s="122"/>
      <c r="GQ730" s="122"/>
      <c r="GR730" s="210">
        <v>0.11</v>
      </c>
      <c r="GS730" s="202">
        <f>GR730*(BA730+EU730)</f>
        <v>2.9311385277777777</v>
      </c>
      <c r="GT730" s="208">
        <v>1.2500000000000001E-2</v>
      </c>
      <c r="GU730" s="203">
        <f>GT730*(BA730+EU730)</f>
        <v>0.33308392361111117</v>
      </c>
      <c r="GV730" s="207">
        <v>0.02</v>
      </c>
      <c r="GW730" s="203">
        <f>GV730*EU730</f>
        <v>9.027777777777779E-2</v>
      </c>
      <c r="GX730" s="203">
        <f>GS730+GU730+GW730</f>
        <v>3.3545002291666668</v>
      </c>
      <c r="GY730" s="122" t="s">
        <v>43</v>
      </c>
      <c r="GZ730" s="122" t="s">
        <v>87</v>
      </c>
      <c r="HA730" s="122">
        <v>650</v>
      </c>
      <c r="HB730" s="122">
        <v>450</v>
      </c>
      <c r="HC730" s="122">
        <v>315</v>
      </c>
      <c r="HD730" s="122">
        <v>30</v>
      </c>
      <c r="HE730" s="122">
        <v>600</v>
      </c>
      <c r="HF730" s="122">
        <f>ROUNDUP(HE730/HD730,0)</f>
        <v>20</v>
      </c>
      <c r="HG730" s="122">
        <v>5</v>
      </c>
      <c r="HH730" s="122">
        <f>HF730*HG730</f>
        <v>100</v>
      </c>
      <c r="HI730" s="122">
        <v>650</v>
      </c>
      <c r="HJ730" s="122">
        <f>HH730*HI730</f>
        <v>65000</v>
      </c>
      <c r="HK730" s="122"/>
      <c r="HL730" s="122"/>
      <c r="HM730" s="122">
        <v>2</v>
      </c>
      <c r="HN730" s="122">
        <f>HM730*12*25*HE730</f>
        <v>360000</v>
      </c>
      <c r="HO730" s="202">
        <f>IF(GY730="carton box",HI730/HD730,HJ730/HN730)</f>
        <v>0.18055555555555555</v>
      </c>
      <c r="HP730" s="122">
        <v>160</v>
      </c>
      <c r="HQ730" s="122">
        <v>0</v>
      </c>
      <c r="HR730" s="122">
        <v>160</v>
      </c>
      <c r="HS730" s="122">
        <v>150</v>
      </c>
      <c r="HT730" s="203">
        <f>HR730/HS730</f>
        <v>1.0666666666666667</v>
      </c>
      <c r="HU730" s="203"/>
      <c r="HV730" s="202">
        <f>HO730+HT730</f>
        <v>1.2472222222222222</v>
      </c>
      <c r="HW730" s="202"/>
      <c r="HX730" s="122">
        <v>5016</v>
      </c>
      <c r="HY730" s="122">
        <v>1976</v>
      </c>
      <c r="HZ730" s="122">
        <v>2280</v>
      </c>
      <c r="IA730" s="122">
        <f t="shared" ref="IA730:IC732" si="688">ROUNDDOWN(HX730/HA730,0)</f>
        <v>7</v>
      </c>
      <c r="IB730" s="122">
        <f t="shared" si="688"/>
        <v>4</v>
      </c>
      <c r="IC730" s="122">
        <f t="shared" si="688"/>
        <v>7</v>
      </c>
      <c r="ID730" s="210">
        <v>1</v>
      </c>
      <c r="IE730" s="202">
        <f>ROUND(PRODUCT(IA730:ID730),0)-146</f>
        <v>50</v>
      </c>
      <c r="IF730" s="122">
        <v>500</v>
      </c>
      <c r="IG730" s="202">
        <f>(IF730/(IE730*HD730))</f>
        <v>0.33333333333333331</v>
      </c>
      <c r="IH730" s="20"/>
    </row>
    <row r="731" spans="1:339">
      <c r="A731">
        <v>716</v>
      </c>
      <c r="B731" t="s">
        <v>468</v>
      </c>
      <c r="C731" s="121" t="s">
        <v>2845</v>
      </c>
      <c r="D731" s="28" t="s">
        <v>789</v>
      </c>
      <c r="E731" s="28" t="s">
        <v>688</v>
      </c>
      <c r="F731" s="28" t="s">
        <v>2182</v>
      </c>
      <c r="G731" s="27" t="s">
        <v>102</v>
      </c>
      <c r="I731" s="27" t="s">
        <v>226</v>
      </c>
      <c r="J731" s="28">
        <v>21691</v>
      </c>
      <c r="K731" s="27" t="s">
        <v>404</v>
      </c>
      <c r="L731" s="121"/>
      <c r="M731" s="121"/>
      <c r="N731" s="115"/>
      <c r="O731" s="115"/>
      <c r="P731" s="115"/>
      <c r="Q731" s="115" t="s">
        <v>2805</v>
      </c>
      <c r="R731" s="121" t="s">
        <v>2760</v>
      </c>
      <c r="S731" s="121" t="s">
        <v>2836</v>
      </c>
      <c r="T731" s="121"/>
      <c r="U731" s="121"/>
      <c r="V731" s="121" t="s">
        <v>2748</v>
      </c>
      <c r="W731" s="218"/>
      <c r="X731" s="121"/>
      <c r="Y731" s="121"/>
      <c r="Z731" s="121"/>
      <c r="AA731" s="115" t="s">
        <v>2846</v>
      </c>
      <c r="AB731" s="121">
        <v>111.78</v>
      </c>
      <c r="AC731" s="121">
        <v>20</v>
      </c>
      <c r="AD731" s="122" t="s">
        <v>310</v>
      </c>
      <c r="AE731" s="219">
        <f>BA731</f>
        <v>32.863320000000002</v>
      </c>
      <c r="AF731" s="219"/>
      <c r="AG731" s="219">
        <f>EU731+EM731</f>
        <v>9.1045321637426913</v>
      </c>
      <c r="AH731" s="219">
        <f>DP731</f>
        <v>0.2</v>
      </c>
      <c r="AI731" s="219">
        <f>DO731</f>
        <v>2.5000000000000005E-3</v>
      </c>
      <c r="AJ731" s="219">
        <f>GW731</f>
        <v>0.18209064327485383</v>
      </c>
      <c r="AK731" s="219">
        <f>GU731</f>
        <v>0.52459815204678362</v>
      </c>
      <c r="AL731" s="219">
        <f>GS731</f>
        <v>4.6164637380116957</v>
      </c>
      <c r="AM731" s="219">
        <f>HV731</f>
        <v>0.40740740740740738</v>
      </c>
      <c r="AN731" s="219">
        <f>IG731</f>
        <v>0.66666666666666663</v>
      </c>
      <c r="AO731" s="220">
        <v>0</v>
      </c>
      <c r="AP731" s="220"/>
      <c r="AQ731" s="204">
        <f>SUM(AE731:AP731)</f>
        <v>48.567578771150096</v>
      </c>
      <c r="AR731" s="219"/>
      <c r="AS731" s="219"/>
      <c r="AT731" s="220"/>
      <c r="AU731" s="219"/>
      <c r="AV731" s="204">
        <f>SUM(AQ731:AU731)</f>
        <v>48.567578771150096</v>
      </c>
      <c r="AW731" s="122">
        <v>0.29399999999999998</v>
      </c>
      <c r="AX731" s="122">
        <v>0.29399999999999998</v>
      </c>
      <c r="AY731" s="210">
        <v>1</v>
      </c>
      <c r="AZ731" s="122">
        <f>AW731-AX731</f>
        <v>0</v>
      </c>
      <c r="BA731" s="202">
        <f>AW731*AB731-AZ731*AC731</f>
        <v>32.863320000000002</v>
      </c>
      <c r="BB731" s="202"/>
      <c r="BC731" s="202"/>
      <c r="BD731" s="202"/>
      <c r="BE731" s="202"/>
      <c r="BF731" s="202"/>
      <c r="BG731" s="202"/>
      <c r="BH731" s="202"/>
      <c r="BI731" s="202"/>
      <c r="BJ731" s="202"/>
      <c r="BK731" s="202"/>
      <c r="BL731" s="202"/>
      <c r="BM731" s="202"/>
      <c r="BN731" s="202"/>
      <c r="BO731" s="202"/>
      <c r="BP731" s="202"/>
      <c r="BQ731" s="202"/>
      <c r="BR731" s="202"/>
      <c r="BS731" s="202"/>
      <c r="BT731" s="202"/>
      <c r="BU731" s="202"/>
      <c r="BV731" s="202"/>
      <c r="BW731" s="202"/>
      <c r="BX731" s="202"/>
      <c r="BY731" s="202"/>
      <c r="BZ731" s="202"/>
      <c r="CA731" s="202"/>
      <c r="CB731" s="202"/>
      <c r="CC731" s="202"/>
      <c r="CD731" s="122"/>
      <c r="CE731" s="122">
        <v>0</v>
      </c>
      <c r="CF731" s="122">
        <v>1</v>
      </c>
      <c r="CG731" s="122">
        <v>0.2</v>
      </c>
      <c r="CH731" s="103">
        <f>CG731*CF731</f>
        <v>0.2</v>
      </c>
      <c r="CI731" s="121"/>
      <c r="CJ731" s="121"/>
      <c r="CK731" s="122"/>
      <c r="CL731" s="122"/>
      <c r="CM731" s="122"/>
      <c r="CN731" s="122"/>
      <c r="CO731" s="122"/>
      <c r="CP731" s="122"/>
      <c r="CQ731" s="122"/>
      <c r="CR731" s="122"/>
      <c r="CS731" s="122"/>
      <c r="CT731" s="122"/>
      <c r="CU731" s="122"/>
      <c r="CV731" s="122"/>
      <c r="CW731" s="122"/>
      <c r="CX731" s="122"/>
      <c r="CY731" s="122"/>
      <c r="CZ731" s="122"/>
      <c r="DA731" s="122"/>
      <c r="DB731" s="122"/>
      <c r="DC731" s="122"/>
      <c r="DD731" s="122"/>
      <c r="DE731" s="122"/>
      <c r="DF731" s="122"/>
      <c r="DG731" s="122"/>
      <c r="DH731" s="122"/>
      <c r="DI731" s="122"/>
      <c r="DJ731" s="122"/>
      <c r="DK731" s="122"/>
      <c r="DL731" s="122"/>
      <c r="DM731" s="103">
        <f>CM731+CR731+CW731+DB731+DG731+DL731+CH731</f>
        <v>0.2</v>
      </c>
      <c r="DN731" s="211">
        <v>1.2500000000000001E-2</v>
      </c>
      <c r="DO731" s="122">
        <f>DN731*CG731*CF731</f>
        <v>2.5000000000000005E-3</v>
      </c>
      <c r="DP731" s="122">
        <f>CG731*CF731</f>
        <v>0.2</v>
      </c>
      <c r="DQ731" s="122"/>
      <c r="DR731" s="122"/>
      <c r="DS731" s="122"/>
      <c r="DT731" s="122"/>
      <c r="DU731" s="122"/>
      <c r="DV731" s="122"/>
      <c r="DW731" s="122"/>
      <c r="DX731" s="122"/>
      <c r="DY731" s="122"/>
      <c r="DZ731" s="122"/>
      <c r="EA731" s="122"/>
      <c r="EB731" s="122"/>
      <c r="EC731" s="122"/>
      <c r="ED731" s="122"/>
      <c r="EE731" s="122"/>
      <c r="EF731" s="122">
        <v>470</v>
      </c>
      <c r="EG731" s="122">
        <v>4700</v>
      </c>
      <c r="EH731" s="122">
        <v>8</v>
      </c>
      <c r="EI731" s="210">
        <v>0.95</v>
      </c>
      <c r="EJ731" s="122">
        <v>1</v>
      </c>
      <c r="EK731" s="122">
        <v>53</v>
      </c>
      <c r="EL731" s="221">
        <f>(3600/EK731*EH731*EJ731*EI731)</f>
        <v>516.22641509433959</v>
      </c>
      <c r="EM731" s="122"/>
      <c r="EN731" s="122"/>
      <c r="EO731" s="122"/>
      <c r="EP731" s="122"/>
      <c r="EQ731" s="122"/>
      <c r="ER731" s="122"/>
      <c r="ES731" s="122"/>
      <c r="ET731" s="122"/>
      <c r="EU731" s="202">
        <f>EG731/EL731</f>
        <v>9.1045321637426913</v>
      </c>
      <c r="EV731" s="122"/>
      <c r="EW731" s="122"/>
      <c r="EX731" s="122"/>
      <c r="EY731" s="122"/>
      <c r="EZ731" s="122"/>
      <c r="FA731" s="122"/>
      <c r="FB731" s="122"/>
      <c r="FC731" s="122"/>
      <c r="FD731" s="122"/>
      <c r="FE731" s="122"/>
      <c r="FF731" s="122"/>
      <c r="FG731" s="122"/>
      <c r="FH731" s="122"/>
      <c r="FI731" s="122"/>
      <c r="FJ731" s="122"/>
      <c r="FK731" s="122"/>
      <c r="FL731" s="122"/>
      <c r="FM731" s="122"/>
      <c r="FN731" s="122"/>
      <c r="FO731" s="122"/>
      <c r="FP731" s="122"/>
      <c r="FQ731" s="122"/>
      <c r="FR731" s="122"/>
      <c r="FS731" s="122"/>
      <c r="FT731" s="122"/>
      <c r="FU731" s="122"/>
      <c r="FV731" s="122"/>
      <c r="FW731" s="122"/>
      <c r="FX731" s="122"/>
      <c r="FY731" s="122"/>
      <c r="FZ731" s="122"/>
      <c r="GA731" s="122"/>
      <c r="GB731" s="122"/>
      <c r="GC731" s="122"/>
      <c r="GD731" s="122"/>
      <c r="GE731" s="122"/>
      <c r="GF731" s="122"/>
      <c r="GG731" s="122"/>
      <c r="GH731" s="122"/>
      <c r="GI731" s="122"/>
      <c r="GJ731" s="122"/>
      <c r="GK731" s="122"/>
      <c r="GL731" s="122"/>
      <c r="GM731" s="122"/>
      <c r="GN731" s="122"/>
      <c r="GO731" s="122"/>
      <c r="GP731" s="122"/>
      <c r="GQ731" s="122"/>
      <c r="GR731" s="210">
        <v>0.11</v>
      </c>
      <c r="GS731" s="202">
        <f>GR731*(BA731+EU731)</f>
        <v>4.6164637380116957</v>
      </c>
      <c r="GT731" s="208">
        <v>1.2500000000000001E-2</v>
      </c>
      <c r="GU731" s="203">
        <f>GT731*(BA731+EU731)</f>
        <v>0.52459815204678362</v>
      </c>
      <c r="GV731" s="207">
        <v>0.02</v>
      </c>
      <c r="GW731" s="203">
        <f>GV731*EU731</f>
        <v>0.18209064327485383</v>
      </c>
      <c r="GX731" s="203">
        <f>GS731+GU731+GW731</f>
        <v>5.3231525333333325</v>
      </c>
      <c r="GY731" s="122" t="s">
        <v>43</v>
      </c>
      <c r="GZ731" s="122" t="s">
        <v>87</v>
      </c>
      <c r="HA731" s="122">
        <v>805</v>
      </c>
      <c r="HB731" s="122">
        <v>675</v>
      </c>
      <c r="HC731" s="122">
        <v>405</v>
      </c>
      <c r="HD731" s="122">
        <v>15</v>
      </c>
      <c r="HE731" s="122">
        <v>600</v>
      </c>
      <c r="HF731" s="122">
        <f>ROUNDUP(HE731/HD731,0)</f>
        <v>40</v>
      </c>
      <c r="HG731" s="122">
        <v>5</v>
      </c>
      <c r="HH731" s="122">
        <f>HF731*HG731</f>
        <v>200</v>
      </c>
      <c r="HI731" s="122">
        <v>1100</v>
      </c>
      <c r="HJ731" s="122">
        <f>HH731*HI731</f>
        <v>220000</v>
      </c>
      <c r="HK731" s="122"/>
      <c r="HL731" s="122"/>
      <c r="HM731" s="122">
        <v>3</v>
      </c>
      <c r="HN731" s="122">
        <f>HM731*12*25*HE731</f>
        <v>540000</v>
      </c>
      <c r="HO731" s="202">
        <f>IF(GY731="carton box",HI731/HD731,HJ731/HN731)</f>
        <v>0.40740740740740738</v>
      </c>
      <c r="HP731" s="122">
        <v>160</v>
      </c>
      <c r="HQ731" s="122">
        <v>0</v>
      </c>
      <c r="HR731" s="122">
        <v>0</v>
      </c>
      <c r="HS731" s="122">
        <v>0</v>
      </c>
      <c r="HT731" s="122">
        <v>0</v>
      </c>
      <c r="HU731" s="122"/>
      <c r="HV731" s="202">
        <f>HO731+HT731</f>
        <v>0.40740740740740738</v>
      </c>
      <c r="HW731" s="202"/>
      <c r="HX731" s="122">
        <v>5016</v>
      </c>
      <c r="HY731" s="122">
        <v>1876</v>
      </c>
      <c r="HZ731" s="122">
        <v>2280</v>
      </c>
      <c r="IA731" s="122">
        <f t="shared" si="688"/>
        <v>6</v>
      </c>
      <c r="IB731" s="122">
        <f t="shared" si="688"/>
        <v>2</v>
      </c>
      <c r="IC731" s="122">
        <f t="shared" si="688"/>
        <v>5</v>
      </c>
      <c r="ID731" s="207">
        <v>1</v>
      </c>
      <c r="IE731" s="203">
        <f>ROUND(PRODUCT(IA731:ID731),0)-10</f>
        <v>50</v>
      </c>
      <c r="IF731" s="122">
        <v>500</v>
      </c>
      <c r="IG731" s="202">
        <f>(IF731/(IE731*HD731))</f>
        <v>0.66666666666666663</v>
      </c>
      <c r="IH731" s="20"/>
    </row>
    <row r="732" spans="1:339">
      <c r="A732">
        <v>717</v>
      </c>
      <c r="B732" t="s">
        <v>468</v>
      </c>
      <c r="C732" s="121" t="s">
        <v>2847</v>
      </c>
      <c r="D732" s="28" t="s">
        <v>790</v>
      </c>
      <c r="E732" s="28" t="s">
        <v>170</v>
      </c>
      <c r="F732" s="28" t="s">
        <v>2182</v>
      </c>
      <c r="G732" s="27" t="s">
        <v>102</v>
      </c>
      <c r="I732" s="27" t="s">
        <v>226</v>
      </c>
      <c r="J732" s="28">
        <v>21691</v>
      </c>
      <c r="K732" s="27" t="s">
        <v>404</v>
      </c>
      <c r="L732" s="121"/>
      <c r="M732" s="121"/>
      <c r="N732" s="115"/>
      <c r="O732" s="115"/>
      <c r="P732" s="115"/>
      <c r="Q732" s="115" t="s">
        <v>2805</v>
      </c>
      <c r="R732" s="121" t="s">
        <v>2760</v>
      </c>
      <c r="S732" s="121" t="s">
        <v>2836</v>
      </c>
      <c r="T732" s="121"/>
      <c r="U732" s="121"/>
      <c r="V732" s="121" t="s">
        <v>2748</v>
      </c>
      <c r="W732" s="218"/>
      <c r="X732" s="121"/>
      <c r="Y732" s="121"/>
      <c r="Z732" s="121"/>
      <c r="AA732" s="115" t="s">
        <v>2848</v>
      </c>
      <c r="AB732" s="121">
        <v>111.78</v>
      </c>
      <c r="AC732" s="121">
        <v>20</v>
      </c>
      <c r="AD732" s="122" t="s">
        <v>310</v>
      </c>
      <c r="AE732" s="219">
        <f>BA732</f>
        <v>6.3714599999999999</v>
      </c>
      <c r="AF732" s="219"/>
      <c r="AG732" s="219">
        <f>EU732+EM732</f>
        <v>2.7412280701754388</v>
      </c>
      <c r="AH732" s="219">
        <f>DP732</f>
        <v>0.2</v>
      </c>
      <c r="AI732" s="219">
        <f>DO732</f>
        <v>2.5000000000000005E-3</v>
      </c>
      <c r="AJ732" s="219">
        <f>GW732</f>
        <v>5.4824561403508776E-2</v>
      </c>
      <c r="AK732" s="219">
        <f>GU732</f>
        <v>0.113908600877193</v>
      </c>
      <c r="AL732" s="219">
        <f>GS732</f>
        <v>1.0023956877192983</v>
      </c>
      <c r="AM732" s="219">
        <f>HV732</f>
        <v>9.0277777777777776E-2</v>
      </c>
      <c r="AN732" s="219">
        <f>IG732</f>
        <v>0.25</v>
      </c>
      <c r="AO732" s="220">
        <v>0</v>
      </c>
      <c r="AP732" s="220"/>
      <c r="AQ732" s="204">
        <f>SUM(AE732:AP732)</f>
        <v>10.826594697953217</v>
      </c>
      <c r="AR732" s="219"/>
      <c r="AS732" s="219"/>
      <c r="AT732" s="220"/>
      <c r="AU732" s="219"/>
      <c r="AV732" s="204">
        <f>SUM(AQ732:AU732)</f>
        <v>10.826594697953217</v>
      </c>
      <c r="AW732" s="122">
        <v>5.7000000000000002E-2</v>
      </c>
      <c r="AX732" s="122">
        <v>5.7000000000000002E-2</v>
      </c>
      <c r="AY732" s="210">
        <v>1</v>
      </c>
      <c r="AZ732" s="122">
        <f>AW732-AX732</f>
        <v>0</v>
      </c>
      <c r="BA732" s="202">
        <f>AW732*AB732-AZ732*AC732</f>
        <v>6.3714599999999999</v>
      </c>
      <c r="BB732" s="202"/>
      <c r="BC732" s="202"/>
      <c r="BD732" s="202"/>
      <c r="BE732" s="202"/>
      <c r="BF732" s="202"/>
      <c r="BG732" s="202"/>
      <c r="BH732" s="202"/>
      <c r="BI732" s="202"/>
      <c r="BJ732" s="202"/>
      <c r="BK732" s="202"/>
      <c r="BL732" s="202"/>
      <c r="BM732" s="202"/>
      <c r="BN732" s="202"/>
      <c r="BO732" s="202"/>
      <c r="BP732" s="202"/>
      <c r="BQ732" s="202"/>
      <c r="BR732" s="202"/>
      <c r="BS732" s="202"/>
      <c r="BT732" s="202"/>
      <c r="BU732" s="202"/>
      <c r="BV732" s="202"/>
      <c r="BW732" s="202"/>
      <c r="BX732" s="202"/>
      <c r="BY732" s="202"/>
      <c r="BZ732" s="202"/>
      <c r="CA732" s="202"/>
      <c r="CB732" s="202"/>
      <c r="CC732" s="202"/>
      <c r="CD732" s="122"/>
      <c r="CE732" s="122">
        <v>0</v>
      </c>
      <c r="CF732" s="122">
        <v>1</v>
      </c>
      <c r="CG732" s="122">
        <v>0.2</v>
      </c>
      <c r="CH732" s="103">
        <f>CG732*CF732</f>
        <v>0.2</v>
      </c>
      <c r="CI732" s="121"/>
      <c r="CJ732" s="121"/>
      <c r="CK732" s="122"/>
      <c r="CL732" s="122"/>
      <c r="CM732" s="122"/>
      <c r="CN732" s="122"/>
      <c r="CO732" s="122"/>
      <c r="CP732" s="122"/>
      <c r="CQ732" s="122"/>
      <c r="CR732" s="122"/>
      <c r="CS732" s="122"/>
      <c r="CT732" s="122"/>
      <c r="CU732" s="122"/>
      <c r="CV732" s="122"/>
      <c r="CW732" s="122"/>
      <c r="CX732" s="122"/>
      <c r="CY732" s="122"/>
      <c r="CZ732" s="122"/>
      <c r="DA732" s="122"/>
      <c r="DB732" s="122"/>
      <c r="DC732" s="122"/>
      <c r="DD732" s="122"/>
      <c r="DE732" s="122"/>
      <c r="DF732" s="122"/>
      <c r="DG732" s="122"/>
      <c r="DH732" s="122"/>
      <c r="DI732" s="122"/>
      <c r="DJ732" s="122"/>
      <c r="DK732" s="122"/>
      <c r="DL732" s="122"/>
      <c r="DM732" s="103">
        <f>CM732+CR732+CW732+DB732+DG732+DL732+CH732</f>
        <v>0.2</v>
      </c>
      <c r="DN732" s="211">
        <v>1.2500000000000001E-2</v>
      </c>
      <c r="DO732" s="122">
        <f>DN732*CG732*CF732</f>
        <v>2.5000000000000005E-3</v>
      </c>
      <c r="DP732" s="122">
        <f>CG732*CF732</f>
        <v>0.2</v>
      </c>
      <c r="DQ732" s="122"/>
      <c r="DR732" s="122"/>
      <c r="DS732" s="122"/>
      <c r="DT732" s="122"/>
      <c r="DU732" s="122"/>
      <c r="DV732" s="122"/>
      <c r="DW732" s="122"/>
      <c r="DX732" s="122"/>
      <c r="DY732" s="122"/>
      <c r="DZ732" s="122"/>
      <c r="EA732" s="122"/>
      <c r="EB732" s="122"/>
      <c r="EC732" s="122"/>
      <c r="ED732" s="122"/>
      <c r="EE732" s="122"/>
      <c r="EF732" s="122">
        <v>250</v>
      </c>
      <c r="EG732" s="122">
        <v>2500</v>
      </c>
      <c r="EH732" s="122">
        <v>8</v>
      </c>
      <c r="EI732" s="210">
        <v>0.95</v>
      </c>
      <c r="EJ732" s="122">
        <v>2</v>
      </c>
      <c r="EK732" s="122">
        <v>60</v>
      </c>
      <c r="EL732" s="221">
        <f>(3600/EK732*EH732*EJ732*EI732)</f>
        <v>912</v>
      </c>
      <c r="EM732" s="122"/>
      <c r="EN732" s="122"/>
      <c r="EO732" s="122"/>
      <c r="EP732" s="122"/>
      <c r="EQ732" s="122"/>
      <c r="ER732" s="122"/>
      <c r="ES732" s="122"/>
      <c r="ET732" s="122"/>
      <c r="EU732" s="202">
        <f>EG732/EL732</f>
        <v>2.7412280701754388</v>
      </c>
      <c r="EV732" s="122"/>
      <c r="EW732" s="122"/>
      <c r="EX732" s="122"/>
      <c r="EY732" s="122"/>
      <c r="EZ732" s="122"/>
      <c r="FA732" s="122"/>
      <c r="FB732" s="122"/>
      <c r="FC732" s="122"/>
      <c r="FD732" s="122"/>
      <c r="FE732" s="122"/>
      <c r="FF732" s="122"/>
      <c r="FG732" s="122"/>
      <c r="FH732" s="122"/>
      <c r="FI732" s="122"/>
      <c r="FJ732" s="122"/>
      <c r="FK732" s="122"/>
      <c r="FL732" s="122"/>
      <c r="FM732" s="122"/>
      <c r="FN732" s="122"/>
      <c r="FO732" s="122"/>
      <c r="FP732" s="122"/>
      <c r="FQ732" s="122"/>
      <c r="FR732" s="122"/>
      <c r="FS732" s="122"/>
      <c r="FT732" s="122"/>
      <c r="FU732" s="122"/>
      <c r="FV732" s="122"/>
      <c r="FW732" s="122"/>
      <c r="FX732" s="122"/>
      <c r="FY732" s="122"/>
      <c r="FZ732" s="122"/>
      <c r="GA732" s="122"/>
      <c r="GB732" s="122"/>
      <c r="GC732" s="122"/>
      <c r="GD732" s="122"/>
      <c r="GE732" s="122"/>
      <c r="GF732" s="122"/>
      <c r="GG732" s="122"/>
      <c r="GH732" s="122"/>
      <c r="GI732" s="122"/>
      <c r="GJ732" s="122"/>
      <c r="GK732" s="122"/>
      <c r="GL732" s="122"/>
      <c r="GM732" s="122"/>
      <c r="GN732" s="122"/>
      <c r="GO732" s="122"/>
      <c r="GP732" s="122"/>
      <c r="GQ732" s="122"/>
      <c r="GR732" s="210">
        <v>0.11</v>
      </c>
      <c r="GS732" s="202">
        <f>GR732*(BA732+EU732)</f>
        <v>1.0023956877192983</v>
      </c>
      <c r="GT732" s="208">
        <v>1.2500000000000001E-2</v>
      </c>
      <c r="GU732" s="203">
        <f>GT732*(BA732+EU732)</f>
        <v>0.113908600877193</v>
      </c>
      <c r="GV732" s="207">
        <v>0.02</v>
      </c>
      <c r="GW732" s="203">
        <f>GV732*EU732</f>
        <v>5.4824561403508776E-2</v>
      </c>
      <c r="GX732" s="203">
        <f>GS732+GU732+GW732</f>
        <v>1.1711288500000001</v>
      </c>
      <c r="GY732" s="122" t="s">
        <v>43</v>
      </c>
      <c r="GZ732" s="122" t="s">
        <v>87</v>
      </c>
      <c r="HA732" s="122">
        <v>650</v>
      </c>
      <c r="HB732" s="122">
        <v>450</v>
      </c>
      <c r="HC732" s="122">
        <v>315</v>
      </c>
      <c r="HD732" s="122">
        <v>40</v>
      </c>
      <c r="HE732" s="122">
        <v>600</v>
      </c>
      <c r="HF732" s="122">
        <f>ROUNDUP(HE732/HD732,0)</f>
        <v>15</v>
      </c>
      <c r="HG732" s="122">
        <v>5</v>
      </c>
      <c r="HH732" s="122">
        <f>HF732*HG732</f>
        <v>75</v>
      </c>
      <c r="HI732" s="122">
        <v>650</v>
      </c>
      <c r="HJ732" s="122">
        <f>HH732*HI732</f>
        <v>48750</v>
      </c>
      <c r="HK732" s="122"/>
      <c r="HL732" s="122"/>
      <c r="HM732" s="122">
        <v>3</v>
      </c>
      <c r="HN732" s="122">
        <f>HM732*12*25*HE732</f>
        <v>540000</v>
      </c>
      <c r="HO732" s="202">
        <f>IF(GY732="carton box",HI732/HD732,HJ732/HN732)</f>
        <v>9.0277777777777776E-2</v>
      </c>
      <c r="HP732" s="122">
        <v>160</v>
      </c>
      <c r="HQ732" s="122">
        <v>0</v>
      </c>
      <c r="HR732" s="122">
        <v>0</v>
      </c>
      <c r="HS732" s="122">
        <v>0</v>
      </c>
      <c r="HT732" s="122">
        <v>0</v>
      </c>
      <c r="HU732" s="122"/>
      <c r="HV732" s="202">
        <f>HO732+HT732</f>
        <v>9.0277777777777776E-2</v>
      </c>
      <c r="HW732" s="202"/>
      <c r="HX732" s="122">
        <v>5016</v>
      </c>
      <c r="HY732" s="122">
        <v>1976</v>
      </c>
      <c r="HZ732" s="122">
        <v>2280</v>
      </c>
      <c r="IA732" s="122">
        <f t="shared" si="688"/>
        <v>7</v>
      </c>
      <c r="IB732" s="122">
        <f t="shared" si="688"/>
        <v>4</v>
      </c>
      <c r="IC732" s="122">
        <f t="shared" si="688"/>
        <v>7</v>
      </c>
      <c r="ID732" s="210">
        <v>1</v>
      </c>
      <c r="IE732" s="202">
        <f>ROUND(PRODUCT(IA732:ID732),0)-146</f>
        <v>50</v>
      </c>
      <c r="IF732" s="122">
        <v>500</v>
      </c>
      <c r="IG732" s="122">
        <f>(IF732/(IE732*HD732))</f>
        <v>0.25</v>
      </c>
      <c r="IH732" s="21"/>
    </row>
    <row r="733" spans="1:339">
      <c r="A733">
        <v>718</v>
      </c>
      <c r="B733" s="328" t="s">
        <v>1947</v>
      </c>
      <c r="D733" s="28" t="s">
        <v>791</v>
      </c>
      <c r="E733" s="28" t="s">
        <v>792</v>
      </c>
      <c r="F733" t="s">
        <v>1947</v>
      </c>
      <c r="G733" s="27" t="s">
        <v>102</v>
      </c>
      <c r="I733" s="27" t="s">
        <v>226</v>
      </c>
      <c r="J733" s="28">
        <v>21691</v>
      </c>
      <c r="K733" s="27" t="s">
        <v>404</v>
      </c>
    </row>
    <row r="734" spans="1:339">
      <c r="A734">
        <v>719</v>
      </c>
      <c r="B734" s="328" t="s">
        <v>1947</v>
      </c>
      <c r="D734" s="28" t="s">
        <v>793</v>
      </c>
      <c r="E734" s="28" t="s">
        <v>794</v>
      </c>
      <c r="F734" t="s">
        <v>1947</v>
      </c>
      <c r="G734" s="27" t="s">
        <v>102</v>
      </c>
      <c r="I734" s="27" t="s">
        <v>226</v>
      </c>
      <c r="J734" s="28">
        <v>21691</v>
      </c>
      <c r="K734" s="27" t="s">
        <v>404</v>
      </c>
    </row>
    <row r="735" spans="1:339">
      <c r="A735">
        <v>720</v>
      </c>
      <c r="B735" t="s">
        <v>468</v>
      </c>
      <c r="C735" s="121" t="s">
        <v>2849</v>
      </c>
      <c r="D735" s="28" t="s">
        <v>795</v>
      </c>
      <c r="E735" s="28" t="s">
        <v>796</v>
      </c>
      <c r="F735" s="28" t="s">
        <v>2182</v>
      </c>
      <c r="G735" s="27" t="s">
        <v>102</v>
      </c>
      <c r="I735" s="27" t="s">
        <v>226</v>
      </c>
      <c r="J735" s="28">
        <v>21691</v>
      </c>
      <c r="K735" s="27" t="s">
        <v>404</v>
      </c>
      <c r="L735" s="121"/>
      <c r="M735" s="121"/>
      <c r="N735" s="115"/>
      <c r="O735" s="115"/>
      <c r="P735" s="115"/>
      <c r="Q735" s="139" t="s">
        <v>2805</v>
      </c>
      <c r="R735" s="137" t="s">
        <v>2760</v>
      </c>
      <c r="S735" s="121" t="s">
        <v>2836</v>
      </c>
      <c r="T735" s="121"/>
      <c r="U735" s="121"/>
      <c r="V735" s="121" t="s">
        <v>2748</v>
      </c>
      <c r="W735" s="218"/>
      <c r="X735" s="121"/>
      <c r="Y735" s="121"/>
      <c r="Z735" s="121"/>
      <c r="AA735" s="218" t="s">
        <v>2850</v>
      </c>
      <c r="AB735" s="121">
        <v>111.78</v>
      </c>
      <c r="AC735" s="121">
        <v>0</v>
      </c>
      <c r="AD735" s="122" t="s">
        <v>310</v>
      </c>
      <c r="AE735" s="219">
        <f>BA735</f>
        <v>0.78246000000000004</v>
      </c>
      <c r="AF735" s="219"/>
      <c r="AG735" s="219">
        <f>EU735+EM735</f>
        <v>0.59210526315789469</v>
      </c>
      <c r="AH735" s="219">
        <f t="shared" ref="AH735:AH741" si="689">DP735</f>
        <v>0</v>
      </c>
      <c r="AI735" s="219">
        <f t="shared" ref="AI735:AI741" si="690">DO735</f>
        <v>0</v>
      </c>
      <c r="AJ735" s="219">
        <f>GW735</f>
        <v>1.1842105263157893E-2</v>
      </c>
      <c r="AK735" s="219">
        <f>GU735</f>
        <v>1.7182065789473684E-2</v>
      </c>
      <c r="AL735" s="219">
        <f>GS735</f>
        <v>0.1512021789473684</v>
      </c>
      <c r="AM735" s="219">
        <f t="shared" ref="AM735:AM741" si="691">HV735</f>
        <v>0.14814814814814817</v>
      </c>
      <c r="AN735" s="219">
        <f t="shared" ref="AN735:AN741" si="692">IG735</f>
        <v>1.6666666666666666E-2</v>
      </c>
      <c r="AO735" s="220">
        <v>0</v>
      </c>
      <c r="AP735" s="220"/>
      <c r="AQ735" s="204">
        <f t="shared" ref="AQ735:AQ741" si="693">SUM(AE735:AP735)</f>
        <v>1.7196064279727092</v>
      </c>
      <c r="AR735" s="219"/>
      <c r="AS735" s="219"/>
      <c r="AT735" s="220"/>
      <c r="AU735" s="122"/>
      <c r="AV735" s="204">
        <f t="shared" ref="AV735:AV741" si="694">SUM(AQ735:AU735)</f>
        <v>1.7196064279727092</v>
      </c>
      <c r="AW735" s="122">
        <v>7.0000000000000001E-3</v>
      </c>
      <c r="AX735" s="122">
        <v>7.0000000000000001E-3</v>
      </c>
      <c r="AY735" s="210">
        <v>0</v>
      </c>
      <c r="AZ735" s="122">
        <f>AW735-AX735</f>
        <v>0</v>
      </c>
      <c r="BA735" s="202">
        <f>AW735*AB735-AZ735*AC735</f>
        <v>0.78246000000000004</v>
      </c>
      <c r="BB735" s="202"/>
      <c r="BC735" s="202"/>
      <c r="BD735" s="202"/>
      <c r="BE735" s="202"/>
      <c r="BF735" s="202"/>
      <c r="BG735" s="202"/>
      <c r="BH735" s="202"/>
      <c r="BI735" s="202"/>
      <c r="BJ735" s="202"/>
      <c r="BK735" s="202"/>
      <c r="BL735" s="202"/>
      <c r="BM735" s="202"/>
      <c r="BN735" s="202"/>
      <c r="BO735" s="202"/>
      <c r="BP735" s="202"/>
      <c r="BQ735" s="202"/>
      <c r="BR735" s="202"/>
      <c r="BS735" s="202"/>
      <c r="BT735" s="202"/>
      <c r="BU735" s="202"/>
      <c r="BV735" s="202"/>
      <c r="BW735" s="202"/>
      <c r="BX735" s="202"/>
      <c r="BY735" s="202"/>
      <c r="BZ735" s="202"/>
      <c r="CA735" s="202"/>
      <c r="CB735" s="202"/>
      <c r="CC735" s="202"/>
      <c r="CD735" s="122"/>
      <c r="CE735" s="122">
        <v>0</v>
      </c>
      <c r="CF735" s="122">
        <v>0</v>
      </c>
      <c r="CG735" s="122">
        <v>0</v>
      </c>
      <c r="CH735" s="122">
        <v>0</v>
      </c>
      <c r="CI735" s="121"/>
      <c r="CJ735" s="121"/>
      <c r="CK735" s="122"/>
      <c r="CL735" s="122"/>
      <c r="CM735" s="122"/>
      <c r="CN735" s="122"/>
      <c r="CO735" s="122"/>
      <c r="CP735" s="122"/>
      <c r="CQ735" s="122"/>
      <c r="CR735" s="122"/>
      <c r="CS735" s="122"/>
      <c r="CT735" s="122"/>
      <c r="CU735" s="122"/>
      <c r="CV735" s="122"/>
      <c r="CW735" s="122"/>
      <c r="CX735" s="122"/>
      <c r="CY735" s="122"/>
      <c r="CZ735" s="122"/>
      <c r="DA735" s="122"/>
      <c r="DB735" s="122"/>
      <c r="DC735" s="122"/>
      <c r="DD735" s="122"/>
      <c r="DE735" s="122"/>
      <c r="DF735" s="122"/>
      <c r="DG735" s="122"/>
      <c r="DH735" s="122"/>
      <c r="DI735" s="122"/>
      <c r="DJ735" s="122"/>
      <c r="DK735" s="122"/>
      <c r="DL735" s="122"/>
      <c r="DM735" s="103">
        <f>CM735+CR735+CW735+DB735+DG735+DL735+CH735</f>
        <v>0</v>
      </c>
      <c r="DN735" s="211">
        <v>1.2500000000000001E-2</v>
      </c>
      <c r="DO735" s="122">
        <f>DN735*CG735*CF735</f>
        <v>0</v>
      </c>
      <c r="DP735" s="122">
        <f>CG735*CF735</f>
        <v>0</v>
      </c>
      <c r="DQ735" s="122"/>
      <c r="DR735" s="122"/>
      <c r="DS735" s="122"/>
      <c r="DT735" s="122"/>
      <c r="DU735" s="122"/>
      <c r="DV735" s="122"/>
      <c r="DW735" s="122"/>
      <c r="DX735" s="122"/>
      <c r="DY735" s="122"/>
      <c r="DZ735" s="122"/>
      <c r="EA735" s="122"/>
      <c r="EB735" s="122"/>
      <c r="EC735" s="122"/>
      <c r="ED735" s="122"/>
      <c r="EE735" s="122"/>
      <c r="EF735" s="122">
        <v>90</v>
      </c>
      <c r="EG735" s="122">
        <v>900</v>
      </c>
      <c r="EH735" s="122">
        <v>8</v>
      </c>
      <c r="EI735" s="210">
        <v>0.95</v>
      </c>
      <c r="EJ735" s="122">
        <v>2</v>
      </c>
      <c r="EK735" s="122">
        <v>36</v>
      </c>
      <c r="EL735" s="122">
        <f>(3600/EK735*EH735*EJ735*EI735)</f>
        <v>1520</v>
      </c>
      <c r="EM735" s="122"/>
      <c r="EN735" s="122"/>
      <c r="EO735" s="122"/>
      <c r="EP735" s="122"/>
      <c r="EQ735" s="122"/>
      <c r="ER735" s="122"/>
      <c r="ES735" s="122"/>
      <c r="ET735" s="122"/>
      <c r="EU735" s="202">
        <f>EG735/EL735</f>
        <v>0.59210526315789469</v>
      </c>
      <c r="EV735" s="122"/>
      <c r="EW735" s="122"/>
      <c r="EX735" s="122"/>
      <c r="EY735" s="122"/>
      <c r="EZ735" s="122"/>
      <c r="FA735" s="122"/>
      <c r="FB735" s="122"/>
      <c r="FC735" s="122"/>
      <c r="FD735" s="122"/>
      <c r="FE735" s="122"/>
      <c r="FF735" s="122"/>
      <c r="FG735" s="122"/>
      <c r="FH735" s="122"/>
      <c r="FI735" s="122"/>
      <c r="FJ735" s="122"/>
      <c r="FK735" s="122"/>
      <c r="FL735" s="122"/>
      <c r="FM735" s="122"/>
      <c r="FN735" s="122"/>
      <c r="FO735" s="122"/>
      <c r="FP735" s="122"/>
      <c r="FQ735" s="122"/>
      <c r="FR735" s="122"/>
      <c r="FS735" s="122"/>
      <c r="FT735" s="122"/>
      <c r="FU735" s="122"/>
      <c r="FV735" s="122"/>
      <c r="FW735" s="122"/>
      <c r="FX735" s="122"/>
      <c r="FY735" s="122"/>
      <c r="FZ735" s="122"/>
      <c r="GA735" s="122"/>
      <c r="GB735" s="122"/>
      <c r="GC735" s="122"/>
      <c r="GD735" s="122"/>
      <c r="GE735" s="122"/>
      <c r="GF735" s="122"/>
      <c r="GG735" s="122"/>
      <c r="GH735" s="122"/>
      <c r="GI735" s="122"/>
      <c r="GJ735" s="122"/>
      <c r="GK735" s="122"/>
      <c r="GL735" s="122"/>
      <c r="GM735" s="122"/>
      <c r="GN735" s="122"/>
      <c r="GO735" s="122"/>
      <c r="GP735" s="122"/>
      <c r="GQ735" s="122"/>
      <c r="GR735" s="210">
        <v>0.11</v>
      </c>
      <c r="GS735" s="202">
        <f>GR735*(BA735+EU735)</f>
        <v>0.1512021789473684</v>
      </c>
      <c r="GT735" s="208">
        <v>1.2500000000000001E-2</v>
      </c>
      <c r="GU735" s="203">
        <f>GT735*(BA735+EU735)</f>
        <v>1.7182065789473684E-2</v>
      </c>
      <c r="GV735" s="207">
        <v>0.02</v>
      </c>
      <c r="GW735" s="203">
        <f>GV735*EU735</f>
        <v>1.1842105263157893E-2</v>
      </c>
      <c r="GX735" s="203">
        <f>GS735+GU735+GW735</f>
        <v>0.18022634999999998</v>
      </c>
      <c r="GY735" s="122" t="s">
        <v>43</v>
      </c>
      <c r="GZ735" s="122" t="s">
        <v>87</v>
      </c>
      <c r="HA735" s="122">
        <v>650</v>
      </c>
      <c r="HB735" s="122">
        <v>450</v>
      </c>
      <c r="HC735" s="122">
        <v>315</v>
      </c>
      <c r="HD735" s="122">
        <v>600</v>
      </c>
      <c r="HE735" s="122">
        <v>600</v>
      </c>
      <c r="HF735" s="122">
        <f t="shared" ref="HF735:HF741" si="695">ROUNDUP(HE735/HD735,0)</f>
        <v>1</v>
      </c>
      <c r="HG735" s="122">
        <v>5</v>
      </c>
      <c r="HH735" s="122">
        <f t="shared" ref="HH735:HH741" si="696">HF735*HG735</f>
        <v>5</v>
      </c>
      <c r="HI735" s="122">
        <v>880</v>
      </c>
      <c r="HJ735" s="122">
        <f t="shared" ref="HJ735:HJ741" si="697">HH735*HI735</f>
        <v>4400</v>
      </c>
      <c r="HK735" s="122"/>
      <c r="HL735" s="122"/>
      <c r="HM735" s="122">
        <v>3</v>
      </c>
      <c r="HN735" s="122">
        <f t="shared" ref="HN735:HN741" si="698">HM735*12*25*HE735</f>
        <v>540000</v>
      </c>
      <c r="HO735" s="202">
        <f t="shared" ref="HO735:HO741" si="699">IF(GY735="carton box",HI735/HD735,HJ735/HN735)</f>
        <v>8.1481481481481474E-3</v>
      </c>
      <c r="HP735" s="122">
        <v>160</v>
      </c>
      <c r="HQ735" s="122">
        <v>0</v>
      </c>
      <c r="HR735" s="122">
        <v>0</v>
      </c>
      <c r="HS735" s="122">
        <v>0</v>
      </c>
      <c r="HT735" s="122">
        <v>0</v>
      </c>
      <c r="HU735" s="122"/>
      <c r="HV735" s="202">
        <f>HO735+HT735+0.14</f>
        <v>0.14814814814814817</v>
      </c>
      <c r="HW735" s="202"/>
      <c r="HX735" s="122">
        <v>5016</v>
      </c>
      <c r="HY735" s="122">
        <v>1976</v>
      </c>
      <c r="HZ735" s="122">
        <v>2280</v>
      </c>
      <c r="IA735" s="122">
        <f t="shared" ref="IA735:IC741" si="700">ROUNDDOWN(HX735/HA735,0)</f>
        <v>7</v>
      </c>
      <c r="IB735" s="122">
        <f t="shared" si="700"/>
        <v>4</v>
      </c>
      <c r="IC735" s="122">
        <f t="shared" si="700"/>
        <v>7</v>
      </c>
      <c r="ID735" s="210">
        <v>1</v>
      </c>
      <c r="IE735" s="202">
        <f>ROUND(PRODUCT(IA735:ID735),0)-146</f>
        <v>50</v>
      </c>
      <c r="IF735" s="122">
        <v>500</v>
      </c>
      <c r="IG735" s="202">
        <f t="shared" ref="IG735:IG741" si="701">(IF735/(IE735*HD735))</f>
        <v>1.6666666666666666E-2</v>
      </c>
      <c r="IH735" s="20"/>
    </row>
    <row r="736" spans="1:339">
      <c r="A736">
        <v>721</v>
      </c>
      <c r="B736" t="s">
        <v>468</v>
      </c>
      <c r="C736" s="121" t="s">
        <v>2851</v>
      </c>
      <c r="D736" s="28" t="s">
        <v>798</v>
      </c>
      <c r="E736" s="28" t="s">
        <v>799</v>
      </c>
      <c r="F736" s="28" t="s">
        <v>2182</v>
      </c>
      <c r="G736" s="27" t="s">
        <v>102</v>
      </c>
      <c r="I736" s="27" t="s">
        <v>226</v>
      </c>
      <c r="J736" s="28">
        <v>21590</v>
      </c>
      <c r="K736" s="27" t="s">
        <v>397</v>
      </c>
      <c r="L736" s="137"/>
      <c r="M736" s="137"/>
      <c r="N736" s="139"/>
      <c r="O736" s="139"/>
      <c r="P736" s="139"/>
      <c r="Q736" s="139" t="s">
        <v>2773</v>
      </c>
      <c r="R736" s="137" t="s">
        <v>2760</v>
      </c>
      <c r="S736" s="137" t="s">
        <v>2852</v>
      </c>
      <c r="T736" s="137" t="s">
        <v>2762</v>
      </c>
      <c r="U736" s="338">
        <v>45107</v>
      </c>
      <c r="V736" s="137" t="s">
        <v>2748</v>
      </c>
      <c r="W736" s="218"/>
      <c r="X736" s="121"/>
      <c r="Y736" s="121"/>
      <c r="Z736" s="121"/>
      <c r="AA736" s="115" t="s">
        <v>2858</v>
      </c>
      <c r="AB736" s="212">
        <v>111.01</v>
      </c>
      <c r="AC736" s="137">
        <v>20</v>
      </c>
      <c r="AD736" s="103" t="s">
        <v>1200</v>
      </c>
      <c r="AE736" s="204">
        <f>IU736+KY736</f>
        <v>41.406729999999996</v>
      </c>
      <c r="AF736" s="205"/>
      <c r="AG736" s="204">
        <f>KE736+LP736+EX736</f>
        <v>11.583143816330949</v>
      </c>
      <c r="AH736" s="219">
        <f t="shared" si="689"/>
        <v>0</v>
      </c>
      <c r="AI736" s="219">
        <f t="shared" si="690"/>
        <v>0</v>
      </c>
      <c r="AJ736" s="356">
        <f>KO736+LZ736</f>
        <v>0.20205761316872423</v>
      </c>
      <c r="AK736" s="204">
        <f>GU736+KJ736+LU736</f>
        <v>1.3876433674199289</v>
      </c>
      <c r="AL736" s="204">
        <f>KH736+LS736+GS736</f>
        <v>5.8288861197964046</v>
      </c>
      <c r="AM736" s="204">
        <f t="shared" si="691"/>
        <v>0.73166666666666669</v>
      </c>
      <c r="AN736" s="204">
        <f t="shared" si="692"/>
        <v>0.43859649122807015</v>
      </c>
      <c r="AO736" s="205">
        <v>0</v>
      </c>
      <c r="AP736" s="205">
        <v>0</v>
      </c>
      <c r="AQ736" s="204">
        <f t="shared" si="693"/>
        <v>61.578724074610733</v>
      </c>
      <c r="AR736" s="205"/>
      <c r="AS736" s="205"/>
      <c r="AT736" s="103"/>
      <c r="AU736" s="103"/>
      <c r="AV736" s="204">
        <f t="shared" si="694"/>
        <v>61.578724074610733</v>
      </c>
      <c r="AW736" s="103"/>
      <c r="AX736" s="103"/>
      <c r="AY736" s="103"/>
      <c r="AZ736" s="103"/>
      <c r="BA736" s="203"/>
      <c r="BB736" s="203"/>
      <c r="BC736" s="203"/>
      <c r="BD736" s="203"/>
      <c r="BE736" s="203"/>
      <c r="BF736" s="203"/>
      <c r="BG736" s="203"/>
      <c r="BH736" s="203"/>
      <c r="BI736" s="203"/>
      <c r="BJ736" s="203"/>
      <c r="BK736" s="203"/>
      <c r="BL736" s="203"/>
      <c r="BM736" s="203"/>
      <c r="BN736" s="203"/>
      <c r="BO736" s="203"/>
      <c r="BP736" s="203"/>
      <c r="BQ736" s="203"/>
      <c r="BR736" s="203"/>
      <c r="BS736" s="203"/>
      <c r="BT736" s="203"/>
      <c r="BU736" s="203"/>
      <c r="BV736" s="203"/>
      <c r="BW736" s="203"/>
      <c r="BX736" s="203"/>
      <c r="BY736" s="203"/>
      <c r="BZ736" s="203"/>
      <c r="CA736" s="203"/>
      <c r="CB736" s="203"/>
      <c r="CC736" s="203"/>
      <c r="CD736" s="103"/>
      <c r="CE736" s="103"/>
      <c r="CF736" s="103"/>
      <c r="CG736" s="103"/>
      <c r="CH736" s="103"/>
      <c r="CI736" s="137"/>
      <c r="CJ736" s="137"/>
      <c r="CK736" s="103"/>
      <c r="CL736" s="103"/>
      <c r="CM736" s="103"/>
      <c r="CN736" s="103"/>
      <c r="CO736" s="103"/>
      <c r="CP736" s="103"/>
      <c r="CQ736" s="103"/>
      <c r="CR736" s="103"/>
      <c r="CS736" s="103"/>
      <c r="CT736" s="103"/>
      <c r="CU736" s="103"/>
      <c r="CV736" s="103"/>
      <c r="CW736" s="103"/>
      <c r="CX736" s="103"/>
      <c r="CY736" s="103"/>
      <c r="CZ736" s="103"/>
      <c r="DA736" s="103"/>
      <c r="DB736" s="103"/>
      <c r="DC736" s="103"/>
      <c r="DD736" s="103"/>
      <c r="DE736" s="103"/>
      <c r="DF736" s="103"/>
      <c r="DG736" s="103"/>
      <c r="DH736" s="103"/>
      <c r="DI736" s="103"/>
      <c r="DJ736" s="103"/>
      <c r="DK736" s="103"/>
      <c r="DL736" s="103"/>
      <c r="DM736" s="103"/>
      <c r="DN736" s="208"/>
      <c r="DO736" s="122"/>
      <c r="DP736" s="122"/>
      <c r="DQ736" s="122" t="s">
        <v>2853</v>
      </c>
      <c r="DR736" s="122" t="s">
        <v>2854</v>
      </c>
      <c r="DS736" s="103">
        <v>1</v>
      </c>
      <c r="DT736" s="203">
        <f>KP736</f>
        <v>14.729190184670781</v>
      </c>
      <c r="DU736" s="103">
        <f>DS736*DT736</f>
        <v>14.729190184670781</v>
      </c>
      <c r="DV736" s="103" t="s">
        <v>2855</v>
      </c>
      <c r="DW736" s="103" t="s">
        <v>2856</v>
      </c>
      <c r="DX736" s="103">
        <v>1</v>
      </c>
      <c r="DY736" s="203">
        <f>MA736</f>
        <v>43.292405392592585</v>
      </c>
      <c r="DZ736" s="203">
        <f>DX736*DY736</f>
        <v>43.292405392592585</v>
      </c>
      <c r="EA736" s="203"/>
      <c r="EB736" s="203"/>
      <c r="EC736" s="203"/>
      <c r="ED736" s="203"/>
      <c r="EE736" s="103"/>
      <c r="EF736" s="103"/>
      <c r="EG736" s="103"/>
      <c r="EH736" s="103"/>
      <c r="EI736" s="103"/>
      <c r="EJ736" s="103"/>
      <c r="EK736" s="103"/>
      <c r="EL736" s="103"/>
      <c r="EM736" s="103"/>
      <c r="EN736" s="103"/>
      <c r="EO736" s="103"/>
      <c r="EP736" s="103"/>
      <c r="EQ736" s="103"/>
      <c r="ER736" s="103"/>
      <c r="ES736" s="103"/>
      <c r="ET736" s="103"/>
      <c r="EU736" s="203"/>
      <c r="EV736" s="103"/>
      <c r="EW736" s="103"/>
      <c r="EX736" s="203">
        <f>900/608</f>
        <v>1.4802631578947369</v>
      </c>
      <c r="EY736" s="103"/>
      <c r="EZ736" s="103"/>
      <c r="FA736" s="203">
        <f>EX736+EY736</f>
        <v>1.4802631578947369</v>
      </c>
      <c r="FB736" s="203"/>
      <c r="FC736" s="203"/>
      <c r="FD736" s="203"/>
      <c r="FE736" s="203"/>
      <c r="FF736" s="203"/>
      <c r="FG736" s="203"/>
      <c r="FH736" s="103"/>
      <c r="FI736" s="103"/>
      <c r="FJ736" s="103"/>
      <c r="FK736" s="103"/>
      <c r="FL736" s="103"/>
      <c r="FM736" s="103"/>
      <c r="FN736" s="103"/>
      <c r="FO736" s="103"/>
      <c r="FP736" s="103"/>
      <c r="FQ736" s="103"/>
      <c r="FR736" s="103"/>
      <c r="FS736" s="103"/>
      <c r="FT736" s="103"/>
      <c r="FU736" s="103"/>
      <c r="FV736" s="103"/>
      <c r="FW736" s="103"/>
      <c r="FX736" s="103"/>
      <c r="FY736" s="103"/>
      <c r="FZ736" s="103"/>
      <c r="GA736" s="103"/>
      <c r="GB736" s="103"/>
      <c r="GC736" s="103"/>
      <c r="GD736" s="103"/>
      <c r="GE736" s="103"/>
      <c r="GF736" s="103"/>
      <c r="GG736" s="103"/>
      <c r="GH736" s="103"/>
      <c r="GI736" s="103"/>
      <c r="GJ736" s="103"/>
      <c r="GK736" s="103"/>
      <c r="GL736" s="103"/>
      <c r="GM736" s="103"/>
      <c r="GN736" s="103"/>
      <c r="GO736" s="103"/>
      <c r="GP736" s="103"/>
      <c r="GQ736" s="103"/>
      <c r="GR736" s="207">
        <v>0.11</v>
      </c>
      <c r="GS736" s="203">
        <f>GR736*FA736</f>
        <v>0.16282894736842107</v>
      </c>
      <c r="GT736" s="208">
        <v>1.2500000000000001E-2</v>
      </c>
      <c r="GU736" s="203">
        <f>GT736*(DT736+DZ736+FA736)</f>
        <v>0.74377323418947638</v>
      </c>
      <c r="GV736" s="207"/>
      <c r="GW736" s="203"/>
      <c r="GX736" s="203"/>
      <c r="GY736" s="103" t="s">
        <v>43</v>
      </c>
      <c r="GZ736" s="103" t="s">
        <v>87</v>
      </c>
      <c r="HA736" s="103">
        <v>650</v>
      </c>
      <c r="HB736" s="103">
        <v>450</v>
      </c>
      <c r="HC736" s="103">
        <v>330</v>
      </c>
      <c r="HD736" s="103">
        <v>10</v>
      </c>
      <c r="HE736" s="103">
        <v>400</v>
      </c>
      <c r="HF736" s="103">
        <f t="shared" si="695"/>
        <v>40</v>
      </c>
      <c r="HG736" s="103">
        <v>5</v>
      </c>
      <c r="HH736" s="103">
        <f t="shared" si="696"/>
        <v>200</v>
      </c>
      <c r="HI736" s="103">
        <v>650</v>
      </c>
      <c r="HJ736" s="103">
        <f t="shared" si="697"/>
        <v>130000</v>
      </c>
      <c r="HK736" s="103"/>
      <c r="HL736" s="103"/>
      <c r="HM736" s="103">
        <v>2</v>
      </c>
      <c r="HN736" s="103">
        <f t="shared" si="698"/>
        <v>240000</v>
      </c>
      <c r="HO736" s="203">
        <f t="shared" si="699"/>
        <v>0.54166666666666663</v>
      </c>
      <c r="HP736" s="103">
        <v>160</v>
      </c>
      <c r="HQ736" s="103">
        <v>0</v>
      </c>
      <c r="HR736" s="103">
        <v>0.19</v>
      </c>
      <c r="HS736" s="103">
        <v>1</v>
      </c>
      <c r="HT736" s="203">
        <f>HR736/HS736</f>
        <v>0.19</v>
      </c>
      <c r="HU736" s="203"/>
      <c r="HV736" s="203">
        <f t="shared" ref="HV736:HV741" si="702">HO736+HT736</f>
        <v>0.73166666666666669</v>
      </c>
      <c r="HW736" s="203"/>
      <c r="HX736" s="103">
        <v>4200</v>
      </c>
      <c r="HY736" s="103">
        <v>1900</v>
      </c>
      <c r="HZ736" s="103">
        <v>1975</v>
      </c>
      <c r="IA736" s="103">
        <f t="shared" si="700"/>
        <v>6</v>
      </c>
      <c r="IB736" s="103">
        <f t="shared" si="700"/>
        <v>4</v>
      </c>
      <c r="IC736" s="103">
        <f t="shared" si="700"/>
        <v>5</v>
      </c>
      <c r="ID736" s="207">
        <v>0.95</v>
      </c>
      <c r="IE736" s="203">
        <f>ROUND(PRODUCT(IA736:ID736),0)</f>
        <v>114</v>
      </c>
      <c r="IF736" s="103">
        <v>500</v>
      </c>
      <c r="IG736" s="203">
        <f t="shared" si="701"/>
        <v>0.43859649122807015</v>
      </c>
      <c r="IH736" s="203"/>
      <c r="II736" s="103"/>
      <c r="IJ736" s="103"/>
      <c r="IK736" s="122"/>
      <c r="IL736" s="122"/>
      <c r="IM736" s="103" t="s">
        <v>2857</v>
      </c>
      <c r="IN736" s="103">
        <v>111.01</v>
      </c>
      <c r="IO736" s="103">
        <v>20</v>
      </c>
      <c r="IP736" s="103" t="s">
        <v>2312</v>
      </c>
      <c r="IQ736" s="103">
        <v>8.5000000000000006E-2</v>
      </c>
      <c r="IR736" s="103">
        <v>8.5000000000000006E-2</v>
      </c>
      <c r="IS736" s="207">
        <v>1</v>
      </c>
      <c r="IT736" s="103">
        <f>IQ736-IR736</f>
        <v>0</v>
      </c>
      <c r="IU736" s="203">
        <f>IQ736*IN736-IT736*IO736</f>
        <v>9.4358500000000003</v>
      </c>
      <c r="IV736" s="203"/>
      <c r="IW736" s="203"/>
      <c r="IX736" s="203"/>
      <c r="IY736" s="203"/>
      <c r="IZ736" s="203"/>
      <c r="JA736" s="203"/>
      <c r="JB736" s="203"/>
      <c r="JC736" s="203"/>
      <c r="JD736" s="203"/>
      <c r="JE736" s="203"/>
      <c r="JF736" s="203"/>
      <c r="JG736" s="203"/>
      <c r="JH736" s="203"/>
      <c r="JI736" s="203"/>
      <c r="JJ736" s="203"/>
      <c r="JK736" s="203"/>
      <c r="JL736" s="203"/>
      <c r="JM736" s="203"/>
      <c r="JN736" s="203"/>
      <c r="JO736" s="203"/>
      <c r="JP736" s="203"/>
      <c r="JQ736" s="203"/>
      <c r="JR736" s="203"/>
      <c r="JS736" s="203"/>
      <c r="JT736" s="203"/>
      <c r="JU736" s="203"/>
      <c r="JV736" s="203"/>
      <c r="JW736" s="103">
        <v>160</v>
      </c>
      <c r="JX736" s="103">
        <v>1600</v>
      </c>
      <c r="JY736" s="103">
        <v>7.5</v>
      </c>
      <c r="JZ736" s="207">
        <v>0.9</v>
      </c>
      <c r="KA736" s="103">
        <v>1</v>
      </c>
      <c r="KB736" s="103"/>
      <c r="KC736" s="413">
        <v>55</v>
      </c>
      <c r="KD736" s="416">
        <f>3600/KC736*JY736*KA736*JZ736</f>
        <v>441.81818181818181</v>
      </c>
      <c r="KE736" s="414">
        <f>JX736/KD736</f>
        <v>3.6213991769547325</v>
      </c>
      <c r="KF736" s="203"/>
      <c r="KG736" s="207">
        <v>0.11</v>
      </c>
      <c r="KH736" s="203">
        <f>KG736*(IU736+KE736)</f>
        <v>1.4362974094650205</v>
      </c>
      <c r="KI736" s="208">
        <v>1.2500000000000001E-2</v>
      </c>
      <c r="KJ736" s="203">
        <f>KI736*(IU736+KE736)</f>
        <v>0.16321561471193416</v>
      </c>
      <c r="KK736" s="203"/>
      <c r="KL736" s="203"/>
      <c r="KM736" s="203"/>
      <c r="KN736" s="207">
        <v>0.02</v>
      </c>
      <c r="KO736" s="336">
        <f>KN736*KE736</f>
        <v>7.2427983539094645E-2</v>
      </c>
      <c r="KP736" s="203">
        <f>IU736+KE736+KH736+KJ736+KO736</f>
        <v>14.729190184670781</v>
      </c>
      <c r="KQ736" s="103" t="s">
        <v>2857</v>
      </c>
      <c r="KR736" s="103">
        <v>111.01</v>
      </c>
      <c r="KS736" s="203">
        <v>20</v>
      </c>
      <c r="KT736" s="203" t="s">
        <v>2312</v>
      </c>
      <c r="KU736" s="203">
        <v>0.28799999999999998</v>
      </c>
      <c r="KV736" s="203">
        <v>0.28799999999999998</v>
      </c>
      <c r="KW736" s="203">
        <v>1</v>
      </c>
      <c r="KX736" s="103">
        <f>KU736-KV736</f>
        <v>0</v>
      </c>
      <c r="KY736" s="203">
        <f>KU736*KR736-KX736*KS736</f>
        <v>31.970879999999998</v>
      </c>
      <c r="KZ736" s="203"/>
      <c r="LA736" s="203"/>
      <c r="LB736" s="203"/>
      <c r="LC736" s="203"/>
      <c r="LD736" s="203"/>
      <c r="LE736" s="203"/>
      <c r="LF736" s="203"/>
      <c r="LG736" s="203"/>
      <c r="LH736" s="103">
        <v>250</v>
      </c>
      <c r="LI736" s="103">
        <v>2500</v>
      </c>
      <c r="LJ736" s="103">
        <v>7.5</v>
      </c>
      <c r="LK736" s="207">
        <v>0.9</v>
      </c>
      <c r="LL736" s="103">
        <v>1</v>
      </c>
      <c r="LM736" s="103"/>
      <c r="LN736" s="103">
        <v>63</v>
      </c>
      <c r="LO736" s="209">
        <f>3600/LN736*LJ736*LL736*LK736</f>
        <v>385.71428571428578</v>
      </c>
      <c r="LP736" s="203">
        <f>LI736/LO736</f>
        <v>6.4814814814814801</v>
      </c>
      <c r="LQ736" s="203"/>
      <c r="LR736" s="207">
        <v>0.11</v>
      </c>
      <c r="LS736" s="203">
        <f>LR736*(KY736+LP736)</f>
        <v>4.2297597629629626</v>
      </c>
      <c r="LT736" s="208">
        <v>1.2500000000000001E-2</v>
      </c>
      <c r="LU736" s="203">
        <f>LT736*(KY736+LP736)</f>
        <v>0.48065451851851848</v>
      </c>
      <c r="LV736" s="203"/>
      <c r="LW736" s="203"/>
      <c r="LX736" s="203"/>
      <c r="LY736" s="207">
        <v>0.02</v>
      </c>
      <c r="LZ736" s="203">
        <f>LY736*LP736</f>
        <v>0.12962962962962959</v>
      </c>
      <c r="MA736" s="203">
        <f>KY736+LP736+LS736+LU736+LZ736</f>
        <v>43.292405392592585</v>
      </c>
    </row>
    <row r="737" spans="1:242">
      <c r="A737">
        <v>722</v>
      </c>
      <c r="B737" t="s">
        <v>468</v>
      </c>
      <c r="C737" s="121" t="s">
        <v>2859</v>
      </c>
      <c r="D737" s="28" t="s">
        <v>1545</v>
      </c>
      <c r="E737" s="28" t="s">
        <v>1546</v>
      </c>
      <c r="F737" s="28" t="s">
        <v>2182</v>
      </c>
      <c r="G737" s="27" t="s">
        <v>102</v>
      </c>
      <c r="I737" s="27" t="s">
        <v>121</v>
      </c>
      <c r="J737" s="28">
        <v>21677</v>
      </c>
      <c r="K737" s="27" t="s">
        <v>228</v>
      </c>
      <c r="L737" s="121"/>
      <c r="M737" s="121"/>
      <c r="N737" s="115"/>
      <c r="O737" s="115"/>
      <c r="P737" s="115"/>
      <c r="Q737" s="139" t="s">
        <v>2778</v>
      </c>
      <c r="R737" s="137" t="s">
        <v>2779</v>
      </c>
      <c r="S737" s="121" t="s">
        <v>2832</v>
      </c>
      <c r="T737" s="121"/>
      <c r="U737" s="121"/>
      <c r="V737" s="121" t="s">
        <v>2748</v>
      </c>
      <c r="W737" s="218"/>
      <c r="X737" s="121"/>
      <c r="Y737" s="121"/>
      <c r="Z737" s="121"/>
      <c r="AA737" s="115" t="s">
        <v>2821</v>
      </c>
      <c r="AB737" s="121">
        <v>126.69</v>
      </c>
      <c r="AC737" s="121">
        <v>20</v>
      </c>
      <c r="AD737" s="122" t="s">
        <v>596</v>
      </c>
      <c r="AE737" s="219">
        <f>BA737</f>
        <v>20.590470000000003</v>
      </c>
      <c r="AF737" s="219"/>
      <c r="AG737" s="219">
        <f>EU737+EM737</f>
        <v>6.0032894736842106</v>
      </c>
      <c r="AH737" s="219">
        <f t="shared" si="689"/>
        <v>0</v>
      </c>
      <c r="AI737" s="219">
        <f t="shared" si="690"/>
        <v>0</v>
      </c>
      <c r="AJ737" s="219">
        <f>GW737</f>
        <v>0.12006578947368421</v>
      </c>
      <c r="AK737" s="219">
        <f>GU737</f>
        <v>0.33242199342105272</v>
      </c>
      <c r="AL737" s="219">
        <f>GS737</f>
        <v>2.9253135421052638</v>
      </c>
      <c r="AM737" s="219">
        <f t="shared" si="691"/>
        <v>3.2375000000000003</v>
      </c>
      <c r="AN737" s="219">
        <f t="shared" si="692"/>
        <v>0.14285714285714285</v>
      </c>
      <c r="AO737" s="220">
        <v>0</v>
      </c>
      <c r="AP737" s="220"/>
      <c r="AQ737" s="204">
        <f t="shared" si="693"/>
        <v>33.351917941541366</v>
      </c>
      <c r="AR737" s="219"/>
      <c r="AS737" s="219"/>
      <c r="AT737" s="220"/>
      <c r="AU737" s="219"/>
      <c r="AV737" s="204">
        <f t="shared" si="694"/>
        <v>33.351917941541366</v>
      </c>
      <c r="AW737" s="122">
        <v>0.16300000000000001</v>
      </c>
      <c r="AX737" s="122">
        <v>0.16</v>
      </c>
      <c r="AY737" s="210">
        <v>1</v>
      </c>
      <c r="AZ737" s="122">
        <f>AW737-AX737</f>
        <v>3.0000000000000027E-3</v>
      </c>
      <c r="BA737" s="202">
        <f>AW737*AB737-AZ737*AC737</f>
        <v>20.590470000000003</v>
      </c>
      <c r="BB737" s="202"/>
      <c r="BC737" s="202"/>
      <c r="BD737" s="202"/>
      <c r="BE737" s="202"/>
      <c r="BF737" s="202"/>
      <c r="BG737" s="202"/>
      <c r="BH737" s="202"/>
      <c r="BI737" s="202"/>
      <c r="BJ737" s="202"/>
      <c r="BK737" s="202"/>
      <c r="BL737" s="202"/>
      <c r="BM737" s="202"/>
      <c r="BN737" s="202"/>
      <c r="BO737" s="202"/>
      <c r="BP737" s="202"/>
      <c r="BQ737" s="202"/>
      <c r="BR737" s="202"/>
      <c r="BS737" s="202"/>
      <c r="BT737" s="202"/>
      <c r="BU737" s="202"/>
      <c r="BV737" s="202"/>
      <c r="BW737" s="202"/>
      <c r="BX737" s="202"/>
      <c r="BY737" s="202"/>
      <c r="BZ737" s="202"/>
      <c r="CA737" s="202"/>
      <c r="CB737" s="202"/>
      <c r="CC737" s="202"/>
      <c r="CD737" s="122"/>
      <c r="CE737" s="122">
        <v>0</v>
      </c>
      <c r="CF737" s="122">
        <v>0</v>
      </c>
      <c r="CG737" s="122">
        <v>0</v>
      </c>
      <c r="CH737" s="122">
        <v>0</v>
      </c>
      <c r="CI737" s="121"/>
      <c r="CJ737" s="121"/>
      <c r="CK737" s="122"/>
      <c r="CL737" s="122"/>
      <c r="CM737" s="122"/>
      <c r="CN737" s="122"/>
      <c r="CO737" s="122"/>
      <c r="CP737" s="122"/>
      <c r="CQ737" s="122"/>
      <c r="CR737" s="122"/>
      <c r="CS737" s="122"/>
      <c r="CT737" s="122"/>
      <c r="CU737" s="122"/>
      <c r="CV737" s="122"/>
      <c r="CW737" s="122"/>
      <c r="CX737" s="122"/>
      <c r="CY737" s="122"/>
      <c r="CZ737" s="122"/>
      <c r="DA737" s="122"/>
      <c r="DB737" s="122"/>
      <c r="DC737" s="122"/>
      <c r="DD737" s="122"/>
      <c r="DE737" s="122"/>
      <c r="DF737" s="122"/>
      <c r="DG737" s="122"/>
      <c r="DH737" s="122"/>
      <c r="DI737" s="122"/>
      <c r="DJ737" s="122"/>
      <c r="DK737" s="122"/>
      <c r="DL737" s="122"/>
      <c r="DM737" s="103">
        <f>CM737+CR737+CW737+DB737+DG737+DL737+CH737</f>
        <v>0</v>
      </c>
      <c r="DN737" s="211">
        <v>1.2500000000000001E-2</v>
      </c>
      <c r="DO737" s="122">
        <f>DN737*CG737*CF737</f>
        <v>0</v>
      </c>
      <c r="DP737" s="122">
        <f>CG737*CF737</f>
        <v>0</v>
      </c>
      <c r="DQ737" s="122"/>
      <c r="DR737" s="122"/>
      <c r="DS737" s="122"/>
      <c r="DT737" s="122"/>
      <c r="DU737" s="122"/>
      <c r="DV737" s="122"/>
      <c r="DW737" s="122"/>
      <c r="DX737" s="122"/>
      <c r="DY737" s="122"/>
      <c r="DZ737" s="122"/>
      <c r="EA737" s="122"/>
      <c r="EB737" s="122"/>
      <c r="EC737" s="122"/>
      <c r="ED737" s="122"/>
      <c r="EE737" s="122"/>
      <c r="EF737" s="122">
        <v>450</v>
      </c>
      <c r="EG737" s="122">
        <v>4500</v>
      </c>
      <c r="EH737" s="122">
        <v>8</v>
      </c>
      <c r="EI737" s="210">
        <v>0.95</v>
      </c>
      <c r="EJ737" s="122">
        <v>2</v>
      </c>
      <c r="EK737" s="122">
        <v>73</v>
      </c>
      <c r="EL737" s="221">
        <f>(3600/EK737*EH737*EJ737*EI737)</f>
        <v>749.58904109589037</v>
      </c>
      <c r="EM737" s="122"/>
      <c r="EN737" s="122"/>
      <c r="EO737" s="122"/>
      <c r="EP737" s="122"/>
      <c r="EQ737" s="122"/>
      <c r="ER737" s="122"/>
      <c r="ES737" s="122"/>
      <c r="ET737" s="122"/>
      <c r="EU737" s="202">
        <f>EG737/EL737</f>
        <v>6.0032894736842106</v>
      </c>
      <c r="EV737" s="122"/>
      <c r="EW737" s="122"/>
      <c r="EX737" s="122"/>
      <c r="EY737" s="122"/>
      <c r="EZ737" s="122"/>
      <c r="FA737" s="122"/>
      <c r="FB737" s="122"/>
      <c r="FC737" s="122"/>
      <c r="FD737" s="122"/>
      <c r="FE737" s="122"/>
      <c r="FF737" s="122"/>
      <c r="FG737" s="122"/>
      <c r="FH737" s="122"/>
      <c r="FI737" s="122"/>
      <c r="FJ737" s="122"/>
      <c r="FK737" s="122"/>
      <c r="FL737" s="122"/>
      <c r="FM737" s="122"/>
      <c r="FN737" s="122"/>
      <c r="FO737" s="122"/>
      <c r="FP737" s="122"/>
      <c r="FQ737" s="122"/>
      <c r="FR737" s="122"/>
      <c r="FS737" s="122"/>
      <c r="FT737" s="122"/>
      <c r="FU737" s="122"/>
      <c r="FV737" s="122"/>
      <c r="FW737" s="122"/>
      <c r="FX737" s="122"/>
      <c r="FY737" s="122"/>
      <c r="FZ737" s="122"/>
      <c r="GA737" s="122"/>
      <c r="GB737" s="122"/>
      <c r="GC737" s="122"/>
      <c r="GD737" s="122"/>
      <c r="GE737" s="122"/>
      <c r="GF737" s="122"/>
      <c r="GG737" s="122"/>
      <c r="GH737" s="122"/>
      <c r="GI737" s="122"/>
      <c r="GJ737" s="122"/>
      <c r="GK737" s="122"/>
      <c r="GL737" s="122"/>
      <c r="GM737" s="122"/>
      <c r="GN737" s="122"/>
      <c r="GO737" s="122"/>
      <c r="GP737" s="122"/>
      <c r="GQ737" s="122"/>
      <c r="GR737" s="210">
        <v>0.11</v>
      </c>
      <c r="GS737" s="202">
        <f>GR737*(BA737+EU737)</f>
        <v>2.9253135421052638</v>
      </c>
      <c r="GT737" s="208">
        <v>1.2500000000000001E-2</v>
      </c>
      <c r="GU737" s="203">
        <f>GT737*(BA737+EU737)</f>
        <v>0.33242199342105272</v>
      </c>
      <c r="GV737" s="207">
        <v>0.02</v>
      </c>
      <c r="GW737" s="203">
        <f>GV737*EU737</f>
        <v>0.12006578947368421</v>
      </c>
      <c r="GX737" s="203">
        <f>GS737+GU737+GW737</f>
        <v>3.3778013250000005</v>
      </c>
      <c r="GY737" s="122" t="s">
        <v>43</v>
      </c>
      <c r="GZ737" s="122" t="s">
        <v>87</v>
      </c>
      <c r="HA737" s="122">
        <v>805</v>
      </c>
      <c r="HB737" s="122">
        <v>675</v>
      </c>
      <c r="HC737" s="122">
        <v>405</v>
      </c>
      <c r="HD737" s="122">
        <v>70</v>
      </c>
      <c r="HE737" s="122">
        <v>600</v>
      </c>
      <c r="HF737" s="103">
        <f t="shared" si="695"/>
        <v>9</v>
      </c>
      <c r="HG737" s="122">
        <v>5</v>
      </c>
      <c r="HH737" s="122">
        <f t="shared" si="696"/>
        <v>45</v>
      </c>
      <c r="HI737" s="122">
        <v>1100</v>
      </c>
      <c r="HJ737" s="122">
        <f t="shared" si="697"/>
        <v>49500</v>
      </c>
      <c r="HK737" s="122"/>
      <c r="HL737" s="122"/>
      <c r="HM737" s="122">
        <v>2</v>
      </c>
      <c r="HN737" s="122">
        <f t="shared" si="698"/>
        <v>360000</v>
      </c>
      <c r="HO737" s="202">
        <f t="shared" si="699"/>
        <v>0.13750000000000001</v>
      </c>
      <c r="HP737" s="122">
        <v>160</v>
      </c>
      <c r="HQ737" s="122">
        <v>0</v>
      </c>
      <c r="HR737" s="122">
        <v>3.1</v>
      </c>
      <c r="HS737" s="122">
        <v>1</v>
      </c>
      <c r="HT737" s="357">
        <f>HR737/HS737</f>
        <v>3.1</v>
      </c>
      <c r="HU737" s="357"/>
      <c r="HV737" s="202">
        <f t="shared" si="702"/>
        <v>3.2375000000000003</v>
      </c>
      <c r="HW737" s="202"/>
      <c r="HX737" s="122">
        <v>5016</v>
      </c>
      <c r="HY737" s="122">
        <v>1976</v>
      </c>
      <c r="HZ737" s="122">
        <v>2280</v>
      </c>
      <c r="IA737" s="122">
        <f t="shared" si="700"/>
        <v>6</v>
      </c>
      <c r="IB737" s="122">
        <f t="shared" si="700"/>
        <v>2</v>
      </c>
      <c r="IC737" s="122">
        <f t="shared" si="700"/>
        <v>5</v>
      </c>
      <c r="ID737" s="210">
        <v>1</v>
      </c>
      <c r="IE737" s="203">
        <f>ROUND(PRODUCT(IA737:ID737),0)-10</f>
        <v>50</v>
      </c>
      <c r="IF737" s="122">
        <v>500</v>
      </c>
      <c r="IG737" s="202">
        <f t="shared" si="701"/>
        <v>0.14285714285714285</v>
      </c>
      <c r="IH737" s="20"/>
    </row>
    <row r="738" spans="1:242">
      <c r="A738">
        <v>723</v>
      </c>
      <c r="B738" t="s">
        <v>468</v>
      </c>
      <c r="C738" s="121" t="s">
        <v>2860</v>
      </c>
      <c r="D738" s="28" t="s">
        <v>1545</v>
      </c>
      <c r="E738" s="28" t="s">
        <v>1546</v>
      </c>
      <c r="F738" s="28" t="s">
        <v>2182</v>
      </c>
      <c r="G738" s="27" t="s">
        <v>102</v>
      </c>
      <c r="I738" s="27" t="s">
        <v>226</v>
      </c>
      <c r="J738" s="28">
        <v>21590</v>
      </c>
      <c r="K738" s="27" t="s">
        <v>397</v>
      </c>
      <c r="L738" s="121"/>
      <c r="M738" s="121"/>
      <c r="N738" s="115"/>
      <c r="O738" s="115"/>
      <c r="P738" s="115"/>
      <c r="Q738" s="139" t="s">
        <v>2773</v>
      </c>
      <c r="R738" s="137" t="s">
        <v>2760</v>
      </c>
      <c r="S738" s="137" t="s">
        <v>2852</v>
      </c>
      <c r="T738" s="121" t="s">
        <v>2762</v>
      </c>
      <c r="U738" s="326">
        <v>45107</v>
      </c>
      <c r="V738" s="121" t="s">
        <v>2748</v>
      </c>
      <c r="W738" s="218"/>
      <c r="X738" s="121"/>
      <c r="Y738" s="121"/>
      <c r="Z738" s="121"/>
      <c r="AA738" s="115" t="s">
        <v>2861</v>
      </c>
      <c r="AB738" s="121">
        <v>179.4</v>
      </c>
      <c r="AC738" s="121">
        <v>20</v>
      </c>
      <c r="AD738" s="122" t="s">
        <v>1200</v>
      </c>
      <c r="AE738" s="219">
        <f>BA738</f>
        <v>26.730599999999999</v>
      </c>
      <c r="AF738" s="219"/>
      <c r="AG738" s="219">
        <f>EU738+EM738</f>
        <v>6.2962962962962967</v>
      </c>
      <c r="AH738" s="219">
        <f t="shared" si="689"/>
        <v>0</v>
      </c>
      <c r="AI738" s="219">
        <f t="shared" si="690"/>
        <v>0</v>
      </c>
      <c r="AJ738" s="219">
        <f>GW738</f>
        <v>0.12592592592592594</v>
      </c>
      <c r="AK738" s="219">
        <f>GU738</f>
        <v>0.41283620370370366</v>
      </c>
      <c r="AL738" s="219">
        <f>GS738</f>
        <v>3.6329585925925922</v>
      </c>
      <c r="AM738" s="219">
        <f t="shared" si="691"/>
        <v>2.3904166666666669</v>
      </c>
      <c r="AN738" s="219">
        <f t="shared" si="692"/>
        <v>0.14619883040935672</v>
      </c>
      <c r="AO738" s="220">
        <v>0</v>
      </c>
      <c r="AP738" s="220"/>
      <c r="AQ738" s="204">
        <f t="shared" si="693"/>
        <v>39.735232515594539</v>
      </c>
      <c r="AR738" s="219"/>
      <c r="AS738" s="219"/>
      <c r="AT738" s="220"/>
      <c r="AU738" s="219"/>
      <c r="AV738" s="204">
        <f t="shared" si="694"/>
        <v>39.735232515594539</v>
      </c>
      <c r="AW738" s="122">
        <v>0.14899999999999999</v>
      </c>
      <c r="AX738" s="122">
        <v>0.14899999999999999</v>
      </c>
      <c r="AY738" s="210">
        <v>1</v>
      </c>
      <c r="AZ738" s="122">
        <f>AW738-AX738</f>
        <v>0</v>
      </c>
      <c r="BA738" s="202">
        <f>AW738*AB738-AZ738*AC738</f>
        <v>26.730599999999999</v>
      </c>
      <c r="BB738" s="202"/>
      <c r="BC738" s="202"/>
      <c r="BD738" s="202"/>
      <c r="BE738" s="202"/>
      <c r="BF738" s="202"/>
      <c r="BG738" s="202"/>
      <c r="BH738" s="202"/>
      <c r="BI738" s="202"/>
      <c r="BJ738" s="202"/>
      <c r="BK738" s="202"/>
      <c r="BL738" s="202"/>
      <c r="BM738" s="202"/>
      <c r="BN738" s="202"/>
      <c r="BO738" s="202"/>
      <c r="BP738" s="202"/>
      <c r="BQ738" s="202"/>
      <c r="BR738" s="202"/>
      <c r="BS738" s="202"/>
      <c r="BT738" s="202"/>
      <c r="BU738" s="202"/>
      <c r="BV738" s="202"/>
      <c r="BW738" s="202"/>
      <c r="BX738" s="202"/>
      <c r="BY738" s="202"/>
      <c r="BZ738" s="202"/>
      <c r="CA738" s="202"/>
      <c r="CB738" s="202"/>
      <c r="CC738" s="202"/>
      <c r="CD738" s="122"/>
      <c r="CE738" s="122">
        <v>0</v>
      </c>
      <c r="CF738" s="122">
        <v>0</v>
      </c>
      <c r="CG738" s="122">
        <v>0</v>
      </c>
      <c r="CH738" s="122">
        <v>0</v>
      </c>
      <c r="CI738" s="121"/>
      <c r="CJ738" s="121"/>
      <c r="CK738" s="122"/>
      <c r="CL738" s="122"/>
      <c r="CM738" s="122"/>
      <c r="CN738" s="122"/>
      <c r="CO738" s="122"/>
      <c r="CP738" s="122"/>
      <c r="CQ738" s="122"/>
      <c r="CR738" s="122"/>
      <c r="CS738" s="122"/>
      <c r="CT738" s="122"/>
      <c r="CU738" s="122"/>
      <c r="CV738" s="122"/>
      <c r="CW738" s="122"/>
      <c r="CX738" s="122"/>
      <c r="CY738" s="122"/>
      <c r="CZ738" s="122"/>
      <c r="DA738" s="122"/>
      <c r="DB738" s="122"/>
      <c r="DC738" s="122"/>
      <c r="DD738" s="122"/>
      <c r="DE738" s="122"/>
      <c r="DF738" s="122"/>
      <c r="DG738" s="122"/>
      <c r="DH738" s="122"/>
      <c r="DI738" s="122"/>
      <c r="DJ738" s="122"/>
      <c r="DK738" s="122"/>
      <c r="DL738" s="122"/>
      <c r="DM738" s="103">
        <f>CM738+CR738+CW738+DB738+DG738+DL738+CH738</f>
        <v>0</v>
      </c>
      <c r="DN738" s="211">
        <v>1.2500000000000001E-2</v>
      </c>
      <c r="DO738" s="122">
        <f>DN738*CG738*CF738</f>
        <v>0</v>
      </c>
      <c r="DP738" s="122">
        <f>CG738*CF738</f>
        <v>0</v>
      </c>
      <c r="DQ738" s="122"/>
      <c r="DR738" s="122"/>
      <c r="DS738" s="122"/>
      <c r="DT738" s="122"/>
      <c r="DU738" s="122"/>
      <c r="DV738" s="122"/>
      <c r="DW738" s="122"/>
      <c r="DX738" s="122"/>
      <c r="DY738" s="122"/>
      <c r="DZ738" s="122"/>
      <c r="EA738" s="122"/>
      <c r="EB738" s="122"/>
      <c r="EC738" s="122"/>
      <c r="ED738" s="122"/>
      <c r="EE738" s="122"/>
      <c r="EF738" s="122">
        <v>450</v>
      </c>
      <c r="EG738" s="122">
        <v>4500</v>
      </c>
      <c r="EH738" s="122">
        <v>7.5</v>
      </c>
      <c r="EI738" s="210">
        <v>0.9</v>
      </c>
      <c r="EJ738" s="122">
        <v>2</v>
      </c>
      <c r="EK738" s="122">
        <v>68</v>
      </c>
      <c r="EL738" s="221">
        <f>(3600/EK738*EH738*EJ738*EI738)</f>
        <v>714.7058823529411</v>
      </c>
      <c r="EM738" s="122"/>
      <c r="EN738" s="122"/>
      <c r="EO738" s="122"/>
      <c r="EP738" s="122"/>
      <c r="EQ738" s="122"/>
      <c r="ER738" s="122"/>
      <c r="ES738" s="122"/>
      <c r="ET738" s="122"/>
      <c r="EU738" s="202">
        <f>EG738/EL738</f>
        <v>6.2962962962962967</v>
      </c>
      <c r="EV738" s="122"/>
      <c r="EW738" s="122"/>
      <c r="EX738" s="122"/>
      <c r="EY738" s="122"/>
      <c r="EZ738" s="122"/>
      <c r="FA738" s="122"/>
      <c r="FB738" s="122"/>
      <c r="FC738" s="122"/>
      <c r="FD738" s="122"/>
      <c r="FE738" s="122"/>
      <c r="FF738" s="122"/>
      <c r="FG738" s="122"/>
      <c r="FH738" s="122"/>
      <c r="FI738" s="122"/>
      <c r="FJ738" s="122"/>
      <c r="FK738" s="122"/>
      <c r="FL738" s="122"/>
      <c r="FM738" s="122"/>
      <c r="FN738" s="122"/>
      <c r="FO738" s="122"/>
      <c r="FP738" s="122"/>
      <c r="FQ738" s="122"/>
      <c r="FR738" s="122"/>
      <c r="FS738" s="122"/>
      <c r="FT738" s="122"/>
      <c r="FU738" s="122"/>
      <c r="FV738" s="122"/>
      <c r="FW738" s="122"/>
      <c r="FX738" s="122"/>
      <c r="FY738" s="122"/>
      <c r="FZ738" s="122"/>
      <c r="GA738" s="122"/>
      <c r="GB738" s="122"/>
      <c r="GC738" s="122"/>
      <c r="GD738" s="122"/>
      <c r="GE738" s="122"/>
      <c r="GF738" s="122"/>
      <c r="GG738" s="122"/>
      <c r="GH738" s="122"/>
      <c r="GI738" s="122"/>
      <c r="GJ738" s="122"/>
      <c r="GK738" s="122"/>
      <c r="GL738" s="122"/>
      <c r="GM738" s="122"/>
      <c r="GN738" s="122"/>
      <c r="GO738" s="122"/>
      <c r="GP738" s="122"/>
      <c r="GQ738" s="122"/>
      <c r="GR738" s="210">
        <v>0.11</v>
      </c>
      <c r="GS738" s="202">
        <f>GR738*(BA738+EU738)</f>
        <v>3.6329585925925922</v>
      </c>
      <c r="GT738" s="208">
        <v>1.2500000000000001E-2</v>
      </c>
      <c r="GU738" s="203">
        <f>GT738*(BA738+EU738)</f>
        <v>0.41283620370370366</v>
      </c>
      <c r="GV738" s="207">
        <v>0.02</v>
      </c>
      <c r="GW738" s="203">
        <f>GV738*EU738</f>
        <v>0.12592592592592594</v>
      </c>
      <c r="GX738" s="203">
        <f>GS738+GU738+GW738</f>
        <v>4.1717207222222212</v>
      </c>
      <c r="GY738" s="122" t="s">
        <v>43</v>
      </c>
      <c r="GZ738" s="122" t="s">
        <v>87</v>
      </c>
      <c r="HA738" s="122">
        <v>810</v>
      </c>
      <c r="HB738" s="122">
        <v>568</v>
      </c>
      <c r="HC738" s="122">
        <v>425</v>
      </c>
      <c r="HD738" s="122">
        <v>60</v>
      </c>
      <c r="HE738" s="122">
        <v>400</v>
      </c>
      <c r="HF738" s="122">
        <f t="shared" si="695"/>
        <v>7</v>
      </c>
      <c r="HG738" s="122">
        <v>5</v>
      </c>
      <c r="HH738" s="122">
        <f t="shared" si="696"/>
        <v>35</v>
      </c>
      <c r="HI738" s="122">
        <v>1100</v>
      </c>
      <c r="HJ738" s="122">
        <f t="shared" si="697"/>
        <v>38500</v>
      </c>
      <c r="HK738" s="122"/>
      <c r="HL738" s="122"/>
      <c r="HM738" s="122">
        <v>2</v>
      </c>
      <c r="HN738" s="122">
        <f t="shared" si="698"/>
        <v>240000</v>
      </c>
      <c r="HO738" s="202">
        <f t="shared" si="699"/>
        <v>0.16041666666666668</v>
      </c>
      <c r="HP738" s="122">
        <v>160</v>
      </c>
      <c r="HQ738" s="122">
        <v>0</v>
      </c>
      <c r="HR738" s="122">
        <v>2.23</v>
      </c>
      <c r="HS738" s="122">
        <v>1</v>
      </c>
      <c r="HT738" s="357">
        <f>HR738/HS738</f>
        <v>2.23</v>
      </c>
      <c r="HU738" s="357"/>
      <c r="HV738" s="202">
        <f t="shared" si="702"/>
        <v>2.3904166666666669</v>
      </c>
      <c r="HW738" s="202"/>
      <c r="HX738" s="122">
        <v>4200</v>
      </c>
      <c r="HY738" s="122">
        <v>1900</v>
      </c>
      <c r="HZ738" s="122">
        <v>1975</v>
      </c>
      <c r="IA738" s="122">
        <f t="shared" si="700"/>
        <v>5</v>
      </c>
      <c r="IB738" s="122">
        <f t="shared" si="700"/>
        <v>3</v>
      </c>
      <c r="IC738" s="122">
        <f t="shared" si="700"/>
        <v>4</v>
      </c>
      <c r="ID738" s="210">
        <v>0.95</v>
      </c>
      <c r="IE738" s="203">
        <f>ROUND(PRODUCT(IA738:ID738),0)</f>
        <v>57</v>
      </c>
      <c r="IF738" s="122">
        <v>500</v>
      </c>
      <c r="IG738" s="202">
        <f t="shared" si="701"/>
        <v>0.14619883040935672</v>
      </c>
      <c r="IH738" s="20"/>
    </row>
    <row r="739" spans="1:242">
      <c r="A739">
        <v>724</v>
      </c>
      <c r="B739" t="s">
        <v>468</v>
      </c>
      <c r="C739" s="121" t="s">
        <v>2862</v>
      </c>
      <c r="D739" s="28" t="s">
        <v>1547</v>
      </c>
      <c r="E739" s="28" t="s">
        <v>1548</v>
      </c>
      <c r="F739" s="28" t="s">
        <v>2182</v>
      </c>
      <c r="G739" s="27" t="s">
        <v>102</v>
      </c>
      <c r="I739" s="27" t="s">
        <v>121</v>
      </c>
      <c r="J739" s="28">
        <v>21677</v>
      </c>
      <c r="K739" s="27" t="s">
        <v>228</v>
      </c>
      <c r="L739" s="121"/>
      <c r="M739" s="121"/>
      <c r="N739" s="115"/>
      <c r="O739" s="115"/>
      <c r="P739" s="115"/>
      <c r="Q739" s="139" t="s">
        <v>2778</v>
      </c>
      <c r="R739" s="137" t="s">
        <v>2779</v>
      </c>
      <c r="S739" s="121" t="s">
        <v>2810</v>
      </c>
      <c r="T739" s="121"/>
      <c r="U739" s="121"/>
      <c r="V739" s="121" t="s">
        <v>2748</v>
      </c>
      <c r="W739" s="218"/>
      <c r="X739" s="121"/>
      <c r="Y739" s="121"/>
      <c r="Z739" s="121"/>
      <c r="AA739" s="115" t="s">
        <v>2821</v>
      </c>
      <c r="AB739" s="121">
        <v>126.69</v>
      </c>
      <c r="AC739" s="121">
        <v>20</v>
      </c>
      <c r="AD739" s="122" t="s">
        <v>596</v>
      </c>
      <c r="AE739" s="219">
        <f>BA739</f>
        <v>20.590470000000003</v>
      </c>
      <c r="AF739" s="219"/>
      <c r="AG739" s="219">
        <f>EU739+EM739</f>
        <v>6.0032894736842106</v>
      </c>
      <c r="AH739" s="219">
        <f t="shared" si="689"/>
        <v>0</v>
      </c>
      <c r="AI739" s="219">
        <f t="shared" si="690"/>
        <v>0</v>
      </c>
      <c r="AJ739" s="219">
        <f>GW739</f>
        <v>0.12006578947368421</v>
      </c>
      <c r="AK739" s="219">
        <f>GU739</f>
        <v>0.33242199342105272</v>
      </c>
      <c r="AL739" s="219">
        <f>GS739</f>
        <v>2.9253135421052638</v>
      </c>
      <c r="AM739" s="219">
        <f t="shared" si="691"/>
        <v>3.2375000000000003</v>
      </c>
      <c r="AN739" s="219">
        <f t="shared" si="692"/>
        <v>0.14285714285714285</v>
      </c>
      <c r="AO739" s="220">
        <v>0</v>
      </c>
      <c r="AP739" s="220"/>
      <c r="AQ739" s="204">
        <f t="shared" si="693"/>
        <v>33.351917941541366</v>
      </c>
      <c r="AR739" s="219"/>
      <c r="AS739" s="219"/>
      <c r="AT739" s="220"/>
      <c r="AU739" s="219"/>
      <c r="AV739" s="204">
        <f t="shared" si="694"/>
        <v>33.351917941541366</v>
      </c>
      <c r="AW739" s="122">
        <v>0.16300000000000001</v>
      </c>
      <c r="AX739" s="122">
        <v>0.16</v>
      </c>
      <c r="AY739" s="210">
        <v>1</v>
      </c>
      <c r="AZ739" s="122">
        <f>AW739-AX739</f>
        <v>3.0000000000000027E-3</v>
      </c>
      <c r="BA739" s="202">
        <f>AW739*AB739-AZ739*AC739</f>
        <v>20.590470000000003</v>
      </c>
      <c r="BB739" s="202"/>
      <c r="BC739" s="202"/>
      <c r="BD739" s="202"/>
      <c r="BE739" s="202"/>
      <c r="BF739" s="202"/>
      <c r="BG739" s="202"/>
      <c r="BH739" s="202"/>
      <c r="BI739" s="202"/>
      <c r="BJ739" s="202"/>
      <c r="BK739" s="202"/>
      <c r="BL739" s="202"/>
      <c r="BM739" s="202"/>
      <c r="BN739" s="202"/>
      <c r="BO739" s="202"/>
      <c r="BP739" s="202"/>
      <c r="BQ739" s="202"/>
      <c r="BR739" s="202"/>
      <c r="BS739" s="202"/>
      <c r="BT739" s="202"/>
      <c r="BU739" s="202"/>
      <c r="BV739" s="202"/>
      <c r="BW739" s="202"/>
      <c r="BX739" s="202"/>
      <c r="BY739" s="202"/>
      <c r="BZ739" s="202"/>
      <c r="CA739" s="202"/>
      <c r="CB739" s="202"/>
      <c r="CC739" s="202"/>
      <c r="CD739" s="122"/>
      <c r="CE739" s="122">
        <v>0</v>
      </c>
      <c r="CF739" s="122">
        <v>0</v>
      </c>
      <c r="CG739" s="122">
        <v>0</v>
      </c>
      <c r="CH739" s="122">
        <v>0</v>
      </c>
      <c r="CI739" s="121"/>
      <c r="CJ739" s="121"/>
      <c r="CK739" s="122"/>
      <c r="CL739" s="122"/>
      <c r="CM739" s="122"/>
      <c r="CN739" s="122"/>
      <c r="CO739" s="122"/>
      <c r="CP739" s="122"/>
      <c r="CQ739" s="122"/>
      <c r="CR739" s="122"/>
      <c r="CS739" s="122"/>
      <c r="CT739" s="122"/>
      <c r="CU739" s="122"/>
      <c r="CV739" s="122"/>
      <c r="CW739" s="122"/>
      <c r="CX739" s="122"/>
      <c r="CY739" s="122"/>
      <c r="CZ739" s="122"/>
      <c r="DA739" s="122"/>
      <c r="DB739" s="122"/>
      <c r="DC739" s="122"/>
      <c r="DD739" s="122"/>
      <c r="DE739" s="122"/>
      <c r="DF739" s="122"/>
      <c r="DG739" s="122"/>
      <c r="DH739" s="122"/>
      <c r="DI739" s="122"/>
      <c r="DJ739" s="122"/>
      <c r="DK739" s="122"/>
      <c r="DL739" s="122"/>
      <c r="DM739" s="103">
        <f>CM739+CR739+CW739+DB739+DG739+DL739+CH739</f>
        <v>0</v>
      </c>
      <c r="DN739" s="211">
        <v>1.2500000000000001E-2</v>
      </c>
      <c r="DO739" s="122">
        <f>DN739*CG739*CF739</f>
        <v>0</v>
      </c>
      <c r="DP739" s="122">
        <f>CG739*CF739</f>
        <v>0</v>
      </c>
      <c r="DQ739" s="122"/>
      <c r="DR739" s="122"/>
      <c r="DS739" s="122"/>
      <c r="DT739" s="122"/>
      <c r="DU739" s="122"/>
      <c r="DV739" s="122"/>
      <c r="DW739" s="122"/>
      <c r="DX739" s="122"/>
      <c r="DY739" s="122"/>
      <c r="DZ739" s="122"/>
      <c r="EA739" s="122"/>
      <c r="EB739" s="122"/>
      <c r="EC739" s="122"/>
      <c r="ED739" s="122"/>
      <c r="EE739" s="122"/>
      <c r="EF739" s="122">
        <v>450</v>
      </c>
      <c r="EG739" s="122">
        <v>4500</v>
      </c>
      <c r="EH739" s="122">
        <v>8</v>
      </c>
      <c r="EI739" s="210">
        <v>0.95</v>
      </c>
      <c r="EJ739" s="122">
        <v>2</v>
      </c>
      <c r="EK739" s="122">
        <v>73</v>
      </c>
      <c r="EL739" s="221">
        <f>(3600/EK739*EH739*EJ739*EI739)</f>
        <v>749.58904109589037</v>
      </c>
      <c r="EM739" s="122"/>
      <c r="EN739" s="122"/>
      <c r="EO739" s="122"/>
      <c r="EP739" s="122"/>
      <c r="EQ739" s="122"/>
      <c r="ER739" s="122"/>
      <c r="ES739" s="122"/>
      <c r="ET739" s="122"/>
      <c r="EU739" s="202">
        <f>EG739/EL739</f>
        <v>6.0032894736842106</v>
      </c>
      <c r="EV739" s="122"/>
      <c r="EW739" s="122"/>
      <c r="EX739" s="122"/>
      <c r="EY739" s="122"/>
      <c r="EZ739" s="122"/>
      <c r="FA739" s="122"/>
      <c r="FB739" s="122"/>
      <c r="FC739" s="122"/>
      <c r="FD739" s="122"/>
      <c r="FE739" s="122"/>
      <c r="FF739" s="122"/>
      <c r="FG739" s="122"/>
      <c r="FH739" s="122"/>
      <c r="FI739" s="122"/>
      <c r="FJ739" s="122"/>
      <c r="FK739" s="122"/>
      <c r="FL739" s="122"/>
      <c r="FM739" s="122"/>
      <c r="FN739" s="122"/>
      <c r="FO739" s="122"/>
      <c r="FP739" s="122"/>
      <c r="FQ739" s="122"/>
      <c r="FR739" s="122"/>
      <c r="FS739" s="122"/>
      <c r="FT739" s="122"/>
      <c r="FU739" s="122"/>
      <c r="FV739" s="122"/>
      <c r="FW739" s="122"/>
      <c r="FX739" s="122"/>
      <c r="FY739" s="122"/>
      <c r="FZ739" s="122"/>
      <c r="GA739" s="122"/>
      <c r="GB739" s="122"/>
      <c r="GC739" s="122"/>
      <c r="GD739" s="122"/>
      <c r="GE739" s="122"/>
      <c r="GF739" s="122"/>
      <c r="GG739" s="122"/>
      <c r="GH739" s="122"/>
      <c r="GI739" s="122"/>
      <c r="GJ739" s="122"/>
      <c r="GK739" s="122"/>
      <c r="GL739" s="122"/>
      <c r="GM739" s="122"/>
      <c r="GN739" s="122"/>
      <c r="GO739" s="122"/>
      <c r="GP739" s="122"/>
      <c r="GQ739" s="122"/>
      <c r="GR739" s="210">
        <v>0.11</v>
      </c>
      <c r="GS739" s="202">
        <f>GR739*(BA739+EU739)</f>
        <v>2.9253135421052638</v>
      </c>
      <c r="GT739" s="208">
        <v>1.2500000000000001E-2</v>
      </c>
      <c r="GU739" s="203">
        <f>GT739*(BA739+EU739)</f>
        <v>0.33242199342105272</v>
      </c>
      <c r="GV739" s="207">
        <v>0.02</v>
      </c>
      <c r="GW739" s="203">
        <f>GV739*EU739</f>
        <v>0.12006578947368421</v>
      </c>
      <c r="GX739" s="203">
        <f>GS739+GU739+GW739</f>
        <v>3.3778013250000005</v>
      </c>
      <c r="GY739" s="122" t="s">
        <v>43</v>
      </c>
      <c r="GZ739" s="122" t="s">
        <v>87</v>
      </c>
      <c r="HA739" s="122">
        <v>805</v>
      </c>
      <c r="HB739" s="122">
        <v>675</v>
      </c>
      <c r="HC739" s="122">
        <v>405</v>
      </c>
      <c r="HD739" s="122">
        <v>70</v>
      </c>
      <c r="HE739" s="122">
        <v>600</v>
      </c>
      <c r="HF739" s="103">
        <f t="shared" si="695"/>
        <v>9</v>
      </c>
      <c r="HG739" s="122">
        <v>5</v>
      </c>
      <c r="HH739" s="122">
        <f t="shared" si="696"/>
        <v>45</v>
      </c>
      <c r="HI739" s="122">
        <v>1100</v>
      </c>
      <c r="HJ739" s="122">
        <f t="shared" si="697"/>
        <v>49500</v>
      </c>
      <c r="HK739" s="122"/>
      <c r="HL739" s="122"/>
      <c r="HM739" s="122">
        <v>2</v>
      </c>
      <c r="HN739" s="122">
        <f t="shared" si="698"/>
        <v>360000</v>
      </c>
      <c r="HO739" s="202">
        <f t="shared" si="699"/>
        <v>0.13750000000000001</v>
      </c>
      <c r="HP739" s="122">
        <v>160</v>
      </c>
      <c r="HQ739" s="122">
        <v>0</v>
      </c>
      <c r="HR739" s="122">
        <v>3.1</v>
      </c>
      <c r="HS739" s="122">
        <v>1</v>
      </c>
      <c r="HT739" s="357">
        <f>HR739/HS739</f>
        <v>3.1</v>
      </c>
      <c r="HU739" s="357"/>
      <c r="HV739" s="202">
        <f t="shared" si="702"/>
        <v>3.2375000000000003</v>
      </c>
      <c r="HW739" s="202"/>
      <c r="HX739" s="122">
        <v>5016</v>
      </c>
      <c r="HY739" s="122">
        <v>1976</v>
      </c>
      <c r="HZ739" s="122">
        <v>2280</v>
      </c>
      <c r="IA739" s="122">
        <f t="shared" si="700"/>
        <v>6</v>
      </c>
      <c r="IB739" s="122">
        <f t="shared" si="700"/>
        <v>2</v>
      </c>
      <c r="IC739" s="122">
        <f t="shared" si="700"/>
        <v>5</v>
      </c>
      <c r="ID739" s="210">
        <v>1</v>
      </c>
      <c r="IE739" s="203">
        <f>ROUND(PRODUCT(IA739:ID739),0)-10</f>
        <v>50</v>
      </c>
      <c r="IF739" s="122">
        <v>500</v>
      </c>
      <c r="IG739" s="202">
        <f t="shared" si="701"/>
        <v>0.14285714285714285</v>
      </c>
      <c r="IH739" s="20"/>
    </row>
    <row r="740" spans="1:242">
      <c r="A740">
        <v>725</v>
      </c>
      <c r="B740" t="s">
        <v>468</v>
      </c>
      <c r="C740" s="121" t="s">
        <v>2863</v>
      </c>
      <c r="D740" s="28" t="s">
        <v>1547</v>
      </c>
      <c r="E740" s="28" t="s">
        <v>1548</v>
      </c>
      <c r="F740" s="28" t="s">
        <v>2182</v>
      </c>
      <c r="G740" s="27" t="s">
        <v>102</v>
      </c>
      <c r="I740" s="27" t="s">
        <v>226</v>
      </c>
      <c r="J740" s="28">
        <v>21590</v>
      </c>
      <c r="K740" s="27" t="s">
        <v>397</v>
      </c>
      <c r="L740" s="121"/>
      <c r="M740" s="121"/>
      <c r="N740" s="115"/>
      <c r="O740" s="115"/>
      <c r="P740" s="115"/>
      <c r="Q740" s="139" t="s">
        <v>2773</v>
      </c>
      <c r="R740" s="137" t="s">
        <v>2760</v>
      </c>
      <c r="S740" s="137" t="s">
        <v>2852</v>
      </c>
      <c r="T740" s="121" t="s">
        <v>2762</v>
      </c>
      <c r="U740" s="326">
        <v>45107</v>
      </c>
      <c r="V740" s="121" t="s">
        <v>2748</v>
      </c>
      <c r="W740" s="218"/>
      <c r="X740" s="121"/>
      <c r="Y740" s="121"/>
      <c r="Z740" s="121"/>
      <c r="AA740" s="115" t="s">
        <v>2861</v>
      </c>
      <c r="AB740" s="121">
        <v>179.4</v>
      </c>
      <c r="AC740" s="121">
        <v>20</v>
      </c>
      <c r="AD740" s="122" t="s">
        <v>1200</v>
      </c>
      <c r="AE740" s="219">
        <f>BA740</f>
        <v>26.730599999999999</v>
      </c>
      <c r="AF740" s="219"/>
      <c r="AG740" s="219">
        <f>EU740+EM740</f>
        <v>6.2962962962962967</v>
      </c>
      <c r="AH740" s="219">
        <f t="shared" si="689"/>
        <v>0</v>
      </c>
      <c r="AI740" s="219">
        <f t="shared" si="690"/>
        <v>0</v>
      </c>
      <c r="AJ740" s="219">
        <f>GW740</f>
        <v>0.12592592592592594</v>
      </c>
      <c r="AK740" s="219">
        <f>GU740</f>
        <v>0.41283620370370366</v>
      </c>
      <c r="AL740" s="219">
        <f>GS740</f>
        <v>3.6329585925925922</v>
      </c>
      <c r="AM740" s="219">
        <f t="shared" si="691"/>
        <v>2.3904166666666669</v>
      </c>
      <c r="AN740" s="219">
        <f t="shared" si="692"/>
        <v>0.14619883040935672</v>
      </c>
      <c r="AO740" s="220">
        <v>0</v>
      </c>
      <c r="AP740" s="220"/>
      <c r="AQ740" s="204">
        <f t="shared" si="693"/>
        <v>39.735232515594539</v>
      </c>
      <c r="AR740" s="219"/>
      <c r="AS740" s="219"/>
      <c r="AT740" s="220"/>
      <c r="AU740" s="219"/>
      <c r="AV740" s="204">
        <f t="shared" si="694"/>
        <v>39.735232515594539</v>
      </c>
      <c r="AW740" s="122">
        <v>0.14899999999999999</v>
      </c>
      <c r="AX740" s="122">
        <v>0.14899999999999999</v>
      </c>
      <c r="AY740" s="210">
        <v>1</v>
      </c>
      <c r="AZ740" s="122">
        <f>AW740-AX740</f>
        <v>0</v>
      </c>
      <c r="BA740" s="202">
        <f>AW740*AB740-AZ740*AC740</f>
        <v>26.730599999999999</v>
      </c>
      <c r="BB740" s="202"/>
      <c r="BC740" s="202"/>
      <c r="BD740" s="202"/>
      <c r="BE740" s="202"/>
      <c r="BF740" s="202"/>
      <c r="BG740" s="202"/>
      <c r="BH740" s="202"/>
      <c r="BI740" s="202"/>
      <c r="BJ740" s="202"/>
      <c r="BK740" s="202"/>
      <c r="BL740" s="202"/>
      <c r="BM740" s="202"/>
      <c r="BN740" s="202"/>
      <c r="BO740" s="202"/>
      <c r="BP740" s="202"/>
      <c r="BQ740" s="202"/>
      <c r="BR740" s="202"/>
      <c r="BS740" s="202"/>
      <c r="BT740" s="202"/>
      <c r="BU740" s="202"/>
      <c r="BV740" s="202"/>
      <c r="BW740" s="202"/>
      <c r="BX740" s="202"/>
      <c r="BY740" s="202"/>
      <c r="BZ740" s="202"/>
      <c r="CA740" s="202"/>
      <c r="CB740" s="202"/>
      <c r="CC740" s="202"/>
      <c r="CD740" s="122"/>
      <c r="CE740" s="122">
        <v>0</v>
      </c>
      <c r="CF740" s="122">
        <v>0</v>
      </c>
      <c r="CG740" s="122">
        <v>0</v>
      </c>
      <c r="CH740" s="122">
        <v>0</v>
      </c>
      <c r="CI740" s="121"/>
      <c r="CJ740" s="121"/>
      <c r="CK740" s="122"/>
      <c r="CL740" s="122"/>
      <c r="CM740" s="122"/>
      <c r="CN740" s="122"/>
      <c r="CO740" s="122"/>
      <c r="CP740" s="122"/>
      <c r="CQ740" s="122"/>
      <c r="CR740" s="122"/>
      <c r="CS740" s="122"/>
      <c r="CT740" s="122"/>
      <c r="CU740" s="122"/>
      <c r="CV740" s="122"/>
      <c r="CW740" s="122"/>
      <c r="CX740" s="122"/>
      <c r="CY740" s="122"/>
      <c r="CZ740" s="122"/>
      <c r="DA740" s="122"/>
      <c r="DB740" s="122"/>
      <c r="DC740" s="122"/>
      <c r="DD740" s="122"/>
      <c r="DE740" s="122"/>
      <c r="DF740" s="122"/>
      <c r="DG740" s="122"/>
      <c r="DH740" s="122"/>
      <c r="DI740" s="122"/>
      <c r="DJ740" s="122"/>
      <c r="DK740" s="122"/>
      <c r="DL740" s="122"/>
      <c r="DM740" s="103">
        <f>CM740+CR740+CW740+DB740+DG740+DL740+CH740</f>
        <v>0</v>
      </c>
      <c r="DN740" s="211">
        <v>1.2500000000000001E-2</v>
      </c>
      <c r="DO740" s="122">
        <f>DN740*CG740*CF740</f>
        <v>0</v>
      </c>
      <c r="DP740" s="122">
        <f>CG740*CF740</f>
        <v>0</v>
      </c>
      <c r="DQ740" s="122"/>
      <c r="DR740" s="122"/>
      <c r="DS740" s="122"/>
      <c r="DT740" s="122"/>
      <c r="DU740" s="122"/>
      <c r="DV740" s="122"/>
      <c r="DW740" s="122"/>
      <c r="DX740" s="122"/>
      <c r="DY740" s="122"/>
      <c r="DZ740" s="122"/>
      <c r="EA740" s="122"/>
      <c r="EB740" s="122"/>
      <c r="EC740" s="122"/>
      <c r="ED740" s="122"/>
      <c r="EE740" s="122"/>
      <c r="EF740" s="122">
        <v>450</v>
      </c>
      <c r="EG740" s="122">
        <v>4500</v>
      </c>
      <c r="EH740" s="122">
        <v>7.5</v>
      </c>
      <c r="EI740" s="210">
        <v>0.9</v>
      </c>
      <c r="EJ740" s="122">
        <v>2</v>
      </c>
      <c r="EK740" s="122">
        <v>68</v>
      </c>
      <c r="EL740" s="221">
        <f>(3600/EK740*EH740*EJ740*EI740)</f>
        <v>714.7058823529411</v>
      </c>
      <c r="EM740" s="122"/>
      <c r="EN740" s="122"/>
      <c r="EO740" s="122"/>
      <c r="EP740" s="122"/>
      <c r="EQ740" s="122"/>
      <c r="ER740" s="122"/>
      <c r="ES740" s="122"/>
      <c r="ET740" s="122"/>
      <c r="EU740" s="202">
        <f>EG740/EL740</f>
        <v>6.2962962962962967</v>
      </c>
      <c r="EV740" s="122"/>
      <c r="EW740" s="122"/>
      <c r="EX740" s="122"/>
      <c r="EY740" s="122"/>
      <c r="EZ740" s="122"/>
      <c r="FA740" s="122"/>
      <c r="FB740" s="122"/>
      <c r="FC740" s="122"/>
      <c r="FD740" s="122"/>
      <c r="FE740" s="122"/>
      <c r="FF740" s="122"/>
      <c r="FG740" s="122"/>
      <c r="FH740" s="122"/>
      <c r="FI740" s="122"/>
      <c r="FJ740" s="122"/>
      <c r="FK740" s="122"/>
      <c r="FL740" s="122"/>
      <c r="FM740" s="122"/>
      <c r="FN740" s="122"/>
      <c r="FO740" s="122"/>
      <c r="FP740" s="122"/>
      <c r="FQ740" s="122"/>
      <c r="FR740" s="122"/>
      <c r="FS740" s="122"/>
      <c r="FT740" s="122"/>
      <c r="FU740" s="122"/>
      <c r="FV740" s="122"/>
      <c r="FW740" s="122"/>
      <c r="FX740" s="122"/>
      <c r="FY740" s="122"/>
      <c r="FZ740" s="122"/>
      <c r="GA740" s="122"/>
      <c r="GB740" s="122"/>
      <c r="GC740" s="122"/>
      <c r="GD740" s="122"/>
      <c r="GE740" s="122"/>
      <c r="GF740" s="122"/>
      <c r="GG740" s="122"/>
      <c r="GH740" s="122"/>
      <c r="GI740" s="122"/>
      <c r="GJ740" s="122"/>
      <c r="GK740" s="122"/>
      <c r="GL740" s="122"/>
      <c r="GM740" s="122"/>
      <c r="GN740" s="122"/>
      <c r="GO740" s="122"/>
      <c r="GP740" s="122"/>
      <c r="GQ740" s="122"/>
      <c r="GR740" s="210">
        <v>0.11</v>
      </c>
      <c r="GS740" s="202">
        <f>GR740*(BA740+EU740)</f>
        <v>3.6329585925925922</v>
      </c>
      <c r="GT740" s="208">
        <v>1.2500000000000001E-2</v>
      </c>
      <c r="GU740" s="203">
        <f>GT740*(BA740+EU740)</f>
        <v>0.41283620370370366</v>
      </c>
      <c r="GV740" s="207">
        <v>0.02</v>
      </c>
      <c r="GW740" s="203">
        <f>GV740*EU740</f>
        <v>0.12592592592592594</v>
      </c>
      <c r="GX740" s="203">
        <f>GS740+GU740+GW740</f>
        <v>4.1717207222222212</v>
      </c>
      <c r="GY740" s="122" t="s">
        <v>43</v>
      </c>
      <c r="GZ740" s="122" t="s">
        <v>87</v>
      </c>
      <c r="HA740" s="122">
        <v>810</v>
      </c>
      <c r="HB740" s="122">
        <v>568</v>
      </c>
      <c r="HC740" s="122">
        <v>425</v>
      </c>
      <c r="HD740" s="122">
        <v>60</v>
      </c>
      <c r="HE740" s="122">
        <v>400</v>
      </c>
      <c r="HF740" s="122">
        <f t="shared" si="695"/>
        <v>7</v>
      </c>
      <c r="HG740" s="122">
        <v>5</v>
      </c>
      <c r="HH740" s="122">
        <f t="shared" si="696"/>
        <v>35</v>
      </c>
      <c r="HI740" s="122">
        <v>1100</v>
      </c>
      <c r="HJ740" s="122">
        <f t="shared" si="697"/>
        <v>38500</v>
      </c>
      <c r="HK740" s="122"/>
      <c r="HL740" s="122"/>
      <c r="HM740" s="122">
        <v>2</v>
      </c>
      <c r="HN740" s="122">
        <f t="shared" si="698"/>
        <v>240000</v>
      </c>
      <c r="HO740" s="202">
        <f t="shared" si="699"/>
        <v>0.16041666666666668</v>
      </c>
      <c r="HP740" s="122">
        <v>160</v>
      </c>
      <c r="HQ740" s="122">
        <v>0</v>
      </c>
      <c r="HR740" s="122">
        <v>2.23</v>
      </c>
      <c r="HS740" s="122">
        <v>1</v>
      </c>
      <c r="HT740" s="357">
        <f>HR740/HS740</f>
        <v>2.23</v>
      </c>
      <c r="HU740" s="357"/>
      <c r="HV740" s="202">
        <f t="shared" si="702"/>
        <v>2.3904166666666669</v>
      </c>
      <c r="HW740" s="202"/>
      <c r="HX740" s="122">
        <v>4200</v>
      </c>
      <c r="HY740" s="122">
        <v>1900</v>
      </c>
      <c r="HZ740" s="122">
        <v>1975</v>
      </c>
      <c r="IA740" s="122">
        <f t="shared" si="700"/>
        <v>5</v>
      </c>
      <c r="IB740" s="122">
        <f t="shared" si="700"/>
        <v>3</v>
      </c>
      <c r="IC740" s="122">
        <f t="shared" si="700"/>
        <v>4</v>
      </c>
      <c r="ID740" s="210">
        <v>0.95</v>
      </c>
      <c r="IE740" s="203">
        <f>ROUND(PRODUCT(IA740:ID740),0)</f>
        <v>57</v>
      </c>
      <c r="IF740" s="122">
        <v>500</v>
      </c>
      <c r="IG740" s="202">
        <f t="shared" si="701"/>
        <v>0.14619883040935672</v>
      </c>
      <c r="IH740" s="20"/>
    </row>
    <row r="741" spans="1:242">
      <c r="A741">
        <v>726</v>
      </c>
      <c r="B741" t="s">
        <v>468</v>
      </c>
      <c r="C741" s="335" t="s">
        <v>2864</v>
      </c>
      <c r="D741" s="28" t="s">
        <v>802</v>
      </c>
      <c r="E741" s="28" t="s">
        <v>803</v>
      </c>
      <c r="F741" s="28" t="s">
        <v>2182</v>
      </c>
      <c r="G741" s="27" t="s">
        <v>102</v>
      </c>
      <c r="I741" s="27" t="s">
        <v>226</v>
      </c>
      <c r="J741" s="28">
        <v>21691</v>
      </c>
      <c r="K741" s="27" t="s">
        <v>404</v>
      </c>
      <c r="L741" s="121"/>
      <c r="M741" s="121"/>
      <c r="N741" s="115"/>
      <c r="O741" s="115"/>
      <c r="P741" s="115"/>
      <c r="Q741" s="139" t="s">
        <v>2805</v>
      </c>
      <c r="R741" s="137" t="s">
        <v>2760</v>
      </c>
      <c r="S741" s="121" t="s">
        <v>2836</v>
      </c>
      <c r="T741" s="121"/>
      <c r="U741" s="121"/>
      <c r="V741" s="121" t="s">
        <v>2748</v>
      </c>
      <c r="W741" s="218" t="s">
        <v>2865</v>
      </c>
      <c r="X741" s="121"/>
      <c r="Y741" s="121"/>
      <c r="Z741" s="121"/>
      <c r="AA741" s="115" t="s">
        <v>2866</v>
      </c>
      <c r="AB741" s="121">
        <v>213</v>
      </c>
      <c r="AC741" s="121">
        <v>20</v>
      </c>
      <c r="AD741" s="122" t="s">
        <v>310</v>
      </c>
      <c r="AE741" s="219">
        <f>BA741</f>
        <v>44.61</v>
      </c>
      <c r="AF741" s="219"/>
      <c r="AG741" s="219">
        <f>EU741+EM741</f>
        <v>11.842105263157896</v>
      </c>
      <c r="AH741" s="219">
        <f t="shared" si="689"/>
        <v>0.2</v>
      </c>
      <c r="AI741" s="219">
        <f t="shared" si="690"/>
        <v>2.5000000000000005E-3</v>
      </c>
      <c r="AJ741" s="219">
        <f>GW741</f>
        <v>0.23684210526315791</v>
      </c>
      <c r="AK741" s="219">
        <f>GU741</f>
        <v>0.70565131578947371</v>
      </c>
      <c r="AL741" s="219">
        <f>GS741</f>
        <v>6.2097315789473688</v>
      </c>
      <c r="AM741" s="219">
        <f t="shared" si="691"/>
        <v>0.38703703703703701</v>
      </c>
      <c r="AN741" s="219">
        <f t="shared" si="692"/>
        <v>0.625</v>
      </c>
      <c r="AO741" s="220">
        <v>0</v>
      </c>
      <c r="AP741" s="220"/>
      <c r="AQ741" s="204">
        <f t="shared" si="693"/>
        <v>64.818867300194938</v>
      </c>
      <c r="AR741" s="219"/>
      <c r="AS741" s="219"/>
      <c r="AT741" s="220"/>
      <c r="AU741" s="219">
        <f>65.09-64.82</f>
        <v>0.27000000000001023</v>
      </c>
      <c r="AV741" s="204">
        <f t="shared" si="694"/>
        <v>65.088867300194948</v>
      </c>
      <c r="AW741" s="122">
        <v>0.21</v>
      </c>
      <c r="AX741" s="122">
        <v>0.20399999999999999</v>
      </c>
      <c r="AY741" s="210">
        <v>1</v>
      </c>
      <c r="AZ741" s="122">
        <f>AW741-AX741</f>
        <v>6.0000000000000053E-3</v>
      </c>
      <c r="BA741" s="202">
        <f>AW741*AB741-AZ741*AC741</f>
        <v>44.61</v>
      </c>
      <c r="BB741" s="202"/>
      <c r="BC741" s="202"/>
      <c r="BD741" s="202"/>
      <c r="BE741" s="202"/>
      <c r="BF741" s="202"/>
      <c r="BG741" s="202"/>
      <c r="BH741" s="202"/>
      <c r="BI741" s="202"/>
      <c r="BJ741" s="202"/>
      <c r="BK741" s="202"/>
      <c r="BL741" s="202"/>
      <c r="BM741" s="202"/>
      <c r="BN741" s="202"/>
      <c r="BO741" s="202"/>
      <c r="BP741" s="202"/>
      <c r="BQ741" s="202"/>
      <c r="BR741" s="202"/>
      <c r="BS741" s="202"/>
      <c r="BT741" s="202"/>
      <c r="BU741" s="202"/>
      <c r="BV741" s="202"/>
      <c r="BW741" s="202"/>
      <c r="BX741" s="202"/>
      <c r="BY741" s="202"/>
      <c r="BZ741" s="202"/>
      <c r="CA741" s="202"/>
      <c r="CB741" s="202"/>
      <c r="CC741" s="202"/>
      <c r="CD741" s="122"/>
      <c r="CE741" s="122">
        <v>0</v>
      </c>
      <c r="CF741" s="122">
        <v>1</v>
      </c>
      <c r="CG741" s="122">
        <v>0.2</v>
      </c>
      <c r="CH741" s="103">
        <f>CG741*CF741</f>
        <v>0.2</v>
      </c>
      <c r="CI741" s="121"/>
      <c r="CJ741" s="121"/>
      <c r="CK741" s="122"/>
      <c r="CL741" s="122"/>
      <c r="CM741" s="122"/>
      <c r="CN741" s="122"/>
      <c r="CO741" s="122"/>
      <c r="CP741" s="122"/>
      <c r="CQ741" s="122"/>
      <c r="CR741" s="122"/>
      <c r="CS741" s="122"/>
      <c r="CT741" s="122"/>
      <c r="CU741" s="122"/>
      <c r="CV741" s="122"/>
      <c r="CW741" s="122"/>
      <c r="CX741" s="122"/>
      <c r="CY741" s="122"/>
      <c r="CZ741" s="122"/>
      <c r="DA741" s="122"/>
      <c r="DB741" s="122"/>
      <c r="DC741" s="122"/>
      <c r="DD741" s="122"/>
      <c r="DE741" s="122"/>
      <c r="DF741" s="122"/>
      <c r="DG741" s="122"/>
      <c r="DH741" s="122"/>
      <c r="DI741" s="122"/>
      <c r="DJ741" s="122"/>
      <c r="DK741" s="122"/>
      <c r="DL741" s="122"/>
      <c r="DM741" s="103">
        <f>CM741+CR741+CW741+DB741+DG741+DL741+CH741</f>
        <v>0.2</v>
      </c>
      <c r="DN741" s="211">
        <v>1.2500000000000001E-2</v>
      </c>
      <c r="DO741" s="122">
        <f>DN741*CG741*CF741</f>
        <v>2.5000000000000005E-3</v>
      </c>
      <c r="DP741" s="122">
        <f>CG741*CF741</f>
        <v>0.2</v>
      </c>
      <c r="DQ741" s="122"/>
      <c r="DR741" s="122"/>
      <c r="DS741" s="122"/>
      <c r="DT741" s="122"/>
      <c r="DU741" s="122"/>
      <c r="DV741" s="122"/>
      <c r="DW741" s="122"/>
      <c r="DX741" s="122"/>
      <c r="DY741" s="122"/>
      <c r="DZ741" s="122"/>
      <c r="EA741" s="122"/>
      <c r="EB741" s="122"/>
      <c r="EC741" s="122"/>
      <c r="ED741" s="122"/>
      <c r="EE741" s="122"/>
      <c r="EF741" s="122">
        <v>450</v>
      </c>
      <c r="EG741" s="122">
        <v>4500</v>
      </c>
      <c r="EH741" s="122">
        <v>8</v>
      </c>
      <c r="EI741" s="210">
        <v>0.95</v>
      </c>
      <c r="EJ741" s="122">
        <v>1</v>
      </c>
      <c r="EK741" s="122">
        <v>72</v>
      </c>
      <c r="EL741" s="122">
        <f>(3600/EK741*EH741*EJ741*EI741)</f>
        <v>380</v>
      </c>
      <c r="EM741" s="122"/>
      <c r="EN741" s="122"/>
      <c r="EO741" s="122"/>
      <c r="EP741" s="122"/>
      <c r="EQ741" s="122"/>
      <c r="ER741" s="122"/>
      <c r="ES741" s="122"/>
      <c r="ET741" s="122"/>
      <c r="EU741" s="202">
        <f>EG741/EL741</f>
        <v>11.842105263157896</v>
      </c>
      <c r="EV741" s="122"/>
      <c r="EW741" s="122"/>
      <c r="EX741" s="122"/>
      <c r="EY741" s="122"/>
      <c r="EZ741" s="122"/>
      <c r="FA741" s="122"/>
      <c r="FB741" s="122"/>
      <c r="FC741" s="122"/>
      <c r="FD741" s="122"/>
      <c r="FE741" s="122"/>
      <c r="FF741" s="122"/>
      <c r="FG741" s="122"/>
      <c r="FH741" s="122"/>
      <c r="FI741" s="122"/>
      <c r="FJ741" s="122"/>
      <c r="FK741" s="122"/>
      <c r="FL741" s="122"/>
      <c r="FM741" s="122"/>
      <c r="FN741" s="122"/>
      <c r="FO741" s="122"/>
      <c r="FP741" s="122"/>
      <c r="FQ741" s="122"/>
      <c r="FR741" s="122"/>
      <c r="FS741" s="122"/>
      <c r="FT741" s="122"/>
      <c r="FU741" s="122"/>
      <c r="FV741" s="122"/>
      <c r="FW741" s="122"/>
      <c r="FX741" s="122"/>
      <c r="FY741" s="122"/>
      <c r="FZ741" s="122"/>
      <c r="GA741" s="122"/>
      <c r="GB741" s="122"/>
      <c r="GC741" s="122"/>
      <c r="GD741" s="122"/>
      <c r="GE741" s="122"/>
      <c r="GF741" s="122"/>
      <c r="GG741" s="122"/>
      <c r="GH741" s="122"/>
      <c r="GI741" s="122"/>
      <c r="GJ741" s="122"/>
      <c r="GK741" s="122"/>
      <c r="GL741" s="122"/>
      <c r="GM741" s="122"/>
      <c r="GN741" s="122"/>
      <c r="GO741" s="122"/>
      <c r="GP741" s="122"/>
      <c r="GQ741" s="122"/>
      <c r="GR741" s="210">
        <v>0.11</v>
      </c>
      <c r="GS741" s="202">
        <f>GR741*(BA741+EU741)</f>
        <v>6.2097315789473688</v>
      </c>
      <c r="GT741" s="208">
        <v>1.2500000000000001E-2</v>
      </c>
      <c r="GU741" s="203">
        <f>GT741*(BA741+EU741)</f>
        <v>0.70565131578947371</v>
      </c>
      <c r="GV741" s="207">
        <v>0.02</v>
      </c>
      <c r="GW741" s="203">
        <f>GV741*EU741</f>
        <v>0.23684210526315791</v>
      </c>
      <c r="GX741" s="203">
        <f>GS741+GU741+GW741</f>
        <v>7.1522249999999996</v>
      </c>
      <c r="GY741" s="122" t="s">
        <v>43</v>
      </c>
      <c r="GZ741" s="122" t="s">
        <v>87</v>
      </c>
      <c r="HA741" s="122">
        <v>650</v>
      </c>
      <c r="HB741" s="122">
        <v>450</v>
      </c>
      <c r="HC741" s="122">
        <v>315</v>
      </c>
      <c r="HD741" s="122">
        <v>16</v>
      </c>
      <c r="HE741" s="122">
        <v>600</v>
      </c>
      <c r="HF741" s="122">
        <f t="shared" si="695"/>
        <v>38</v>
      </c>
      <c r="HG741" s="122">
        <v>5</v>
      </c>
      <c r="HH741" s="122">
        <f t="shared" si="696"/>
        <v>190</v>
      </c>
      <c r="HI741" s="122">
        <v>1100</v>
      </c>
      <c r="HJ741" s="122">
        <f t="shared" si="697"/>
        <v>209000</v>
      </c>
      <c r="HK741" s="122"/>
      <c r="HL741" s="122"/>
      <c r="HM741" s="122">
        <v>3</v>
      </c>
      <c r="HN741" s="122">
        <f t="shared" si="698"/>
        <v>540000</v>
      </c>
      <c r="HO741" s="202">
        <f t="shared" si="699"/>
        <v>0.38703703703703701</v>
      </c>
      <c r="HP741" s="122">
        <v>160</v>
      </c>
      <c r="HQ741" s="122">
        <v>0</v>
      </c>
      <c r="HR741" s="122">
        <v>0</v>
      </c>
      <c r="HS741" s="122">
        <v>0</v>
      </c>
      <c r="HT741" s="122">
        <v>0</v>
      </c>
      <c r="HU741" s="122"/>
      <c r="HV741" s="202">
        <f t="shared" si="702"/>
        <v>0.38703703703703701</v>
      </c>
      <c r="HW741" s="202"/>
      <c r="HX741" s="122">
        <v>5016</v>
      </c>
      <c r="HY741" s="122">
        <v>1976</v>
      </c>
      <c r="HZ741" s="122">
        <v>2280</v>
      </c>
      <c r="IA741" s="122">
        <f t="shared" si="700"/>
        <v>7</v>
      </c>
      <c r="IB741" s="122">
        <f t="shared" si="700"/>
        <v>4</v>
      </c>
      <c r="IC741" s="122">
        <f t="shared" si="700"/>
        <v>7</v>
      </c>
      <c r="ID741" s="210">
        <v>1</v>
      </c>
      <c r="IE741" s="202">
        <f>ROUND(PRODUCT(IA741:ID741),0)-146</f>
        <v>50</v>
      </c>
      <c r="IF741" s="122">
        <v>500</v>
      </c>
      <c r="IG741" s="202">
        <f t="shared" si="701"/>
        <v>0.625</v>
      </c>
      <c r="IH741" s="20"/>
    </row>
    <row r="742" spans="1:242">
      <c r="A742">
        <v>727</v>
      </c>
      <c r="B742" s="328" t="s">
        <v>1947</v>
      </c>
      <c r="D742" s="28" t="s">
        <v>1549</v>
      </c>
      <c r="E742" s="28" t="s">
        <v>1550</v>
      </c>
      <c r="F742" s="28" t="s">
        <v>1947</v>
      </c>
      <c r="G742" s="27" t="s">
        <v>102</v>
      </c>
      <c r="I742" s="27" t="s">
        <v>226</v>
      </c>
      <c r="J742" s="28">
        <v>21557</v>
      </c>
      <c r="K742" s="27" t="s">
        <v>396</v>
      </c>
    </row>
    <row r="743" spans="1:242">
      <c r="A743">
        <v>728</v>
      </c>
      <c r="B743" t="s">
        <v>468</v>
      </c>
      <c r="C743" s="121" t="s">
        <v>2869</v>
      </c>
      <c r="D743" s="28" t="s">
        <v>1549</v>
      </c>
      <c r="E743" s="28" t="s">
        <v>1550</v>
      </c>
      <c r="F743" s="28" t="s">
        <v>2182</v>
      </c>
      <c r="G743" s="27" t="s">
        <v>102</v>
      </c>
      <c r="I743" s="27" t="s">
        <v>226</v>
      </c>
      <c r="J743" s="28">
        <v>21590</v>
      </c>
      <c r="K743" s="27" t="s">
        <v>397</v>
      </c>
      <c r="L743" s="121"/>
      <c r="M743" s="121"/>
      <c r="N743" s="115"/>
      <c r="O743" s="115"/>
      <c r="P743" s="115"/>
      <c r="Q743" s="139" t="s">
        <v>2773</v>
      </c>
      <c r="R743" s="137" t="s">
        <v>2760</v>
      </c>
      <c r="S743" s="137" t="s">
        <v>2852</v>
      </c>
      <c r="T743" s="121" t="s">
        <v>2251</v>
      </c>
      <c r="U743" s="326">
        <v>45134</v>
      </c>
      <c r="V743" s="121" t="s">
        <v>2748</v>
      </c>
      <c r="W743" s="218"/>
      <c r="X743" s="121"/>
      <c r="Y743" s="121"/>
      <c r="Z743" s="121"/>
      <c r="AA743" s="115" t="s">
        <v>2870</v>
      </c>
      <c r="AB743" s="121">
        <v>219</v>
      </c>
      <c r="AC743" s="121">
        <v>20</v>
      </c>
      <c r="AD743" s="122" t="s">
        <v>2309</v>
      </c>
      <c r="AE743" s="219">
        <f>BA743</f>
        <v>7.2664999999999997</v>
      </c>
      <c r="AF743" s="219"/>
      <c r="AG743" s="219">
        <f>EU743+EM743</f>
        <v>1.7901234567901234</v>
      </c>
      <c r="AH743" s="219">
        <f>DP743</f>
        <v>0</v>
      </c>
      <c r="AI743" s="219">
        <f>DO743</f>
        <v>0</v>
      </c>
      <c r="AJ743" s="219">
        <f>GW743</f>
        <v>3.580246913580247E-2</v>
      </c>
      <c r="AK743" s="219">
        <f>GU743</f>
        <v>0.11320779320987656</v>
      </c>
      <c r="AL743" s="219">
        <f>GS743</f>
        <v>0.99622858024691363</v>
      </c>
      <c r="AM743" s="219">
        <f>HV743</f>
        <v>0.24000000000000002</v>
      </c>
      <c r="AN743" s="219">
        <f>IG743</f>
        <v>0.02</v>
      </c>
      <c r="AO743" s="220">
        <v>0</v>
      </c>
      <c r="AP743" s="220"/>
      <c r="AQ743" s="204">
        <f>SUM(AE743:AP743)</f>
        <v>10.461862299382718</v>
      </c>
      <c r="AR743" s="122"/>
      <c r="AS743" s="122" t="s">
        <v>2871</v>
      </c>
      <c r="AT743" s="122"/>
      <c r="AU743" s="122"/>
      <c r="AV743" s="204">
        <f>SUM(AQ743:AU743)</f>
        <v>10.461862299382718</v>
      </c>
      <c r="AW743" s="122">
        <v>3.3500000000000002E-2</v>
      </c>
      <c r="AX743" s="122">
        <v>0.03</v>
      </c>
      <c r="AY743" s="210">
        <v>1</v>
      </c>
      <c r="AZ743" s="122">
        <f>AW743-AX743</f>
        <v>3.5000000000000031E-3</v>
      </c>
      <c r="BA743" s="202">
        <f>AW743*AB743-AZ743*AC743</f>
        <v>7.2664999999999997</v>
      </c>
      <c r="BB743" s="202"/>
      <c r="BC743" s="202"/>
      <c r="BD743" s="202"/>
      <c r="BE743" s="202"/>
      <c r="BF743" s="202"/>
      <c r="BG743" s="202"/>
      <c r="BH743" s="202"/>
      <c r="BI743" s="202"/>
      <c r="BJ743" s="202"/>
      <c r="BK743" s="202"/>
      <c r="BL743" s="202"/>
      <c r="BM743" s="202"/>
      <c r="BN743" s="202"/>
      <c r="BO743" s="202"/>
      <c r="BP743" s="202"/>
      <c r="BQ743" s="202"/>
      <c r="BR743" s="202"/>
      <c r="BS743" s="202"/>
      <c r="BT743" s="202"/>
      <c r="BU743" s="202"/>
      <c r="BV743" s="202"/>
      <c r="BW743" s="202"/>
      <c r="BX743" s="202"/>
      <c r="BY743" s="202"/>
      <c r="BZ743" s="202"/>
      <c r="CA743" s="202"/>
      <c r="CB743" s="202"/>
      <c r="CC743" s="202"/>
      <c r="CD743" s="122"/>
      <c r="CE743" s="122">
        <v>0</v>
      </c>
      <c r="CF743" s="122">
        <v>0</v>
      </c>
      <c r="CG743" s="122">
        <v>0</v>
      </c>
      <c r="CH743" s="122">
        <v>0</v>
      </c>
      <c r="CI743" s="121"/>
      <c r="CJ743" s="121"/>
      <c r="CK743" s="122"/>
      <c r="CL743" s="122"/>
      <c r="CM743" s="122"/>
      <c r="CN743" s="122"/>
      <c r="CO743" s="122"/>
      <c r="CP743" s="122"/>
      <c r="CQ743" s="122"/>
      <c r="CR743" s="122"/>
      <c r="CS743" s="122"/>
      <c r="CT743" s="122"/>
      <c r="CU743" s="122"/>
      <c r="CV743" s="122"/>
      <c r="CW743" s="122"/>
      <c r="CX743" s="122"/>
      <c r="CY743" s="122"/>
      <c r="CZ743" s="122"/>
      <c r="DA743" s="122"/>
      <c r="DB743" s="122"/>
      <c r="DC743" s="122"/>
      <c r="DD743" s="122"/>
      <c r="DE743" s="122"/>
      <c r="DF743" s="122"/>
      <c r="DG743" s="122"/>
      <c r="DH743" s="122"/>
      <c r="DI743" s="122"/>
      <c r="DJ743" s="122"/>
      <c r="DK743" s="122"/>
      <c r="DL743" s="122"/>
      <c r="DM743" s="103">
        <f>CM743+CR743+CW743+DB743+DG743+DL743+CH743</f>
        <v>0</v>
      </c>
      <c r="DN743" s="211">
        <v>1.2500000000000001E-2</v>
      </c>
      <c r="DO743" s="122">
        <f>DN743*CG743*CF743</f>
        <v>0</v>
      </c>
      <c r="DP743" s="122">
        <f>CG743*CF743</f>
        <v>0</v>
      </c>
      <c r="DQ743" s="122"/>
      <c r="DR743" s="122"/>
      <c r="DS743" s="122"/>
      <c r="DT743" s="122"/>
      <c r="DU743" s="122"/>
      <c r="DV743" s="122"/>
      <c r="DW743" s="122"/>
      <c r="DX743" s="122"/>
      <c r="DY743" s="122"/>
      <c r="DZ743" s="122"/>
      <c r="EA743" s="122"/>
      <c r="EB743" s="122"/>
      <c r="EC743" s="122"/>
      <c r="ED743" s="122"/>
      <c r="EE743" s="122"/>
      <c r="EF743" s="122">
        <v>150</v>
      </c>
      <c r="EG743" s="122">
        <v>1500</v>
      </c>
      <c r="EH743" s="122">
        <v>7.5</v>
      </c>
      <c r="EI743" s="210">
        <v>0.9</v>
      </c>
      <c r="EJ743" s="122">
        <v>2</v>
      </c>
      <c r="EK743" s="122">
        <v>58</v>
      </c>
      <c r="EL743" s="221">
        <f>(3600/EK743*EH743*EJ743*EI743)</f>
        <v>837.93103448275861</v>
      </c>
      <c r="EM743" s="122"/>
      <c r="EN743" s="122"/>
      <c r="EO743" s="122"/>
      <c r="EP743" s="122"/>
      <c r="EQ743" s="122"/>
      <c r="ER743" s="122"/>
      <c r="ES743" s="122"/>
      <c r="ET743" s="122"/>
      <c r="EU743" s="202">
        <f>EG743/EL743</f>
        <v>1.7901234567901234</v>
      </c>
      <c r="EV743" s="122"/>
      <c r="EW743" s="122"/>
      <c r="EX743" s="122"/>
      <c r="EY743" s="122"/>
      <c r="EZ743" s="122"/>
      <c r="FA743" s="122"/>
      <c r="FB743" s="122"/>
      <c r="FC743" s="122"/>
      <c r="FD743" s="122"/>
      <c r="FE743" s="122"/>
      <c r="FF743" s="122"/>
      <c r="FG743" s="122"/>
      <c r="FH743" s="122"/>
      <c r="FI743" s="122"/>
      <c r="FJ743" s="122"/>
      <c r="FK743" s="122"/>
      <c r="FL743" s="122"/>
      <c r="FM743" s="122"/>
      <c r="FN743" s="122"/>
      <c r="FO743" s="122"/>
      <c r="FP743" s="122"/>
      <c r="FQ743" s="122"/>
      <c r="FR743" s="122"/>
      <c r="FS743" s="122"/>
      <c r="FT743" s="122"/>
      <c r="FU743" s="122"/>
      <c r="FV743" s="122"/>
      <c r="FW743" s="122"/>
      <c r="FX743" s="122"/>
      <c r="FY743" s="122"/>
      <c r="FZ743" s="122"/>
      <c r="GA743" s="122"/>
      <c r="GB743" s="122"/>
      <c r="GC743" s="122"/>
      <c r="GD743" s="122"/>
      <c r="GE743" s="122"/>
      <c r="GF743" s="122"/>
      <c r="GG743" s="122"/>
      <c r="GH743" s="122"/>
      <c r="GI743" s="122"/>
      <c r="GJ743" s="122"/>
      <c r="GK743" s="122"/>
      <c r="GL743" s="122"/>
      <c r="GM743" s="122"/>
      <c r="GN743" s="122"/>
      <c r="GO743" s="122"/>
      <c r="GP743" s="122"/>
      <c r="GQ743" s="122"/>
      <c r="GR743" s="210">
        <v>0.11</v>
      </c>
      <c r="GS743" s="202">
        <f>GR743*(BA743+EU743)</f>
        <v>0.99622858024691363</v>
      </c>
      <c r="GT743" s="208">
        <v>1.2500000000000001E-2</v>
      </c>
      <c r="GU743" s="203">
        <f>GT743*(BA743+EU743)</f>
        <v>0.11320779320987656</v>
      </c>
      <c r="GV743" s="207">
        <v>0.02</v>
      </c>
      <c r="GW743" s="203">
        <f>GV743*EU743</f>
        <v>3.580246913580247E-2</v>
      </c>
      <c r="GX743" s="203">
        <f>GS743+GU743+GW743</f>
        <v>1.1452388425925928</v>
      </c>
      <c r="GY743" s="122" t="s">
        <v>43</v>
      </c>
      <c r="GZ743" s="122" t="s">
        <v>87</v>
      </c>
      <c r="HA743" s="122">
        <v>650</v>
      </c>
      <c r="HB743" s="122">
        <v>450</v>
      </c>
      <c r="HC743" s="122">
        <v>330</v>
      </c>
      <c r="HD743" s="122">
        <v>400</v>
      </c>
      <c r="HE743" s="122">
        <v>400</v>
      </c>
      <c r="HF743" s="122">
        <f>ROUNDUP(HE743/HD743,0)</f>
        <v>1</v>
      </c>
      <c r="HG743" s="122">
        <v>5</v>
      </c>
      <c r="HH743" s="122">
        <f>HF743*HG743</f>
        <v>5</v>
      </c>
      <c r="HI743" s="122">
        <v>650</v>
      </c>
      <c r="HJ743" s="122">
        <f>HH743*HI743</f>
        <v>3250</v>
      </c>
      <c r="HK743" s="122"/>
      <c r="HL743" s="122"/>
      <c r="HM743" s="122">
        <v>2</v>
      </c>
      <c r="HN743" s="122">
        <f>HM743*12*25*HE743</f>
        <v>240000</v>
      </c>
      <c r="HO743" s="202">
        <f>IF(GY743="carton box",HI743/HD743,HJ743/HN743)</f>
        <v>1.3541666666666667E-2</v>
      </c>
      <c r="HP743" s="122">
        <v>160</v>
      </c>
      <c r="HQ743" s="122">
        <v>0</v>
      </c>
      <c r="HR743" s="359">
        <f>(6/200)+0.19</f>
        <v>0.22</v>
      </c>
      <c r="HS743" s="122">
        <v>1</v>
      </c>
      <c r="HT743" s="357">
        <f>HR743/HS743</f>
        <v>0.22</v>
      </c>
      <c r="HU743" s="357"/>
      <c r="HV743" s="202">
        <f>ROUNDUP(HO743+HT743,2)</f>
        <v>0.24000000000000002</v>
      </c>
      <c r="HW743" s="202"/>
      <c r="HX743" s="122">
        <v>4200</v>
      </c>
      <c r="HY743" s="122">
        <v>1900</v>
      </c>
      <c r="HZ743" s="122">
        <v>1975</v>
      </c>
      <c r="IA743" s="122">
        <f>ROUNDDOWN(HX743/HA743,0)</f>
        <v>6</v>
      </c>
      <c r="IB743" s="122">
        <f>ROUNDDOWN(HY743/HB743,0)</f>
        <v>4</v>
      </c>
      <c r="IC743" s="122">
        <f>ROUNDDOWN(HZ743/HC743,0)</f>
        <v>5</v>
      </c>
      <c r="ID743" s="210">
        <v>0.95</v>
      </c>
      <c r="IE743" s="203">
        <f>ROUND(PRODUCT(IA743:ID743),0)</f>
        <v>114</v>
      </c>
      <c r="IF743" s="122">
        <v>500</v>
      </c>
      <c r="IG743" s="202">
        <f>ROUNDUP(IF743/(IE743*HD743),2)</f>
        <v>0.02</v>
      </c>
      <c r="IH743" s="20"/>
    </row>
    <row r="744" spans="1:242">
      <c r="A744">
        <v>729</v>
      </c>
      <c r="B744" s="328" t="s">
        <v>1947</v>
      </c>
      <c r="D744" s="28" t="s">
        <v>1551</v>
      </c>
      <c r="E744" s="28" t="s">
        <v>1552</v>
      </c>
      <c r="F744" s="28" t="s">
        <v>1947</v>
      </c>
      <c r="G744" s="27" t="s">
        <v>102</v>
      </c>
      <c r="I744" s="27" t="s">
        <v>226</v>
      </c>
      <c r="J744" s="28">
        <v>21557</v>
      </c>
      <c r="K744" s="27" t="s">
        <v>396</v>
      </c>
    </row>
    <row r="745" spans="1:242">
      <c r="A745">
        <v>730</v>
      </c>
      <c r="B745" t="s">
        <v>468</v>
      </c>
      <c r="C745" s="121" t="s">
        <v>2872</v>
      </c>
      <c r="D745" s="28" t="s">
        <v>1551</v>
      </c>
      <c r="E745" s="28" t="s">
        <v>1552</v>
      </c>
      <c r="F745" s="28" t="s">
        <v>2182</v>
      </c>
      <c r="G745" s="27" t="s">
        <v>102</v>
      </c>
      <c r="I745" s="27" t="s">
        <v>226</v>
      </c>
      <c r="J745" s="28">
        <v>21590</v>
      </c>
      <c r="K745" s="27" t="s">
        <v>397</v>
      </c>
      <c r="L745" s="121"/>
      <c r="M745" s="121"/>
      <c r="N745" s="115"/>
      <c r="O745" s="115"/>
      <c r="P745" s="115"/>
      <c r="Q745" s="139" t="s">
        <v>2773</v>
      </c>
      <c r="R745" s="137" t="s">
        <v>2760</v>
      </c>
      <c r="S745" s="137" t="s">
        <v>2852</v>
      </c>
      <c r="T745" s="121" t="s">
        <v>2762</v>
      </c>
      <c r="U745" s="326">
        <v>45134</v>
      </c>
      <c r="V745" s="121" t="s">
        <v>2748</v>
      </c>
      <c r="W745" s="218"/>
      <c r="X745" s="121"/>
      <c r="Y745" s="121"/>
      <c r="Z745" s="121"/>
      <c r="AA745" s="218" t="s">
        <v>2873</v>
      </c>
      <c r="AB745" s="121">
        <v>219</v>
      </c>
      <c r="AC745" s="121">
        <v>20</v>
      </c>
      <c r="AD745" s="122" t="s">
        <v>2309</v>
      </c>
      <c r="AE745" s="219">
        <f>BA745</f>
        <v>7.2664999999999997</v>
      </c>
      <c r="AF745" s="219"/>
      <c r="AG745" s="219">
        <f>EU745+EM745</f>
        <v>1.7901234567901234</v>
      </c>
      <c r="AH745" s="219">
        <f>DP745</f>
        <v>0</v>
      </c>
      <c r="AI745" s="219">
        <f>DO745</f>
        <v>0</v>
      </c>
      <c r="AJ745" s="219">
        <f>GW745</f>
        <v>3.580246913580247E-2</v>
      </c>
      <c r="AK745" s="219">
        <f>GU745</f>
        <v>0.11320779320987656</v>
      </c>
      <c r="AL745" s="219">
        <f>GS745</f>
        <v>0.99622858024691363</v>
      </c>
      <c r="AM745" s="219">
        <f>HV745</f>
        <v>0.24000000000000002</v>
      </c>
      <c r="AN745" s="219">
        <f>IG745</f>
        <v>0.02</v>
      </c>
      <c r="AO745" s="220">
        <v>0</v>
      </c>
      <c r="AP745" s="220"/>
      <c r="AQ745" s="204">
        <f>SUM(AE745:AP745)</f>
        <v>10.461862299382718</v>
      </c>
      <c r="AR745" s="122"/>
      <c r="AS745" s="122"/>
      <c r="AT745" s="122"/>
      <c r="AU745" s="122"/>
      <c r="AV745" s="204">
        <f>SUM(AQ745:AU745)</f>
        <v>10.461862299382718</v>
      </c>
      <c r="AW745" s="122">
        <v>3.3500000000000002E-2</v>
      </c>
      <c r="AX745" s="122">
        <v>0.03</v>
      </c>
      <c r="AY745" s="210">
        <v>1</v>
      </c>
      <c r="AZ745" s="122">
        <f>AW745-AX745</f>
        <v>3.5000000000000031E-3</v>
      </c>
      <c r="BA745" s="202">
        <f>AW745*AB745-AZ745*AC745</f>
        <v>7.2664999999999997</v>
      </c>
      <c r="BB745" s="202"/>
      <c r="BC745" s="202"/>
      <c r="BD745" s="202"/>
      <c r="BE745" s="202"/>
      <c r="BF745" s="202"/>
      <c r="BG745" s="202"/>
      <c r="BH745" s="202"/>
      <c r="BI745" s="202"/>
      <c r="BJ745" s="202"/>
      <c r="BK745" s="202"/>
      <c r="BL745" s="202"/>
      <c r="BM745" s="202"/>
      <c r="BN745" s="202"/>
      <c r="BO745" s="202"/>
      <c r="BP745" s="202"/>
      <c r="BQ745" s="202"/>
      <c r="BR745" s="202"/>
      <c r="BS745" s="202"/>
      <c r="BT745" s="202"/>
      <c r="BU745" s="202"/>
      <c r="BV745" s="202"/>
      <c r="BW745" s="202"/>
      <c r="BX745" s="202"/>
      <c r="BY745" s="202"/>
      <c r="BZ745" s="202"/>
      <c r="CA745" s="202"/>
      <c r="CB745" s="202"/>
      <c r="CC745" s="202"/>
      <c r="CD745" s="122"/>
      <c r="CE745" s="122">
        <v>0</v>
      </c>
      <c r="CF745" s="122">
        <v>0</v>
      </c>
      <c r="CG745" s="122">
        <v>0</v>
      </c>
      <c r="CH745" s="122">
        <v>0</v>
      </c>
      <c r="CI745" s="121"/>
      <c r="CJ745" s="121"/>
      <c r="CK745" s="122"/>
      <c r="CL745" s="122"/>
      <c r="CM745" s="122"/>
      <c r="CN745" s="122"/>
      <c r="CO745" s="122"/>
      <c r="CP745" s="122"/>
      <c r="CQ745" s="122"/>
      <c r="CR745" s="122"/>
      <c r="CS745" s="122"/>
      <c r="CT745" s="122"/>
      <c r="CU745" s="122"/>
      <c r="CV745" s="122"/>
      <c r="CW745" s="122"/>
      <c r="CX745" s="122"/>
      <c r="CY745" s="122"/>
      <c r="CZ745" s="122"/>
      <c r="DA745" s="122"/>
      <c r="DB745" s="122"/>
      <c r="DC745" s="122"/>
      <c r="DD745" s="122"/>
      <c r="DE745" s="122"/>
      <c r="DF745" s="122"/>
      <c r="DG745" s="122"/>
      <c r="DH745" s="122"/>
      <c r="DI745" s="122"/>
      <c r="DJ745" s="122"/>
      <c r="DK745" s="122"/>
      <c r="DL745" s="122"/>
      <c r="DM745" s="103">
        <f>CM745+CR745+CW745+DB745+DG745+DL745+CH745</f>
        <v>0</v>
      </c>
      <c r="DN745" s="211">
        <v>1.2500000000000001E-2</v>
      </c>
      <c r="DO745" s="122">
        <f>DN745*CG745*CF745</f>
        <v>0</v>
      </c>
      <c r="DP745" s="122">
        <f>CG745*CF745</f>
        <v>0</v>
      </c>
      <c r="DQ745" s="122"/>
      <c r="DR745" s="122"/>
      <c r="DS745" s="122"/>
      <c r="DT745" s="122"/>
      <c r="DU745" s="122"/>
      <c r="DV745" s="122"/>
      <c r="DW745" s="122"/>
      <c r="DX745" s="122"/>
      <c r="DY745" s="122"/>
      <c r="DZ745" s="122"/>
      <c r="EA745" s="122"/>
      <c r="EB745" s="122"/>
      <c r="EC745" s="122"/>
      <c r="ED745" s="122"/>
      <c r="EE745" s="122"/>
      <c r="EF745" s="122">
        <v>150</v>
      </c>
      <c r="EG745" s="122">
        <v>1500</v>
      </c>
      <c r="EH745" s="122">
        <v>7.5</v>
      </c>
      <c r="EI745" s="210">
        <v>0.9</v>
      </c>
      <c r="EJ745" s="122">
        <v>2</v>
      </c>
      <c r="EK745" s="122">
        <v>58</v>
      </c>
      <c r="EL745" s="221">
        <f>(3600/EK745*EH745*EJ745*EI745)</f>
        <v>837.93103448275861</v>
      </c>
      <c r="EM745" s="122"/>
      <c r="EN745" s="122"/>
      <c r="EO745" s="122"/>
      <c r="EP745" s="122"/>
      <c r="EQ745" s="122"/>
      <c r="ER745" s="122"/>
      <c r="ES745" s="122"/>
      <c r="ET745" s="122"/>
      <c r="EU745" s="202">
        <f>EG745/EL745</f>
        <v>1.7901234567901234</v>
      </c>
      <c r="EV745" s="122"/>
      <c r="EW745" s="122"/>
      <c r="EX745" s="122"/>
      <c r="EY745" s="122"/>
      <c r="EZ745" s="122"/>
      <c r="FA745" s="122"/>
      <c r="FB745" s="122"/>
      <c r="FC745" s="122"/>
      <c r="FD745" s="122"/>
      <c r="FE745" s="122"/>
      <c r="FF745" s="122"/>
      <c r="FG745" s="122"/>
      <c r="FH745" s="122"/>
      <c r="FI745" s="122"/>
      <c r="FJ745" s="122"/>
      <c r="FK745" s="122"/>
      <c r="FL745" s="122"/>
      <c r="FM745" s="122"/>
      <c r="FN745" s="122"/>
      <c r="FO745" s="122"/>
      <c r="FP745" s="122"/>
      <c r="FQ745" s="122"/>
      <c r="FR745" s="122"/>
      <c r="FS745" s="122"/>
      <c r="FT745" s="122"/>
      <c r="FU745" s="122"/>
      <c r="FV745" s="122"/>
      <c r="FW745" s="122"/>
      <c r="FX745" s="122"/>
      <c r="FY745" s="122"/>
      <c r="FZ745" s="122"/>
      <c r="GA745" s="122"/>
      <c r="GB745" s="122"/>
      <c r="GC745" s="122"/>
      <c r="GD745" s="122"/>
      <c r="GE745" s="122"/>
      <c r="GF745" s="122"/>
      <c r="GG745" s="122"/>
      <c r="GH745" s="122"/>
      <c r="GI745" s="122"/>
      <c r="GJ745" s="122"/>
      <c r="GK745" s="122"/>
      <c r="GL745" s="122"/>
      <c r="GM745" s="122"/>
      <c r="GN745" s="122"/>
      <c r="GO745" s="122"/>
      <c r="GP745" s="122"/>
      <c r="GQ745" s="122"/>
      <c r="GR745" s="210">
        <v>0.11</v>
      </c>
      <c r="GS745" s="202">
        <f>GR745*(BA745+EU745)</f>
        <v>0.99622858024691363</v>
      </c>
      <c r="GT745" s="208">
        <v>1.2500000000000001E-2</v>
      </c>
      <c r="GU745" s="203">
        <f>GT745*(BA745+EU745)</f>
        <v>0.11320779320987656</v>
      </c>
      <c r="GV745" s="207">
        <v>0.02</v>
      </c>
      <c r="GW745" s="203">
        <f>GV745*EU745</f>
        <v>3.580246913580247E-2</v>
      </c>
      <c r="GX745" s="203">
        <f>GS745+GU745+GW745</f>
        <v>1.1452388425925928</v>
      </c>
      <c r="GY745" s="122" t="s">
        <v>43</v>
      </c>
      <c r="GZ745" s="122" t="s">
        <v>87</v>
      </c>
      <c r="HA745" s="122">
        <v>650</v>
      </c>
      <c r="HB745" s="122">
        <v>450</v>
      </c>
      <c r="HC745" s="122">
        <v>330</v>
      </c>
      <c r="HD745" s="122">
        <v>400</v>
      </c>
      <c r="HE745" s="122">
        <v>400</v>
      </c>
      <c r="HF745" s="122">
        <f>ROUNDUP(HE745/HD745,0)</f>
        <v>1</v>
      </c>
      <c r="HG745" s="122">
        <v>5</v>
      </c>
      <c r="HH745" s="122">
        <f>HF745*HG745</f>
        <v>5</v>
      </c>
      <c r="HI745" s="122">
        <v>650</v>
      </c>
      <c r="HJ745" s="122">
        <f>HH745*HI745</f>
        <v>3250</v>
      </c>
      <c r="HK745" s="122"/>
      <c r="HL745" s="122"/>
      <c r="HM745" s="122">
        <v>2</v>
      </c>
      <c r="HN745" s="122">
        <f>HM745*12*25*HE745</f>
        <v>240000</v>
      </c>
      <c r="HO745" s="202">
        <f>IF(GY745="carton box",HI745/HD745,HJ745/HN745)</f>
        <v>1.3541666666666667E-2</v>
      </c>
      <c r="HP745" s="122">
        <v>160</v>
      </c>
      <c r="HQ745" s="122">
        <v>0</v>
      </c>
      <c r="HR745" s="359">
        <f>(6/200)+0.19</f>
        <v>0.22</v>
      </c>
      <c r="HS745" s="122">
        <v>1</v>
      </c>
      <c r="HT745" s="357">
        <f>HR745/HS745</f>
        <v>0.22</v>
      </c>
      <c r="HU745" s="357"/>
      <c r="HV745" s="202">
        <f>ROUNDUP(HO745+HT745,2)</f>
        <v>0.24000000000000002</v>
      </c>
      <c r="HW745" s="202"/>
      <c r="HX745" s="122">
        <v>4200</v>
      </c>
      <c r="HY745" s="122">
        <v>1900</v>
      </c>
      <c r="HZ745" s="122">
        <v>1975</v>
      </c>
      <c r="IA745" s="122">
        <f t="shared" ref="IA745:IC746" si="703">ROUNDDOWN(HX745/HA745,0)</f>
        <v>6</v>
      </c>
      <c r="IB745" s="122">
        <f t="shared" si="703"/>
        <v>4</v>
      </c>
      <c r="IC745" s="122">
        <f t="shared" si="703"/>
        <v>5</v>
      </c>
      <c r="ID745" s="210">
        <v>0.95</v>
      </c>
      <c r="IE745" s="203">
        <f>ROUND(PRODUCT(IA745:ID745),0)</f>
        <v>114</v>
      </c>
      <c r="IF745" s="122">
        <v>500</v>
      </c>
      <c r="IG745" s="202">
        <f>ROUNDUP(IF745/(IE745*HD745),2)</f>
        <v>0.02</v>
      </c>
      <c r="IH745" s="20"/>
    </row>
    <row r="746" spans="1:242" ht="30">
      <c r="A746">
        <v>731</v>
      </c>
      <c r="B746" t="s">
        <v>468</v>
      </c>
      <c r="C746" s="121" t="s">
        <v>2874</v>
      </c>
      <c r="D746" s="28" t="s">
        <v>1553</v>
      </c>
      <c r="E746" s="28" t="s">
        <v>1554</v>
      </c>
      <c r="F746" s="28" t="s">
        <v>2182</v>
      </c>
      <c r="G746" s="27" t="s">
        <v>102</v>
      </c>
      <c r="I746" s="27" t="s">
        <v>121</v>
      </c>
      <c r="J746" s="28">
        <v>21677</v>
      </c>
      <c r="K746" s="27" t="s">
        <v>228</v>
      </c>
      <c r="L746" s="121"/>
      <c r="M746" s="121"/>
      <c r="N746" s="115"/>
      <c r="O746" s="115"/>
      <c r="P746" s="115"/>
      <c r="Q746" s="139" t="s">
        <v>2778</v>
      </c>
      <c r="R746" s="137" t="s">
        <v>2779</v>
      </c>
      <c r="S746" s="121" t="s">
        <v>2840</v>
      </c>
      <c r="T746" s="121" t="s">
        <v>2762</v>
      </c>
      <c r="U746" s="326">
        <v>44259</v>
      </c>
      <c r="V746" s="121" t="s">
        <v>2748</v>
      </c>
      <c r="W746" s="218"/>
      <c r="X746" s="121"/>
      <c r="Y746" s="121"/>
      <c r="Z746" s="121"/>
      <c r="AA746" s="218" t="s">
        <v>2875</v>
      </c>
      <c r="AB746" s="121">
        <v>88.67</v>
      </c>
      <c r="AC746" s="121">
        <v>20</v>
      </c>
      <c r="AD746" s="122" t="s">
        <v>596</v>
      </c>
      <c r="AE746" s="219">
        <f>BA746</f>
        <v>28.81775</v>
      </c>
      <c r="AF746" s="219"/>
      <c r="AG746" s="219">
        <f>EU746+EM746</f>
        <v>7.4561403508771935</v>
      </c>
      <c r="AH746" s="219">
        <f>DP746</f>
        <v>0</v>
      </c>
      <c r="AI746" s="219">
        <f>DO746</f>
        <v>0</v>
      </c>
      <c r="AJ746" s="219">
        <f>GW746</f>
        <v>0.14912280701754388</v>
      </c>
      <c r="AK746" s="219">
        <f>GU746</f>
        <v>0.45342362938596498</v>
      </c>
      <c r="AL746" s="219">
        <f>GS746</f>
        <v>3.9901279385964914</v>
      </c>
      <c r="AM746" s="219">
        <f>HV746</f>
        <v>2.17</v>
      </c>
      <c r="AN746" s="219">
        <f>IG746</f>
        <v>1.25</v>
      </c>
      <c r="AO746" s="220">
        <v>0</v>
      </c>
      <c r="AP746" s="220"/>
      <c r="AQ746" s="204">
        <f>SUM(AE746:AP746)</f>
        <v>44.286564725877199</v>
      </c>
      <c r="AR746" s="122"/>
      <c r="AS746" s="122"/>
      <c r="AT746" s="122"/>
      <c r="AU746" s="122"/>
      <c r="AV746" s="204">
        <f>SUM(AQ746:AU746)</f>
        <v>44.286564725877199</v>
      </c>
      <c r="AW746" s="122">
        <v>0.32500000000000001</v>
      </c>
      <c r="AX746" s="122">
        <v>0.32500000000000001</v>
      </c>
      <c r="AY746" s="210">
        <v>1</v>
      </c>
      <c r="AZ746" s="122">
        <f>AW746-AX746</f>
        <v>0</v>
      </c>
      <c r="BA746" s="202">
        <f>AW746*AB746-AZ746*AC746</f>
        <v>28.81775</v>
      </c>
      <c r="BB746" s="202"/>
      <c r="BC746" s="202"/>
      <c r="BD746" s="202"/>
      <c r="BE746" s="202"/>
      <c r="BF746" s="202"/>
      <c r="BG746" s="202"/>
      <c r="BH746" s="202"/>
      <c r="BI746" s="202"/>
      <c r="BJ746" s="202"/>
      <c r="BK746" s="202"/>
      <c r="BL746" s="202"/>
      <c r="BM746" s="202"/>
      <c r="BN746" s="202"/>
      <c r="BO746" s="202"/>
      <c r="BP746" s="202"/>
      <c r="BQ746" s="202"/>
      <c r="BR746" s="202"/>
      <c r="BS746" s="202"/>
      <c r="BT746" s="202"/>
      <c r="BU746" s="202"/>
      <c r="BV746" s="202"/>
      <c r="BW746" s="202"/>
      <c r="BX746" s="202"/>
      <c r="BY746" s="202"/>
      <c r="BZ746" s="202"/>
      <c r="CA746" s="202"/>
      <c r="CB746" s="202"/>
      <c r="CC746" s="202"/>
      <c r="CD746" s="122"/>
      <c r="CE746" s="122">
        <v>0</v>
      </c>
      <c r="CF746" s="122">
        <v>0</v>
      </c>
      <c r="CG746" s="122">
        <v>0</v>
      </c>
      <c r="CH746" s="122">
        <v>0</v>
      </c>
      <c r="CI746" s="121"/>
      <c r="CJ746" s="121"/>
      <c r="CK746" s="122"/>
      <c r="CL746" s="122"/>
      <c r="CM746" s="122"/>
      <c r="CN746" s="122"/>
      <c r="CO746" s="122"/>
      <c r="CP746" s="122"/>
      <c r="CQ746" s="122"/>
      <c r="CR746" s="122"/>
      <c r="CS746" s="122"/>
      <c r="CT746" s="122"/>
      <c r="CU746" s="122"/>
      <c r="CV746" s="122"/>
      <c r="CW746" s="122"/>
      <c r="CX746" s="122"/>
      <c r="CY746" s="122"/>
      <c r="CZ746" s="122"/>
      <c r="DA746" s="122"/>
      <c r="DB746" s="122"/>
      <c r="DC746" s="122"/>
      <c r="DD746" s="122"/>
      <c r="DE746" s="122"/>
      <c r="DF746" s="122"/>
      <c r="DG746" s="122"/>
      <c r="DH746" s="122"/>
      <c r="DI746" s="122"/>
      <c r="DJ746" s="122"/>
      <c r="DK746" s="122"/>
      <c r="DL746" s="122"/>
      <c r="DM746" s="103">
        <f>CM746+CR746+CW746+DB746+DG746+DL746+CH746</f>
        <v>0</v>
      </c>
      <c r="DN746" s="211">
        <v>1.2500000000000001E-2</v>
      </c>
      <c r="DO746" s="122">
        <f>DN746*CG746*CF746</f>
        <v>0</v>
      </c>
      <c r="DP746" s="122">
        <f>CG746*CF746</f>
        <v>0</v>
      </c>
      <c r="DQ746" s="122"/>
      <c r="DR746" s="122"/>
      <c r="DS746" s="122"/>
      <c r="DT746" s="122"/>
      <c r="DU746" s="122"/>
      <c r="DV746" s="122"/>
      <c r="DW746" s="122"/>
      <c r="DX746" s="122"/>
      <c r="DY746" s="122"/>
      <c r="DZ746" s="122"/>
      <c r="EA746" s="122"/>
      <c r="EB746" s="122"/>
      <c r="EC746" s="122"/>
      <c r="ED746" s="122"/>
      <c r="EE746" s="122"/>
      <c r="EF746" s="122">
        <v>300</v>
      </c>
      <c r="EG746" s="122">
        <v>3000</v>
      </c>
      <c r="EH746" s="122">
        <v>8</v>
      </c>
      <c r="EI746" s="210">
        <v>0.95</v>
      </c>
      <c r="EJ746" s="122">
        <v>1</v>
      </c>
      <c r="EK746" s="122">
        <v>68</v>
      </c>
      <c r="EL746" s="221">
        <f>(3600/EK746*EH746*EJ746*EI746)</f>
        <v>402.35294117647055</v>
      </c>
      <c r="EM746" s="122"/>
      <c r="EN746" s="122"/>
      <c r="EO746" s="122"/>
      <c r="EP746" s="122"/>
      <c r="EQ746" s="122"/>
      <c r="ER746" s="122"/>
      <c r="ES746" s="122"/>
      <c r="ET746" s="122"/>
      <c r="EU746" s="202">
        <f>EG746/EL746</f>
        <v>7.4561403508771935</v>
      </c>
      <c r="EV746" s="122"/>
      <c r="EW746" s="122"/>
      <c r="EX746" s="122"/>
      <c r="EY746" s="122"/>
      <c r="EZ746" s="122"/>
      <c r="FA746" s="122"/>
      <c r="FB746" s="122"/>
      <c r="FC746" s="122"/>
      <c r="FD746" s="122"/>
      <c r="FE746" s="122"/>
      <c r="FF746" s="122"/>
      <c r="FG746" s="122"/>
      <c r="FH746" s="122"/>
      <c r="FI746" s="122"/>
      <c r="FJ746" s="122"/>
      <c r="FK746" s="122"/>
      <c r="FL746" s="122"/>
      <c r="FM746" s="122"/>
      <c r="FN746" s="122"/>
      <c r="FO746" s="122"/>
      <c r="FP746" s="122"/>
      <c r="FQ746" s="122"/>
      <c r="FR746" s="122"/>
      <c r="FS746" s="122"/>
      <c r="FT746" s="122"/>
      <c r="FU746" s="122"/>
      <c r="FV746" s="122"/>
      <c r="FW746" s="122"/>
      <c r="FX746" s="122"/>
      <c r="FY746" s="122"/>
      <c r="FZ746" s="122"/>
      <c r="GA746" s="122"/>
      <c r="GB746" s="122"/>
      <c r="GC746" s="122"/>
      <c r="GD746" s="122"/>
      <c r="GE746" s="122"/>
      <c r="GF746" s="122"/>
      <c r="GG746" s="122"/>
      <c r="GH746" s="122"/>
      <c r="GI746" s="122"/>
      <c r="GJ746" s="122"/>
      <c r="GK746" s="122"/>
      <c r="GL746" s="122"/>
      <c r="GM746" s="122"/>
      <c r="GN746" s="122"/>
      <c r="GO746" s="122"/>
      <c r="GP746" s="122"/>
      <c r="GQ746" s="122"/>
      <c r="GR746" s="210">
        <v>0.11</v>
      </c>
      <c r="GS746" s="202">
        <f>GR746*(BA746+EU746)</f>
        <v>3.9901279385964914</v>
      </c>
      <c r="GT746" s="208">
        <v>1.2500000000000001E-2</v>
      </c>
      <c r="GU746" s="203">
        <f>GT746*(BA746+EU746)</f>
        <v>0.45342362938596498</v>
      </c>
      <c r="GV746" s="207">
        <v>0.02</v>
      </c>
      <c r="GW746" s="203">
        <f>GV746*EU746</f>
        <v>0.14912280701754388</v>
      </c>
      <c r="GX746" s="203">
        <f>GS746+GU746+GW746</f>
        <v>4.5926743749999996</v>
      </c>
      <c r="GY746" s="122" t="s">
        <v>130</v>
      </c>
      <c r="GZ746" s="122" t="s">
        <v>130</v>
      </c>
      <c r="HA746" s="122">
        <v>1350</v>
      </c>
      <c r="HB746" s="122">
        <v>950</v>
      </c>
      <c r="HC746" s="122">
        <v>2400</v>
      </c>
      <c r="HD746" s="122">
        <v>80</v>
      </c>
      <c r="HE746" s="122">
        <v>600</v>
      </c>
      <c r="HF746" s="122">
        <f>ROUNDUP(HE746/HD746,0)</f>
        <v>8</v>
      </c>
      <c r="HG746" s="122">
        <v>5</v>
      </c>
      <c r="HH746" s="122">
        <f>HF746*HG746</f>
        <v>40</v>
      </c>
      <c r="HI746" s="122">
        <v>19500</v>
      </c>
      <c r="HJ746" s="122">
        <f>HH746*HI746</f>
        <v>780000</v>
      </c>
      <c r="HK746" s="122"/>
      <c r="HL746" s="122"/>
      <c r="HM746" s="122">
        <v>2</v>
      </c>
      <c r="HN746" s="122">
        <f>HM746*12*25*HE746</f>
        <v>360000</v>
      </c>
      <c r="HO746" s="202">
        <f>IF(GY746="carton box",HI746/HD746,HJ746/HN746)</f>
        <v>2.1666666666666665</v>
      </c>
      <c r="HP746" s="122">
        <v>160</v>
      </c>
      <c r="HQ746" s="122">
        <v>0</v>
      </c>
      <c r="HR746" s="122">
        <v>0</v>
      </c>
      <c r="HS746" s="122">
        <v>0</v>
      </c>
      <c r="HT746" s="122">
        <v>0</v>
      </c>
      <c r="HU746" s="122"/>
      <c r="HV746" s="202">
        <f>ROUNDUP(HO746+HT746,2)</f>
        <v>2.17</v>
      </c>
      <c r="HW746" s="202"/>
      <c r="HX746" s="122">
        <v>5016</v>
      </c>
      <c r="HY746" s="122">
        <v>1976</v>
      </c>
      <c r="HZ746" s="122">
        <v>2280</v>
      </c>
      <c r="IA746" s="122">
        <f t="shared" si="703"/>
        <v>3</v>
      </c>
      <c r="IB746" s="122">
        <f t="shared" si="703"/>
        <v>2</v>
      </c>
      <c r="IC746" s="122">
        <f t="shared" si="703"/>
        <v>0</v>
      </c>
      <c r="ID746" s="210">
        <v>1</v>
      </c>
      <c r="IE746" s="202">
        <f>ROUND(PRODUCT(IA746:ID746),0)+5</f>
        <v>5</v>
      </c>
      <c r="IF746" s="122">
        <v>500</v>
      </c>
      <c r="IG746" s="202">
        <f>ROUNDUP(IF746/(IE746*HD746),2)</f>
        <v>1.25</v>
      </c>
      <c r="IH746" s="20"/>
    </row>
    <row r="747" spans="1:242">
      <c r="A747">
        <v>732</v>
      </c>
      <c r="B747" s="328" t="s">
        <v>1947</v>
      </c>
      <c r="D747" s="28" t="s">
        <v>1553</v>
      </c>
      <c r="E747" s="28" t="s">
        <v>1554</v>
      </c>
      <c r="F747" s="28" t="s">
        <v>1947</v>
      </c>
      <c r="G747" s="27" t="s">
        <v>102</v>
      </c>
      <c r="I747" s="27" t="s">
        <v>121</v>
      </c>
      <c r="J747" s="28">
        <v>29010</v>
      </c>
      <c r="K747" s="27" t="s">
        <v>229</v>
      </c>
    </row>
    <row r="748" spans="1:242">
      <c r="A748">
        <v>733</v>
      </c>
      <c r="B748" t="s">
        <v>468</v>
      </c>
      <c r="C748" s="121" t="s">
        <v>2876</v>
      </c>
      <c r="D748" s="28" t="s">
        <v>1555</v>
      </c>
      <c r="E748" s="28" t="s">
        <v>176</v>
      </c>
      <c r="F748" s="28" t="s">
        <v>2182</v>
      </c>
      <c r="G748" s="27" t="s">
        <v>102</v>
      </c>
      <c r="I748" s="27" t="s">
        <v>121</v>
      </c>
      <c r="J748" s="28">
        <v>21677</v>
      </c>
      <c r="K748" s="27" t="s">
        <v>228</v>
      </c>
      <c r="L748" s="121"/>
      <c r="M748" s="121"/>
      <c r="N748" s="115"/>
      <c r="O748" s="115"/>
      <c r="P748" s="115"/>
      <c r="Q748" s="139" t="s">
        <v>2778</v>
      </c>
      <c r="R748" s="137" t="s">
        <v>2779</v>
      </c>
      <c r="S748" s="121" t="s">
        <v>2840</v>
      </c>
      <c r="T748" s="121"/>
      <c r="U748" s="121"/>
      <c r="V748" s="121" t="s">
        <v>2748</v>
      </c>
      <c r="W748" s="218"/>
      <c r="X748" s="121"/>
      <c r="Y748" s="121"/>
      <c r="Z748" s="121"/>
      <c r="AA748" s="115" t="s">
        <v>1823</v>
      </c>
      <c r="AB748" s="121">
        <v>85.45</v>
      </c>
      <c r="AC748" s="121">
        <v>20</v>
      </c>
      <c r="AD748" s="122" t="s">
        <v>596</v>
      </c>
      <c r="AE748" s="219">
        <f>BA748</f>
        <v>3.0689250000000001</v>
      </c>
      <c r="AF748" s="219"/>
      <c r="AG748" s="219">
        <f>EU748+EM748</f>
        <v>4.2397660818713447</v>
      </c>
      <c r="AH748" s="219">
        <f>DP748</f>
        <v>0</v>
      </c>
      <c r="AI748" s="219">
        <f>DO748</f>
        <v>0</v>
      </c>
      <c r="AJ748" s="219">
        <f>GW748</f>
        <v>8.4795321637426896E-2</v>
      </c>
      <c r="AK748" s="219">
        <f>GU748</f>
        <v>9.1358638523391822E-2</v>
      </c>
      <c r="AL748" s="219">
        <f>GS748</f>
        <v>0.8039560190058479</v>
      </c>
      <c r="AM748" s="219">
        <f>HV748</f>
        <v>1.2530333333333334</v>
      </c>
      <c r="AN748" s="219">
        <f>IG748</f>
        <v>0.05</v>
      </c>
      <c r="AO748" s="220">
        <v>0</v>
      </c>
      <c r="AP748" s="220"/>
      <c r="AQ748" s="204">
        <f>SUM(AE748:AP748)</f>
        <v>9.5918343943713449</v>
      </c>
      <c r="AR748" s="122"/>
      <c r="AS748" s="122"/>
      <c r="AT748" s="122"/>
      <c r="AU748" s="122"/>
      <c r="AV748" s="204">
        <f>SUM(AQ748:AU748)</f>
        <v>9.5918343943713449</v>
      </c>
      <c r="AW748" s="230">
        <v>3.6500000000000005E-2</v>
      </c>
      <c r="AX748" s="122">
        <v>3.4000000000000002E-2</v>
      </c>
      <c r="AY748" s="210">
        <v>1</v>
      </c>
      <c r="AZ748" s="122">
        <f>AW748-AX748</f>
        <v>2.5000000000000022E-3</v>
      </c>
      <c r="BA748" s="202">
        <f>AW748*AB748-AZ748*AC748</f>
        <v>3.0689250000000001</v>
      </c>
      <c r="BB748" s="202"/>
      <c r="BC748" s="202"/>
      <c r="BD748" s="202"/>
      <c r="BE748" s="202"/>
      <c r="BF748" s="202"/>
      <c r="BG748" s="202"/>
      <c r="BH748" s="202"/>
      <c r="BI748" s="202"/>
      <c r="BJ748" s="202"/>
      <c r="BK748" s="202"/>
      <c r="BL748" s="202"/>
      <c r="BM748" s="202"/>
      <c r="BN748" s="202"/>
      <c r="BO748" s="202"/>
      <c r="BP748" s="202"/>
      <c r="BQ748" s="202"/>
      <c r="BR748" s="202"/>
      <c r="BS748" s="202"/>
      <c r="BT748" s="202"/>
      <c r="BU748" s="202"/>
      <c r="BV748" s="202"/>
      <c r="BW748" s="202"/>
      <c r="BX748" s="202"/>
      <c r="BY748" s="202"/>
      <c r="BZ748" s="202"/>
      <c r="CA748" s="202"/>
      <c r="CB748" s="202"/>
      <c r="CC748" s="202"/>
      <c r="CD748" s="122"/>
      <c r="CE748" s="122">
        <v>0</v>
      </c>
      <c r="CF748" s="122">
        <v>0</v>
      </c>
      <c r="CG748" s="122">
        <v>0</v>
      </c>
      <c r="CH748" s="122">
        <v>0</v>
      </c>
      <c r="CI748" s="121"/>
      <c r="CJ748" s="121"/>
      <c r="CK748" s="122"/>
      <c r="CL748" s="122"/>
      <c r="CM748" s="122"/>
      <c r="CN748" s="122"/>
      <c r="CO748" s="122"/>
      <c r="CP748" s="122"/>
      <c r="CQ748" s="122"/>
      <c r="CR748" s="122"/>
      <c r="CS748" s="122"/>
      <c r="CT748" s="122"/>
      <c r="CU748" s="122"/>
      <c r="CV748" s="122"/>
      <c r="CW748" s="122"/>
      <c r="CX748" s="122"/>
      <c r="CY748" s="122"/>
      <c r="CZ748" s="122"/>
      <c r="DA748" s="122"/>
      <c r="DB748" s="122"/>
      <c r="DC748" s="122"/>
      <c r="DD748" s="122"/>
      <c r="DE748" s="122"/>
      <c r="DF748" s="122"/>
      <c r="DG748" s="122"/>
      <c r="DH748" s="122"/>
      <c r="DI748" s="122"/>
      <c r="DJ748" s="122"/>
      <c r="DK748" s="122"/>
      <c r="DL748" s="122"/>
      <c r="DM748" s="122">
        <f>CM748+CR748+CW748+DB748+DG748+DL748+CH748</f>
        <v>0</v>
      </c>
      <c r="DN748" s="211">
        <v>1.2500000000000001E-2</v>
      </c>
      <c r="DO748" s="122">
        <f>DN748*CG748*CF748</f>
        <v>0</v>
      </c>
      <c r="DP748" s="122">
        <f>CG748*CF748</f>
        <v>0</v>
      </c>
      <c r="DQ748" s="122"/>
      <c r="DR748" s="122"/>
      <c r="DS748" s="122"/>
      <c r="DT748" s="122"/>
      <c r="DU748" s="122"/>
      <c r="DV748" s="122"/>
      <c r="DW748" s="122"/>
      <c r="DX748" s="122"/>
      <c r="DY748" s="122"/>
      <c r="DZ748" s="122"/>
      <c r="EA748" s="122"/>
      <c r="EB748" s="122"/>
      <c r="EC748" s="122"/>
      <c r="ED748" s="122"/>
      <c r="EE748" s="122"/>
      <c r="EF748" s="122">
        <v>200</v>
      </c>
      <c r="EG748" s="122">
        <v>2000</v>
      </c>
      <c r="EH748" s="122">
        <v>8</v>
      </c>
      <c r="EI748" s="210">
        <v>0.95</v>
      </c>
      <c r="EJ748" s="122">
        <v>1</v>
      </c>
      <c r="EK748" s="122">
        <v>58</v>
      </c>
      <c r="EL748" s="221">
        <f>(3600/EK748*EH748*EJ748*EI748)</f>
        <v>471.72413793103448</v>
      </c>
      <c r="EM748" s="122"/>
      <c r="EN748" s="122"/>
      <c r="EO748" s="122"/>
      <c r="EP748" s="122"/>
      <c r="EQ748" s="122"/>
      <c r="ER748" s="122"/>
      <c r="ES748" s="122"/>
      <c r="ET748" s="122"/>
      <c r="EU748" s="202">
        <f>EG748/EL748</f>
        <v>4.2397660818713447</v>
      </c>
      <c r="EV748" s="122"/>
      <c r="EW748" s="122"/>
      <c r="EX748" s="122"/>
      <c r="EY748" s="122"/>
      <c r="EZ748" s="122"/>
      <c r="FA748" s="122"/>
      <c r="FB748" s="122"/>
      <c r="FC748" s="122"/>
      <c r="FD748" s="122"/>
      <c r="FE748" s="122"/>
      <c r="FF748" s="122"/>
      <c r="FG748" s="122"/>
      <c r="FH748" s="122"/>
      <c r="FI748" s="122"/>
      <c r="FJ748" s="122"/>
      <c r="FK748" s="122"/>
      <c r="FL748" s="122"/>
      <c r="FM748" s="122"/>
      <c r="FN748" s="122"/>
      <c r="FO748" s="122"/>
      <c r="FP748" s="122"/>
      <c r="FQ748" s="122"/>
      <c r="FR748" s="122"/>
      <c r="FS748" s="122"/>
      <c r="FT748" s="122"/>
      <c r="FU748" s="122"/>
      <c r="FV748" s="122"/>
      <c r="FW748" s="122"/>
      <c r="FX748" s="122"/>
      <c r="FY748" s="122"/>
      <c r="FZ748" s="122"/>
      <c r="GA748" s="122"/>
      <c r="GB748" s="122"/>
      <c r="GC748" s="122"/>
      <c r="GD748" s="122"/>
      <c r="GE748" s="122"/>
      <c r="GF748" s="122"/>
      <c r="GG748" s="122"/>
      <c r="GH748" s="122"/>
      <c r="GI748" s="122"/>
      <c r="GJ748" s="122"/>
      <c r="GK748" s="122"/>
      <c r="GL748" s="122"/>
      <c r="GM748" s="122"/>
      <c r="GN748" s="122"/>
      <c r="GO748" s="122"/>
      <c r="GP748" s="122"/>
      <c r="GQ748" s="122"/>
      <c r="GR748" s="210">
        <v>0.11</v>
      </c>
      <c r="GS748" s="202">
        <f>GR748*(BA748+EU748)</f>
        <v>0.8039560190058479</v>
      </c>
      <c r="GT748" s="208">
        <v>1.2500000000000001E-2</v>
      </c>
      <c r="GU748" s="203">
        <f>GT748*(BA748+EU748)</f>
        <v>9.1358638523391822E-2</v>
      </c>
      <c r="GV748" s="207">
        <v>0.02</v>
      </c>
      <c r="GW748" s="203">
        <f>GV748*EU748</f>
        <v>8.4795321637426896E-2</v>
      </c>
      <c r="GX748" s="203">
        <f>GS748+GU748+GW748</f>
        <v>0.98010997916666653</v>
      </c>
      <c r="GY748" s="122" t="s">
        <v>43</v>
      </c>
      <c r="GZ748" s="122" t="s">
        <v>87</v>
      </c>
      <c r="HA748" s="122">
        <v>805</v>
      </c>
      <c r="HB748" s="122">
        <v>675</v>
      </c>
      <c r="HC748" s="122">
        <v>405</v>
      </c>
      <c r="HD748" s="122">
        <v>200</v>
      </c>
      <c r="HE748" s="122">
        <v>600</v>
      </c>
      <c r="HF748" s="122">
        <f>ROUNDUP(HE748/HD748,0)</f>
        <v>3</v>
      </c>
      <c r="HG748" s="122">
        <v>5</v>
      </c>
      <c r="HH748" s="122">
        <f>HF748*HG748</f>
        <v>15</v>
      </c>
      <c r="HI748" s="122">
        <v>1100</v>
      </c>
      <c r="HJ748" s="122">
        <f>HH748*HI748</f>
        <v>16500</v>
      </c>
      <c r="HK748" s="122"/>
      <c r="HL748" s="122"/>
      <c r="HM748" s="122">
        <v>2</v>
      </c>
      <c r="HN748" s="122">
        <f>HM748*12*25*HE748</f>
        <v>360000</v>
      </c>
      <c r="HO748" s="202">
        <f>IF(GY748="carton box",HI748/HD748,HJ748/HN748)</f>
        <v>4.583333333333333E-2</v>
      </c>
      <c r="HP748" s="122">
        <v>160</v>
      </c>
      <c r="HQ748" s="122">
        <v>0</v>
      </c>
      <c r="HR748" s="360">
        <v>231.44</v>
      </c>
      <c r="HS748" s="122">
        <v>200</v>
      </c>
      <c r="HT748" s="203">
        <f>HR748/HS748</f>
        <v>1.1572</v>
      </c>
      <c r="HU748" s="203"/>
      <c r="HV748" s="202">
        <f>HO748+HT748+0.05</f>
        <v>1.2530333333333334</v>
      </c>
      <c r="HW748" s="202"/>
      <c r="HX748" s="122">
        <v>5016</v>
      </c>
      <c r="HY748" s="122">
        <v>1976</v>
      </c>
      <c r="HZ748" s="122">
        <v>2280</v>
      </c>
      <c r="IA748" s="122">
        <f t="shared" ref="IA748:IC749" si="704">ROUNDDOWN(HX748/HA748,0)</f>
        <v>6</v>
      </c>
      <c r="IB748" s="122">
        <f t="shared" si="704"/>
        <v>2</v>
      </c>
      <c r="IC748" s="122">
        <f t="shared" si="704"/>
        <v>5</v>
      </c>
      <c r="ID748" s="210">
        <v>1</v>
      </c>
      <c r="IE748" s="203">
        <f>ROUND(PRODUCT(IA748:ID748),0)-10</f>
        <v>50</v>
      </c>
      <c r="IF748" s="122">
        <v>500</v>
      </c>
      <c r="IG748" s="202">
        <f>ROUNDUP(IF748/(IE748*HD748),2)</f>
        <v>0.05</v>
      </c>
      <c r="IH748" s="20"/>
    </row>
    <row r="749" spans="1:242">
      <c r="A749">
        <v>734</v>
      </c>
      <c r="B749" t="s">
        <v>468</v>
      </c>
      <c r="C749" s="121" t="s">
        <v>2877</v>
      </c>
      <c r="D749" s="28" t="s">
        <v>1556</v>
      </c>
      <c r="E749" s="28" t="s">
        <v>1557</v>
      </c>
      <c r="F749" s="28" t="s">
        <v>2182</v>
      </c>
      <c r="G749" s="27" t="s">
        <v>102</v>
      </c>
      <c r="I749" s="27" t="s">
        <v>121</v>
      </c>
      <c r="J749" s="28">
        <v>21677</v>
      </c>
      <c r="K749" s="27" t="s">
        <v>228</v>
      </c>
      <c r="L749" s="121"/>
      <c r="M749" s="121"/>
      <c r="N749" s="115"/>
      <c r="O749" s="115"/>
      <c r="P749" s="115"/>
      <c r="Q749" s="139" t="s">
        <v>2778</v>
      </c>
      <c r="R749" s="137" t="s">
        <v>2779</v>
      </c>
      <c r="S749" s="121" t="s">
        <v>2824</v>
      </c>
      <c r="T749" s="121" t="s">
        <v>2762</v>
      </c>
      <c r="U749" s="326">
        <v>44409</v>
      </c>
      <c r="V749" s="121" t="s">
        <v>2748</v>
      </c>
      <c r="W749" s="218"/>
      <c r="X749" s="121"/>
      <c r="Y749" s="121"/>
      <c r="Z749" s="121"/>
      <c r="AA749" s="115" t="s">
        <v>425</v>
      </c>
      <c r="AB749" s="121">
        <v>113.52</v>
      </c>
      <c r="AC749" s="121">
        <v>20</v>
      </c>
      <c r="AD749" s="122" t="s">
        <v>24</v>
      </c>
      <c r="AE749" s="219">
        <f>BA749</f>
        <v>29.85688</v>
      </c>
      <c r="AF749" s="219"/>
      <c r="AG749" s="219">
        <f>EU749+EM749</f>
        <v>22.236842105263158</v>
      </c>
      <c r="AH749" s="219">
        <f>DP749</f>
        <v>0.2</v>
      </c>
      <c r="AI749" s="219">
        <f>DO749</f>
        <v>2.5000000000000005E-3</v>
      </c>
      <c r="AJ749" s="219">
        <f>GW749</f>
        <v>0.44473684210526315</v>
      </c>
      <c r="AK749" s="219">
        <f>GU749</f>
        <v>0.65117152631578945</v>
      </c>
      <c r="AL749" s="219">
        <f>GS749</f>
        <v>5.7303094315789469</v>
      </c>
      <c r="AM749" s="219">
        <f>HV749</f>
        <v>6</v>
      </c>
      <c r="AN749" s="219">
        <f>IG749</f>
        <v>0.83333333333333337</v>
      </c>
      <c r="AO749" s="220">
        <v>0</v>
      </c>
      <c r="AP749" s="220"/>
      <c r="AQ749" s="204">
        <f>SUM(AE749:AP749)</f>
        <v>65.955773238596478</v>
      </c>
      <c r="AR749" s="122"/>
      <c r="AS749" s="122"/>
      <c r="AT749" s="122"/>
      <c r="AU749" s="122"/>
      <c r="AV749" s="204">
        <f>SUM(AQ749:AU749)</f>
        <v>65.955773238596478</v>
      </c>
      <c r="AW749" s="122">
        <v>0.26900000000000002</v>
      </c>
      <c r="AX749" s="122">
        <v>0.23499999999999999</v>
      </c>
      <c r="AY749" s="210">
        <v>1</v>
      </c>
      <c r="AZ749" s="122">
        <f>AW749-AX749</f>
        <v>3.400000000000003E-2</v>
      </c>
      <c r="BA749" s="202">
        <f>AW749*AB749-AZ749*AC749</f>
        <v>29.85688</v>
      </c>
      <c r="BB749" s="202"/>
      <c r="BC749" s="202"/>
      <c r="BD749" s="202"/>
      <c r="BE749" s="202"/>
      <c r="BF749" s="202"/>
      <c r="BG749" s="202"/>
      <c r="BH749" s="202"/>
      <c r="BI749" s="202"/>
      <c r="BJ749" s="202"/>
      <c r="BK749" s="202"/>
      <c r="BL749" s="202"/>
      <c r="BM749" s="202"/>
      <c r="BN749" s="202"/>
      <c r="BO749" s="202"/>
      <c r="BP749" s="202"/>
      <c r="BQ749" s="202"/>
      <c r="BR749" s="202"/>
      <c r="BS749" s="202"/>
      <c r="BT749" s="202"/>
      <c r="BU749" s="202"/>
      <c r="BV749" s="202"/>
      <c r="BW749" s="202"/>
      <c r="BX749" s="202"/>
      <c r="BY749" s="202"/>
      <c r="BZ749" s="202"/>
      <c r="CA749" s="202"/>
      <c r="CB749" s="202"/>
      <c r="CC749" s="202"/>
      <c r="CD749" s="122"/>
      <c r="CE749" s="122">
        <v>0</v>
      </c>
      <c r="CF749" s="122">
        <v>1</v>
      </c>
      <c r="CG749" s="122">
        <f>0.2</f>
        <v>0.2</v>
      </c>
      <c r="CH749" s="103">
        <f>CG749*CF749</f>
        <v>0.2</v>
      </c>
      <c r="CI749" s="121"/>
      <c r="CJ749" s="121"/>
      <c r="CK749" s="122"/>
      <c r="CL749" s="122"/>
      <c r="CM749" s="122"/>
      <c r="CN749" s="122"/>
      <c r="CO749" s="122"/>
      <c r="CP749" s="122"/>
      <c r="CQ749" s="122"/>
      <c r="CR749" s="122"/>
      <c r="CS749" s="122"/>
      <c r="CT749" s="122"/>
      <c r="CU749" s="122"/>
      <c r="CV749" s="122"/>
      <c r="CW749" s="122"/>
      <c r="CX749" s="122"/>
      <c r="CY749" s="122"/>
      <c r="CZ749" s="122"/>
      <c r="DA749" s="122"/>
      <c r="DB749" s="122"/>
      <c r="DC749" s="122"/>
      <c r="DD749" s="122"/>
      <c r="DE749" s="122"/>
      <c r="DF749" s="122"/>
      <c r="DG749" s="122"/>
      <c r="DH749" s="122"/>
      <c r="DI749" s="122"/>
      <c r="DJ749" s="122"/>
      <c r="DK749" s="122"/>
      <c r="DL749" s="122"/>
      <c r="DM749" s="122">
        <f>CM749+CR749+CW749+DB749+DG749+DL749+CH749</f>
        <v>0.2</v>
      </c>
      <c r="DN749" s="211">
        <v>1.2500000000000001E-2</v>
      </c>
      <c r="DO749" s="122">
        <f>DN749*CG749*CF749</f>
        <v>2.5000000000000005E-3</v>
      </c>
      <c r="DP749" s="122">
        <f>CG749*CF749</f>
        <v>0.2</v>
      </c>
      <c r="DQ749" s="122"/>
      <c r="DR749" s="122"/>
      <c r="DS749" s="122"/>
      <c r="DT749" s="122"/>
      <c r="DU749" s="122"/>
      <c r="DV749" s="122"/>
      <c r="DW749" s="122"/>
      <c r="DX749" s="122"/>
      <c r="DY749" s="122"/>
      <c r="DZ749" s="122"/>
      <c r="EA749" s="122"/>
      <c r="EB749" s="122"/>
      <c r="EC749" s="122"/>
      <c r="ED749" s="122"/>
      <c r="EE749" s="122"/>
      <c r="EF749" s="122">
        <v>780</v>
      </c>
      <c r="EG749" s="122">
        <v>7800</v>
      </c>
      <c r="EH749" s="122">
        <v>8</v>
      </c>
      <c r="EI749" s="210">
        <v>0.95</v>
      </c>
      <c r="EJ749" s="122">
        <v>1</v>
      </c>
      <c r="EK749" s="122">
        <v>78</v>
      </c>
      <c r="EL749" s="221">
        <f>(3600/EK749*EH749*EJ749*EI749)</f>
        <v>350.76923076923077</v>
      </c>
      <c r="EM749" s="122"/>
      <c r="EN749" s="122"/>
      <c r="EO749" s="122"/>
      <c r="EP749" s="122"/>
      <c r="EQ749" s="122"/>
      <c r="ER749" s="122"/>
      <c r="ES749" s="122"/>
      <c r="ET749" s="122"/>
      <c r="EU749" s="202">
        <f>EG749/EL749</f>
        <v>22.236842105263158</v>
      </c>
      <c r="EV749" s="122"/>
      <c r="EW749" s="122"/>
      <c r="EX749" s="122"/>
      <c r="EY749" s="122"/>
      <c r="EZ749" s="122"/>
      <c r="FA749" s="122"/>
      <c r="FB749" s="122"/>
      <c r="FC749" s="122"/>
      <c r="FD749" s="122"/>
      <c r="FE749" s="122"/>
      <c r="FF749" s="122"/>
      <c r="FG749" s="122"/>
      <c r="FH749" s="122"/>
      <c r="FI749" s="122"/>
      <c r="FJ749" s="122"/>
      <c r="FK749" s="122"/>
      <c r="FL749" s="122"/>
      <c r="FM749" s="122"/>
      <c r="FN749" s="122"/>
      <c r="FO749" s="122"/>
      <c r="FP749" s="122"/>
      <c r="FQ749" s="122"/>
      <c r="FR749" s="122"/>
      <c r="FS749" s="122"/>
      <c r="FT749" s="122"/>
      <c r="FU749" s="122"/>
      <c r="FV749" s="122"/>
      <c r="FW749" s="122"/>
      <c r="FX749" s="122"/>
      <c r="FY749" s="122"/>
      <c r="FZ749" s="122"/>
      <c r="GA749" s="122"/>
      <c r="GB749" s="122"/>
      <c r="GC749" s="122"/>
      <c r="GD749" s="122"/>
      <c r="GE749" s="122"/>
      <c r="GF749" s="122"/>
      <c r="GG749" s="122"/>
      <c r="GH749" s="122"/>
      <c r="GI749" s="122"/>
      <c r="GJ749" s="122"/>
      <c r="GK749" s="122"/>
      <c r="GL749" s="122"/>
      <c r="GM749" s="122"/>
      <c r="GN749" s="122"/>
      <c r="GO749" s="122"/>
      <c r="GP749" s="122"/>
      <c r="GQ749" s="122"/>
      <c r="GR749" s="210">
        <v>0.11</v>
      </c>
      <c r="GS749" s="202">
        <f>GR749*(BA749+EU749)</f>
        <v>5.7303094315789469</v>
      </c>
      <c r="GT749" s="208">
        <v>1.2500000000000001E-2</v>
      </c>
      <c r="GU749" s="203">
        <f>GT749*(BA749+EU749)</f>
        <v>0.65117152631578945</v>
      </c>
      <c r="GV749" s="207">
        <v>0.02</v>
      </c>
      <c r="GW749" s="203">
        <f>GV749*EU749</f>
        <v>0.44473684210526315</v>
      </c>
      <c r="GX749" s="203">
        <f>GS749+GU749+GW749</f>
        <v>6.8262178000000002</v>
      </c>
      <c r="GY749" s="122" t="s">
        <v>130</v>
      </c>
      <c r="GZ749" s="122" t="s">
        <v>130</v>
      </c>
      <c r="HA749" s="122">
        <v>1350</v>
      </c>
      <c r="HB749" s="122">
        <v>950</v>
      </c>
      <c r="HC749" s="122">
        <v>2400</v>
      </c>
      <c r="HD749" s="122">
        <v>120</v>
      </c>
      <c r="HE749" s="122">
        <v>600</v>
      </c>
      <c r="HF749" s="122">
        <f>ROUNDUP(HE749/HD749,0)</f>
        <v>5</v>
      </c>
      <c r="HG749" s="122">
        <v>5</v>
      </c>
      <c r="HH749" s="122">
        <f>HF749*HG749</f>
        <v>25</v>
      </c>
      <c r="HI749" s="122">
        <v>24000</v>
      </c>
      <c r="HJ749" s="122">
        <f>HH749*HI749</f>
        <v>600000</v>
      </c>
      <c r="HK749" s="122"/>
      <c r="HL749" s="122"/>
      <c r="HM749" s="122">
        <v>2</v>
      </c>
      <c r="HN749" s="122">
        <f>HM749*12*25*HE749</f>
        <v>360000</v>
      </c>
      <c r="HO749" s="202">
        <f>IF(GY749="carton box",HI749/HD749,HJ749/HN749)</f>
        <v>1.6666666666666667</v>
      </c>
      <c r="HP749" s="122">
        <v>160</v>
      </c>
      <c r="HQ749" s="122">
        <v>0</v>
      </c>
      <c r="HR749" s="122">
        <v>4.33</v>
      </c>
      <c r="HS749" s="122">
        <v>1</v>
      </c>
      <c r="HT749" s="203">
        <f>HR749/HS749</f>
        <v>4.33</v>
      </c>
      <c r="HU749" s="203"/>
      <c r="HV749" s="202">
        <f>ROUNDUP(HO749+HT749,2)</f>
        <v>6</v>
      </c>
      <c r="HW749" s="202"/>
      <c r="HX749" s="122">
        <v>5016</v>
      </c>
      <c r="HY749" s="122">
        <v>1976</v>
      </c>
      <c r="HZ749" s="122">
        <v>2280</v>
      </c>
      <c r="IA749" s="122">
        <f t="shared" si="704"/>
        <v>3</v>
      </c>
      <c r="IB749" s="122">
        <f t="shared" si="704"/>
        <v>2</v>
      </c>
      <c r="IC749" s="122">
        <f t="shared" si="704"/>
        <v>0</v>
      </c>
      <c r="ID749" s="210">
        <v>1</v>
      </c>
      <c r="IE749" s="202">
        <f>ROUND(PRODUCT(IA749:ID749),0)+5</f>
        <v>5</v>
      </c>
      <c r="IF749" s="122">
        <v>500</v>
      </c>
      <c r="IG749" s="203">
        <f>(IF749/(IE749*HD749))</f>
        <v>0.83333333333333337</v>
      </c>
      <c r="IH749" s="368"/>
    </row>
    <row r="750" spans="1:242">
      <c r="A750">
        <v>735</v>
      </c>
      <c r="B750" t="s">
        <v>468</v>
      </c>
      <c r="C750" s="121" t="s">
        <v>2878</v>
      </c>
      <c r="D750" s="28" t="s">
        <v>1556</v>
      </c>
      <c r="E750" s="28" t="s">
        <v>1557</v>
      </c>
      <c r="F750" s="28" t="s">
        <v>2182</v>
      </c>
      <c r="G750" s="27" t="s">
        <v>102</v>
      </c>
      <c r="I750" s="27" t="s">
        <v>226</v>
      </c>
      <c r="J750" s="28">
        <v>21590</v>
      </c>
      <c r="K750" s="27" t="s">
        <v>397</v>
      </c>
      <c r="L750" s="121"/>
      <c r="M750" s="121"/>
      <c r="N750" s="115"/>
      <c r="O750" s="115"/>
      <c r="P750" s="115"/>
      <c r="Q750" s="139" t="s">
        <v>2773</v>
      </c>
      <c r="R750" s="137" t="s">
        <v>2760</v>
      </c>
      <c r="S750" s="137" t="s">
        <v>2852</v>
      </c>
      <c r="T750" s="121" t="s">
        <v>2762</v>
      </c>
      <c r="U750" s="326">
        <v>45107</v>
      </c>
      <c r="V750" s="121" t="s">
        <v>2748</v>
      </c>
      <c r="W750" s="218"/>
      <c r="X750" s="121"/>
      <c r="Y750" s="121"/>
      <c r="Z750" s="121"/>
      <c r="AA750" s="218" t="s">
        <v>2879</v>
      </c>
      <c r="AB750" s="121">
        <v>113.6</v>
      </c>
      <c r="AC750" s="121">
        <v>20</v>
      </c>
      <c r="AD750" s="122" t="s">
        <v>1200</v>
      </c>
      <c r="AE750" s="219">
        <f>BA750</f>
        <v>25.948</v>
      </c>
      <c r="AF750" s="219"/>
      <c r="AG750" s="219">
        <f>EU750+EM750</f>
        <v>16.522633744855966</v>
      </c>
      <c r="AH750" s="219">
        <f>DP750</f>
        <v>0</v>
      </c>
      <c r="AI750" s="219">
        <f>DO750</f>
        <v>0</v>
      </c>
      <c r="AJ750" s="219">
        <f>GW750</f>
        <v>0.33045267489711933</v>
      </c>
      <c r="AK750" s="219">
        <f>GU750</f>
        <v>0.53088292181069963</v>
      </c>
      <c r="AL750" s="219">
        <f>GS750</f>
        <v>4.6717697119341564</v>
      </c>
      <c r="AM750" s="219">
        <f>HV750</f>
        <v>1.03</v>
      </c>
      <c r="AN750" s="219">
        <f>IG750</f>
        <v>0.5</v>
      </c>
      <c r="AO750" s="220">
        <v>0</v>
      </c>
      <c r="AP750" s="220"/>
      <c r="AQ750" s="204">
        <f>SUM(AE750:AP750)</f>
        <v>49.533739053497939</v>
      </c>
      <c r="AR750" s="122"/>
      <c r="AS750" s="122"/>
      <c r="AT750" s="122"/>
      <c r="AU750" s="122"/>
      <c r="AV750" s="204">
        <f>SUM(AQ750:AU750)</f>
        <v>49.533739053497939</v>
      </c>
      <c r="AW750" s="122">
        <v>0.23</v>
      </c>
      <c r="AX750" s="122">
        <v>0.221</v>
      </c>
      <c r="AY750" s="210">
        <v>1</v>
      </c>
      <c r="AZ750" s="122">
        <f>AW750-AX750</f>
        <v>9.000000000000008E-3</v>
      </c>
      <c r="BA750" s="202">
        <f>AW750*AB750-AZ750*AC750</f>
        <v>25.948</v>
      </c>
      <c r="BB750" s="202"/>
      <c r="BC750" s="202"/>
      <c r="BD750" s="202"/>
      <c r="BE750" s="202"/>
      <c r="BF750" s="202"/>
      <c r="BG750" s="202"/>
      <c r="BH750" s="202"/>
      <c r="BI750" s="202"/>
      <c r="BJ750" s="202"/>
      <c r="BK750" s="202"/>
      <c r="BL750" s="202"/>
      <c r="BM750" s="202"/>
      <c r="BN750" s="202"/>
      <c r="BO750" s="202"/>
      <c r="BP750" s="202"/>
      <c r="BQ750" s="202"/>
      <c r="BR750" s="202"/>
      <c r="BS750" s="202"/>
      <c r="BT750" s="202"/>
      <c r="BU750" s="202"/>
      <c r="BV750" s="202"/>
      <c r="BW750" s="202"/>
      <c r="BX750" s="202"/>
      <c r="BY750" s="202"/>
      <c r="BZ750" s="202"/>
      <c r="CA750" s="202"/>
      <c r="CB750" s="202"/>
      <c r="CC750" s="202"/>
      <c r="CD750" s="122"/>
      <c r="CE750" s="122">
        <v>0</v>
      </c>
      <c r="CF750" s="122">
        <v>0</v>
      </c>
      <c r="CG750" s="122">
        <v>0</v>
      </c>
      <c r="CH750" s="122">
        <v>0</v>
      </c>
      <c r="CI750" s="121"/>
      <c r="CJ750" s="121"/>
      <c r="CK750" s="122"/>
      <c r="CL750" s="122"/>
      <c r="CM750" s="122"/>
      <c r="CN750" s="122"/>
      <c r="CO750" s="122"/>
      <c r="CP750" s="122"/>
      <c r="CQ750" s="122"/>
      <c r="CR750" s="122"/>
      <c r="CS750" s="122"/>
      <c r="CT750" s="122"/>
      <c r="CU750" s="122"/>
      <c r="CV750" s="122"/>
      <c r="CW750" s="122"/>
      <c r="CX750" s="122"/>
      <c r="CY750" s="122"/>
      <c r="CZ750" s="122"/>
      <c r="DA750" s="122"/>
      <c r="DB750" s="122"/>
      <c r="DC750" s="122"/>
      <c r="DD750" s="122"/>
      <c r="DE750" s="122"/>
      <c r="DF750" s="122"/>
      <c r="DG750" s="122"/>
      <c r="DH750" s="122"/>
      <c r="DI750" s="122"/>
      <c r="DJ750" s="122"/>
      <c r="DK750" s="122"/>
      <c r="DL750" s="122"/>
      <c r="DM750" s="122">
        <f>CM750+CR750+CW750+DB750+DG750+DL750+CH750</f>
        <v>0</v>
      </c>
      <c r="DN750" s="211">
        <v>1.2500000000000001E-2</v>
      </c>
      <c r="DO750" s="122">
        <f>DN750*CG750*CF750</f>
        <v>0</v>
      </c>
      <c r="DP750" s="122">
        <f>CG750*CF750</f>
        <v>0</v>
      </c>
      <c r="DQ750" s="122"/>
      <c r="DR750" s="122"/>
      <c r="DS750" s="122"/>
      <c r="DT750" s="122"/>
      <c r="DU750" s="122"/>
      <c r="DV750" s="122"/>
      <c r="DW750" s="122"/>
      <c r="DX750" s="122"/>
      <c r="DY750" s="122"/>
      <c r="DZ750" s="122"/>
      <c r="EA750" s="122"/>
      <c r="EB750" s="122"/>
      <c r="EC750" s="122"/>
      <c r="ED750" s="122"/>
      <c r="EE750" s="122"/>
      <c r="EF750" s="122">
        <v>550</v>
      </c>
      <c r="EG750" s="122">
        <v>5500</v>
      </c>
      <c r="EH750" s="122">
        <v>7.5</v>
      </c>
      <c r="EI750" s="210">
        <v>0.9</v>
      </c>
      <c r="EJ750" s="122">
        <v>1</v>
      </c>
      <c r="EK750" s="122">
        <v>73</v>
      </c>
      <c r="EL750" s="221">
        <f>(3600/EK750*EH750*EJ750*EI750)</f>
        <v>332.87671232876716</v>
      </c>
      <c r="EM750" s="122"/>
      <c r="EN750" s="122"/>
      <c r="EO750" s="122"/>
      <c r="EP750" s="122"/>
      <c r="EQ750" s="122"/>
      <c r="ER750" s="122"/>
      <c r="ES750" s="122"/>
      <c r="ET750" s="122"/>
      <c r="EU750" s="202">
        <f>EG750/EL750</f>
        <v>16.522633744855966</v>
      </c>
      <c r="EV750" s="122"/>
      <c r="EW750" s="122"/>
      <c r="EX750" s="122"/>
      <c r="EY750" s="122"/>
      <c r="EZ750" s="122"/>
      <c r="FA750" s="122"/>
      <c r="FB750" s="122"/>
      <c r="FC750" s="122"/>
      <c r="FD750" s="122"/>
      <c r="FE750" s="122"/>
      <c r="FF750" s="122"/>
      <c r="FG750" s="122"/>
      <c r="FH750" s="122"/>
      <c r="FI750" s="122"/>
      <c r="FJ750" s="122"/>
      <c r="FK750" s="122"/>
      <c r="FL750" s="122"/>
      <c r="FM750" s="122"/>
      <c r="FN750" s="122"/>
      <c r="FO750" s="122"/>
      <c r="FP750" s="122"/>
      <c r="FQ750" s="122"/>
      <c r="FR750" s="122"/>
      <c r="FS750" s="122"/>
      <c r="FT750" s="122"/>
      <c r="FU750" s="122"/>
      <c r="FV750" s="122"/>
      <c r="FW750" s="122"/>
      <c r="FX750" s="122"/>
      <c r="FY750" s="122"/>
      <c r="FZ750" s="122"/>
      <c r="GA750" s="122"/>
      <c r="GB750" s="122"/>
      <c r="GC750" s="122"/>
      <c r="GD750" s="122"/>
      <c r="GE750" s="122"/>
      <c r="GF750" s="122"/>
      <c r="GG750" s="122"/>
      <c r="GH750" s="122"/>
      <c r="GI750" s="122"/>
      <c r="GJ750" s="122"/>
      <c r="GK750" s="122"/>
      <c r="GL750" s="122"/>
      <c r="GM750" s="122"/>
      <c r="GN750" s="122"/>
      <c r="GO750" s="122"/>
      <c r="GP750" s="122"/>
      <c r="GQ750" s="122"/>
      <c r="GR750" s="210">
        <v>0.11</v>
      </c>
      <c r="GS750" s="202">
        <f>GR750*(BA750+EU750)</f>
        <v>4.6717697119341564</v>
      </c>
      <c r="GT750" s="208">
        <v>1.2500000000000001E-2</v>
      </c>
      <c r="GU750" s="203">
        <f>GT750*(BA750+EU750)</f>
        <v>0.53088292181069963</v>
      </c>
      <c r="GV750" s="207">
        <v>0.02</v>
      </c>
      <c r="GW750" s="203">
        <f>GV750*EU750</f>
        <v>0.33045267489711933</v>
      </c>
      <c r="GX750" s="203">
        <f>GS750+GU750+GW750</f>
        <v>5.5331053086419759</v>
      </c>
      <c r="GY750" s="122"/>
      <c r="GZ750" s="122"/>
      <c r="HA750" s="122"/>
      <c r="HB750" s="122"/>
      <c r="HC750" s="122"/>
      <c r="HD750" s="122">
        <v>250</v>
      </c>
      <c r="HE750" s="122">
        <v>400</v>
      </c>
      <c r="HF750" s="122">
        <f>ROUNDUP(HE750/HD750,0)</f>
        <v>2</v>
      </c>
      <c r="HG750" s="122">
        <v>5</v>
      </c>
      <c r="HH750" s="122">
        <f>HF750*HG750</f>
        <v>10</v>
      </c>
      <c r="HI750" s="122">
        <v>20000</v>
      </c>
      <c r="HJ750" s="122">
        <f>HH750*HI750</f>
        <v>200000</v>
      </c>
      <c r="HK750" s="122"/>
      <c r="HL750" s="122"/>
      <c r="HM750" s="122">
        <v>2</v>
      </c>
      <c r="HN750" s="122">
        <f>HM750*12*25*HE750</f>
        <v>240000</v>
      </c>
      <c r="HO750" s="202">
        <f>IF(GY750="carton box",HI750/HD750,HJ750/HN750)</f>
        <v>0.83333333333333337</v>
      </c>
      <c r="HP750" s="122">
        <v>160</v>
      </c>
      <c r="HQ750" s="122">
        <v>0</v>
      </c>
      <c r="HR750" s="122">
        <v>0.19</v>
      </c>
      <c r="HS750" s="122">
        <v>1</v>
      </c>
      <c r="HT750" s="203">
        <f>HR750/HS750</f>
        <v>0.19</v>
      </c>
      <c r="HU750" s="203"/>
      <c r="HV750" s="202">
        <f>ROUNDUP(HO750+HT750,2)</f>
        <v>1.03</v>
      </c>
      <c r="HW750" s="202"/>
      <c r="HX750" s="122">
        <v>4200</v>
      </c>
      <c r="HY750" s="122">
        <v>1900</v>
      </c>
      <c r="HZ750" s="122">
        <v>1975</v>
      </c>
      <c r="IA750" s="122">
        <v>2</v>
      </c>
      <c r="IB750" s="122">
        <v>2</v>
      </c>
      <c r="IC750" s="122">
        <v>1</v>
      </c>
      <c r="ID750" s="210">
        <v>0.95</v>
      </c>
      <c r="IE750" s="202">
        <f>ROUND(PRODUCT(IA750:ID750),0)</f>
        <v>4</v>
      </c>
      <c r="IF750" s="122">
        <v>500</v>
      </c>
      <c r="IG750" s="203">
        <f>ROUNDUP(IF750/(IE750*HD750),2)</f>
        <v>0.5</v>
      </c>
      <c r="IH750" s="368"/>
    </row>
    <row r="751" spans="1:242">
      <c r="A751">
        <v>736</v>
      </c>
      <c r="B751" t="s">
        <v>468</v>
      </c>
      <c r="C751" s="335" t="s">
        <v>2880</v>
      </c>
      <c r="D751" s="28" t="s">
        <v>804</v>
      </c>
      <c r="E751" s="28" t="s">
        <v>805</v>
      </c>
      <c r="F751" s="28" t="s">
        <v>2182</v>
      </c>
      <c r="G751" s="27" t="s">
        <v>102</v>
      </c>
      <c r="I751" s="27" t="s">
        <v>226</v>
      </c>
      <c r="J751" s="28">
        <v>21691</v>
      </c>
      <c r="K751" s="27" t="s">
        <v>404</v>
      </c>
      <c r="L751" s="121"/>
      <c r="M751" s="121"/>
      <c r="N751" s="115"/>
      <c r="O751" s="115"/>
      <c r="P751" s="115"/>
      <c r="Q751" s="139" t="s">
        <v>2805</v>
      </c>
      <c r="R751" s="137" t="s">
        <v>2760</v>
      </c>
      <c r="S751" s="121" t="s">
        <v>2881</v>
      </c>
      <c r="T751" s="121"/>
      <c r="U751" s="121"/>
      <c r="V751" s="121" t="s">
        <v>2748</v>
      </c>
      <c r="W751" s="218" t="s">
        <v>2865</v>
      </c>
      <c r="X751" s="121"/>
      <c r="Y751" s="121"/>
      <c r="Z751" s="121"/>
      <c r="AA751" s="115" t="s">
        <v>2882</v>
      </c>
      <c r="AB751" s="121">
        <v>284</v>
      </c>
      <c r="AC751" s="121">
        <v>20</v>
      </c>
      <c r="AD751" s="122" t="s">
        <v>1182</v>
      </c>
      <c r="AE751" s="219">
        <f>BA751</f>
        <v>35.948</v>
      </c>
      <c r="AF751" s="219"/>
      <c r="AG751" s="219">
        <f>EU751+EM751</f>
        <v>5.116959064327486</v>
      </c>
      <c r="AH751" s="219">
        <f>DP751</f>
        <v>0.2</v>
      </c>
      <c r="AI751" s="219">
        <f>DO751</f>
        <v>2.5000000000000005E-3</v>
      </c>
      <c r="AJ751" s="219">
        <f>GW751</f>
        <v>0.10233918128654973</v>
      </c>
      <c r="AK751" s="219">
        <f>GU751</f>
        <v>0.82129918128654977</v>
      </c>
      <c r="AL751" s="219">
        <f>GS751</f>
        <v>4.5171454970760241</v>
      </c>
      <c r="AM751" s="219">
        <f>HV751</f>
        <v>3.2399999999999998</v>
      </c>
      <c r="AN751" s="219">
        <f>IG751</f>
        <v>0.5</v>
      </c>
      <c r="AO751" s="220">
        <v>0</v>
      </c>
      <c r="AP751" s="220"/>
      <c r="AQ751" s="204">
        <f>SUM(AE751:AP751)</f>
        <v>50.448242923976615</v>
      </c>
      <c r="AR751" s="122"/>
      <c r="AS751" s="122"/>
      <c r="AT751" s="122"/>
      <c r="AU751" s="122">
        <f>50.72-50.45</f>
        <v>0.26999999999999602</v>
      </c>
      <c r="AV751" s="204">
        <f>SUM(AQ751:AU751)</f>
        <v>50.718242923976611</v>
      </c>
      <c r="AW751" s="122">
        <v>0.127</v>
      </c>
      <c r="AX751" s="122">
        <v>0.121</v>
      </c>
      <c r="AY751" s="210">
        <v>1</v>
      </c>
      <c r="AZ751" s="122">
        <f>AW751-AX751</f>
        <v>6.0000000000000053E-3</v>
      </c>
      <c r="BA751" s="202">
        <f>AW751*AB751-AZ751*AC751</f>
        <v>35.948</v>
      </c>
      <c r="BB751" s="202"/>
      <c r="BC751" s="202"/>
      <c r="BD751" s="202"/>
      <c r="BE751" s="202"/>
      <c r="BF751" s="202"/>
      <c r="BG751" s="202"/>
      <c r="BH751" s="202"/>
      <c r="BI751" s="202"/>
      <c r="BJ751" s="202"/>
      <c r="BK751" s="202"/>
      <c r="BL751" s="202"/>
      <c r="BM751" s="202"/>
      <c r="BN751" s="202"/>
      <c r="BO751" s="202"/>
      <c r="BP751" s="202"/>
      <c r="BQ751" s="202"/>
      <c r="BR751" s="202"/>
      <c r="BS751" s="202"/>
      <c r="BT751" s="202"/>
      <c r="BU751" s="202"/>
      <c r="BV751" s="202"/>
      <c r="BW751" s="202"/>
      <c r="BX751" s="202"/>
      <c r="BY751" s="202"/>
      <c r="BZ751" s="202"/>
      <c r="CA751" s="202"/>
      <c r="CB751" s="202"/>
      <c r="CC751" s="202"/>
      <c r="CD751" s="122"/>
      <c r="CE751" s="122">
        <v>0</v>
      </c>
      <c r="CF751" s="122">
        <v>1</v>
      </c>
      <c r="CG751" s="122">
        <v>0.2</v>
      </c>
      <c r="CH751" s="103">
        <f>CG751*CF751</f>
        <v>0.2</v>
      </c>
      <c r="CI751" s="121"/>
      <c r="CJ751" s="121"/>
      <c r="CK751" s="122"/>
      <c r="CL751" s="122"/>
      <c r="CM751" s="122"/>
      <c r="CN751" s="122"/>
      <c r="CO751" s="122"/>
      <c r="CP751" s="122"/>
      <c r="CQ751" s="122"/>
      <c r="CR751" s="122"/>
      <c r="CS751" s="122"/>
      <c r="CT751" s="122"/>
      <c r="CU751" s="122"/>
      <c r="CV751" s="122"/>
      <c r="CW751" s="122"/>
      <c r="CX751" s="122"/>
      <c r="CY751" s="122"/>
      <c r="CZ751" s="122"/>
      <c r="DA751" s="122"/>
      <c r="DB751" s="122"/>
      <c r="DC751" s="122"/>
      <c r="DD751" s="122"/>
      <c r="DE751" s="122"/>
      <c r="DF751" s="122"/>
      <c r="DG751" s="122"/>
      <c r="DH751" s="122"/>
      <c r="DI751" s="122"/>
      <c r="DJ751" s="122"/>
      <c r="DK751" s="122"/>
      <c r="DL751" s="122"/>
      <c r="DM751" s="122">
        <f>CM751+CR751+CW751+DB751+DG751+DL751+CH751</f>
        <v>0.2</v>
      </c>
      <c r="DN751" s="211">
        <v>1.2500000000000001E-2</v>
      </c>
      <c r="DO751" s="122">
        <f>DN751*CG751*CF751</f>
        <v>2.5000000000000005E-3</v>
      </c>
      <c r="DP751" s="122">
        <f>CG751*CF751</f>
        <v>0.2</v>
      </c>
      <c r="DQ751" s="122"/>
      <c r="DR751" s="122"/>
      <c r="DS751" s="122"/>
      <c r="DT751" s="122"/>
      <c r="DU751" s="122"/>
      <c r="DV751" s="122"/>
      <c r="DW751" s="122"/>
      <c r="DX751" s="122"/>
      <c r="DY751" s="122"/>
      <c r="DZ751" s="122"/>
      <c r="EA751" s="122"/>
      <c r="EB751" s="122"/>
      <c r="EC751" s="122"/>
      <c r="ED751" s="122"/>
      <c r="EE751" s="122"/>
      <c r="EF751" s="122">
        <v>400</v>
      </c>
      <c r="EG751" s="122">
        <v>4000</v>
      </c>
      <c r="EH751" s="122">
        <v>8</v>
      </c>
      <c r="EI751" s="210">
        <v>0.95</v>
      </c>
      <c r="EJ751" s="122">
        <v>2</v>
      </c>
      <c r="EK751" s="122">
        <v>70</v>
      </c>
      <c r="EL751" s="221">
        <f>(3600/EK751*EH751*EJ751*EI751)</f>
        <v>781.71428571428567</v>
      </c>
      <c r="EM751" s="122"/>
      <c r="EN751" s="122"/>
      <c r="EO751" s="122"/>
      <c r="EP751" s="122"/>
      <c r="EQ751" s="122"/>
      <c r="ER751" s="122"/>
      <c r="ES751" s="122"/>
      <c r="ET751" s="122"/>
      <c r="EU751" s="202">
        <f>EG751/EL751</f>
        <v>5.116959064327486</v>
      </c>
      <c r="EV751" s="122"/>
      <c r="EW751" s="122"/>
      <c r="EX751" s="122"/>
      <c r="EY751" s="122"/>
      <c r="EZ751" s="122"/>
      <c r="FA751" s="122"/>
      <c r="FB751" s="122"/>
      <c r="FC751" s="122"/>
      <c r="FD751" s="122"/>
      <c r="FE751" s="122"/>
      <c r="FF751" s="122"/>
      <c r="FG751" s="122"/>
      <c r="FH751" s="122"/>
      <c r="FI751" s="122"/>
      <c r="FJ751" s="122"/>
      <c r="FK751" s="122"/>
      <c r="FL751" s="122"/>
      <c r="FM751" s="122"/>
      <c r="FN751" s="122"/>
      <c r="FO751" s="122"/>
      <c r="FP751" s="122"/>
      <c r="FQ751" s="122"/>
      <c r="FR751" s="122"/>
      <c r="FS751" s="122"/>
      <c r="FT751" s="122"/>
      <c r="FU751" s="122"/>
      <c r="FV751" s="122"/>
      <c r="FW751" s="122"/>
      <c r="FX751" s="122"/>
      <c r="FY751" s="122"/>
      <c r="FZ751" s="122"/>
      <c r="GA751" s="122"/>
      <c r="GB751" s="122"/>
      <c r="GC751" s="122"/>
      <c r="GD751" s="122"/>
      <c r="GE751" s="122"/>
      <c r="GF751" s="122"/>
      <c r="GG751" s="122"/>
      <c r="GH751" s="122"/>
      <c r="GI751" s="122"/>
      <c r="GJ751" s="122"/>
      <c r="GK751" s="122"/>
      <c r="GL751" s="122"/>
      <c r="GM751" s="122"/>
      <c r="GN751" s="122"/>
      <c r="GO751" s="122"/>
      <c r="GP751" s="122"/>
      <c r="GQ751" s="122"/>
      <c r="GR751" s="210">
        <v>0.11</v>
      </c>
      <c r="GS751" s="202">
        <f>GR751*(BA751+EU751)</f>
        <v>4.5171454970760241</v>
      </c>
      <c r="GT751" s="208">
        <v>0.02</v>
      </c>
      <c r="GU751" s="203">
        <f>GT751*(BA751+EU751)</f>
        <v>0.82129918128654977</v>
      </c>
      <c r="GV751" s="207">
        <v>0.02</v>
      </c>
      <c r="GW751" s="203">
        <f>GV751*EU751</f>
        <v>0.10233918128654973</v>
      </c>
      <c r="GX751" s="203">
        <f>GS751+GU751+GW751</f>
        <v>5.440783859649124</v>
      </c>
      <c r="GY751" s="122" t="s">
        <v>130</v>
      </c>
      <c r="GZ751" s="122" t="s">
        <v>130</v>
      </c>
      <c r="HA751" s="122">
        <v>650</v>
      </c>
      <c r="HB751" s="122">
        <v>450</v>
      </c>
      <c r="HC751" s="122">
        <v>315</v>
      </c>
      <c r="HD751" s="122">
        <v>20</v>
      </c>
      <c r="HE751" s="122">
        <v>600</v>
      </c>
      <c r="HF751" s="122">
        <f>ROUNDUP(HE751/HD751,0)</f>
        <v>30</v>
      </c>
      <c r="HG751" s="122">
        <v>5</v>
      </c>
      <c r="HH751" s="122">
        <f>HF751*HG751</f>
        <v>150</v>
      </c>
      <c r="HI751" s="122">
        <v>650</v>
      </c>
      <c r="HJ751" s="122">
        <f>HH751*HI751</f>
        <v>97500</v>
      </c>
      <c r="HK751" s="122"/>
      <c r="HL751" s="122"/>
      <c r="HM751" s="122">
        <v>3</v>
      </c>
      <c r="HN751" s="122">
        <f>HM751*12*25*HE751</f>
        <v>540000</v>
      </c>
      <c r="HO751" s="202">
        <f>IF(GY751="carton box",HI751/HD751,HJ751/HN751)</f>
        <v>0.18055555555555555</v>
      </c>
      <c r="HP751" s="122">
        <v>160</v>
      </c>
      <c r="HQ751" s="122">
        <v>0</v>
      </c>
      <c r="HR751" s="202">
        <f>350/170+1</f>
        <v>3.0588235294117645</v>
      </c>
      <c r="HS751" s="122">
        <v>1</v>
      </c>
      <c r="HT751" s="203">
        <f>HR751/HS751</f>
        <v>3.0588235294117645</v>
      </c>
      <c r="HU751" s="203"/>
      <c r="HV751" s="202">
        <f>ROUNDUP(HO751+HT751,2)</f>
        <v>3.2399999999999998</v>
      </c>
      <c r="HW751" s="202"/>
      <c r="HX751" s="122">
        <v>5016</v>
      </c>
      <c r="HY751" s="122">
        <v>1976</v>
      </c>
      <c r="HZ751" s="122">
        <v>2280</v>
      </c>
      <c r="IA751" s="122">
        <f t="shared" ref="IA751:IC752" si="705">ROUNDDOWN(HX751/HA751,0)</f>
        <v>7</v>
      </c>
      <c r="IB751" s="122">
        <f t="shared" si="705"/>
        <v>4</v>
      </c>
      <c r="IC751" s="122">
        <f t="shared" si="705"/>
        <v>7</v>
      </c>
      <c r="ID751" s="210">
        <v>1</v>
      </c>
      <c r="IE751" s="202">
        <f>ROUND(PRODUCT(IA751:ID751),0)-146</f>
        <v>50</v>
      </c>
      <c r="IF751" s="122">
        <v>500</v>
      </c>
      <c r="IG751" s="203">
        <f>(IF751/(IE751*HD751))</f>
        <v>0.5</v>
      </c>
      <c r="IH751" s="368"/>
    </row>
    <row r="752" spans="1:242" ht="30">
      <c r="A752">
        <v>737</v>
      </c>
      <c r="B752" t="s">
        <v>468</v>
      </c>
      <c r="C752" s="335" t="s">
        <v>2883</v>
      </c>
      <c r="D752" s="28" t="s">
        <v>806</v>
      </c>
      <c r="E752" s="28" t="s">
        <v>807</v>
      </c>
      <c r="F752" s="28" t="s">
        <v>2182</v>
      </c>
      <c r="G752" s="27" t="s">
        <v>102</v>
      </c>
      <c r="I752" s="27" t="s">
        <v>226</v>
      </c>
      <c r="J752" s="28">
        <v>21590</v>
      </c>
      <c r="K752" s="27" t="s">
        <v>397</v>
      </c>
      <c r="L752" s="137"/>
      <c r="M752" s="137"/>
      <c r="N752" s="139"/>
      <c r="O752" s="139"/>
      <c r="P752" s="139"/>
      <c r="Q752" s="139" t="s">
        <v>2773</v>
      </c>
      <c r="R752" s="137" t="s">
        <v>2760</v>
      </c>
      <c r="S752" s="137" t="s">
        <v>2852</v>
      </c>
      <c r="T752" s="137" t="s">
        <v>2762</v>
      </c>
      <c r="U752" s="338">
        <v>45099</v>
      </c>
      <c r="V752" s="137" t="s">
        <v>2748</v>
      </c>
      <c r="W752" s="140" t="s">
        <v>2892</v>
      </c>
      <c r="X752" s="137"/>
      <c r="Y752" s="137"/>
      <c r="Z752" s="137"/>
      <c r="AA752" s="115" t="s">
        <v>2884</v>
      </c>
      <c r="AB752" s="137">
        <v>94.68</v>
      </c>
      <c r="AC752" s="137">
        <v>20</v>
      </c>
      <c r="AD752" s="103" t="s">
        <v>1200</v>
      </c>
      <c r="AE752" s="204">
        <f>BA752</f>
        <v>1.8535999999999999</v>
      </c>
      <c r="AF752" s="205"/>
      <c r="AG752" s="204">
        <f>EU752+EM752</f>
        <v>1.6049382716049381</v>
      </c>
      <c r="AH752" s="204">
        <f>DP752</f>
        <v>3.4899999999999998</v>
      </c>
      <c r="AI752" s="204">
        <f>DO752</f>
        <v>4.3624999999999997E-2</v>
      </c>
      <c r="AJ752" s="204">
        <f>GW752</f>
        <v>3.2098765432098761E-2</v>
      </c>
      <c r="AK752" s="204">
        <f>GU752</f>
        <v>4.323172839506173E-2</v>
      </c>
      <c r="AL752" s="204">
        <f>GS752</f>
        <v>0.38043920987654317</v>
      </c>
      <c r="AM752" s="204">
        <f>HV752</f>
        <v>0.05</v>
      </c>
      <c r="AN752" s="204">
        <f>IG752</f>
        <v>7.3099415204678359E-3</v>
      </c>
      <c r="AO752" s="205">
        <v>0</v>
      </c>
      <c r="AP752" s="205"/>
      <c r="AQ752" s="204">
        <f>SUM(AE752:AP752)</f>
        <v>7.5052429168291086</v>
      </c>
      <c r="AR752" s="103"/>
      <c r="AS752" s="103"/>
      <c r="AT752" s="103"/>
      <c r="AU752" s="103">
        <f>7.55-7.51</f>
        <v>4.0000000000000036E-2</v>
      </c>
      <c r="AV752" s="204">
        <f>SUM(AQ752:AU752)</f>
        <v>7.5452429168291086</v>
      </c>
      <c r="AW752" s="103">
        <v>1.9999999999999997E-2</v>
      </c>
      <c r="AX752" s="103">
        <v>1.7999999999999999E-2</v>
      </c>
      <c r="AY752" s="207">
        <v>1</v>
      </c>
      <c r="AZ752" s="103">
        <f>AW752-AX752</f>
        <v>1.9999999999999983E-3</v>
      </c>
      <c r="BA752" s="203">
        <f>AW752*AB752-AZ752*AC752</f>
        <v>1.8535999999999999</v>
      </c>
      <c r="BB752" s="203"/>
      <c r="BC752" s="203"/>
      <c r="BD752" s="203"/>
      <c r="BE752" s="203"/>
      <c r="BF752" s="203"/>
      <c r="BG752" s="203"/>
      <c r="BH752" s="203"/>
      <c r="BI752" s="203"/>
      <c r="BJ752" s="203"/>
      <c r="BK752" s="203"/>
      <c r="BL752" s="203"/>
      <c r="BM752" s="203"/>
      <c r="BN752" s="203"/>
      <c r="BO752" s="203"/>
      <c r="BP752" s="203"/>
      <c r="BQ752" s="203"/>
      <c r="BR752" s="203"/>
      <c r="BS752" s="203"/>
      <c r="BT752" s="203"/>
      <c r="BU752" s="203"/>
      <c r="BV752" s="203"/>
      <c r="BW752" s="203"/>
      <c r="BX752" s="203"/>
      <c r="BY752" s="203"/>
      <c r="BZ752" s="203"/>
      <c r="CA752" s="203"/>
      <c r="CB752" s="203"/>
      <c r="CC752" s="203"/>
      <c r="CD752" s="103"/>
      <c r="CE752" s="103">
        <v>0</v>
      </c>
      <c r="CF752" s="103">
        <v>2</v>
      </c>
      <c r="CG752" s="103">
        <f>1.65+0.19/2</f>
        <v>1.7449999999999999</v>
      </c>
      <c r="CH752" s="103">
        <f>CG752*CF752</f>
        <v>3.4899999999999998</v>
      </c>
      <c r="CI752" s="137"/>
      <c r="CJ752" s="137"/>
      <c r="CK752" s="103"/>
      <c r="CL752" s="103"/>
      <c r="CM752" s="103"/>
      <c r="CN752" s="103"/>
      <c r="CO752" s="103"/>
      <c r="CP752" s="103"/>
      <c r="CQ752" s="103"/>
      <c r="CR752" s="103"/>
      <c r="CS752" s="103"/>
      <c r="CT752" s="103"/>
      <c r="CU752" s="103"/>
      <c r="CV752" s="103"/>
      <c r="CW752" s="103"/>
      <c r="CX752" s="103"/>
      <c r="CY752" s="103"/>
      <c r="CZ752" s="103"/>
      <c r="DA752" s="103"/>
      <c r="DB752" s="103"/>
      <c r="DC752" s="103"/>
      <c r="DD752" s="103"/>
      <c r="DE752" s="103"/>
      <c r="DF752" s="103"/>
      <c r="DG752" s="103"/>
      <c r="DH752" s="103"/>
      <c r="DI752" s="103"/>
      <c r="DJ752" s="103"/>
      <c r="DK752" s="103"/>
      <c r="DL752" s="103"/>
      <c r="DM752" s="103">
        <f>CM752+CR752+CW752+DB752+DG752+DL752+CH752</f>
        <v>3.4899999999999998</v>
      </c>
      <c r="DN752" s="208">
        <v>1.2500000000000001E-2</v>
      </c>
      <c r="DO752" s="203">
        <f>DN752*CG752*CF752</f>
        <v>4.3624999999999997E-2</v>
      </c>
      <c r="DP752" s="103">
        <f>CG752*CF752</f>
        <v>3.4899999999999998</v>
      </c>
      <c r="DQ752" s="103"/>
      <c r="DR752" s="103"/>
      <c r="DS752" s="103"/>
      <c r="DT752" s="103"/>
      <c r="DU752" s="103"/>
      <c r="DV752" s="103"/>
      <c r="DW752" s="103"/>
      <c r="DX752" s="103"/>
      <c r="DY752" s="103"/>
      <c r="DZ752" s="103"/>
      <c r="EA752" s="103"/>
      <c r="EB752" s="103"/>
      <c r="EC752" s="103"/>
      <c r="ED752" s="103"/>
      <c r="EE752" s="103"/>
      <c r="EF752" s="103">
        <v>120</v>
      </c>
      <c r="EG752" s="103">
        <v>1200</v>
      </c>
      <c r="EH752" s="103">
        <v>7.5</v>
      </c>
      <c r="EI752" s="207">
        <v>0.9</v>
      </c>
      <c r="EJ752" s="103">
        <v>2</v>
      </c>
      <c r="EK752" s="103">
        <v>65</v>
      </c>
      <c r="EL752" s="209">
        <f>(3600/EK752*EH752*EJ752*EI752)</f>
        <v>747.69230769230774</v>
      </c>
      <c r="EM752" s="103"/>
      <c r="EN752" s="103"/>
      <c r="EO752" s="103"/>
      <c r="EP752" s="103"/>
      <c r="EQ752" s="103"/>
      <c r="ER752" s="103"/>
      <c r="ES752" s="103"/>
      <c r="ET752" s="103"/>
      <c r="EU752" s="203">
        <f>EG752/EL752</f>
        <v>1.6049382716049381</v>
      </c>
      <c r="EV752" s="103"/>
      <c r="EW752" s="103"/>
      <c r="EX752" s="103"/>
      <c r="EY752" s="103"/>
      <c r="EZ752" s="103"/>
      <c r="FA752" s="103"/>
      <c r="FB752" s="103"/>
      <c r="FC752" s="103"/>
      <c r="FD752" s="103"/>
      <c r="FE752" s="103"/>
      <c r="FF752" s="103"/>
      <c r="FG752" s="103"/>
      <c r="FH752" s="103"/>
      <c r="FI752" s="103"/>
      <c r="FJ752" s="103"/>
      <c r="FK752" s="103"/>
      <c r="FL752" s="103"/>
      <c r="FM752" s="103"/>
      <c r="FN752" s="103"/>
      <c r="FO752" s="103"/>
      <c r="FP752" s="103"/>
      <c r="FQ752" s="103"/>
      <c r="FR752" s="103"/>
      <c r="FS752" s="103"/>
      <c r="FT752" s="103"/>
      <c r="FU752" s="103"/>
      <c r="FV752" s="103"/>
      <c r="FW752" s="103"/>
      <c r="FX752" s="103"/>
      <c r="FY752" s="103"/>
      <c r="FZ752" s="103"/>
      <c r="GA752" s="103"/>
      <c r="GB752" s="103"/>
      <c r="GC752" s="103"/>
      <c r="GD752" s="103"/>
      <c r="GE752" s="103"/>
      <c r="GF752" s="103"/>
      <c r="GG752" s="103"/>
      <c r="GH752" s="103"/>
      <c r="GI752" s="103"/>
      <c r="GJ752" s="103"/>
      <c r="GK752" s="103"/>
      <c r="GL752" s="103"/>
      <c r="GM752" s="103"/>
      <c r="GN752" s="103"/>
      <c r="GO752" s="103"/>
      <c r="GP752" s="103"/>
      <c r="GQ752" s="103"/>
      <c r="GR752" s="207">
        <v>0.11</v>
      </c>
      <c r="GS752" s="203">
        <f>GR752*(BA752+EU752)</f>
        <v>0.38043920987654317</v>
      </c>
      <c r="GT752" s="208">
        <v>1.2500000000000001E-2</v>
      </c>
      <c r="GU752" s="203">
        <f>GT752*(BA752+EU752)</f>
        <v>4.323172839506173E-2</v>
      </c>
      <c r="GV752" s="207">
        <v>0.02</v>
      </c>
      <c r="GW752" s="203">
        <f>GV752*EU752</f>
        <v>3.2098765432098761E-2</v>
      </c>
      <c r="GX752" s="203">
        <f>GS752+GU752+GW752</f>
        <v>0.45576970370370368</v>
      </c>
      <c r="GY752" s="103" t="s">
        <v>43</v>
      </c>
      <c r="GZ752" s="103" t="s">
        <v>87</v>
      </c>
      <c r="HA752" s="103">
        <v>650</v>
      </c>
      <c r="HB752" s="103">
        <v>450</v>
      </c>
      <c r="HC752" s="103">
        <v>330</v>
      </c>
      <c r="HD752" s="103">
        <v>600</v>
      </c>
      <c r="HE752" s="103">
        <v>400</v>
      </c>
      <c r="HF752" s="103">
        <f>ROUNDUP(HE752/HD752,0)</f>
        <v>1</v>
      </c>
      <c r="HG752" s="103">
        <v>5</v>
      </c>
      <c r="HH752" s="103">
        <f>HF752*HG752</f>
        <v>5</v>
      </c>
      <c r="HI752" s="103">
        <v>650</v>
      </c>
      <c r="HJ752" s="103">
        <f>HH752*HI752</f>
        <v>3250</v>
      </c>
      <c r="HK752" s="103"/>
      <c r="HL752" s="103"/>
      <c r="HM752" s="103">
        <v>2</v>
      </c>
      <c r="HN752" s="103">
        <f>HM752*12*25*HE752</f>
        <v>240000</v>
      </c>
      <c r="HO752" s="203">
        <f>IF(GY752="carton box",HI752/HD752,HJ752/HN752)</f>
        <v>1.3541666666666667E-2</v>
      </c>
      <c r="HP752" s="103">
        <v>160</v>
      </c>
      <c r="HQ752" s="103">
        <v>0</v>
      </c>
      <c r="HR752" s="203">
        <v>5</v>
      </c>
      <c r="HS752" s="103">
        <v>150</v>
      </c>
      <c r="HT752" s="203">
        <f>HR752/HS752</f>
        <v>3.3333333333333333E-2</v>
      </c>
      <c r="HU752" s="203"/>
      <c r="HV752" s="103">
        <f>ROUNDUP(HO752+HT752,2)</f>
        <v>0.05</v>
      </c>
      <c r="HW752" s="103"/>
      <c r="HX752" s="103">
        <v>4200</v>
      </c>
      <c r="HY752" s="103">
        <v>1900</v>
      </c>
      <c r="HZ752" s="103">
        <v>1975</v>
      </c>
      <c r="IA752" s="103">
        <f t="shared" si="705"/>
        <v>6</v>
      </c>
      <c r="IB752" s="103">
        <f t="shared" si="705"/>
        <v>4</v>
      </c>
      <c r="IC752" s="103">
        <f t="shared" si="705"/>
        <v>5</v>
      </c>
      <c r="ID752" s="207">
        <v>0.95</v>
      </c>
      <c r="IE752" s="203">
        <f>ROUND(PRODUCT(IA752:ID752),0)</f>
        <v>114</v>
      </c>
      <c r="IF752" s="103">
        <v>500</v>
      </c>
      <c r="IG752" s="203">
        <f>(IF752/(IE752*HD752))</f>
        <v>7.3099415204678359E-3</v>
      </c>
      <c r="IH752" s="368"/>
    </row>
    <row r="753" spans="1:242">
      <c r="A753">
        <v>738</v>
      </c>
      <c r="B753" s="328" t="s">
        <v>1947</v>
      </c>
      <c r="D753" s="28" t="s">
        <v>806</v>
      </c>
      <c r="E753" s="28" t="s">
        <v>807</v>
      </c>
      <c r="F753" s="28" t="s">
        <v>1947</v>
      </c>
      <c r="G753" s="27" t="s">
        <v>102</v>
      </c>
      <c r="I753" s="27" t="s">
        <v>226</v>
      </c>
      <c r="J753" s="28">
        <v>21480</v>
      </c>
      <c r="K753" s="27" t="s">
        <v>97</v>
      </c>
    </row>
    <row r="754" spans="1:242">
      <c r="A754">
        <v>739</v>
      </c>
      <c r="B754" t="s">
        <v>468</v>
      </c>
      <c r="C754" s="335" t="s">
        <v>2885</v>
      </c>
      <c r="D754" s="28" t="s">
        <v>810</v>
      </c>
      <c r="E754" s="28" t="s">
        <v>801</v>
      </c>
      <c r="F754" s="28" t="s">
        <v>2182</v>
      </c>
      <c r="G754" s="27" t="s">
        <v>102</v>
      </c>
      <c r="I754" s="27" t="s">
        <v>226</v>
      </c>
      <c r="J754" s="28">
        <v>21691</v>
      </c>
      <c r="K754" s="27" t="s">
        <v>404</v>
      </c>
      <c r="L754" s="121"/>
      <c r="M754" s="121"/>
      <c r="N754" s="115"/>
      <c r="O754" s="115"/>
      <c r="P754" s="115"/>
      <c r="Q754" s="139" t="s">
        <v>2805</v>
      </c>
      <c r="R754" s="137" t="s">
        <v>2760</v>
      </c>
      <c r="S754" s="121" t="s">
        <v>2881</v>
      </c>
      <c r="T754" s="121"/>
      <c r="U754" s="121"/>
      <c r="V754" s="121" t="s">
        <v>2748</v>
      </c>
      <c r="W754" s="218" t="s">
        <v>2886</v>
      </c>
      <c r="X754" s="137"/>
      <c r="Y754" s="137"/>
      <c r="Z754" s="137"/>
      <c r="AA754" s="115" t="s">
        <v>2887</v>
      </c>
      <c r="AB754" s="121">
        <v>213</v>
      </c>
      <c r="AC754" s="121">
        <v>20</v>
      </c>
      <c r="AD754" s="122" t="s">
        <v>310</v>
      </c>
      <c r="AE754" s="219">
        <f t="shared" ref="AE754:AE763" si="706">BA754</f>
        <v>40.35</v>
      </c>
      <c r="AF754" s="219"/>
      <c r="AG754" s="219">
        <f t="shared" ref="AG754:AG763" si="707">EU754+EM754</f>
        <v>12.591374269005849</v>
      </c>
      <c r="AH754" s="219">
        <f t="shared" ref="AH754:AH763" si="708">DP754</f>
        <v>0.2</v>
      </c>
      <c r="AI754" s="219">
        <f t="shared" ref="AI754:AI763" si="709">DO754</f>
        <v>2.5000000000000005E-3</v>
      </c>
      <c r="AJ754" s="219">
        <f t="shared" ref="AJ754:AJ763" si="710">GW754</f>
        <v>0.25182748538011696</v>
      </c>
      <c r="AK754" s="219">
        <f t="shared" ref="AK754:AK763" si="711">GU754</f>
        <v>0.66176717836257315</v>
      </c>
      <c r="AL754" s="219">
        <f t="shared" ref="AL754:AL763" si="712">GS754</f>
        <v>5.823551169590643</v>
      </c>
      <c r="AM754" s="219">
        <f t="shared" ref="AM754:AM763" si="713">HV754</f>
        <v>0.26</v>
      </c>
      <c r="AN754" s="219">
        <f t="shared" ref="AN754:AN763" si="714">IG754</f>
        <v>0.41666666666666669</v>
      </c>
      <c r="AO754" s="220">
        <v>0</v>
      </c>
      <c r="AP754" s="220"/>
      <c r="AQ754" s="204">
        <f t="shared" ref="AQ754:AQ763" si="715">SUM(AE754:AP754)</f>
        <v>60.557686769005848</v>
      </c>
      <c r="AR754" s="122"/>
      <c r="AS754" s="122"/>
      <c r="AT754" s="122"/>
      <c r="AU754" s="122">
        <f>60.82-60.56</f>
        <v>0.25999999999999801</v>
      </c>
      <c r="AV754" s="204">
        <f t="shared" ref="AV754:AV763" si="716">SUM(AQ754:AU754)</f>
        <v>60.817686769005846</v>
      </c>
      <c r="AW754" s="122">
        <v>0.19</v>
      </c>
      <c r="AX754" s="122">
        <v>0.184</v>
      </c>
      <c r="AY754" s="210">
        <v>1</v>
      </c>
      <c r="AZ754" s="122">
        <f t="shared" ref="AZ754:AZ763" si="717">AW754-AX754</f>
        <v>6.0000000000000053E-3</v>
      </c>
      <c r="BA754" s="202">
        <f t="shared" ref="BA754:BA763" si="718">AW754*AB754-AZ754*AC754</f>
        <v>40.35</v>
      </c>
      <c r="BB754" s="202"/>
      <c r="BC754" s="202"/>
      <c r="BD754" s="202"/>
      <c r="BE754" s="202"/>
      <c r="BF754" s="202"/>
      <c r="BG754" s="202"/>
      <c r="BH754" s="202"/>
      <c r="BI754" s="202"/>
      <c r="BJ754" s="202"/>
      <c r="BK754" s="202"/>
      <c r="BL754" s="202"/>
      <c r="BM754" s="202"/>
      <c r="BN754" s="202"/>
      <c r="BO754" s="202"/>
      <c r="BP754" s="202"/>
      <c r="BQ754" s="202"/>
      <c r="BR754" s="202"/>
      <c r="BS754" s="202"/>
      <c r="BT754" s="202"/>
      <c r="BU754" s="202"/>
      <c r="BV754" s="202"/>
      <c r="BW754" s="202"/>
      <c r="BX754" s="202"/>
      <c r="BY754" s="202"/>
      <c r="BZ754" s="202"/>
      <c r="CA754" s="202"/>
      <c r="CB754" s="202"/>
      <c r="CC754" s="202"/>
      <c r="CD754" s="122"/>
      <c r="CE754" s="122">
        <v>0</v>
      </c>
      <c r="CF754" s="122">
        <v>1</v>
      </c>
      <c r="CG754" s="122">
        <v>0.2</v>
      </c>
      <c r="CH754" s="103">
        <f>CG754*CF754</f>
        <v>0.2</v>
      </c>
      <c r="CI754" s="121"/>
      <c r="CJ754" s="121"/>
      <c r="CK754" s="122"/>
      <c r="CL754" s="122"/>
      <c r="CM754" s="122"/>
      <c r="CN754" s="122"/>
      <c r="CO754" s="122"/>
      <c r="CP754" s="122"/>
      <c r="CQ754" s="122"/>
      <c r="CR754" s="122"/>
      <c r="CS754" s="122"/>
      <c r="CT754" s="122"/>
      <c r="CU754" s="122"/>
      <c r="CV754" s="122"/>
      <c r="CW754" s="122"/>
      <c r="CX754" s="122"/>
      <c r="CY754" s="122"/>
      <c r="CZ754" s="122"/>
      <c r="DA754" s="122"/>
      <c r="DB754" s="122"/>
      <c r="DC754" s="122"/>
      <c r="DD754" s="122"/>
      <c r="DE754" s="122"/>
      <c r="DF754" s="122"/>
      <c r="DG754" s="122"/>
      <c r="DH754" s="122"/>
      <c r="DI754" s="122"/>
      <c r="DJ754" s="122"/>
      <c r="DK754" s="122"/>
      <c r="DL754" s="122"/>
      <c r="DM754" s="122">
        <f t="shared" ref="DM754:DM763" si="719">CM754+CR754+CW754+DB754+DG754+DL754+CH754</f>
        <v>0.2</v>
      </c>
      <c r="DN754" s="211">
        <v>1.2500000000000001E-2</v>
      </c>
      <c r="DO754" s="122">
        <f>DN754*CG754*CF754</f>
        <v>2.5000000000000005E-3</v>
      </c>
      <c r="DP754" s="122">
        <f t="shared" ref="DP754:DP763" si="720">CG754*CF754</f>
        <v>0.2</v>
      </c>
      <c r="DQ754" s="122"/>
      <c r="DR754" s="122"/>
      <c r="DS754" s="122"/>
      <c r="DT754" s="122"/>
      <c r="DU754" s="122"/>
      <c r="DV754" s="122"/>
      <c r="DW754" s="122"/>
      <c r="DX754" s="122"/>
      <c r="DY754" s="122"/>
      <c r="DZ754" s="122"/>
      <c r="EA754" s="122"/>
      <c r="EB754" s="122"/>
      <c r="EC754" s="122"/>
      <c r="ED754" s="122"/>
      <c r="EE754" s="122"/>
      <c r="EF754" s="122">
        <v>530</v>
      </c>
      <c r="EG754" s="122">
        <v>5300</v>
      </c>
      <c r="EH754" s="122">
        <v>8</v>
      </c>
      <c r="EI754" s="210">
        <v>0.95</v>
      </c>
      <c r="EJ754" s="122">
        <v>1</v>
      </c>
      <c r="EK754" s="122">
        <v>65</v>
      </c>
      <c r="EL754" s="221">
        <f t="shared" ref="EL754:EL763" si="721">(3600/EK754*EH754*EJ754*EI754)</f>
        <v>420.92307692307691</v>
      </c>
      <c r="EM754" s="122"/>
      <c r="EN754" s="122"/>
      <c r="EO754" s="122"/>
      <c r="EP754" s="122"/>
      <c r="EQ754" s="122"/>
      <c r="ER754" s="122"/>
      <c r="ES754" s="122"/>
      <c r="ET754" s="122"/>
      <c r="EU754" s="202">
        <f t="shared" ref="EU754:EU763" si="722">EG754/EL754</f>
        <v>12.591374269005849</v>
      </c>
      <c r="EV754" s="122"/>
      <c r="EW754" s="122"/>
      <c r="EX754" s="122"/>
      <c r="EY754" s="122"/>
      <c r="EZ754" s="122"/>
      <c r="FA754" s="122"/>
      <c r="FB754" s="122"/>
      <c r="FC754" s="122"/>
      <c r="FD754" s="122"/>
      <c r="FE754" s="122"/>
      <c r="FF754" s="122"/>
      <c r="FG754" s="122"/>
      <c r="FH754" s="122"/>
      <c r="FI754" s="122"/>
      <c r="FJ754" s="122"/>
      <c r="FK754" s="122"/>
      <c r="FL754" s="122"/>
      <c r="FM754" s="122"/>
      <c r="FN754" s="122"/>
      <c r="FO754" s="122"/>
      <c r="FP754" s="122"/>
      <c r="FQ754" s="122"/>
      <c r="FR754" s="122"/>
      <c r="FS754" s="122"/>
      <c r="FT754" s="122"/>
      <c r="FU754" s="122"/>
      <c r="FV754" s="122"/>
      <c r="FW754" s="122"/>
      <c r="FX754" s="122"/>
      <c r="FY754" s="122"/>
      <c r="FZ754" s="122"/>
      <c r="GA754" s="122"/>
      <c r="GB754" s="122"/>
      <c r="GC754" s="122"/>
      <c r="GD754" s="122"/>
      <c r="GE754" s="122"/>
      <c r="GF754" s="122"/>
      <c r="GG754" s="122"/>
      <c r="GH754" s="122"/>
      <c r="GI754" s="122"/>
      <c r="GJ754" s="122"/>
      <c r="GK754" s="122"/>
      <c r="GL754" s="122"/>
      <c r="GM754" s="122"/>
      <c r="GN754" s="122"/>
      <c r="GO754" s="122"/>
      <c r="GP754" s="122"/>
      <c r="GQ754" s="122"/>
      <c r="GR754" s="210">
        <v>0.11</v>
      </c>
      <c r="GS754" s="202">
        <f t="shared" ref="GS754:GS763" si="723">GR754*(BA754+EU754)</f>
        <v>5.823551169590643</v>
      </c>
      <c r="GT754" s="208">
        <v>1.2500000000000001E-2</v>
      </c>
      <c r="GU754" s="203">
        <f t="shared" ref="GU754:GU763" si="724">GT754*(BA754+EU754)</f>
        <v>0.66176717836257315</v>
      </c>
      <c r="GV754" s="207">
        <v>0.02</v>
      </c>
      <c r="GW754" s="203">
        <f t="shared" ref="GW754:GW763" si="725">GV754*EU754</f>
        <v>0.25182748538011696</v>
      </c>
      <c r="GX754" s="203">
        <f t="shared" ref="GX754:GX763" si="726">GS754+GU754+GW754</f>
        <v>6.7371458333333329</v>
      </c>
      <c r="GY754" s="122" t="s">
        <v>43</v>
      </c>
      <c r="GZ754" s="122" t="s">
        <v>87</v>
      </c>
      <c r="HA754" s="122">
        <v>650</v>
      </c>
      <c r="HB754" s="122">
        <v>450</v>
      </c>
      <c r="HC754" s="122">
        <v>315</v>
      </c>
      <c r="HD754" s="122">
        <v>24</v>
      </c>
      <c r="HE754" s="122">
        <v>600</v>
      </c>
      <c r="HF754" s="122">
        <f t="shared" ref="HF754:HF763" si="727">ROUNDUP(HE754/HD754,0)</f>
        <v>25</v>
      </c>
      <c r="HG754" s="122">
        <v>5</v>
      </c>
      <c r="HH754" s="122">
        <f t="shared" ref="HH754:HH763" si="728">HF754*HG754</f>
        <v>125</v>
      </c>
      <c r="HI754" s="122">
        <v>1100</v>
      </c>
      <c r="HJ754" s="122">
        <f t="shared" ref="HJ754:HJ763" si="729">HH754*HI754</f>
        <v>137500</v>
      </c>
      <c r="HK754" s="122"/>
      <c r="HL754" s="122"/>
      <c r="HM754" s="122">
        <v>3</v>
      </c>
      <c r="HN754" s="122">
        <f t="shared" ref="HN754:HN763" si="730">HM754*12*25*HE754</f>
        <v>540000</v>
      </c>
      <c r="HO754" s="202">
        <f t="shared" ref="HO754:HO763" si="731">IF(GY754="carton box",HI754/HD754,HJ754/HN754)</f>
        <v>0.25462962962962965</v>
      </c>
      <c r="HP754" s="122">
        <v>160</v>
      </c>
      <c r="HQ754" s="122">
        <v>0</v>
      </c>
      <c r="HR754" s="122">
        <v>0</v>
      </c>
      <c r="HS754" s="122">
        <v>0</v>
      </c>
      <c r="HT754" s="122">
        <v>0</v>
      </c>
      <c r="HU754" s="122"/>
      <c r="HV754" s="202">
        <f>ROUNDUP(HO754+HT754,2)</f>
        <v>0.26</v>
      </c>
      <c r="HW754" s="202"/>
      <c r="HX754" s="122">
        <v>5016</v>
      </c>
      <c r="HY754" s="122">
        <v>1976</v>
      </c>
      <c r="HZ754" s="122">
        <v>2280</v>
      </c>
      <c r="IA754" s="122">
        <f t="shared" ref="IA754:IA763" si="732">ROUNDDOWN(HX754/HA754,0)</f>
        <v>7</v>
      </c>
      <c r="IB754" s="122">
        <f t="shared" ref="IB754:IB763" si="733">ROUNDDOWN(HY754/HB754,0)</f>
        <v>4</v>
      </c>
      <c r="IC754" s="122">
        <f t="shared" ref="IC754:IC763" si="734">ROUNDDOWN(HZ754/HC754,0)</f>
        <v>7</v>
      </c>
      <c r="ID754" s="210">
        <v>1</v>
      </c>
      <c r="IE754" s="202">
        <f>ROUND(PRODUCT(IA754:ID754),0)-146</f>
        <v>50</v>
      </c>
      <c r="IF754" s="122">
        <v>500</v>
      </c>
      <c r="IG754" s="203">
        <f>(IF754/(IE754*HD754))</f>
        <v>0.41666666666666669</v>
      </c>
      <c r="IH754" s="368"/>
    </row>
    <row r="755" spans="1:242" ht="30">
      <c r="A755">
        <v>740</v>
      </c>
      <c r="B755" t="s">
        <v>468</v>
      </c>
      <c r="C755" s="335" t="s">
        <v>2888</v>
      </c>
      <c r="D755" s="28" t="s">
        <v>1558</v>
      </c>
      <c r="E755" s="28" t="s">
        <v>1559</v>
      </c>
      <c r="F755" s="28" t="s">
        <v>2182</v>
      </c>
      <c r="G755" s="27" t="s">
        <v>102</v>
      </c>
      <c r="I755" s="27" t="s">
        <v>121</v>
      </c>
      <c r="J755" s="28">
        <v>21697</v>
      </c>
      <c r="K755" s="27" t="s">
        <v>227</v>
      </c>
      <c r="L755" s="121"/>
      <c r="M755" s="121"/>
      <c r="N755" s="115"/>
      <c r="O755" s="115"/>
      <c r="P755" s="115"/>
      <c r="Q755" s="139" t="s">
        <v>2778</v>
      </c>
      <c r="R755" s="137" t="s">
        <v>2779</v>
      </c>
      <c r="S755" s="121" t="s">
        <v>2889</v>
      </c>
      <c r="T755" s="121" t="s">
        <v>2762</v>
      </c>
      <c r="U755" s="326">
        <v>44233</v>
      </c>
      <c r="V755" s="121" t="s">
        <v>2748</v>
      </c>
      <c r="W755" s="140" t="s">
        <v>2890</v>
      </c>
      <c r="X755" s="137"/>
      <c r="Y755" s="137"/>
      <c r="Z755" s="137"/>
      <c r="AA755" s="115" t="s">
        <v>2891</v>
      </c>
      <c r="AB755" s="121">
        <v>84.66</v>
      </c>
      <c r="AC755" s="121">
        <v>20</v>
      </c>
      <c r="AD755" s="122" t="s">
        <v>2313</v>
      </c>
      <c r="AE755" s="219">
        <f t="shared" si="706"/>
        <v>2.4159069999999998</v>
      </c>
      <c r="AF755" s="219"/>
      <c r="AG755" s="219">
        <f t="shared" si="707"/>
        <v>1.0030864197530864</v>
      </c>
      <c r="AH755" s="219">
        <f t="shared" si="708"/>
        <v>5.0999999999999996</v>
      </c>
      <c r="AI755" s="219">
        <f t="shared" si="709"/>
        <v>6.3750000000000001E-2</v>
      </c>
      <c r="AJ755" s="219">
        <f t="shared" si="710"/>
        <v>2.0061728395061731E-2</v>
      </c>
      <c r="AK755" s="219">
        <f t="shared" si="711"/>
        <v>4.2737417746913579E-2</v>
      </c>
      <c r="AL755" s="219">
        <f t="shared" si="712"/>
        <v>0.37608927617283944</v>
      </c>
      <c r="AM755" s="219">
        <f t="shared" si="713"/>
        <v>1.3541666666666667E-2</v>
      </c>
      <c r="AN755" s="219">
        <f t="shared" si="714"/>
        <v>0.02</v>
      </c>
      <c r="AO755" s="220">
        <v>0</v>
      </c>
      <c r="AP755" s="220"/>
      <c r="AQ755" s="204">
        <f t="shared" si="715"/>
        <v>9.0551735087345673</v>
      </c>
      <c r="AR755" s="122"/>
      <c r="AS755" s="122"/>
      <c r="AT755" s="122"/>
      <c r="AU755" s="122">
        <f>9.12-9.06</f>
        <v>5.9999999999998721E-2</v>
      </c>
      <c r="AV755" s="204">
        <f t="shared" si="716"/>
        <v>9.115173508734566</v>
      </c>
      <c r="AW755" s="122">
        <v>2.895E-2</v>
      </c>
      <c r="AX755" s="122">
        <v>2.7199999999999998E-2</v>
      </c>
      <c r="AY755" s="210">
        <v>1</v>
      </c>
      <c r="AZ755" s="122">
        <f t="shared" si="717"/>
        <v>1.7500000000000016E-3</v>
      </c>
      <c r="BA755" s="202">
        <f t="shared" si="718"/>
        <v>2.4159069999999998</v>
      </c>
      <c r="BB755" s="202"/>
      <c r="BC755" s="202"/>
      <c r="BD755" s="202"/>
      <c r="BE755" s="202"/>
      <c r="BF755" s="202"/>
      <c r="BG755" s="202"/>
      <c r="BH755" s="202"/>
      <c r="BI755" s="202"/>
      <c r="BJ755" s="202"/>
      <c r="BK755" s="202"/>
      <c r="BL755" s="202"/>
      <c r="BM755" s="202"/>
      <c r="BN755" s="202"/>
      <c r="BO755" s="202"/>
      <c r="BP755" s="202"/>
      <c r="BQ755" s="202"/>
      <c r="BR755" s="202"/>
      <c r="BS755" s="202"/>
      <c r="BT755" s="202"/>
      <c r="BU755" s="202"/>
      <c r="BV755" s="202"/>
      <c r="BW755" s="202"/>
      <c r="BX755" s="202"/>
      <c r="BY755" s="202"/>
      <c r="BZ755" s="202"/>
      <c r="CA755" s="202"/>
      <c r="CB755" s="202"/>
      <c r="CC755" s="202"/>
      <c r="CD755" s="122"/>
      <c r="CE755" s="122">
        <v>0</v>
      </c>
      <c r="CF755" s="122">
        <v>2</v>
      </c>
      <c r="CG755" s="122">
        <v>2.5499999999999998</v>
      </c>
      <c r="CH755" s="103">
        <f>CG755*CF755</f>
        <v>5.0999999999999996</v>
      </c>
      <c r="CI755" s="121"/>
      <c r="CJ755" s="121"/>
      <c r="CK755" s="122"/>
      <c r="CL755" s="122"/>
      <c r="CM755" s="122"/>
      <c r="CN755" s="122"/>
      <c r="CO755" s="122"/>
      <c r="CP755" s="122"/>
      <c r="CQ755" s="122"/>
      <c r="CR755" s="122"/>
      <c r="CS755" s="122"/>
      <c r="CT755" s="122"/>
      <c r="CU755" s="122"/>
      <c r="CV755" s="122"/>
      <c r="CW755" s="122"/>
      <c r="CX755" s="122"/>
      <c r="CY755" s="122"/>
      <c r="CZ755" s="122"/>
      <c r="DA755" s="122"/>
      <c r="DB755" s="122"/>
      <c r="DC755" s="122"/>
      <c r="DD755" s="122"/>
      <c r="DE755" s="122"/>
      <c r="DF755" s="122"/>
      <c r="DG755" s="122"/>
      <c r="DH755" s="122"/>
      <c r="DI755" s="122"/>
      <c r="DJ755" s="122"/>
      <c r="DK755" s="122"/>
      <c r="DL755" s="122"/>
      <c r="DM755" s="122">
        <f t="shared" si="719"/>
        <v>5.0999999999999996</v>
      </c>
      <c r="DN755" s="211">
        <v>1.2500000000000001E-2</v>
      </c>
      <c r="DO755" s="202">
        <f t="shared" ref="DO755:DO763" si="735">DM755*DN755</f>
        <v>6.3750000000000001E-2</v>
      </c>
      <c r="DP755" s="122">
        <f t="shared" si="720"/>
        <v>5.0999999999999996</v>
      </c>
      <c r="DQ755" s="122"/>
      <c r="DR755" s="122"/>
      <c r="DS755" s="122"/>
      <c r="DT755" s="122"/>
      <c r="DU755" s="122"/>
      <c r="DV755" s="122"/>
      <c r="DW755" s="122"/>
      <c r="DX755" s="122"/>
      <c r="DY755" s="122"/>
      <c r="DZ755" s="122"/>
      <c r="EA755" s="122"/>
      <c r="EB755" s="122"/>
      <c r="EC755" s="122"/>
      <c r="ED755" s="122"/>
      <c r="EE755" s="122"/>
      <c r="EF755" s="122">
        <v>150</v>
      </c>
      <c r="EG755" s="122">
        <v>1500</v>
      </c>
      <c r="EH755" s="122">
        <v>7.5</v>
      </c>
      <c r="EI755" s="210">
        <v>0.9</v>
      </c>
      <c r="EJ755" s="122">
        <v>4</v>
      </c>
      <c r="EK755" s="122">
        <v>65</v>
      </c>
      <c r="EL755" s="221">
        <f t="shared" si="721"/>
        <v>1495.3846153846155</v>
      </c>
      <c r="EM755" s="122"/>
      <c r="EN755" s="122"/>
      <c r="EO755" s="122"/>
      <c r="EP755" s="122"/>
      <c r="EQ755" s="122"/>
      <c r="ER755" s="122"/>
      <c r="ES755" s="122"/>
      <c r="ET755" s="122"/>
      <c r="EU755" s="202">
        <f t="shared" si="722"/>
        <v>1.0030864197530864</v>
      </c>
      <c r="EV755" s="122"/>
      <c r="EW755" s="122"/>
      <c r="EX755" s="122"/>
      <c r="EY755" s="122"/>
      <c r="EZ755" s="122"/>
      <c r="FA755" s="122"/>
      <c r="FB755" s="122"/>
      <c r="FC755" s="122"/>
      <c r="FD755" s="122"/>
      <c r="FE755" s="122"/>
      <c r="FF755" s="122"/>
      <c r="FG755" s="122"/>
      <c r="FH755" s="122"/>
      <c r="FI755" s="122"/>
      <c r="FJ755" s="122"/>
      <c r="FK755" s="122"/>
      <c r="FL755" s="122"/>
      <c r="FM755" s="122"/>
      <c r="FN755" s="122"/>
      <c r="FO755" s="122"/>
      <c r="FP755" s="122"/>
      <c r="FQ755" s="122"/>
      <c r="FR755" s="122"/>
      <c r="FS755" s="122"/>
      <c r="FT755" s="122"/>
      <c r="FU755" s="122"/>
      <c r="FV755" s="122"/>
      <c r="FW755" s="122"/>
      <c r="FX755" s="122"/>
      <c r="FY755" s="122"/>
      <c r="FZ755" s="122"/>
      <c r="GA755" s="122"/>
      <c r="GB755" s="122"/>
      <c r="GC755" s="122"/>
      <c r="GD755" s="122"/>
      <c r="GE755" s="122"/>
      <c r="GF755" s="122"/>
      <c r="GG755" s="122"/>
      <c r="GH755" s="122"/>
      <c r="GI755" s="122"/>
      <c r="GJ755" s="122"/>
      <c r="GK755" s="122"/>
      <c r="GL755" s="122"/>
      <c r="GM755" s="122"/>
      <c r="GN755" s="122"/>
      <c r="GO755" s="122"/>
      <c r="GP755" s="122"/>
      <c r="GQ755" s="122"/>
      <c r="GR755" s="210">
        <v>0.11</v>
      </c>
      <c r="GS755" s="202">
        <f t="shared" si="723"/>
        <v>0.37608927617283944</v>
      </c>
      <c r="GT755" s="208">
        <v>1.2500000000000001E-2</v>
      </c>
      <c r="GU755" s="203">
        <f t="shared" si="724"/>
        <v>4.2737417746913579E-2</v>
      </c>
      <c r="GV755" s="207">
        <v>0.02</v>
      </c>
      <c r="GW755" s="203">
        <f t="shared" si="725"/>
        <v>2.0061728395061731E-2</v>
      </c>
      <c r="GX755" s="203">
        <f t="shared" si="726"/>
        <v>0.43888842231481473</v>
      </c>
      <c r="GY755" s="122" t="s">
        <v>43</v>
      </c>
      <c r="GZ755" s="122" t="s">
        <v>87</v>
      </c>
      <c r="HA755" s="122">
        <v>650</v>
      </c>
      <c r="HB755" s="122">
        <v>450</v>
      </c>
      <c r="HC755" s="122">
        <v>330</v>
      </c>
      <c r="HD755" s="122">
        <v>400</v>
      </c>
      <c r="HE755" s="122">
        <v>400</v>
      </c>
      <c r="HF755" s="122">
        <f t="shared" si="727"/>
        <v>1</v>
      </c>
      <c r="HG755" s="122">
        <v>5</v>
      </c>
      <c r="HH755" s="122">
        <f t="shared" si="728"/>
        <v>5</v>
      </c>
      <c r="HI755" s="122">
        <v>650</v>
      </c>
      <c r="HJ755" s="122">
        <f t="shared" si="729"/>
        <v>3250</v>
      </c>
      <c r="HK755" s="122"/>
      <c r="HL755" s="122"/>
      <c r="HM755" s="122">
        <v>2</v>
      </c>
      <c r="HN755" s="122">
        <f t="shared" si="730"/>
        <v>240000</v>
      </c>
      <c r="HO755" s="202">
        <f t="shared" si="731"/>
        <v>1.3541666666666667E-2</v>
      </c>
      <c r="HP755" s="122">
        <v>160</v>
      </c>
      <c r="HQ755" s="122">
        <v>0</v>
      </c>
      <c r="HR755" s="122">
        <v>0</v>
      </c>
      <c r="HS755" s="122">
        <v>0</v>
      </c>
      <c r="HT755" s="122">
        <v>0</v>
      </c>
      <c r="HU755" s="122"/>
      <c r="HV755" s="202">
        <f>HO755+HT755</f>
        <v>1.3541666666666667E-2</v>
      </c>
      <c r="HW755" s="202"/>
      <c r="HX755" s="122">
        <v>4200</v>
      </c>
      <c r="HY755" s="122">
        <v>1900</v>
      </c>
      <c r="HZ755" s="122">
        <v>1975</v>
      </c>
      <c r="IA755" s="122">
        <f t="shared" si="732"/>
        <v>6</v>
      </c>
      <c r="IB755" s="122">
        <f t="shared" si="733"/>
        <v>4</v>
      </c>
      <c r="IC755" s="122">
        <f t="shared" si="734"/>
        <v>5</v>
      </c>
      <c r="ID755" s="210">
        <v>0.95</v>
      </c>
      <c r="IE755" s="203">
        <f>ROUND(PRODUCT(IA755:ID755),0)</f>
        <v>114</v>
      </c>
      <c r="IF755" s="122">
        <v>500</v>
      </c>
      <c r="IG755" s="203">
        <f>ROUNDUP((IF755/(IE755*HD755)),2)</f>
        <v>0.02</v>
      </c>
      <c r="IH755" s="368"/>
    </row>
    <row r="756" spans="1:242" ht="30">
      <c r="A756">
        <v>741</v>
      </c>
      <c r="B756" t="s">
        <v>468</v>
      </c>
      <c r="C756" t="s">
        <v>2783</v>
      </c>
      <c r="D756" s="28" t="s">
        <v>1558</v>
      </c>
      <c r="E756" s="28" t="s">
        <v>1559</v>
      </c>
      <c r="F756" s="28" t="s">
        <v>2182</v>
      </c>
      <c r="G756" s="27" t="s">
        <v>102</v>
      </c>
      <c r="I756" s="27" t="s">
        <v>226</v>
      </c>
      <c r="J756" s="28">
        <v>21590</v>
      </c>
      <c r="K756" s="27" t="s">
        <v>397</v>
      </c>
      <c r="N756" s="137" t="s">
        <v>2783</v>
      </c>
      <c r="O756" s="139"/>
      <c r="P756" s="139"/>
      <c r="Q756" s="139"/>
      <c r="R756" s="137"/>
      <c r="S756" s="137"/>
      <c r="T756" s="137"/>
      <c r="U756" s="137"/>
      <c r="V756" s="137" t="s">
        <v>2748</v>
      </c>
      <c r="W756" s="140" t="s">
        <v>2893</v>
      </c>
      <c r="X756" s="137"/>
      <c r="Y756" s="137"/>
      <c r="Z756" s="137"/>
      <c r="AA756" s="139" t="s">
        <v>1823</v>
      </c>
      <c r="AB756" s="137">
        <v>84.66</v>
      </c>
      <c r="AC756" s="137">
        <v>20</v>
      </c>
      <c r="AD756" s="103" t="s">
        <v>1200</v>
      </c>
      <c r="AE756" s="204">
        <f t="shared" si="706"/>
        <v>2.4159069999999998</v>
      </c>
      <c r="AF756" s="204"/>
      <c r="AG756" s="204">
        <f t="shared" si="707"/>
        <v>1.0030864197530864</v>
      </c>
      <c r="AH756" s="204">
        <f t="shared" si="708"/>
        <v>5.0999999999999996</v>
      </c>
      <c r="AI756" s="204">
        <f t="shared" si="709"/>
        <v>6.3750000000000001E-2</v>
      </c>
      <c r="AJ756" s="204">
        <f t="shared" si="710"/>
        <v>2.0061728395061731E-2</v>
      </c>
      <c r="AK756" s="204">
        <f t="shared" si="711"/>
        <v>4.2737417746913579E-2</v>
      </c>
      <c r="AL756" s="204">
        <f t="shared" si="712"/>
        <v>0.37608927617283944</v>
      </c>
      <c r="AM756" s="204">
        <f t="shared" si="713"/>
        <v>1.3541666666666667E-2</v>
      </c>
      <c r="AN756" s="204">
        <f t="shared" si="714"/>
        <v>0.08</v>
      </c>
      <c r="AO756" s="205">
        <v>0</v>
      </c>
      <c r="AP756" s="205"/>
      <c r="AQ756" s="204">
        <f t="shared" si="715"/>
        <v>9.1151735087345678</v>
      </c>
      <c r="AR756" s="103"/>
      <c r="AS756" s="103"/>
      <c r="AT756" s="103">
        <f>10.99-9.18</f>
        <v>1.8100000000000005</v>
      </c>
      <c r="AU756" s="103">
        <f>9.12-9.06</f>
        <v>5.9999999999998721E-2</v>
      </c>
      <c r="AV756" s="204">
        <f t="shared" si="716"/>
        <v>10.985173508734567</v>
      </c>
      <c r="AW756" s="103">
        <v>2.895E-2</v>
      </c>
      <c r="AX756" s="103">
        <v>2.7199999999999998E-2</v>
      </c>
      <c r="AY756" s="207">
        <v>1</v>
      </c>
      <c r="AZ756" s="103">
        <f t="shared" si="717"/>
        <v>1.7500000000000016E-3</v>
      </c>
      <c r="BA756" s="203">
        <f t="shared" si="718"/>
        <v>2.4159069999999998</v>
      </c>
      <c r="BB756" s="203"/>
      <c r="BC756" s="203"/>
      <c r="BD756" s="203"/>
      <c r="BE756" s="203"/>
      <c r="BF756" s="203"/>
      <c r="BG756" s="203"/>
      <c r="BH756" s="203"/>
      <c r="BI756" s="203"/>
      <c r="BJ756" s="203"/>
      <c r="BK756" s="203"/>
      <c r="BL756" s="203"/>
      <c r="BM756" s="203"/>
      <c r="BN756" s="203"/>
      <c r="BO756" s="203"/>
      <c r="BP756" s="203"/>
      <c r="BQ756" s="203"/>
      <c r="BR756" s="203"/>
      <c r="BS756" s="203"/>
      <c r="BT756" s="203"/>
      <c r="BU756" s="203"/>
      <c r="BV756" s="203"/>
      <c r="BW756" s="203"/>
      <c r="BX756" s="203"/>
      <c r="BY756" s="203"/>
      <c r="BZ756" s="203"/>
      <c r="CA756" s="203"/>
      <c r="CB756" s="203"/>
      <c r="CC756" s="203"/>
      <c r="CD756" s="103"/>
      <c r="CE756" s="103">
        <v>0</v>
      </c>
      <c r="CF756" s="103">
        <v>2</v>
      </c>
      <c r="CG756" s="103">
        <v>2.5499999999999998</v>
      </c>
      <c r="CH756" s="103">
        <f>CG756*CF756</f>
        <v>5.0999999999999996</v>
      </c>
      <c r="CI756" s="137"/>
      <c r="CJ756" s="137"/>
      <c r="CK756" s="103"/>
      <c r="CL756" s="103"/>
      <c r="CM756" s="103"/>
      <c r="CN756" s="103"/>
      <c r="CO756" s="103"/>
      <c r="CP756" s="103"/>
      <c r="CQ756" s="103"/>
      <c r="CR756" s="103"/>
      <c r="CS756" s="103"/>
      <c r="CT756" s="103"/>
      <c r="CU756" s="103"/>
      <c r="CV756" s="103"/>
      <c r="CW756" s="103"/>
      <c r="CX756" s="103"/>
      <c r="CY756" s="103"/>
      <c r="CZ756" s="103"/>
      <c r="DA756" s="103"/>
      <c r="DB756" s="103"/>
      <c r="DC756" s="103"/>
      <c r="DD756" s="103"/>
      <c r="DE756" s="103"/>
      <c r="DF756" s="103"/>
      <c r="DG756" s="103"/>
      <c r="DH756" s="103"/>
      <c r="DI756" s="103"/>
      <c r="DJ756" s="103"/>
      <c r="DK756" s="103"/>
      <c r="DL756" s="103"/>
      <c r="DM756" s="103">
        <f t="shared" si="719"/>
        <v>5.0999999999999996</v>
      </c>
      <c r="DN756" s="208">
        <v>1.2500000000000001E-2</v>
      </c>
      <c r="DO756" s="203">
        <f t="shared" si="735"/>
        <v>6.3750000000000001E-2</v>
      </c>
      <c r="DP756" s="103">
        <f t="shared" si="720"/>
        <v>5.0999999999999996</v>
      </c>
      <c r="DQ756" s="103"/>
      <c r="DR756" s="103"/>
      <c r="DS756" s="103"/>
      <c r="DT756" s="103"/>
      <c r="DU756" s="103"/>
      <c r="DV756" s="103"/>
      <c r="DW756" s="103"/>
      <c r="DX756" s="103"/>
      <c r="DY756" s="103"/>
      <c r="DZ756" s="103"/>
      <c r="EA756" s="103"/>
      <c r="EB756" s="103"/>
      <c r="EC756" s="103"/>
      <c r="ED756" s="103"/>
      <c r="EE756" s="103"/>
      <c r="EF756" s="103">
        <v>150</v>
      </c>
      <c r="EG756" s="103">
        <v>1500</v>
      </c>
      <c r="EH756" s="103">
        <v>7.5</v>
      </c>
      <c r="EI756" s="207">
        <v>0.9</v>
      </c>
      <c r="EJ756" s="103">
        <v>4</v>
      </c>
      <c r="EK756" s="103">
        <v>65</v>
      </c>
      <c r="EL756" s="209">
        <f t="shared" si="721"/>
        <v>1495.3846153846155</v>
      </c>
      <c r="EM756" s="103"/>
      <c r="EN756" s="103"/>
      <c r="EO756" s="103"/>
      <c r="EP756" s="103"/>
      <c r="EQ756" s="103"/>
      <c r="ER756" s="103"/>
      <c r="ES756" s="103"/>
      <c r="ET756" s="103"/>
      <c r="EU756" s="203">
        <f t="shared" si="722"/>
        <v>1.0030864197530864</v>
      </c>
      <c r="EV756" s="103"/>
      <c r="EW756" s="103"/>
      <c r="EX756" s="103"/>
      <c r="EY756" s="103"/>
      <c r="EZ756" s="103"/>
      <c r="FA756" s="103"/>
      <c r="FB756" s="103"/>
      <c r="FC756" s="103"/>
      <c r="FD756" s="103"/>
      <c r="FE756" s="103"/>
      <c r="FF756" s="103"/>
      <c r="FG756" s="103"/>
      <c r="FH756" s="103"/>
      <c r="FI756" s="103"/>
      <c r="FJ756" s="103"/>
      <c r="FK756" s="103"/>
      <c r="FL756" s="103"/>
      <c r="FM756" s="103"/>
      <c r="FN756" s="103"/>
      <c r="FO756" s="103"/>
      <c r="FP756" s="103"/>
      <c r="FQ756" s="103"/>
      <c r="FR756" s="103"/>
      <c r="FS756" s="103"/>
      <c r="FT756" s="103"/>
      <c r="FU756" s="103"/>
      <c r="FV756" s="103"/>
      <c r="FW756" s="103"/>
      <c r="FX756" s="103"/>
      <c r="FY756" s="103"/>
      <c r="FZ756" s="103"/>
      <c r="GA756" s="103"/>
      <c r="GB756" s="103"/>
      <c r="GC756" s="103"/>
      <c r="GD756" s="103"/>
      <c r="GE756" s="103"/>
      <c r="GF756" s="103"/>
      <c r="GG756" s="103"/>
      <c r="GH756" s="103"/>
      <c r="GI756" s="103"/>
      <c r="GJ756" s="103"/>
      <c r="GK756" s="103"/>
      <c r="GL756" s="103"/>
      <c r="GM756" s="103"/>
      <c r="GN756" s="103"/>
      <c r="GO756" s="103"/>
      <c r="GP756" s="103"/>
      <c r="GQ756" s="103"/>
      <c r="GR756" s="207">
        <v>0.11</v>
      </c>
      <c r="GS756" s="203">
        <f t="shared" si="723"/>
        <v>0.37608927617283944</v>
      </c>
      <c r="GT756" s="208">
        <v>1.2500000000000001E-2</v>
      </c>
      <c r="GU756" s="203">
        <f t="shared" si="724"/>
        <v>4.2737417746913579E-2</v>
      </c>
      <c r="GV756" s="207">
        <v>0.02</v>
      </c>
      <c r="GW756" s="203">
        <f t="shared" si="725"/>
        <v>2.0061728395061731E-2</v>
      </c>
      <c r="GX756" s="203">
        <f t="shared" si="726"/>
        <v>0.43888842231481473</v>
      </c>
      <c r="GY756" s="103" t="s">
        <v>43</v>
      </c>
      <c r="GZ756" s="103" t="s">
        <v>87</v>
      </c>
      <c r="HA756" s="103">
        <v>650</v>
      </c>
      <c r="HB756" s="103">
        <v>450</v>
      </c>
      <c r="HC756" s="103">
        <v>330</v>
      </c>
      <c r="HD756" s="103">
        <v>600</v>
      </c>
      <c r="HE756" s="103">
        <v>400</v>
      </c>
      <c r="HF756" s="103">
        <f t="shared" si="727"/>
        <v>1</v>
      </c>
      <c r="HG756" s="103">
        <v>5</v>
      </c>
      <c r="HH756" s="103">
        <f t="shared" si="728"/>
        <v>5</v>
      </c>
      <c r="HI756" s="103">
        <v>650</v>
      </c>
      <c r="HJ756" s="103">
        <f t="shared" si="729"/>
        <v>3250</v>
      </c>
      <c r="HK756" s="103"/>
      <c r="HL756" s="103"/>
      <c r="HM756" s="103">
        <v>2</v>
      </c>
      <c r="HN756" s="103">
        <f t="shared" si="730"/>
        <v>240000</v>
      </c>
      <c r="HO756" s="203">
        <f t="shared" si="731"/>
        <v>1.3541666666666667E-2</v>
      </c>
      <c r="HP756" s="103">
        <v>160</v>
      </c>
      <c r="HQ756" s="103">
        <v>0</v>
      </c>
      <c r="HR756" s="103">
        <v>0</v>
      </c>
      <c r="HS756" s="103">
        <v>0</v>
      </c>
      <c r="HT756" s="103">
        <v>0</v>
      </c>
      <c r="HU756" s="103"/>
      <c r="HV756" s="203">
        <f>HO756+HT756</f>
        <v>1.3541666666666667E-2</v>
      </c>
      <c r="HW756" s="203"/>
      <c r="HX756" s="103">
        <v>4200</v>
      </c>
      <c r="HY756" s="103">
        <v>1900</v>
      </c>
      <c r="HZ756" s="103">
        <v>1975</v>
      </c>
      <c r="IA756" s="103">
        <f t="shared" si="732"/>
        <v>6</v>
      </c>
      <c r="IB756" s="103">
        <f t="shared" si="733"/>
        <v>4</v>
      </c>
      <c r="IC756" s="103">
        <f t="shared" si="734"/>
        <v>5</v>
      </c>
      <c r="ID756" s="207">
        <v>0.95</v>
      </c>
      <c r="IE756" s="203">
        <f>ROUND(PRODUCT(IA756:ID756),0)</f>
        <v>114</v>
      </c>
      <c r="IF756" s="103">
        <v>5000</v>
      </c>
      <c r="IG756" s="203">
        <f>ROUNDUP((IF756/(IE756*HD756)),2)</f>
        <v>0.08</v>
      </c>
      <c r="IH756" s="368"/>
    </row>
    <row r="757" spans="1:242">
      <c r="A757">
        <v>742</v>
      </c>
      <c r="B757" t="s">
        <v>468</v>
      </c>
      <c r="C757" s="121" t="s">
        <v>2894</v>
      </c>
      <c r="D757" s="28" t="s">
        <v>1560</v>
      </c>
      <c r="E757" s="28" t="s">
        <v>1561</v>
      </c>
      <c r="F757" s="28" t="s">
        <v>2182</v>
      </c>
      <c r="G757" s="27" t="s">
        <v>102</v>
      </c>
      <c r="I757" s="27" t="s">
        <v>121</v>
      </c>
      <c r="J757" s="28">
        <v>21677</v>
      </c>
      <c r="K757" s="27" t="s">
        <v>228</v>
      </c>
      <c r="L757" s="121"/>
      <c r="M757" s="121"/>
      <c r="N757" s="115"/>
      <c r="O757" s="115"/>
      <c r="P757" s="115"/>
      <c r="Q757" s="139" t="s">
        <v>2778</v>
      </c>
      <c r="R757" s="137" t="s">
        <v>2779</v>
      </c>
      <c r="S757" s="121" t="s">
        <v>2824</v>
      </c>
      <c r="T757" s="121" t="s">
        <v>2762</v>
      </c>
      <c r="U757" s="326">
        <v>44409</v>
      </c>
      <c r="V757" s="121" t="s">
        <v>2748</v>
      </c>
      <c r="W757" s="140"/>
      <c r="X757" s="137"/>
      <c r="Y757" s="137"/>
      <c r="Z757" s="137"/>
      <c r="AA757" s="115" t="s">
        <v>425</v>
      </c>
      <c r="AB757" s="121">
        <v>113.52</v>
      </c>
      <c r="AC757" s="121">
        <v>20</v>
      </c>
      <c r="AD757" s="122" t="s">
        <v>2895</v>
      </c>
      <c r="AE757" s="219">
        <f t="shared" si="706"/>
        <v>8.0534400000000019</v>
      </c>
      <c r="AF757" s="219"/>
      <c r="AG757" s="219">
        <f t="shared" si="707"/>
        <v>8.5526315789473681</v>
      </c>
      <c r="AH757" s="219">
        <f t="shared" si="708"/>
        <v>0.2</v>
      </c>
      <c r="AI757" s="219">
        <f t="shared" si="709"/>
        <v>2.5000000000000005E-3</v>
      </c>
      <c r="AJ757" s="219">
        <f t="shared" si="710"/>
        <v>0.17105263157894737</v>
      </c>
      <c r="AK757" s="219">
        <f t="shared" si="711"/>
        <v>0.20757589473684215</v>
      </c>
      <c r="AL757" s="219">
        <f t="shared" si="712"/>
        <v>1.826667873684211</v>
      </c>
      <c r="AM757" s="219">
        <f t="shared" si="713"/>
        <v>1.0458333333333334</v>
      </c>
      <c r="AN757" s="219">
        <f t="shared" si="714"/>
        <v>0.05</v>
      </c>
      <c r="AO757" s="220">
        <v>0</v>
      </c>
      <c r="AP757" s="220"/>
      <c r="AQ757" s="204">
        <f t="shared" si="715"/>
        <v>20.109701312280709</v>
      </c>
      <c r="AR757" s="122"/>
      <c r="AS757" s="122"/>
      <c r="AT757" s="122"/>
      <c r="AU757" s="122"/>
      <c r="AV757" s="204">
        <f t="shared" si="716"/>
        <v>20.109701312280709</v>
      </c>
      <c r="AW757" s="122">
        <v>7.2000000000000008E-2</v>
      </c>
      <c r="AX757" s="122">
        <v>6.6000000000000003E-2</v>
      </c>
      <c r="AY757" s="210">
        <v>1</v>
      </c>
      <c r="AZ757" s="122">
        <f t="shared" si="717"/>
        <v>6.0000000000000053E-3</v>
      </c>
      <c r="BA757" s="202">
        <f t="shared" si="718"/>
        <v>8.0534400000000019</v>
      </c>
      <c r="BB757" s="202"/>
      <c r="BC757" s="202"/>
      <c r="BD757" s="202"/>
      <c r="BE757" s="202"/>
      <c r="BF757" s="202"/>
      <c r="BG757" s="202"/>
      <c r="BH757" s="202"/>
      <c r="BI757" s="202"/>
      <c r="BJ757" s="202"/>
      <c r="BK757" s="202"/>
      <c r="BL757" s="202"/>
      <c r="BM757" s="202"/>
      <c r="BN757" s="202"/>
      <c r="BO757" s="202"/>
      <c r="BP757" s="202"/>
      <c r="BQ757" s="202"/>
      <c r="BR757" s="202"/>
      <c r="BS757" s="202"/>
      <c r="BT757" s="202"/>
      <c r="BU757" s="202"/>
      <c r="BV757" s="202"/>
      <c r="BW757" s="202"/>
      <c r="BX757" s="202"/>
      <c r="BY757" s="202"/>
      <c r="BZ757" s="202"/>
      <c r="CA757" s="202"/>
      <c r="CB757" s="202"/>
      <c r="CC757" s="202"/>
      <c r="CD757" s="122"/>
      <c r="CE757" s="122">
        <v>0</v>
      </c>
      <c r="CF757" s="122">
        <v>1</v>
      </c>
      <c r="CG757" s="122">
        <v>0.2</v>
      </c>
      <c r="CH757" s="122">
        <f>CG757*CF757</f>
        <v>0.2</v>
      </c>
      <c r="CI757" s="121"/>
      <c r="CJ757" s="121"/>
      <c r="CK757" s="122"/>
      <c r="CL757" s="122"/>
      <c r="CM757" s="122"/>
      <c r="CN757" s="122"/>
      <c r="CO757" s="122"/>
      <c r="CP757" s="122"/>
      <c r="CQ757" s="122"/>
      <c r="CR757" s="122"/>
      <c r="CS757" s="122"/>
      <c r="CT757" s="122"/>
      <c r="CU757" s="122"/>
      <c r="CV757" s="122"/>
      <c r="CW757" s="122"/>
      <c r="CX757" s="122"/>
      <c r="CY757" s="122"/>
      <c r="CZ757" s="122"/>
      <c r="DA757" s="122"/>
      <c r="DB757" s="122"/>
      <c r="DC757" s="122"/>
      <c r="DD757" s="122"/>
      <c r="DE757" s="122"/>
      <c r="DF757" s="122"/>
      <c r="DG757" s="122"/>
      <c r="DH757" s="122"/>
      <c r="DI757" s="122"/>
      <c r="DJ757" s="122"/>
      <c r="DK757" s="122"/>
      <c r="DL757" s="122"/>
      <c r="DM757" s="122">
        <f t="shared" si="719"/>
        <v>0.2</v>
      </c>
      <c r="DN757" s="211">
        <v>1.2500000000000001E-2</v>
      </c>
      <c r="DO757" s="202">
        <f t="shared" si="735"/>
        <v>2.5000000000000005E-3</v>
      </c>
      <c r="DP757" s="122">
        <f t="shared" si="720"/>
        <v>0.2</v>
      </c>
      <c r="DQ757" s="122"/>
      <c r="DR757" s="122"/>
      <c r="DS757" s="122"/>
      <c r="DT757" s="122"/>
      <c r="DU757" s="122"/>
      <c r="DV757" s="122"/>
      <c r="DW757" s="122"/>
      <c r="DX757" s="122"/>
      <c r="DY757" s="122"/>
      <c r="DZ757" s="122"/>
      <c r="EA757" s="122"/>
      <c r="EB757" s="122"/>
      <c r="EC757" s="122"/>
      <c r="ED757" s="122"/>
      <c r="EE757" s="122"/>
      <c r="EF757" s="122">
        <v>360</v>
      </c>
      <c r="EG757" s="122">
        <v>3600</v>
      </c>
      <c r="EH757" s="122">
        <v>8</v>
      </c>
      <c r="EI757" s="210">
        <v>0.95</v>
      </c>
      <c r="EJ757" s="122">
        <v>1</v>
      </c>
      <c r="EK757" s="122">
        <v>65</v>
      </c>
      <c r="EL757" s="221">
        <f t="shared" si="721"/>
        <v>420.92307692307691</v>
      </c>
      <c r="EM757" s="122"/>
      <c r="EN757" s="122"/>
      <c r="EO757" s="122"/>
      <c r="EP757" s="122"/>
      <c r="EQ757" s="122"/>
      <c r="ER757" s="122"/>
      <c r="ES757" s="122"/>
      <c r="ET757" s="122"/>
      <c r="EU757" s="202">
        <f t="shared" si="722"/>
        <v>8.5526315789473681</v>
      </c>
      <c r="EV757" s="122"/>
      <c r="EW757" s="122"/>
      <c r="EX757" s="122"/>
      <c r="EY757" s="122"/>
      <c r="EZ757" s="122"/>
      <c r="FA757" s="122"/>
      <c r="FB757" s="122"/>
      <c r="FC757" s="122"/>
      <c r="FD757" s="122"/>
      <c r="FE757" s="122"/>
      <c r="FF757" s="122"/>
      <c r="FG757" s="122"/>
      <c r="FH757" s="122"/>
      <c r="FI757" s="122"/>
      <c r="FJ757" s="122"/>
      <c r="FK757" s="122"/>
      <c r="FL757" s="122"/>
      <c r="FM757" s="122"/>
      <c r="FN757" s="122"/>
      <c r="FO757" s="122"/>
      <c r="FP757" s="122"/>
      <c r="FQ757" s="122"/>
      <c r="FR757" s="122"/>
      <c r="FS757" s="122"/>
      <c r="FT757" s="122"/>
      <c r="FU757" s="122"/>
      <c r="FV757" s="122"/>
      <c r="FW757" s="122"/>
      <c r="FX757" s="122"/>
      <c r="FY757" s="122"/>
      <c r="FZ757" s="122"/>
      <c r="GA757" s="122"/>
      <c r="GB757" s="122"/>
      <c r="GC757" s="122"/>
      <c r="GD757" s="122"/>
      <c r="GE757" s="122"/>
      <c r="GF757" s="122"/>
      <c r="GG757" s="122"/>
      <c r="GH757" s="122"/>
      <c r="GI757" s="122"/>
      <c r="GJ757" s="122"/>
      <c r="GK757" s="122"/>
      <c r="GL757" s="122"/>
      <c r="GM757" s="122"/>
      <c r="GN757" s="122"/>
      <c r="GO757" s="122"/>
      <c r="GP757" s="122"/>
      <c r="GQ757" s="122"/>
      <c r="GR757" s="210">
        <v>0.11</v>
      </c>
      <c r="GS757" s="202">
        <f t="shared" si="723"/>
        <v>1.826667873684211</v>
      </c>
      <c r="GT757" s="208">
        <v>1.2500000000000001E-2</v>
      </c>
      <c r="GU757" s="203">
        <f t="shared" si="724"/>
        <v>0.20757589473684215</v>
      </c>
      <c r="GV757" s="207">
        <v>0.02</v>
      </c>
      <c r="GW757" s="203">
        <f t="shared" si="725"/>
        <v>0.17105263157894737</v>
      </c>
      <c r="GX757" s="203">
        <f t="shared" si="726"/>
        <v>2.2052964000000004</v>
      </c>
      <c r="GY757" s="122" t="s">
        <v>43</v>
      </c>
      <c r="GZ757" s="122" t="s">
        <v>87</v>
      </c>
      <c r="HA757" s="122">
        <v>805</v>
      </c>
      <c r="HB757" s="122">
        <v>675</v>
      </c>
      <c r="HC757" s="122">
        <v>405</v>
      </c>
      <c r="HD757" s="122">
        <v>200</v>
      </c>
      <c r="HE757" s="122">
        <v>600</v>
      </c>
      <c r="HF757" s="122">
        <f t="shared" si="727"/>
        <v>3</v>
      </c>
      <c r="HG757" s="122">
        <v>5</v>
      </c>
      <c r="HH757" s="122">
        <f t="shared" si="728"/>
        <v>15</v>
      </c>
      <c r="HI757" s="122">
        <v>1100</v>
      </c>
      <c r="HJ757" s="122">
        <f t="shared" si="729"/>
        <v>16500</v>
      </c>
      <c r="HK757" s="122"/>
      <c r="HL757" s="122"/>
      <c r="HM757" s="122">
        <v>2</v>
      </c>
      <c r="HN757" s="122">
        <f t="shared" si="730"/>
        <v>360000</v>
      </c>
      <c r="HO757" s="202">
        <f t="shared" si="731"/>
        <v>4.583333333333333E-2</v>
      </c>
      <c r="HP757" s="122">
        <v>160</v>
      </c>
      <c r="HQ757" s="122">
        <v>0</v>
      </c>
      <c r="HR757" s="122">
        <v>1</v>
      </c>
      <c r="HS757" s="122">
        <v>1</v>
      </c>
      <c r="HT757" s="203">
        <f>HR757/HS757</f>
        <v>1</v>
      </c>
      <c r="HU757" s="203"/>
      <c r="HV757" s="202">
        <f>HO757+HT757</f>
        <v>1.0458333333333334</v>
      </c>
      <c r="HW757" s="202"/>
      <c r="HX757" s="122">
        <v>5016</v>
      </c>
      <c r="HY757" s="122">
        <v>1976</v>
      </c>
      <c r="HZ757" s="122">
        <v>2280</v>
      </c>
      <c r="IA757" s="122">
        <f t="shared" si="732"/>
        <v>6</v>
      </c>
      <c r="IB757" s="122">
        <f t="shared" si="733"/>
        <v>2</v>
      </c>
      <c r="IC757" s="122">
        <f t="shared" si="734"/>
        <v>5</v>
      </c>
      <c r="ID757" s="210">
        <v>1</v>
      </c>
      <c r="IE757" s="203">
        <f>ROUND(PRODUCT(IA757:ID757),0)-10</f>
        <v>50</v>
      </c>
      <c r="IF757" s="122">
        <v>500</v>
      </c>
      <c r="IG757" s="203">
        <f>ROUNDUP((IF757/(IE757*HD757)),2)</f>
        <v>0.05</v>
      </c>
      <c r="IH757" s="368"/>
    </row>
    <row r="758" spans="1:242">
      <c r="A758">
        <v>743</v>
      </c>
      <c r="B758" t="s">
        <v>468</v>
      </c>
      <c r="C758" s="121" t="s">
        <v>2897</v>
      </c>
      <c r="D758" s="28" t="s">
        <v>1560</v>
      </c>
      <c r="E758" s="28" t="s">
        <v>1561</v>
      </c>
      <c r="F758" s="28" t="s">
        <v>2182</v>
      </c>
      <c r="G758" s="27" t="s">
        <v>102</v>
      </c>
      <c r="I758" s="27" t="s">
        <v>226</v>
      </c>
      <c r="J758" s="28">
        <v>21590</v>
      </c>
      <c r="K758" s="27" t="s">
        <v>397</v>
      </c>
      <c r="L758" s="121"/>
      <c r="M758" s="121"/>
      <c r="N758" s="115"/>
      <c r="O758" s="115"/>
      <c r="P758" s="115"/>
      <c r="Q758" s="139" t="s">
        <v>2773</v>
      </c>
      <c r="R758" s="137" t="s">
        <v>2760</v>
      </c>
      <c r="S758" s="137" t="s">
        <v>2852</v>
      </c>
      <c r="T758" s="121" t="s">
        <v>2762</v>
      </c>
      <c r="U758" s="326">
        <v>45107</v>
      </c>
      <c r="V758" s="121" t="s">
        <v>2748</v>
      </c>
      <c r="W758" s="140"/>
      <c r="X758" s="137"/>
      <c r="Y758" s="137"/>
      <c r="Z758" s="137"/>
      <c r="AA758" s="218" t="s">
        <v>2896</v>
      </c>
      <c r="AB758" s="121">
        <v>113.6</v>
      </c>
      <c r="AC758" s="121">
        <v>20</v>
      </c>
      <c r="AD758" s="122" t="s">
        <v>1200</v>
      </c>
      <c r="AE758" s="219">
        <f t="shared" si="706"/>
        <v>6.7359999999999998</v>
      </c>
      <c r="AF758" s="219"/>
      <c r="AG758" s="219">
        <f t="shared" si="707"/>
        <v>7.6543209876543212</v>
      </c>
      <c r="AH758" s="219">
        <f t="shared" si="708"/>
        <v>0</v>
      </c>
      <c r="AI758" s="219">
        <f t="shared" si="709"/>
        <v>0</v>
      </c>
      <c r="AJ758" s="219">
        <f t="shared" si="710"/>
        <v>0.15308641975308643</v>
      </c>
      <c r="AK758" s="219">
        <f t="shared" si="711"/>
        <v>0.17987901234567902</v>
      </c>
      <c r="AL758" s="219">
        <f t="shared" si="712"/>
        <v>1.5829353086419753</v>
      </c>
      <c r="AM758" s="219">
        <f t="shared" si="713"/>
        <v>0.29000000000000004</v>
      </c>
      <c r="AN758" s="219">
        <f t="shared" si="714"/>
        <v>0.09</v>
      </c>
      <c r="AO758" s="220">
        <v>0</v>
      </c>
      <c r="AP758" s="220"/>
      <c r="AQ758" s="204">
        <f t="shared" si="715"/>
        <v>16.686221728395061</v>
      </c>
      <c r="AR758" s="122"/>
      <c r="AS758" s="122"/>
      <c r="AT758" s="122"/>
      <c r="AU758" s="122"/>
      <c r="AV758" s="204">
        <f t="shared" si="716"/>
        <v>16.686221728395061</v>
      </c>
      <c r="AW758" s="122">
        <v>0.06</v>
      </c>
      <c r="AX758" s="122">
        <v>5.6000000000000001E-2</v>
      </c>
      <c r="AY758" s="210">
        <v>1</v>
      </c>
      <c r="AZ758" s="122">
        <f t="shared" si="717"/>
        <v>3.9999999999999966E-3</v>
      </c>
      <c r="BA758" s="202">
        <f t="shared" si="718"/>
        <v>6.7359999999999998</v>
      </c>
      <c r="BB758" s="202"/>
      <c r="BC758" s="202"/>
      <c r="BD758" s="202"/>
      <c r="BE758" s="202"/>
      <c r="BF758" s="202"/>
      <c r="BG758" s="202"/>
      <c r="BH758" s="202"/>
      <c r="BI758" s="202"/>
      <c r="BJ758" s="202"/>
      <c r="BK758" s="202"/>
      <c r="BL758" s="202"/>
      <c r="BM758" s="202"/>
      <c r="BN758" s="202"/>
      <c r="BO758" s="202"/>
      <c r="BP758" s="202"/>
      <c r="BQ758" s="202"/>
      <c r="BR758" s="202"/>
      <c r="BS758" s="202"/>
      <c r="BT758" s="202"/>
      <c r="BU758" s="202"/>
      <c r="BV758" s="202"/>
      <c r="BW758" s="202"/>
      <c r="BX758" s="202"/>
      <c r="BY758" s="202"/>
      <c r="BZ758" s="202"/>
      <c r="CA758" s="202"/>
      <c r="CB758" s="202"/>
      <c r="CC758" s="202"/>
      <c r="CD758" s="122"/>
      <c r="CE758" s="122">
        <v>0</v>
      </c>
      <c r="CF758" s="122">
        <v>0</v>
      </c>
      <c r="CG758" s="122">
        <v>0</v>
      </c>
      <c r="CH758" s="122">
        <v>0</v>
      </c>
      <c r="CI758" s="121"/>
      <c r="CJ758" s="121"/>
      <c r="CK758" s="122"/>
      <c r="CL758" s="122"/>
      <c r="CM758" s="122"/>
      <c r="CN758" s="122"/>
      <c r="CO758" s="122"/>
      <c r="CP758" s="122"/>
      <c r="CQ758" s="122"/>
      <c r="CR758" s="122"/>
      <c r="CS758" s="122"/>
      <c r="CT758" s="122"/>
      <c r="CU758" s="122"/>
      <c r="CV758" s="122"/>
      <c r="CW758" s="122"/>
      <c r="CX758" s="122"/>
      <c r="CY758" s="122"/>
      <c r="CZ758" s="122"/>
      <c r="DA758" s="122"/>
      <c r="DB758" s="122"/>
      <c r="DC758" s="122"/>
      <c r="DD758" s="122"/>
      <c r="DE758" s="122"/>
      <c r="DF758" s="122"/>
      <c r="DG758" s="122"/>
      <c r="DH758" s="122"/>
      <c r="DI758" s="122"/>
      <c r="DJ758" s="122"/>
      <c r="DK758" s="122"/>
      <c r="DL758" s="122"/>
      <c r="DM758" s="122">
        <f t="shared" si="719"/>
        <v>0</v>
      </c>
      <c r="DN758" s="211">
        <v>1.2500000000000001E-2</v>
      </c>
      <c r="DO758" s="202">
        <f t="shared" si="735"/>
        <v>0</v>
      </c>
      <c r="DP758" s="122">
        <f t="shared" si="720"/>
        <v>0</v>
      </c>
      <c r="DQ758" s="122"/>
      <c r="DR758" s="122"/>
      <c r="DS758" s="122"/>
      <c r="DT758" s="122"/>
      <c r="DU758" s="122"/>
      <c r="DV758" s="122"/>
      <c r="DW758" s="122"/>
      <c r="DX758" s="122"/>
      <c r="DY758" s="122"/>
      <c r="DZ758" s="122"/>
      <c r="EA758" s="122"/>
      <c r="EB758" s="122"/>
      <c r="EC758" s="122"/>
      <c r="ED758" s="122"/>
      <c r="EE758" s="122"/>
      <c r="EF758" s="122">
        <v>300</v>
      </c>
      <c r="EG758" s="122">
        <v>3000</v>
      </c>
      <c r="EH758" s="122">
        <v>7.5</v>
      </c>
      <c r="EI758" s="210">
        <v>0.9</v>
      </c>
      <c r="EJ758" s="122">
        <v>1</v>
      </c>
      <c r="EK758" s="122">
        <v>62</v>
      </c>
      <c r="EL758" s="221">
        <f t="shared" si="721"/>
        <v>391.93548387096774</v>
      </c>
      <c r="EM758" s="122"/>
      <c r="EN758" s="122"/>
      <c r="EO758" s="122"/>
      <c r="EP758" s="122"/>
      <c r="EQ758" s="122"/>
      <c r="ER758" s="122"/>
      <c r="ES758" s="122"/>
      <c r="ET758" s="122"/>
      <c r="EU758" s="202">
        <f t="shared" si="722"/>
        <v>7.6543209876543212</v>
      </c>
      <c r="EV758" s="122"/>
      <c r="EW758" s="122"/>
      <c r="EX758" s="122"/>
      <c r="EY758" s="122"/>
      <c r="EZ758" s="122"/>
      <c r="FA758" s="122"/>
      <c r="FB758" s="122"/>
      <c r="FC758" s="122"/>
      <c r="FD758" s="122"/>
      <c r="FE758" s="122"/>
      <c r="FF758" s="122"/>
      <c r="FG758" s="122"/>
      <c r="FH758" s="122"/>
      <c r="FI758" s="122"/>
      <c r="FJ758" s="122"/>
      <c r="FK758" s="122"/>
      <c r="FL758" s="122"/>
      <c r="FM758" s="122"/>
      <c r="FN758" s="122"/>
      <c r="FO758" s="122"/>
      <c r="FP758" s="122"/>
      <c r="FQ758" s="122"/>
      <c r="FR758" s="122"/>
      <c r="FS758" s="122"/>
      <c r="FT758" s="122"/>
      <c r="FU758" s="122"/>
      <c r="FV758" s="122"/>
      <c r="FW758" s="122"/>
      <c r="FX758" s="122"/>
      <c r="FY758" s="122"/>
      <c r="FZ758" s="122"/>
      <c r="GA758" s="122"/>
      <c r="GB758" s="122"/>
      <c r="GC758" s="122"/>
      <c r="GD758" s="122"/>
      <c r="GE758" s="122"/>
      <c r="GF758" s="122"/>
      <c r="GG758" s="122"/>
      <c r="GH758" s="122"/>
      <c r="GI758" s="122"/>
      <c r="GJ758" s="122"/>
      <c r="GK758" s="122"/>
      <c r="GL758" s="122"/>
      <c r="GM758" s="122"/>
      <c r="GN758" s="122"/>
      <c r="GO758" s="122"/>
      <c r="GP758" s="122"/>
      <c r="GQ758" s="122"/>
      <c r="GR758" s="210">
        <v>0.11</v>
      </c>
      <c r="GS758" s="202">
        <f t="shared" si="723"/>
        <v>1.5829353086419753</v>
      </c>
      <c r="GT758" s="208">
        <v>1.2500000000000001E-2</v>
      </c>
      <c r="GU758" s="203">
        <f t="shared" si="724"/>
        <v>0.17987901234567902</v>
      </c>
      <c r="GV758" s="207">
        <v>0.02</v>
      </c>
      <c r="GW758" s="203">
        <f t="shared" si="725"/>
        <v>0.15308641975308643</v>
      </c>
      <c r="GX758" s="203">
        <f t="shared" si="726"/>
        <v>1.9159007407407407</v>
      </c>
      <c r="GY758" s="122" t="s">
        <v>43</v>
      </c>
      <c r="GZ758" s="122" t="s">
        <v>87</v>
      </c>
      <c r="HA758" s="122">
        <v>810</v>
      </c>
      <c r="HB758" s="122">
        <v>568</v>
      </c>
      <c r="HC758" s="122">
        <v>425</v>
      </c>
      <c r="HD758" s="122">
        <v>100</v>
      </c>
      <c r="HE758" s="122">
        <v>400</v>
      </c>
      <c r="HF758" s="122">
        <f t="shared" si="727"/>
        <v>4</v>
      </c>
      <c r="HG758" s="122">
        <v>5</v>
      </c>
      <c r="HH758" s="122">
        <f t="shared" si="728"/>
        <v>20</v>
      </c>
      <c r="HI758" s="122">
        <v>1100</v>
      </c>
      <c r="HJ758" s="122">
        <f t="shared" si="729"/>
        <v>22000</v>
      </c>
      <c r="HK758" s="122"/>
      <c r="HL758" s="122"/>
      <c r="HM758" s="122">
        <v>2</v>
      </c>
      <c r="HN758" s="122">
        <f t="shared" si="730"/>
        <v>240000</v>
      </c>
      <c r="HO758" s="202">
        <f t="shared" si="731"/>
        <v>9.166666666666666E-2</v>
      </c>
      <c r="HP758" s="122">
        <v>160</v>
      </c>
      <c r="HQ758" s="122">
        <v>0</v>
      </c>
      <c r="HR758" s="122">
        <v>0.19</v>
      </c>
      <c r="HS758" s="122">
        <v>1</v>
      </c>
      <c r="HT758" s="203">
        <f>HR758/HS758</f>
        <v>0.19</v>
      </c>
      <c r="HU758" s="203"/>
      <c r="HV758" s="202">
        <f t="shared" ref="HV758:HV763" si="736">ROUNDUP((HO758+HT758),2)</f>
        <v>0.29000000000000004</v>
      </c>
      <c r="HW758" s="202"/>
      <c r="HX758" s="122">
        <v>4200</v>
      </c>
      <c r="HY758" s="122">
        <v>1900</v>
      </c>
      <c r="HZ758" s="122">
        <v>1975</v>
      </c>
      <c r="IA758" s="122">
        <f t="shared" si="732"/>
        <v>5</v>
      </c>
      <c r="IB758" s="122">
        <f t="shared" si="733"/>
        <v>3</v>
      </c>
      <c r="IC758" s="122">
        <f t="shared" si="734"/>
        <v>4</v>
      </c>
      <c r="ID758" s="210">
        <v>0.95</v>
      </c>
      <c r="IE758" s="203">
        <f>ROUND(PRODUCT(IA758:ID758),0)</f>
        <v>57</v>
      </c>
      <c r="IF758" s="122">
        <v>500</v>
      </c>
      <c r="IG758" s="203">
        <f>ROUNDUP((IF758/(IE758*HD758)),2)</f>
        <v>0.09</v>
      </c>
      <c r="IH758" s="368"/>
    </row>
    <row r="759" spans="1:242">
      <c r="A759">
        <v>744</v>
      </c>
      <c r="B759" t="s">
        <v>468</v>
      </c>
      <c r="C759" s="121" t="s">
        <v>2898</v>
      </c>
      <c r="D759" s="28" t="s">
        <v>1562</v>
      </c>
      <c r="E759" s="28" t="s">
        <v>1536</v>
      </c>
      <c r="F759" s="28" t="s">
        <v>2182</v>
      </c>
      <c r="G759" s="27" t="s">
        <v>102</v>
      </c>
      <c r="I759" s="27" t="s">
        <v>121</v>
      </c>
      <c r="J759" s="28">
        <v>21677</v>
      </c>
      <c r="K759" s="27" t="s">
        <v>228</v>
      </c>
      <c r="L759" s="121"/>
      <c r="M759" s="121"/>
      <c r="N759" s="115"/>
      <c r="O759" s="115"/>
      <c r="P759" s="115"/>
      <c r="Q759" s="139" t="s">
        <v>2778</v>
      </c>
      <c r="R759" s="137" t="s">
        <v>2779</v>
      </c>
      <c r="S759" s="121" t="s">
        <v>2899</v>
      </c>
      <c r="T759" s="121" t="s">
        <v>2762</v>
      </c>
      <c r="U759" s="326">
        <v>44291</v>
      </c>
      <c r="V759" s="121" t="s">
        <v>2748</v>
      </c>
      <c r="W759" s="140"/>
      <c r="X759" s="137"/>
      <c r="Y759" s="137"/>
      <c r="Z759" s="137"/>
      <c r="AA759" s="115" t="s">
        <v>2833</v>
      </c>
      <c r="AB759" s="121">
        <v>85.45</v>
      </c>
      <c r="AC759" s="121">
        <v>20</v>
      </c>
      <c r="AD759" s="122" t="s">
        <v>596</v>
      </c>
      <c r="AE759" s="219">
        <f t="shared" si="706"/>
        <v>11.2394</v>
      </c>
      <c r="AF759" s="219"/>
      <c r="AG759" s="219">
        <f t="shared" si="707"/>
        <v>6.5862573099415211</v>
      </c>
      <c r="AH759" s="219">
        <f t="shared" si="708"/>
        <v>0</v>
      </c>
      <c r="AI759" s="219">
        <f t="shared" si="709"/>
        <v>0</v>
      </c>
      <c r="AJ759" s="219">
        <f t="shared" si="710"/>
        <v>0.13172514619883041</v>
      </c>
      <c r="AK759" s="219">
        <f t="shared" si="711"/>
        <v>0.22282071637426901</v>
      </c>
      <c r="AL759" s="219">
        <f t="shared" si="712"/>
        <v>1.9608223040935671</v>
      </c>
      <c r="AM759" s="219">
        <f t="shared" si="713"/>
        <v>0.14000000000000001</v>
      </c>
      <c r="AN759" s="219">
        <f t="shared" si="714"/>
        <v>0.14285714285714285</v>
      </c>
      <c r="AO759" s="220">
        <v>0</v>
      </c>
      <c r="AP759" s="220"/>
      <c r="AQ759" s="204">
        <f t="shared" si="715"/>
        <v>20.423882619465331</v>
      </c>
      <c r="AR759" s="122"/>
      <c r="AS759" s="122"/>
      <c r="AT759" s="122"/>
      <c r="AU759" s="122"/>
      <c r="AV759" s="204">
        <f t="shared" si="716"/>
        <v>20.423882619465331</v>
      </c>
      <c r="AW759" s="230">
        <v>0.13200000000000001</v>
      </c>
      <c r="AX759" s="122">
        <v>0.13</v>
      </c>
      <c r="AY759" s="210">
        <v>1</v>
      </c>
      <c r="AZ759" s="122">
        <f t="shared" si="717"/>
        <v>2.0000000000000018E-3</v>
      </c>
      <c r="BA759" s="202">
        <f t="shared" si="718"/>
        <v>11.2394</v>
      </c>
      <c r="BB759" s="202"/>
      <c r="BC759" s="202"/>
      <c r="BD759" s="202"/>
      <c r="BE759" s="202"/>
      <c r="BF759" s="202"/>
      <c r="BG759" s="202"/>
      <c r="BH759" s="202"/>
      <c r="BI759" s="202"/>
      <c r="BJ759" s="202"/>
      <c r="BK759" s="202"/>
      <c r="BL759" s="202"/>
      <c r="BM759" s="202"/>
      <c r="BN759" s="202"/>
      <c r="BO759" s="202"/>
      <c r="BP759" s="202"/>
      <c r="BQ759" s="202"/>
      <c r="BR759" s="202"/>
      <c r="BS759" s="202"/>
      <c r="BT759" s="202"/>
      <c r="BU759" s="202"/>
      <c r="BV759" s="202"/>
      <c r="BW759" s="202"/>
      <c r="BX759" s="202"/>
      <c r="BY759" s="202"/>
      <c r="BZ759" s="202"/>
      <c r="CA759" s="202"/>
      <c r="CB759" s="202"/>
      <c r="CC759" s="202"/>
      <c r="CD759" s="122"/>
      <c r="CE759" s="122">
        <v>0</v>
      </c>
      <c r="CF759" s="122">
        <v>0</v>
      </c>
      <c r="CG759" s="122">
        <v>0</v>
      </c>
      <c r="CH759" s="122">
        <v>0</v>
      </c>
      <c r="CI759" s="121"/>
      <c r="CJ759" s="121"/>
      <c r="CK759" s="122"/>
      <c r="CL759" s="122"/>
      <c r="CM759" s="122"/>
      <c r="CN759" s="122"/>
      <c r="CO759" s="122"/>
      <c r="CP759" s="122"/>
      <c r="CQ759" s="122"/>
      <c r="CR759" s="122"/>
      <c r="CS759" s="122"/>
      <c r="CT759" s="122"/>
      <c r="CU759" s="122"/>
      <c r="CV759" s="122"/>
      <c r="CW759" s="122"/>
      <c r="CX759" s="122"/>
      <c r="CY759" s="122"/>
      <c r="CZ759" s="122"/>
      <c r="DA759" s="122"/>
      <c r="DB759" s="122"/>
      <c r="DC759" s="122"/>
      <c r="DD759" s="122"/>
      <c r="DE759" s="122"/>
      <c r="DF759" s="122"/>
      <c r="DG759" s="122"/>
      <c r="DH759" s="122"/>
      <c r="DI759" s="122"/>
      <c r="DJ759" s="122"/>
      <c r="DK759" s="122"/>
      <c r="DL759" s="122"/>
      <c r="DM759" s="122">
        <f t="shared" si="719"/>
        <v>0</v>
      </c>
      <c r="DN759" s="211">
        <v>1.2500000000000001E-2</v>
      </c>
      <c r="DO759" s="202">
        <f t="shared" si="735"/>
        <v>0</v>
      </c>
      <c r="DP759" s="122">
        <f t="shared" si="720"/>
        <v>0</v>
      </c>
      <c r="DQ759" s="122"/>
      <c r="DR759" s="122"/>
      <c r="DS759" s="122"/>
      <c r="DT759" s="122"/>
      <c r="DU759" s="122"/>
      <c r="DV759" s="122"/>
      <c r="DW759" s="122"/>
      <c r="DX759" s="122"/>
      <c r="DY759" s="122"/>
      <c r="DZ759" s="122"/>
      <c r="EA759" s="122"/>
      <c r="EB759" s="122"/>
      <c r="EC759" s="122"/>
      <c r="ED759" s="122"/>
      <c r="EE759" s="122"/>
      <c r="EF759" s="122">
        <v>530</v>
      </c>
      <c r="EG759" s="122">
        <v>5300</v>
      </c>
      <c r="EH759" s="122">
        <v>8</v>
      </c>
      <c r="EI759" s="210">
        <v>0.95</v>
      </c>
      <c r="EJ759" s="122">
        <v>2</v>
      </c>
      <c r="EK759" s="122">
        <v>68</v>
      </c>
      <c r="EL759" s="221">
        <f t="shared" si="721"/>
        <v>804.7058823529411</v>
      </c>
      <c r="EM759" s="122"/>
      <c r="EN759" s="122"/>
      <c r="EO759" s="122"/>
      <c r="EP759" s="122"/>
      <c r="EQ759" s="122"/>
      <c r="ER759" s="122"/>
      <c r="ES759" s="122"/>
      <c r="ET759" s="122"/>
      <c r="EU759" s="202">
        <f t="shared" si="722"/>
        <v>6.5862573099415211</v>
      </c>
      <c r="EV759" s="122"/>
      <c r="EW759" s="122"/>
      <c r="EX759" s="122"/>
      <c r="EY759" s="122"/>
      <c r="EZ759" s="122"/>
      <c r="FA759" s="122"/>
      <c r="FB759" s="122"/>
      <c r="FC759" s="122"/>
      <c r="FD759" s="122"/>
      <c r="FE759" s="122"/>
      <c r="FF759" s="122"/>
      <c r="FG759" s="122"/>
      <c r="FH759" s="122"/>
      <c r="FI759" s="122"/>
      <c r="FJ759" s="122"/>
      <c r="FK759" s="122"/>
      <c r="FL759" s="122"/>
      <c r="FM759" s="122"/>
      <c r="FN759" s="122"/>
      <c r="FO759" s="122"/>
      <c r="FP759" s="122"/>
      <c r="FQ759" s="122"/>
      <c r="FR759" s="122"/>
      <c r="FS759" s="122"/>
      <c r="FT759" s="122"/>
      <c r="FU759" s="122"/>
      <c r="FV759" s="122"/>
      <c r="FW759" s="122"/>
      <c r="FX759" s="122"/>
      <c r="FY759" s="122"/>
      <c r="FZ759" s="122"/>
      <c r="GA759" s="122"/>
      <c r="GB759" s="122"/>
      <c r="GC759" s="122"/>
      <c r="GD759" s="122"/>
      <c r="GE759" s="122"/>
      <c r="GF759" s="122"/>
      <c r="GG759" s="122"/>
      <c r="GH759" s="122"/>
      <c r="GI759" s="122"/>
      <c r="GJ759" s="122"/>
      <c r="GK759" s="122"/>
      <c r="GL759" s="122"/>
      <c r="GM759" s="122"/>
      <c r="GN759" s="122"/>
      <c r="GO759" s="122"/>
      <c r="GP759" s="122"/>
      <c r="GQ759" s="122"/>
      <c r="GR759" s="210">
        <v>0.11</v>
      </c>
      <c r="GS759" s="202">
        <f t="shared" si="723"/>
        <v>1.9608223040935671</v>
      </c>
      <c r="GT759" s="208">
        <v>1.2500000000000001E-2</v>
      </c>
      <c r="GU759" s="203">
        <f t="shared" si="724"/>
        <v>0.22282071637426901</v>
      </c>
      <c r="GV759" s="207">
        <v>0.02</v>
      </c>
      <c r="GW759" s="203">
        <f t="shared" si="725"/>
        <v>0.13172514619883041</v>
      </c>
      <c r="GX759" s="203">
        <f t="shared" si="726"/>
        <v>2.3153681666666661</v>
      </c>
      <c r="GY759" s="122" t="s">
        <v>43</v>
      </c>
      <c r="GZ759" s="122" t="s">
        <v>87</v>
      </c>
      <c r="HA759" s="122">
        <v>805</v>
      </c>
      <c r="HB759" s="122">
        <v>675</v>
      </c>
      <c r="HC759" s="122">
        <v>405</v>
      </c>
      <c r="HD759" s="122">
        <v>70</v>
      </c>
      <c r="HE759" s="122">
        <v>600</v>
      </c>
      <c r="HF759" s="122">
        <f t="shared" si="727"/>
        <v>9</v>
      </c>
      <c r="HG759" s="122">
        <v>5</v>
      </c>
      <c r="HH759" s="122">
        <f t="shared" si="728"/>
        <v>45</v>
      </c>
      <c r="HI759" s="122">
        <v>1100</v>
      </c>
      <c r="HJ759" s="122">
        <f t="shared" si="729"/>
        <v>49500</v>
      </c>
      <c r="HK759" s="122"/>
      <c r="HL759" s="122"/>
      <c r="HM759" s="122">
        <v>2</v>
      </c>
      <c r="HN759" s="122">
        <f t="shared" si="730"/>
        <v>360000</v>
      </c>
      <c r="HO759" s="202">
        <f t="shared" si="731"/>
        <v>0.13750000000000001</v>
      </c>
      <c r="HP759" s="122">
        <v>160</v>
      </c>
      <c r="HQ759" s="122">
        <v>0</v>
      </c>
      <c r="HR759" s="122">
        <v>0</v>
      </c>
      <c r="HS759" s="122">
        <v>0</v>
      </c>
      <c r="HT759" s="122">
        <v>0</v>
      </c>
      <c r="HU759" s="122"/>
      <c r="HV759" s="202">
        <f t="shared" si="736"/>
        <v>0.14000000000000001</v>
      </c>
      <c r="HW759" s="202"/>
      <c r="HX759" s="122">
        <v>5016</v>
      </c>
      <c r="HY759" s="122">
        <v>1976</v>
      </c>
      <c r="HZ759" s="122">
        <v>2280</v>
      </c>
      <c r="IA759" s="122">
        <f t="shared" si="732"/>
        <v>6</v>
      </c>
      <c r="IB759" s="122">
        <f t="shared" si="733"/>
        <v>2</v>
      </c>
      <c r="IC759" s="122">
        <f t="shared" si="734"/>
        <v>5</v>
      </c>
      <c r="ID759" s="210">
        <v>1</v>
      </c>
      <c r="IE759" s="203">
        <f>ROUND(PRODUCT(IA759:ID759),0)-10</f>
        <v>50</v>
      </c>
      <c r="IF759" s="122">
        <v>500</v>
      </c>
      <c r="IG759" s="203">
        <f>(IF759/(IE759*HD759))</f>
        <v>0.14285714285714285</v>
      </c>
      <c r="IH759" s="368"/>
    </row>
    <row r="760" spans="1:242">
      <c r="A760">
        <v>745</v>
      </c>
      <c r="B760" t="s">
        <v>468</v>
      </c>
      <c r="C760" s="121" t="s">
        <v>2900</v>
      </c>
      <c r="D760" s="28" t="s">
        <v>1562</v>
      </c>
      <c r="E760" s="28" t="s">
        <v>1536</v>
      </c>
      <c r="F760" s="28" t="s">
        <v>2182</v>
      </c>
      <c r="G760" s="27" t="s">
        <v>102</v>
      </c>
      <c r="I760" s="27" t="s">
        <v>226</v>
      </c>
      <c r="J760" s="28">
        <v>21590</v>
      </c>
      <c r="K760" s="27" t="s">
        <v>397</v>
      </c>
      <c r="L760" s="121"/>
      <c r="M760" s="121"/>
      <c r="N760" s="115"/>
      <c r="O760" s="115"/>
      <c r="P760" s="115"/>
      <c r="Q760" s="139" t="s">
        <v>2773</v>
      </c>
      <c r="R760" s="137" t="s">
        <v>2760</v>
      </c>
      <c r="S760" s="137" t="s">
        <v>2852</v>
      </c>
      <c r="T760" s="121" t="s">
        <v>2762</v>
      </c>
      <c r="U760" s="326">
        <v>45107</v>
      </c>
      <c r="V760" s="121" t="s">
        <v>2748</v>
      </c>
      <c r="W760" s="140"/>
      <c r="X760" s="137"/>
      <c r="Y760" s="137"/>
      <c r="Z760" s="137"/>
      <c r="AA760" s="115" t="s">
        <v>2901</v>
      </c>
      <c r="AB760" s="121">
        <v>111.01</v>
      </c>
      <c r="AC760" s="121">
        <v>20</v>
      </c>
      <c r="AD760" s="122" t="s">
        <v>1200</v>
      </c>
      <c r="AE760" s="219">
        <f t="shared" si="706"/>
        <v>14.209280000000001</v>
      </c>
      <c r="AF760" s="219"/>
      <c r="AG760" s="219">
        <f t="shared" si="707"/>
        <v>6.2962962962962967</v>
      </c>
      <c r="AH760" s="219">
        <f t="shared" si="708"/>
        <v>0</v>
      </c>
      <c r="AI760" s="219">
        <f t="shared" si="709"/>
        <v>0</v>
      </c>
      <c r="AJ760" s="219">
        <f t="shared" si="710"/>
        <v>0.12592592592592594</v>
      </c>
      <c r="AK760" s="219">
        <f t="shared" si="711"/>
        <v>0.25631970370370372</v>
      </c>
      <c r="AL760" s="219">
        <f t="shared" si="712"/>
        <v>2.2556133925925925</v>
      </c>
      <c r="AM760" s="219">
        <f t="shared" si="713"/>
        <v>0.36</v>
      </c>
      <c r="AN760" s="219">
        <f t="shared" si="714"/>
        <v>0.14619883040935672</v>
      </c>
      <c r="AO760" s="220">
        <v>0</v>
      </c>
      <c r="AP760" s="220"/>
      <c r="AQ760" s="204">
        <f t="shared" si="715"/>
        <v>23.649634148927877</v>
      </c>
      <c r="AR760" s="122"/>
      <c r="AS760" s="122"/>
      <c r="AT760" s="122"/>
      <c r="AU760" s="122"/>
      <c r="AV760" s="204">
        <f t="shared" si="716"/>
        <v>23.649634148927877</v>
      </c>
      <c r="AW760" s="122">
        <v>0.128</v>
      </c>
      <c r="AX760" s="122">
        <v>0.128</v>
      </c>
      <c r="AY760" s="210">
        <v>1</v>
      </c>
      <c r="AZ760" s="122">
        <f t="shared" si="717"/>
        <v>0</v>
      </c>
      <c r="BA760" s="202">
        <f t="shared" si="718"/>
        <v>14.209280000000001</v>
      </c>
      <c r="BB760" s="202"/>
      <c r="BC760" s="202"/>
      <c r="BD760" s="202"/>
      <c r="BE760" s="202"/>
      <c r="BF760" s="202"/>
      <c r="BG760" s="202"/>
      <c r="BH760" s="202"/>
      <c r="BI760" s="202"/>
      <c r="BJ760" s="202"/>
      <c r="BK760" s="202"/>
      <c r="BL760" s="202"/>
      <c r="BM760" s="202"/>
      <c r="BN760" s="202"/>
      <c r="BO760" s="202"/>
      <c r="BP760" s="202"/>
      <c r="BQ760" s="202"/>
      <c r="BR760" s="202"/>
      <c r="BS760" s="202"/>
      <c r="BT760" s="202"/>
      <c r="BU760" s="202"/>
      <c r="BV760" s="202"/>
      <c r="BW760" s="202"/>
      <c r="BX760" s="202"/>
      <c r="BY760" s="202"/>
      <c r="BZ760" s="202"/>
      <c r="CA760" s="202"/>
      <c r="CB760" s="202"/>
      <c r="CC760" s="202"/>
      <c r="CD760" s="122"/>
      <c r="CE760" s="122">
        <v>0</v>
      </c>
      <c r="CF760" s="122">
        <v>0</v>
      </c>
      <c r="CG760" s="122">
        <v>0</v>
      </c>
      <c r="CH760" s="122">
        <v>0</v>
      </c>
      <c r="CI760" s="121"/>
      <c r="CJ760" s="121"/>
      <c r="CK760" s="122"/>
      <c r="CL760" s="122"/>
      <c r="CM760" s="122"/>
      <c r="CN760" s="122"/>
      <c r="CO760" s="122"/>
      <c r="CP760" s="122"/>
      <c r="CQ760" s="122"/>
      <c r="CR760" s="122"/>
      <c r="CS760" s="122"/>
      <c r="CT760" s="122"/>
      <c r="CU760" s="122"/>
      <c r="CV760" s="122"/>
      <c r="CW760" s="122"/>
      <c r="CX760" s="122"/>
      <c r="CY760" s="122"/>
      <c r="CZ760" s="122"/>
      <c r="DA760" s="122"/>
      <c r="DB760" s="122"/>
      <c r="DC760" s="122"/>
      <c r="DD760" s="122"/>
      <c r="DE760" s="122"/>
      <c r="DF760" s="122"/>
      <c r="DG760" s="122"/>
      <c r="DH760" s="122"/>
      <c r="DI760" s="122"/>
      <c r="DJ760" s="122"/>
      <c r="DK760" s="122"/>
      <c r="DL760" s="122"/>
      <c r="DM760" s="122">
        <f t="shared" si="719"/>
        <v>0</v>
      </c>
      <c r="DN760" s="211">
        <v>1.2500000000000001E-2</v>
      </c>
      <c r="DO760" s="202">
        <f t="shared" si="735"/>
        <v>0</v>
      </c>
      <c r="DP760" s="122">
        <f t="shared" si="720"/>
        <v>0</v>
      </c>
      <c r="DQ760" s="122"/>
      <c r="DR760" s="122"/>
      <c r="DS760" s="122"/>
      <c r="DT760" s="122"/>
      <c r="DU760" s="122"/>
      <c r="DV760" s="122"/>
      <c r="DW760" s="122"/>
      <c r="DX760" s="122"/>
      <c r="DY760" s="122"/>
      <c r="DZ760" s="122"/>
      <c r="EA760" s="122"/>
      <c r="EB760" s="122"/>
      <c r="EC760" s="122"/>
      <c r="ED760" s="122"/>
      <c r="EE760" s="122"/>
      <c r="EF760" s="122">
        <v>450</v>
      </c>
      <c r="EG760" s="122">
        <v>4500</v>
      </c>
      <c r="EH760" s="122">
        <v>7.5</v>
      </c>
      <c r="EI760" s="210">
        <v>0.9</v>
      </c>
      <c r="EJ760" s="122">
        <v>2</v>
      </c>
      <c r="EK760" s="122">
        <v>68</v>
      </c>
      <c r="EL760" s="221">
        <f t="shared" si="721"/>
        <v>714.7058823529411</v>
      </c>
      <c r="EM760" s="122"/>
      <c r="EN760" s="122"/>
      <c r="EO760" s="122"/>
      <c r="EP760" s="122"/>
      <c r="EQ760" s="122"/>
      <c r="ER760" s="122"/>
      <c r="ES760" s="122"/>
      <c r="ET760" s="122"/>
      <c r="EU760" s="202">
        <f t="shared" si="722"/>
        <v>6.2962962962962967</v>
      </c>
      <c r="EV760" s="122"/>
      <c r="EW760" s="122"/>
      <c r="EX760" s="122"/>
      <c r="EY760" s="122"/>
      <c r="EZ760" s="122"/>
      <c r="FA760" s="122"/>
      <c r="FB760" s="122"/>
      <c r="FC760" s="122"/>
      <c r="FD760" s="122"/>
      <c r="FE760" s="122"/>
      <c r="FF760" s="122"/>
      <c r="FG760" s="122"/>
      <c r="FH760" s="122"/>
      <c r="FI760" s="122"/>
      <c r="FJ760" s="122"/>
      <c r="FK760" s="122"/>
      <c r="FL760" s="122"/>
      <c r="FM760" s="122"/>
      <c r="FN760" s="122"/>
      <c r="FO760" s="122"/>
      <c r="FP760" s="122"/>
      <c r="FQ760" s="122"/>
      <c r="FR760" s="122"/>
      <c r="FS760" s="122"/>
      <c r="FT760" s="122"/>
      <c r="FU760" s="122"/>
      <c r="FV760" s="122"/>
      <c r="FW760" s="122"/>
      <c r="FX760" s="122"/>
      <c r="FY760" s="122"/>
      <c r="FZ760" s="122"/>
      <c r="GA760" s="122"/>
      <c r="GB760" s="122"/>
      <c r="GC760" s="122"/>
      <c r="GD760" s="122"/>
      <c r="GE760" s="122"/>
      <c r="GF760" s="122"/>
      <c r="GG760" s="122"/>
      <c r="GH760" s="122"/>
      <c r="GI760" s="122"/>
      <c r="GJ760" s="122"/>
      <c r="GK760" s="122"/>
      <c r="GL760" s="122"/>
      <c r="GM760" s="122"/>
      <c r="GN760" s="122"/>
      <c r="GO760" s="122"/>
      <c r="GP760" s="122"/>
      <c r="GQ760" s="122"/>
      <c r="GR760" s="210">
        <v>0.11</v>
      </c>
      <c r="GS760" s="202">
        <f t="shared" si="723"/>
        <v>2.2556133925925925</v>
      </c>
      <c r="GT760" s="208">
        <v>1.2500000000000001E-2</v>
      </c>
      <c r="GU760" s="203">
        <f t="shared" si="724"/>
        <v>0.25631970370370372</v>
      </c>
      <c r="GV760" s="207">
        <v>0.02</v>
      </c>
      <c r="GW760" s="203">
        <f t="shared" si="725"/>
        <v>0.12592592592592594</v>
      </c>
      <c r="GX760" s="203">
        <f t="shared" si="726"/>
        <v>2.637859022222222</v>
      </c>
      <c r="GY760" s="122" t="s">
        <v>43</v>
      </c>
      <c r="GZ760" s="122" t="s">
        <v>87</v>
      </c>
      <c r="HA760" s="122">
        <v>810</v>
      </c>
      <c r="HB760" s="122">
        <v>568</v>
      </c>
      <c r="HC760" s="122">
        <v>425</v>
      </c>
      <c r="HD760" s="122">
        <v>60</v>
      </c>
      <c r="HE760" s="122">
        <v>400</v>
      </c>
      <c r="HF760" s="122">
        <f t="shared" si="727"/>
        <v>7</v>
      </c>
      <c r="HG760" s="122">
        <v>5</v>
      </c>
      <c r="HH760" s="122">
        <f t="shared" si="728"/>
        <v>35</v>
      </c>
      <c r="HI760" s="122">
        <v>1100</v>
      </c>
      <c r="HJ760" s="122">
        <f t="shared" si="729"/>
        <v>38500</v>
      </c>
      <c r="HK760" s="122"/>
      <c r="HL760" s="122"/>
      <c r="HM760" s="122">
        <v>2</v>
      </c>
      <c r="HN760" s="122">
        <f t="shared" si="730"/>
        <v>240000</v>
      </c>
      <c r="HO760" s="202">
        <f t="shared" si="731"/>
        <v>0.16041666666666668</v>
      </c>
      <c r="HP760" s="122">
        <v>160</v>
      </c>
      <c r="HQ760" s="122">
        <v>0</v>
      </c>
      <c r="HR760" s="122">
        <v>0.19</v>
      </c>
      <c r="HS760" s="122">
        <v>1</v>
      </c>
      <c r="HT760" s="203">
        <f>HR760/HS760</f>
        <v>0.19</v>
      </c>
      <c r="HU760" s="203"/>
      <c r="HV760" s="202">
        <f t="shared" si="736"/>
        <v>0.36</v>
      </c>
      <c r="HW760" s="202"/>
      <c r="HX760" s="122">
        <v>4200</v>
      </c>
      <c r="HY760" s="122">
        <v>1900</v>
      </c>
      <c r="HZ760" s="122">
        <v>1975</v>
      </c>
      <c r="IA760" s="122">
        <f t="shared" si="732"/>
        <v>5</v>
      </c>
      <c r="IB760" s="122">
        <f t="shared" si="733"/>
        <v>3</v>
      </c>
      <c r="IC760" s="122">
        <f t="shared" si="734"/>
        <v>4</v>
      </c>
      <c r="ID760" s="210">
        <v>0.95</v>
      </c>
      <c r="IE760" s="203">
        <f>ROUND(PRODUCT(IA760:ID760),0)</f>
        <v>57</v>
      </c>
      <c r="IF760" s="122">
        <v>500</v>
      </c>
      <c r="IG760" s="202">
        <f>(IF760/(IE760*HD760))</f>
        <v>0.14619883040935672</v>
      </c>
      <c r="IH760" s="20"/>
    </row>
    <row r="761" spans="1:242">
      <c r="A761">
        <v>746</v>
      </c>
      <c r="B761" t="s">
        <v>468</v>
      </c>
      <c r="C761" s="121" t="s">
        <v>2902</v>
      </c>
      <c r="D761" s="28" t="s">
        <v>1563</v>
      </c>
      <c r="E761" s="28" t="s">
        <v>1538</v>
      </c>
      <c r="F761" s="28" t="s">
        <v>2182</v>
      </c>
      <c r="G761" s="27" t="s">
        <v>102</v>
      </c>
      <c r="I761" s="27" t="s">
        <v>121</v>
      </c>
      <c r="J761" s="28">
        <v>21677</v>
      </c>
      <c r="K761" s="27" t="s">
        <v>228</v>
      </c>
      <c r="L761" s="121"/>
      <c r="M761" s="121"/>
      <c r="N761" s="115"/>
      <c r="O761" s="115"/>
      <c r="P761" s="115"/>
      <c r="Q761" s="139" t="s">
        <v>2778</v>
      </c>
      <c r="R761" s="137" t="s">
        <v>2779</v>
      </c>
      <c r="S761" s="121" t="s">
        <v>2899</v>
      </c>
      <c r="T761" s="121" t="s">
        <v>2762</v>
      </c>
      <c r="U761" s="326">
        <v>44291</v>
      </c>
      <c r="V761" s="121" t="s">
        <v>2748</v>
      </c>
      <c r="W761" s="140"/>
      <c r="X761" s="137"/>
      <c r="Y761" s="137"/>
      <c r="Z761" s="137"/>
      <c r="AA761" s="115" t="s">
        <v>2833</v>
      </c>
      <c r="AB761" s="121">
        <v>85.45</v>
      </c>
      <c r="AC761" s="121">
        <v>20</v>
      </c>
      <c r="AD761" s="122" t="s">
        <v>596</v>
      </c>
      <c r="AE761" s="219">
        <f t="shared" si="706"/>
        <v>11.2394</v>
      </c>
      <c r="AF761" s="219"/>
      <c r="AG761" s="219">
        <f t="shared" si="707"/>
        <v>6.5862573099415211</v>
      </c>
      <c r="AH761" s="219">
        <f t="shared" si="708"/>
        <v>0</v>
      </c>
      <c r="AI761" s="219">
        <f t="shared" si="709"/>
        <v>0</v>
      </c>
      <c r="AJ761" s="219">
        <f t="shared" si="710"/>
        <v>0.13172514619883041</v>
      </c>
      <c r="AK761" s="219">
        <f t="shared" si="711"/>
        <v>0.22282071637426901</v>
      </c>
      <c r="AL761" s="219">
        <f t="shared" si="712"/>
        <v>1.9608223040935671</v>
      </c>
      <c r="AM761" s="219">
        <f t="shared" si="713"/>
        <v>0.14000000000000001</v>
      </c>
      <c r="AN761" s="219">
        <f t="shared" si="714"/>
        <v>0.14285714285714285</v>
      </c>
      <c r="AO761" s="220">
        <v>0</v>
      </c>
      <c r="AP761" s="220"/>
      <c r="AQ761" s="204">
        <f t="shared" si="715"/>
        <v>20.423882619465331</v>
      </c>
      <c r="AR761" s="122"/>
      <c r="AS761" s="122"/>
      <c r="AT761" s="122"/>
      <c r="AU761" s="122"/>
      <c r="AV761" s="204">
        <f t="shared" si="716"/>
        <v>20.423882619465331</v>
      </c>
      <c r="AW761" s="230">
        <v>0.13200000000000001</v>
      </c>
      <c r="AX761" s="122">
        <v>0.13</v>
      </c>
      <c r="AY761" s="210">
        <v>1</v>
      </c>
      <c r="AZ761" s="122">
        <f t="shared" si="717"/>
        <v>2.0000000000000018E-3</v>
      </c>
      <c r="BA761" s="202">
        <f t="shared" si="718"/>
        <v>11.2394</v>
      </c>
      <c r="BB761" s="202"/>
      <c r="BC761" s="202"/>
      <c r="BD761" s="202"/>
      <c r="BE761" s="202"/>
      <c r="BF761" s="202"/>
      <c r="BG761" s="202"/>
      <c r="BH761" s="202"/>
      <c r="BI761" s="202"/>
      <c r="BJ761" s="202"/>
      <c r="BK761" s="202"/>
      <c r="BL761" s="202"/>
      <c r="BM761" s="202"/>
      <c r="BN761" s="202"/>
      <c r="BO761" s="202"/>
      <c r="BP761" s="202"/>
      <c r="BQ761" s="202"/>
      <c r="BR761" s="202"/>
      <c r="BS761" s="202"/>
      <c r="BT761" s="202"/>
      <c r="BU761" s="202"/>
      <c r="BV761" s="202"/>
      <c r="BW761" s="202"/>
      <c r="BX761" s="202"/>
      <c r="BY761" s="202"/>
      <c r="BZ761" s="202"/>
      <c r="CA761" s="202"/>
      <c r="CB761" s="202"/>
      <c r="CC761" s="202"/>
      <c r="CD761" s="122"/>
      <c r="CE761" s="122">
        <v>0</v>
      </c>
      <c r="CF761" s="122">
        <v>0</v>
      </c>
      <c r="CG761" s="122">
        <v>0</v>
      </c>
      <c r="CH761" s="122">
        <v>0</v>
      </c>
      <c r="CI761" s="121"/>
      <c r="CJ761" s="121"/>
      <c r="CK761" s="122"/>
      <c r="CL761" s="122"/>
      <c r="CM761" s="122"/>
      <c r="CN761" s="122"/>
      <c r="CO761" s="122"/>
      <c r="CP761" s="122"/>
      <c r="CQ761" s="122"/>
      <c r="CR761" s="122"/>
      <c r="CS761" s="122"/>
      <c r="CT761" s="122"/>
      <c r="CU761" s="122"/>
      <c r="CV761" s="122"/>
      <c r="CW761" s="122"/>
      <c r="CX761" s="122"/>
      <c r="CY761" s="122"/>
      <c r="CZ761" s="122"/>
      <c r="DA761" s="122"/>
      <c r="DB761" s="122"/>
      <c r="DC761" s="122"/>
      <c r="DD761" s="122"/>
      <c r="DE761" s="122"/>
      <c r="DF761" s="122"/>
      <c r="DG761" s="122"/>
      <c r="DH761" s="122"/>
      <c r="DI761" s="122"/>
      <c r="DJ761" s="122"/>
      <c r="DK761" s="122"/>
      <c r="DL761" s="122"/>
      <c r="DM761" s="122">
        <f t="shared" si="719"/>
        <v>0</v>
      </c>
      <c r="DN761" s="211">
        <v>1.2500000000000001E-2</v>
      </c>
      <c r="DO761" s="202">
        <f t="shared" si="735"/>
        <v>0</v>
      </c>
      <c r="DP761" s="122">
        <f t="shared" si="720"/>
        <v>0</v>
      </c>
      <c r="DQ761" s="122"/>
      <c r="DR761" s="122"/>
      <c r="DS761" s="122"/>
      <c r="DT761" s="122"/>
      <c r="DU761" s="122"/>
      <c r="DV761" s="122"/>
      <c r="DW761" s="122"/>
      <c r="DX761" s="122"/>
      <c r="DY761" s="122"/>
      <c r="DZ761" s="122"/>
      <c r="EA761" s="122"/>
      <c r="EB761" s="122"/>
      <c r="EC761" s="122"/>
      <c r="ED761" s="122"/>
      <c r="EE761" s="122"/>
      <c r="EF761" s="122">
        <v>530</v>
      </c>
      <c r="EG761" s="122">
        <v>5300</v>
      </c>
      <c r="EH761" s="122">
        <v>8</v>
      </c>
      <c r="EI761" s="210">
        <v>0.95</v>
      </c>
      <c r="EJ761" s="122">
        <v>2</v>
      </c>
      <c r="EK761" s="122">
        <v>68</v>
      </c>
      <c r="EL761" s="221">
        <f t="shared" si="721"/>
        <v>804.7058823529411</v>
      </c>
      <c r="EM761" s="122"/>
      <c r="EN761" s="122"/>
      <c r="EO761" s="122"/>
      <c r="EP761" s="122"/>
      <c r="EQ761" s="122"/>
      <c r="ER761" s="122"/>
      <c r="ES761" s="122"/>
      <c r="ET761" s="122"/>
      <c r="EU761" s="202">
        <f t="shared" si="722"/>
        <v>6.5862573099415211</v>
      </c>
      <c r="EV761" s="122"/>
      <c r="EW761" s="122"/>
      <c r="EX761" s="122"/>
      <c r="EY761" s="122"/>
      <c r="EZ761" s="122"/>
      <c r="FA761" s="122"/>
      <c r="FB761" s="122"/>
      <c r="FC761" s="122"/>
      <c r="FD761" s="122"/>
      <c r="FE761" s="122"/>
      <c r="FF761" s="122"/>
      <c r="FG761" s="122"/>
      <c r="FH761" s="122"/>
      <c r="FI761" s="122"/>
      <c r="FJ761" s="122"/>
      <c r="FK761" s="122"/>
      <c r="FL761" s="122"/>
      <c r="FM761" s="122"/>
      <c r="FN761" s="122"/>
      <c r="FO761" s="122"/>
      <c r="FP761" s="122"/>
      <c r="FQ761" s="122"/>
      <c r="FR761" s="122"/>
      <c r="FS761" s="122"/>
      <c r="FT761" s="122"/>
      <c r="FU761" s="122"/>
      <c r="FV761" s="122"/>
      <c r="FW761" s="122"/>
      <c r="FX761" s="122"/>
      <c r="FY761" s="122"/>
      <c r="FZ761" s="122"/>
      <c r="GA761" s="122"/>
      <c r="GB761" s="122"/>
      <c r="GC761" s="122"/>
      <c r="GD761" s="122"/>
      <c r="GE761" s="122"/>
      <c r="GF761" s="122"/>
      <c r="GG761" s="122"/>
      <c r="GH761" s="122"/>
      <c r="GI761" s="122"/>
      <c r="GJ761" s="122"/>
      <c r="GK761" s="122"/>
      <c r="GL761" s="122"/>
      <c r="GM761" s="122"/>
      <c r="GN761" s="122"/>
      <c r="GO761" s="122"/>
      <c r="GP761" s="122"/>
      <c r="GQ761" s="122"/>
      <c r="GR761" s="210">
        <v>0.11</v>
      </c>
      <c r="GS761" s="202">
        <f t="shared" si="723"/>
        <v>1.9608223040935671</v>
      </c>
      <c r="GT761" s="208">
        <v>1.2500000000000001E-2</v>
      </c>
      <c r="GU761" s="203">
        <f t="shared" si="724"/>
        <v>0.22282071637426901</v>
      </c>
      <c r="GV761" s="207">
        <v>0.02</v>
      </c>
      <c r="GW761" s="203">
        <f t="shared" si="725"/>
        <v>0.13172514619883041</v>
      </c>
      <c r="GX761" s="203">
        <f t="shared" si="726"/>
        <v>2.3153681666666661</v>
      </c>
      <c r="GY761" s="122" t="s">
        <v>43</v>
      </c>
      <c r="GZ761" s="122" t="s">
        <v>87</v>
      </c>
      <c r="HA761" s="122">
        <v>805</v>
      </c>
      <c r="HB761" s="122">
        <v>675</v>
      </c>
      <c r="HC761" s="122">
        <v>405</v>
      </c>
      <c r="HD761" s="122">
        <v>70</v>
      </c>
      <c r="HE761" s="122">
        <v>600</v>
      </c>
      <c r="HF761" s="122">
        <f t="shared" si="727"/>
        <v>9</v>
      </c>
      <c r="HG761" s="122">
        <v>5</v>
      </c>
      <c r="HH761" s="122">
        <f t="shared" si="728"/>
        <v>45</v>
      </c>
      <c r="HI761" s="122">
        <v>1100</v>
      </c>
      <c r="HJ761" s="122">
        <f t="shared" si="729"/>
        <v>49500</v>
      </c>
      <c r="HK761" s="122"/>
      <c r="HL761" s="122"/>
      <c r="HM761" s="122">
        <v>2</v>
      </c>
      <c r="HN761" s="122">
        <f t="shared" si="730"/>
        <v>360000</v>
      </c>
      <c r="HO761" s="202">
        <f t="shared" si="731"/>
        <v>0.13750000000000001</v>
      </c>
      <c r="HP761" s="122">
        <v>160</v>
      </c>
      <c r="HQ761" s="122">
        <v>0</v>
      </c>
      <c r="HR761" s="122">
        <v>0</v>
      </c>
      <c r="HS761" s="122">
        <v>0</v>
      </c>
      <c r="HT761" s="122">
        <v>0</v>
      </c>
      <c r="HU761" s="122"/>
      <c r="HV761" s="202">
        <f t="shared" si="736"/>
        <v>0.14000000000000001</v>
      </c>
      <c r="HW761" s="202"/>
      <c r="HX761" s="122">
        <v>5016</v>
      </c>
      <c r="HY761" s="122">
        <v>1976</v>
      </c>
      <c r="HZ761" s="122">
        <v>2280</v>
      </c>
      <c r="IA761" s="122">
        <f t="shared" si="732"/>
        <v>6</v>
      </c>
      <c r="IB761" s="122">
        <f t="shared" si="733"/>
        <v>2</v>
      </c>
      <c r="IC761" s="122">
        <f t="shared" si="734"/>
        <v>5</v>
      </c>
      <c r="ID761" s="210">
        <v>1</v>
      </c>
      <c r="IE761" s="203">
        <f>ROUND(PRODUCT(IA761:ID761),0)-10</f>
        <v>50</v>
      </c>
      <c r="IF761" s="122">
        <v>500</v>
      </c>
      <c r="IG761" s="203">
        <f>(IF761/(IE761*HD761))</f>
        <v>0.14285714285714285</v>
      </c>
      <c r="IH761" s="368"/>
    </row>
    <row r="762" spans="1:242">
      <c r="A762">
        <v>747</v>
      </c>
      <c r="B762" t="s">
        <v>468</v>
      </c>
      <c r="C762" s="121" t="s">
        <v>2903</v>
      </c>
      <c r="D762" s="28" t="s">
        <v>1563</v>
      </c>
      <c r="E762" s="28" t="s">
        <v>1538</v>
      </c>
      <c r="F762" s="28" t="s">
        <v>2182</v>
      </c>
      <c r="G762" s="27" t="s">
        <v>102</v>
      </c>
      <c r="I762" s="27" t="s">
        <v>226</v>
      </c>
      <c r="J762" s="28">
        <v>21590</v>
      </c>
      <c r="K762" s="27" t="s">
        <v>397</v>
      </c>
      <c r="L762" s="121"/>
      <c r="M762" s="121"/>
      <c r="N762" s="115"/>
      <c r="O762" s="115"/>
      <c r="P762" s="115"/>
      <c r="Q762" s="139" t="s">
        <v>2773</v>
      </c>
      <c r="R762" s="137" t="s">
        <v>2760</v>
      </c>
      <c r="S762" s="137" t="s">
        <v>2852</v>
      </c>
      <c r="T762" s="121" t="s">
        <v>2762</v>
      </c>
      <c r="U762" s="326">
        <v>45107</v>
      </c>
      <c r="V762" s="121" t="s">
        <v>2748</v>
      </c>
      <c r="W762" s="140"/>
      <c r="X762" s="137"/>
      <c r="Y762" s="137"/>
      <c r="Z762" s="137"/>
      <c r="AA762" s="115" t="s">
        <v>2904</v>
      </c>
      <c r="AB762" s="121">
        <v>111.01</v>
      </c>
      <c r="AC762" s="121">
        <v>20</v>
      </c>
      <c r="AD762" s="122" t="s">
        <v>1200</v>
      </c>
      <c r="AE762" s="219">
        <f t="shared" si="706"/>
        <v>14.209280000000001</v>
      </c>
      <c r="AF762" s="219"/>
      <c r="AG762" s="219">
        <f t="shared" si="707"/>
        <v>6.2962962962962967</v>
      </c>
      <c r="AH762" s="219">
        <f t="shared" si="708"/>
        <v>0</v>
      </c>
      <c r="AI762" s="219">
        <f t="shared" si="709"/>
        <v>0</v>
      </c>
      <c r="AJ762" s="219">
        <f t="shared" si="710"/>
        <v>0.12592592592592594</v>
      </c>
      <c r="AK762" s="219">
        <f t="shared" si="711"/>
        <v>0.25631970370370372</v>
      </c>
      <c r="AL762" s="219">
        <f t="shared" si="712"/>
        <v>2.2556133925925925</v>
      </c>
      <c r="AM762" s="219">
        <f t="shared" si="713"/>
        <v>0.36</v>
      </c>
      <c r="AN762" s="219">
        <f t="shared" si="714"/>
        <v>0.14619883040935672</v>
      </c>
      <c r="AO762" s="220">
        <v>0</v>
      </c>
      <c r="AP762" s="220"/>
      <c r="AQ762" s="204">
        <f t="shared" si="715"/>
        <v>23.649634148927877</v>
      </c>
      <c r="AR762" s="122"/>
      <c r="AS762" s="122"/>
      <c r="AT762" s="122"/>
      <c r="AU762" s="122"/>
      <c r="AV762" s="204">
        <f t="shared" si="716"/>
        <v>23.649634148927877</v>
      </c>
      <c r="AW762" s="122">
        <v>0.128</v>
      </c>
      <c r="AX762" s="122">
        <v>0.128</v>
      </c>
      <c r="AY762" s="210">
        <v>1</v>
      </c>
      <c r="AZ762" s="122">
        <f t="shared" si="717"/>
        <v>0</v>
      </c>
      <c r="BA762" s="202">
        <f t="shared" si="718"/>
        <v>14.209280000000001</v>
      </c>
      <c r="BB762" s="202"/>
      <c r="BC762" s="202"/>
      <c r="BD762" s="202"/>
      <c r="BE762" s="202"/>
      <c r="BF762" s="202"/>
      <c r="BG762" s="202"/>
      <c r="BH762" s="202"/>
      <c r="BI762" s="202"/>
      <c r="BJ762" s="202"/>
      <c r="BK762" s="202"/>
      <c r="BL762" s="202"/>
      <c r="BM762" s="202"/>
      <c r="BN762" s="202"/>
      <c r="BO762" s="202"/>
      <c r="BP762" s="202"/>
      <c r="BQ762" s="202"/>
      <c r="BR762" s="202"/>
      <c r="BS762" s="202"/>
      <c r="BT762" s="202"/>
      <c r="BU762" s="202"/>
      <c r="BV762" s="202"/>
      <c r="BW762" s="202"/>
      <c r="BX762" s="202"/>
      <c r="BY762" s="202"/>
      <c r="BZ762" s="202"/>
      <c r="CA762" s="202"/>
      <c r="CB762" s="202"/>
      <c r="CC762" s="202"/>
      <c r="CD762" s="122"/>
      <c r="CE762" s="122">
        <v>0</v>
      </c>
      <c r="CF762" s="122">
        <v>0</v>
      </c>
      <c r="CG762" s="122">
        <v>0</v>
      </c>
      <c r="CH762" s="122">
        <v>0</v>
      </c>
      <c r="CI762" s="121"/>
      <c r="CJ762" s="121"/>
      <c r="CK762" s="122"/>
      <c r="CL762" s="122"/>
      <c r="CM762" s="122"/>
      <c r="CN762" s="122"/>
      <c r="CO762" s="122"/>
      <c r="CP762" s="122"/>
      <c r="CQ762" s="122"/>
      <c r="CR762" s="122"/>
      <c r="CS762" s="122"/>
      <c r="CT762" s="122"/>
      <c r="CU762" s="122"/>
      <c r="CV762" s="122"/>
      <c r="CW762" s="122"/>
      <c r="CX762" s="122"/>
      <c r="CY762" s="122"/>
      <c r="CZ762" s="122"/>
      <c r="DA762" s="122"/>
      <c r="DB762" s="122"/>
      <c r="DC762" s="122"/>
      <c r="DD762" s="122"/>
      <c r="DE762" s="122"/>
      <c r="DF762" s="122"/>
      <c r="DG762" s="122"/>
      <c r="DH762" s="122"/>
      <c r="DI762" s="122"/>
      <c r="DJ762" s="122"/>
      <c r="DK762" s="122"/>
      <c r="DL762" s="122"/>
      <c r="DM762" s="122">
        <f t="shared" si="719"/>
        <v>0</v>
      </c>
      <c r="DN762" s="211">
        <v>1.2500000000000001E-2</v>
      </c>
      <c r="DO762" s="202">
        <f t="shared" si="735"/>
        <v>0</v>
      </c>
      <c r="DP762" s="122">
        <f t="shared" si="720"/>
        <v>0</v>
      </c>
      <c r="DQ762" s="122"/>
      <c r="DR762" s="122"/>
      <c r="DS762" s="122"/>
      <c r="DT762" s="122"/>
      <c r="DU762" s="122"/>
      <c r="DV762" s="122"/>
      <c r="DW762" s="122"/>
      <c r="DX762" s="122"/>
      <c r="DY762" s="122"/>
      <c r="DZ762" s="122"/>
      <c r="EA762" s="122"/>
      <c r="EB762" s="122"/>
      <c r="EC762" s="122"/>
      <c r="ED762" s="122"/>
      <c r="EE762" s="122"/>
      <c r="EF762" s="122">
        <v>450</v>
      </c>
      <c r="EG762" s="122">
        <v>4500</v>
      </c>
      <c r="EH762" s="122">
        <v>7.5</v>
      </c>
      <c r="EI762" s="210">
        <v>0.9</v>
      </c>
      <c r="EJ762" s="122">
        <v>2</v>
      </c>
      <c r="EK762" s="122">
        <v>68</v>
      </c>
      <c r="EL762" s="221">
        <f t="shared" si="721"/>
        <v>714.7058823529411</v>
      </c>
      <c r="EM762" s="122"/>
      <c r="EN762" s="122"/>
      <c r="EO762" s="122"/>
      <c r="EP762" s="122"/>
      <c r="EQ762" s="122"/>
      <c r="ER762" s="122"/>
      <c r="ES762" s="122"/>
      <c r="ET762" s="122"/>
      <c r="EU762" s="202">
        <f t="shared" si="722"/>
        <v>6.2962962962962967</v>
      </c>
      <c r="EV762" s="122"/>
      <c r="EW762" s="122"/>
      <c r="EX762" s="122"/>
      <c r="EY762" s="122"/>
      <c r="EZ762" s="122"/>
      <c r="FA762" s="122"/>
      <c r="FB762" s="122"/>
      <c r="FC762" s="122"/>
      <c r="FD762" s="122"/>
      <c r="FE762" s="122"/>
      <c r="FF762" s="122"/>
      <c r="FG762" s="122"/>
      <c r="FH762" s="122"/>
      <c r="FI762" s="122"/>
      <c r="FJ762" s="122"/>
      <c r="FK762" s="122"/>
      <c r="FL762" s="122"/>
      <c r="FM762" s="122"/>
      <c r="FN762" s="122"/>
      <c r="FO762" s="122"/>
      <c r="FP762" s="122"/>
      <c r="FQ762" s="122"/>
      <c r="FR762" s="122"/>
      <c r="FS762" s="122"/>
      <c r="FT762" s="122"/>
      <c r="FU762" s="122"/>
      <c r="FV762" s="122"/>
      <c r="FW762" s="122"/>
      <c r="FX762" s="122"/>
      <c r="FY762" s="122"/>
      <c r="FZ762" s="122"/>
      <c r="GA762" s="122"/>
      <c r="GB762" s="122"/>
      <c r="GC762" s="122"/>
      <c r="GD762" s="122"/>
      <c r="GE762" s="122"/>
      <c r="GF762" s="122"/>
      <c r="GG762" s="122"/>
      <c r="GH762" s="122"/>
      <c r="GI762" s="122"/>
      <c r="GJ762" s="122"/>
      <c r="GK762" s="122"/>
      <c r="GL762" s="122"/>
      <c r="GM762" s="122"/>
      <c r="GN762" s="122"/>
      <c r="GO762" s="122"/>
      <c r="GP762" s="122"/>
      <c r="GQ762" s="122"/>
      <c r="GR762" s="210">
        <v>0.11</v>
      </c>
      <c r="GS762" s="202">
        <f t="shared" si="723"/>
        <v>2.2556133925925925</v>
      </c>
      <c r="GT762" s="208">
        <v>1.2500000000000001E-2</v>
      </c>
      <c r="GU762" s="203">
        <f t="shared" si="724"/>
        <v>0.25631970370370372</v>
      </c>
      <c r="GV762" s="207">
        <v>0.02</v>
      </c>
      <c r="GW762" s="203">
        <f t="shared" si="725"/>
        <v>0.12592592592592594</v>
      </c>
      <c r="GX762" s="203">
        <f t="shared" si="726"/>
        <v>2.637859022222222</v>
      </c>
      <c r="GY762" s="122" t="s">
        <v>43</v>
      </c>
      <c r="GZ762" s="122" t="s">
        <v>87</v>
      </c>
      <c r="HA762" s="122">
        <v>810</v>
      </c>
      <c r="HB762" s="122">
        <v>568</v>
      </c>
      <c r="HC762" s="122">
        <v>425</v>
      </c>
      <c r="HD762" s="122">
        <v>60</v>
      </c>
      <c r="HE762" s="122">
        <v>400</v>
      </c>
      <c r="HF762" s="122">
        <f t="shared" si="727"/>
        <v>7</v>
      </c>
      <c r="HG762" s="122">
        <v>5</v>
      </c>
      <c r="HH762" s="122">
        <f t="shared" si="728"/>
        <v>35</v>
      </c>
      <c r="HI762" s="122">
        <v>1100</v>
      </c>
      <c r="HJ762" s="122">
        <f t="shared" si="729"/>
        <v>38500</v>
      </c>
      <c r="HK762" s="122"/>
      <c r="HL762" s="122"/>
      <c r="HM762" s="122">
        <v>2</v>
      </c>
      <c r="HN762" s="122">
        <f t="shared" si="730"/>
        <v>240000</v>
      </c>
      <c r="HO762" s="202">
        <f t="shared" si="731"/>
        <v>0.16041666666666668</v>
      </c>
      <c r="HP762" s="122">
        <v>160</v>
      </c>
      <c r="HQ762" s="122">
        <v>0</v>
      </c>
      <c r="HR762" s="122">
        <v>0.19</v>
      </c>
      <c r="HS762" s="122">
        <v>1</v>
      </c>
      <c r="HT762" s="203">
        <f>HR762/HS762</f>
        <v>0.19</v>
      </c>
      <c r="HU762" s="203"/>
      <c r="HV762" s="202">
        <f t="shared" si="736"/>
        <v>0.36</v>
      </c>
      <c r="HW762" s="202"/>
      <c r="HX762" s="122">
        <v>4200</v>
      </c>
      <c r="HY762" s="122">
        <v>1900</v>
      </c>
      <c r="HZ762" s="122">
        <v>1975</v>
      </c>
      <c r="IA762" s="122">
        <f t="shared" si="732"/>
        <v>5</v>
      </c>
      <c r="IB762" s="122">
        <f t="shared" si="733"/>
        <v>3</v>
      </c>
      <c r="IC762" s="122">
        <f t="shared" si="734"/>
        <v>4</v>
      </c>
      <c r="ID762" s="210">
        <v>0.95</v>
      </c>
      <c r="IE762" s="203">
        <f>ROUND(PRODUCT(IA762:ID762),0)</f>
        <v>57</v>
      </c>
      <c r="IF762" s="122">
        <v>500</v>
      </c>
      <c r="IG762" s="202">
        <f>(IF762/(IE762*HD762))</f>
        <v>0.14619883040935672</v>
      </c>
      <c r="IH762" s="20"/>
    </row>
    <row r="763" spans="1:242">
      <c r="A763">
        <v>748</v>
      </c>
      <c r="B763" t="s">
        <v>468</v>
      </c>
      <c r="C763" s="121" t="s">
        <v>2905</v>
      </c>
      <c r="D763" s="28" t="s">
        <v>1564</v>
      </c>
      <c r="E763" s="28" t="s">
        <v>1565</v>
      </c>
      <c r="F763" s="28" t="s">
        <v>2182</v>
      </c>
      <c r="G763" s="27" t="s">
        <v>102</v>
      </c>
      <c r="I763" s="27" t="s">
        <v>121</v>
      </c>
      <c r="J763" s="28">
        <v>21697</v>
      </c>
      <c r="K763" s="27" t="s">
        <v>227</v>
      </c>
      <c r="L763" s="121"/>
      <c r="M763" s="121"/>
      <c r="N763" s="115"/>
      <c r="O763" s="115"/>
      <c r="P763" s="115"/>
      <c r="Q763" s="139" t="s">
        <v>2778</v>
      </c>
      <c r="R763" s="137" t="s">
        <v>2779</v>
      </c>
      <c r="S763" s="121" t="s">
        <v>2906</v>
      </c>
      <c r="T763" s="121" t="s">
        <v>2762</v>
      </c>
      <c r="U763" s="326">
        <v>44299</v>
      </c>
      <c r="V763" s="121" t="s">
        <v>2748</v>
      </c>
      <c r="W763" s="140"/>
      <c r="X763" s="137"/>
      <c r="Y763" s="137"/>
      <c r="Z763" s="137"/>
      <c r="AA763" s="115" t="s">
        <v>2891</v>
      </c>
      <c r="AB763" s="121">
        <v>84.66</v>
      </c>
      <c r="AC763" s="121">
        <v>20</v>
      </c>
      <c r="AD763" s="122" t="s">
        <v>2313</v>
      </c>
      <c r="AE763" s="219">
        <f t="shared" si="706"/>
        <v>0.36330000000000001</v>
      </c>
      <c r="AF763" s="219"/>
      <c r="AG763" s="219">
        <f t="shared" si="707"/>
        <v>0.77777777777777779</v>
      </c>
      <c r="AH763" s="219">
        <f t="shared" si="708"/>
        <v>0</v>
      </c>
      <c r="AI763" s="219">
        <f t="shared" si="709"/>
        <v>0</v>
      </c>
      <c r="AJ763" s="219">
        <f t="shared" si="710"/>
        <v>1.5555555555555557E-2</v>
      </c>
      <c r="AK763" s="219">
        <f t="shared" si="711"/>
        <v>1.4263472222222224E-2</v>
      </c>
      <c r="AL763" s="219">
        <f t="shared" si="712"/>
        <v>0.12551855555555558</v>
      </c>
      <c r="AM763" s="219">
        <f t="shared" si="713"/>
        <v>0.01</v>
      </c>
      <c r="AN763" s="219">
        <f t="shared" si="714"/>
        <v>0.01</v>
      </c>
      <c r="AO763" s="220">
        <v>0</v>
      </c>
      <c r="AP763" s="220"/>
      <c r="AQ763" s="204">
        <f t="shared" si="715"/>
        <v>1.3164153611111111</v>
      </c>
      <c r="AR763" s="122"/>
      <c r="AS763" s="122"/>
      <c r="AT763" s="122"/>
      <c r="AU763" s="122"/>
      <c r="AV763" s="204">
        <f t="shared" si="716"/>
        <v>1.3164153611111111</v>
      </c>
      <c r="AW763" s="122">
        <v>5.0000000000000001E-3</v>
      </c>
      <c r="AX763" s="122">
        <v>2E-3</v>
      </c>
      <c r="AY763" s="210">
        <v>1</v>
      </c>
      <c r="AZ763" s="122">
        <f t="shared" si="717"/>
        <v>3.0000000000000001E-3</v>
      </c>
      <c r="BA763" s="202">
        <f t="shared" si="718"/>
        <v>0.36330000000000001</v>
      </c>
      <c r="BB763" s="202"/>
      <c r="BC763" s="202"/>
      <c r="BD763" s="202"/>
      <c r="BE763" s="202"/>
      <c r="BF763" s="202"/>
      <c r="BG763" s="202"/>
      <c r="BH763" s="202"/>
      <c r="BI763" s="202"/>
      <c r="BJ763" s="202"/>
      <c r="BK763" s="202"/>
      <c r="BL763" s="202"/>
      <c r="BM763" s="202"/>
      <c r="BN763" s="202"/>
      <c r="BO763" s="202"/>
      <c r="BP763" s="202"/>
      <c r="BQ763" s="202"/>
      <c r="BR763" s="202"/>
      <c r="BS763" s="202"/>
      <c r="BT763" s="202"/>
      <c r="BU763" s="202"/>
      <c r="BV763" s="202"/>
      <c r="BW763" s="202"/>
      <c r="BX763" s="202"/>
      <c r="BY763" s="202"/>
      <c r="BZ763" s="202"/>
      <c r="CA763" s="202"/>
      <c r="CB763" s="202"/>
      <c r="CC763" s="202"/>
      <c r="CD763" s="122"/>
      <c r="CE763" s="122">
        <v>0</v>
      </c>
      <c r="CF763" s="122">
        <v>0</v>
      </c>
      <c r="CG763" s="122">
        <v>0</v>
      </c>
      <c r="CH763" s="122">
        <v>0</v>
      </c>
      <c r="CI763" s="121"/>
      <c r="CJ763" s="121"/>
      <c r="CK763" s="122"/>
      <c r="CL763" s="122"/>
      <c r="CM763" s="122"/>
      <c r="CN763" s="122"/>
      <c r="CO763" s="122"/>
      <c r="CP763" s="122"/>
      <c r="CQ763" s="122"/>
      <c r="CR763" s="122"/>
      <c r="CS763" s="122"/>
      <c r="CT763" s="122"/>
      <c r="CU763" s="122"/>
      <c r="CV763" s="122"/>
      <c r="CW763" s="122"/>
      <c r="CX763" s="122"/>
      <c r="CY763" s="122"/>
      <c r="CZ763" s="122"/>
      <c r="DA763" s="122"/>
      <c r="DB763" s="122"/>
      <c r="DC763" s="122"/>
      <c r="DD763" s="122"/>
      <c r="DE763" s="122"/>
      <c r="DF763" s="122"/>
      <c r="DG763" s="122"/>
      <c r="DH763" s="122"/>
      <c r="DI763" s="122"/>
      <c r="DJ763" s="122"/>
      <c r="DK763" s="122"/>
      <c r="DL763" s="122"/>
      <c r="DM763" s="122">
        <f t="shared" si="719"/>
        <v>0</v>
      </c>
      <c r="DN763" s="211">
        <v>1.2500000000000001E-2</v>
      </c>
      <c r="DO763" s="202">
        <f t="shared" si="735"/>
        <v>0</v>
      </c>
      <c r="DP763" s="122">
        <f t="shared" si="720"/>
        <v>0</v>
      </c>
      <c r="DQ763" s="122"/>
      <c r="DR763" s="122"/>
      <c r="DS763" s="122"/>
      <c r="DT763" s="122"/>
      <c r="DU763" s="122"/>
      <c r="DV763" s="122"/>
      <c r="DW763" s="122"/>
      <c r="DX763" s="122"/>
      <c r="DY763" s="122"/>
      <c r="DZ763" s="122"/>
      <c r="EA763" s="122"/>
      <c r="EB763" s="122"/>
      <c r="EC763" s="122"/>
      <c r="ED763" s="122"/>
      <c r="EE763" s="122"/>
      <c r="EF763" s="122">
        <v>90</v>
      </c>
      <c r="EG763" s="122">
        <v>900</v>
      </c>
      <c r="EH763" s="122">
        <v>7.5</v>
      </c>
      <c r="EI763" s="210">
        <v>0.9</v>
      </c>
      <c r="EJ763" s="122">
        <v>2</v>
      </c>
      <c r="EK763" s="122">
        <v>42</v>
      </c>
      <c r="EL763" s="221">
        <f t="shared" si="721"/>
        <v>1157.1428571428571</v>
      </c>
      <c r="EM763" s="122"/>
      <c r="EN763" s="122"/>
      <c r="EO763" s="122"/>
      <c r="EP763" s="122"/>
      <c r="EQ763" s="122"/>
      <c r="ER763" s="122"/>
      <c r="ES763" s="122"/>
      <c r="ET763" s="122"/>
      <c r="EU763" s="202">
        <f t="shared" si="722"/>
        <v>0.77777777777777779</v>
      </c>
      <c r="EV763" s="122"/>
      <c r="EW763" s="122"/>
      <c r="EX763" s="122"/>
      <c r="EY763" s="122"/>
      <c r="EZ763" s="122"/>
      <c r="FA763" s="122"/>
      <c r="FB763" s="122"/>
      <c r="FC763" s="122"/>
      <c r="FD763" s="122"/>
      <c r="FE763" s="122"/>
      <c r="FF763" s="122"/>
      <c r="FG763" s="122"/>
      <c r="FH763" s="122"/>
      <c r="FI763" s="122"/>
      <c r="FJ763" s="122"/>
      <c r="FK763" s="122"/>
      <c r="FL763" s="122"/>
      <c r="FM763" s="122"/>
      <c r="FN763" s="122"/>
      <c r="FO763" s="122"/>
      <c r="FP763" s="122"/>
      <c r="FQ763" s="122"/>
      <c r="FR763" s="122"/>
      <c r="FS763" s="122"/>
      <c r="FT763" s="122"/>
      <c r="FU763" s="122"/>
      <c r="FV763" s="122"/>
      <c r="FW763" s="122"/>
      <c r="FX763" s="122"/>
      <c r="FY763" s="122"/>
      <c r="FZ763" s="122"/>
      <c r="GA763" s="122"/>
      <c r="GB763" s="122"/>
      <c r="GC763" s="122"/>
      <c r="GD763" s="122"/>
      <c r="GE763" s="122"/>
      <c r="GF763" s="122"/>
      <c r="GG763" s="122"/>
      <c r="GH763" s="122"/>
      <c r="GI763" s="122"/>
      <c r="GJ763" s="122"/>
      <c r="GK763" s="122"/>
      <c r="GL763" s="122"/>
      <c r="GM763" s="122"/>
      <c r="GN763" s="122"/>
      <c r="GO763" s="122"/>
      <c r="GP763" s="122"/>
      <c r="GQ763" s="122"/>
      <c r="GR763" s="210">
        <v>0.11</v>
      </c>
      <c r="GS763" s="202">
        <f t="shared" si="723"/>
        <v>0.12551855555555558</v>
      </c>
      <c r="GT763" s="208">
        <v>1.2500000000000001E-2</v>
      </c>
      <c r="GU763" s="203">
        <f t="shared" si="724"/>
        <v>1.4263472222222224E-2</v>
      </c>
      <c r="GV763" s="207">
        <v>0.02</v>
      </c>
      <c r="GW763" s="203">
        <f t="shared" si="725"/>
        <v>1.5555555555555557E-2</v>
      </c>
      <c r="GX763" s="203">
        <f t="shared" si="726"/>
        <v>0.15533758333333333</v>
      </c>
      <c r="GY763" s="122" t="s">
        <v>43</v>
      </c>
      <c r="GZ763" s="122" t="s">
        <v>87</v>
      </c>
      <c r="HA763" s="122">
        <v>650</v>
      </c>
      <c r="HB763" s="122">
        <v>450</v>
      </c>
      <c r="HC763" s="122">
        <v>330</v>
      </c>
      <c r="HD763" s="122">
        <v>6000</v>
      </c>
      <c r="HE763" s="122">
        <v>800</v>
      </c>
      <c r="HF763" s="122">
        <f t="shared" si="727"/>
        <v>1</v>
      </c>
      <c r="HG763" s="122">
        <v>5</v>
      </c>
      <c r="HH763" s="122">
        <f t="shared" si="728"/>
        <v>5</v>
      </c>
      <c r="HI763" s="122">
        <v>650</v>
      </c>
      <c r="HJ763" s="122">
        <f t="shared" si="729"/>
        <v>3250</v>
      </c>
      <c r="HK763" s="122"/>
      <c r="HL763" s="122"/>
      <c r="HM763" s="122">
        <v>2</v>
      </c>
      <c r="HN763" s="122">
        <f t="shared" si="730"/>
        <v>480000</v>
      </c>
      <c r="HO763" s="202">
        <f t="shared" si="731"/>
        <v>6.7708333333333336E-3</v>
      </c>
      <c r="HP763" s="122">
        <v>160</v>
      </c>
      <c r="HQ763" s="122">
        <v>0</v>
      </c>
      <c r="HR763" s="122">
        <v>0</v>
      </c>
      <c r="HS763" s="122">
        <v>0</v>
      </c>
      <c r="HT763" s="122">
        <v>0</v>
      </c>
      <c r="HU763" s="122"/>
      <c r="HV763" s="202">
        <f t="shared" si="736"/>
        <v>0.01</v>
      </c>
      <c r="HW763" s="202"/>
      <c r="HX763" s="122">
        <v>4200</v>
      </c>
      <c r="HY763" s="122">
        <v>1900</v>
      </c>
      <c r="HZ763" s="122">
        <v>1975</v>
      </c>
      <c r="IA763" s="122">
        <f t="shared" si="732"/>
        <v>6</v>
      </c>
      <c r="IB763" s="122">
        <f t="shared" si="733"/>
        <v>4</v>
      </c>
      <c r="IC763" s="122">
        <f t="shared" si="734"/>
        <v>5</v>
      </c>
      <c r="ID763" s="210">
        <v>0.95</v>
      </c>
      <c r="IE763" s="203">
        <f>ROUND(PRODUCT(IA763:ID763),0)</f>
        <v>114</v>
      </c>
      <c r="IF763" s="122">
        <v>500</v>
      </c>
      <c r="IG763" s="203">
        <f>ROUNDUP((IF763/(IE763*HD763)),2)</f>
        <v>0.01</v>
      </c>
      <c r="IH763" s="368"/>
    </row>
    <row r="764" spans="1:242">
      <c r="A764">
        <v>749</v>
      </c>
      <c r="B764" s="328" t="s">
        <v>1947</v>
      </c>
      <c r="D764" s="28" t="s">
        <v>815</v>
      </c>
      <c r="E764" s="28" t="s">
        <v>816</v>
      </c>
      <c r="F764" s="28" t="s">
        <v>1947</v>
      </c>
      <c r="G764" s="27" t="s">
        <v>102</v>
      </c>
      <c r="I764" s="27" t="s">
        <v>226</v>
      </c>
      <c r="J764" s="28">
        <v>21691</v>
      </c>
      <c r="K764" s="27" t="s">
        <v>404</v>
      </c>
    </row>
    <row r="765" spans="1:242" ht="15.75">
      <c r="A765">
        <v>750</v>
      </c>
      <c r="B765" t="s">
        <v>468</v>
      </c>
      <c r="C765" s="121" t="s">
        <v>2907</v>
      </c>
      <c r="D765" s="28" t="s">
        <v>817</v>
      </c>
      <c r="E765" s="28" t="s">
        <v>818</v>
      </c>
      <c r="F765" s="28" t="s">
        <v>2182</v>
      </c>
      <c r="G765" s="27" t="s">
        <v>102</v>
      </c>
      <c r="I765" s="27" t="s">
        <v>226</v>
      </c>
      <c r="J765" s="28">
        <v>21691</v>
      </c>
      <c r="K765" s="27" t="s">
        <v>404</v>
      </c>
      <c r="L765" s="121"/>
      <c r="M765" s="121"/>
      <c r="N765" s="115"/>
      <c r="O765" s="115"/>
      <c r="P765" s="115"/>
      <c r="Q765" s="139" t="s">
        <v>2805</v>
      </c>
      <c r="R765" s="137" t="s">
        <v>2760</v>
      </c>
      <c r="S765" s="121" t="s">
        <v>2881</v>
      </c>
      <c r="T765" s="121"/>
      <c r="U765" s="121"/>
      <c r="V765" s="121" t="s">
        <v>2748</v>
      </c>
      <c r="W765" s="140"/>
      <c r="X765" s="137"/>
      <c r="Y765" s="137"/>
      <c r="Z765" s="137"/>
      <c r="AA765" s="115" t="s">
        <v>2415</v>
      </c>
      <c r="AB765" s="121">
        <v>111.78</v>
      </c>
      <c r="AC765" s="121">
        <v>0</v>
      </c>
      <c r="AD765" s="122" t="s">
        <v>310</v>
      </c>
      <c r="AE765" s="219">
        <f>BA765</f>
        <v>45.047340000000005</v>
      </c>
      <c r="AF765" s="219"/>
      <c r="AG765" s="219">
        <f>EU765+EM765+FA765</f>
        <v>18.922715284944388</v>
      </c>
      <c r="AH765" s="219">
        <f>DM765</f>
        <v>48.02</v>
      </c>
      <c r="AI765" s="219">
        <f>DO765</f>
        <v>0.60025000000000006</v>
      </c>
      <c r="AJ765" s="219">
        <f>GW765</f>
        <v>0.34795321637426901</v>
      </c>
      <c r="AK765" s="219">
        <f>GU765</f>
        <v>0.78056251023391821</v>
      </c>
      <c r="AL765" s="219">
        <f>GS765</f>
        <v>6.8689500900584797</v>
      </c>
      <c r="AM765" s="219">
        <f>HV765</f>
        <v>3.1485185185185185</v>
      </c>
      <c r="AN765" s="219">
        <f>IG765</f>
        <v>1.6666666666666667</v>
      </c>
      <c r="AO765" s="220">
        <v>0</v>
      </c>
      <c r="AP765" s="220"/>
      <c r="AQ765" s="204">
        <f>SUM(AE765:AP765)</f>
        <v>125.40295628679624</v>
      </c>
      <c r="AR765" s="122"/>
      <c r="AS765" s="122"/>
      <c r="AT765" s="122"/>
      <c r="AU765" s="122"/>
      <c r="AV765" s="204">
        <f>SUM(AQ765:AU765)</f>
        <v>125.40295628679624</v>
      </c>
      <c r="AW765" s="122">
        <v>0.40300000000000002</v>
      </c>
      <c r="AX765" s="122">
        <v>0.40300000000000002</v>
      </c>
      <c r="AY765" s="210">
        <v>0</v>
      </c>
      <c r="AZ765" s="122">
        <f>AW765-AX765</f>
        <v>0</v>
      </c>
      <c r="BA765" s="202">
        <f>AW765*AB765-AZ765*AC765</f>
        <v>45.047340000000005</v>
      </c>
      <c r="BB765" s="202"/>
      <c r="BC765" s="202"/>
      <c r="BD765" s="202"/>
      <c r="BE765" s="202"/>
      <c r="BF765" s="202"/>
      <c r="BG765" s="202"/>
      <c r="BH765" s="202"/>
      <c r="BI765" s="202"/>
      <c r="BJ765" s="202"/>
      <c r="BK765" s="202"/>
      <c r="BL765" s="202"/>
      <c r="BM765" s="202"/>
      <c r="BN765" s="202"/>
      <c r="BO765" s="202"/>
      <c r="BP765" s="202"/>
      <c r="BQ765" s="202"/>
      <c r="BR765" s="202"/>
      <c r="BS765" s="202"/>
      <c r="BT765" s="202"/>
      <c r="BU765" s="202"/>
      <c r="BV765" s="202"/>
      <c r="BW765" s="202"/>
      <c r="BX765" s="202"/>
      <c r="BY765" s="202"/>
      <c r="BZ765" s="202"/>
      <c r="CA765" s="202"/>
      <c r="CB765" s="202"/>
      <c r="CC765" s="202"/>
      <c r="CD765" s="122"/>
      <c r="CE765" s="122">
        <v>0</v>
      </c>
      <c r="CF765" s="122">
        <v>1</v>
      </c>
      <c r="CG765" s="122">
        <v>0.2</v>
      </c>
      <c r="CH765" s="122">
        <f>CG765*CF765</f>
        <v>0.2</v>
      </c>
      <c r="CI765" s="361" t="s">
        <v>2908</v>
      </c>
      <c r="CJ765" s="361" t="s">
        <v>2909</v>
      </c>
      <c r="CK765" s="122">
        <v>3</v>
      </c>
      <c r="CL765" s="122">
        <v>3.39</v>
      </c>
      <c r="CM765" s="122">
        <f>CK765*CL765</f>
        <v>10.17</v>
      </c>
      <c r="CN765" s="122" t="s">
        <v>2910</v>
      </c>
      <c r="CO765" s="362" t="s">
        <v>2911</v>
      </c>
      <c r="CP765" s="122">
        <v>1</v>
      </c>
      <c r="CQ765" s="363">
        <v>37.65</v>
      </c>
      <c r="CR765" s="122">
        <f>CQ765*CP765</f>
        <v>37.65</v>
      </c>
      <c r="CS765" s="122"/>
      <c r="CT765" s="122"/>
      <c r="CU765" s="122"/>
      <c r="CV765" s="122"/>
      <c r="CW765" s="122"/>
      <c r="CX765" s="122"/>
      <c r="CY765" s="122"/>
      <c r="CZ765" s="122"/>
      <c r="DA765" s="122"/>
      <c r="DB765" s="122"/>
      <c r="DC765" s="122"/>
      <c r="DD765" s="122"/>
      <c r="DE765" s="122"/>
      <c r="DF765" s="122"/>
      <c r="DG765" s="122"/>
      <c r="DH765" s="122"/>
      <c r="DI765" s="122"/>
      <c r="DJ765" s="122"/>
      <c r="DK765" s="122"/>
      <c r="DL765" s="122"/>
      <c r="DM765" s="122">
        <f>CM765+CR765+CW765+DB765+DG765+DL765+CH765</f>
        <v>48.02</v>
      </c>
      <c r="DN765" s="211">
        <v>1.2500000000000001E-2</v>
      </c>
      <c r="DO765" s="202">
        <f>DM765*DN765</f>
        <v>0.60025000000000006</v>
      </c>
      <c r="DP765" s="203">
        <f>DM765+DO765</f>
        <v>48.620250000000006</v>
      </c>
      <c r="DQ765" s="122"/>
      <c r="DR765" s="122"/>
      <c r="DS765" s="122"/>
      <c r="DT765" s="122"/>
      <c r="DU765" s="122"/>
      <c r="DV765" s="122"/>
      <c r="DW765" s="122"/>
      <c r="DX765" s="122"/>
      <c r="DY765" s="122"/>
      <c r="DZ765" s="122"/>
      <c r="EA765" s="122"/>
      <c r="EB765" s="122"/>
      <c r="EC765" s="122"/>
      <c r="ED765" s="122"/>
      <c r="EE765" s="122"/>
      <c r="EF765" s="122">
        <v>700</v>
      </c>
      <c r="EG765" s="122">
        <v>7000</v>
      </c>
      <c r="EH765" s="122">
        <v>8</v>
      </c>
      <c r="EI765" s="210">
        <v>0.95</v>
      </c>
      <c r="EJ765" s="122">
        <v>1</v>
      </c>
      <c r="EK765" s="122">
        <v>68</v>
      </c>
      <c r="EL765" s="221">
        <f>(3600/EK765*EH765*EJ765*EI765)</f>
        <v>402.35294117647055</v>
      </c>
      <c r="EM765" s="122"/>
      <c r="EN765" s="122"/>
      <c r="EO765" s="122"/>
      <c r="EP765" s="122"/>
      <c r="EQ765" s="122"/>
      <c r="ER765" s="122"/>
      <c r="ES765" s="122"/>
      <c r="ET765" s="122"/>
      <c r="EU765" s="202">
        <f>EG765/EL765</f>
        <v>17.397660818713451</v>
      </c>
      <c r="EV765" s="122"/>
      <c r="EW765" s="122"/>
      <c r="EX765" s="122"/>
      <c r="EY765" s="122"/>
      <c r="EZ765" s="122"/>
      <c r="FA765" s="364">
        <f>700/((60*60*7.5*0.85)/50)</f>
        <v>1.5250544662309369</v>
      </c>
      <c r="FB765" s="364"/>
      <c r="FC765" s="364"/>
      <c r="FD765" s="364"/>
      <c r="FE765" s="364"/>
      <c r="FF765" s="364"/>
      <c r="FG765" s="364"/>
      <c r="FH765" s="122"/>
      <c r="FI765" s="122"/>
      <c r="FJ765" s="122"/>
      <c r="FK765" s="122"/>
      <c r="FL765" s="122"/>
      <c r="FM765" s="122"/>
      <c r="FN765" s="122"/>
      <c r="FO765" s="122"/>
      <c r="FP765" s="122"/>
      <c r="FQ765" s="122"/>
      <c r="FR765" s="122"/>
      <c r="FS765" s="122"/>
      <c r="FT765" s="122"/>
      <c r="FU765" s="122"/>
      <c r="FV765" s="122"/>
      <c r="FW765" s="122"/>
      <c r="FX765" s="122"/>
      <c r="FY765" s="122"/>
      <c r="FZ765" s="122"/>
      <c r="GA765" s="122"/>
      <c r="GB765" s="122"/>
      <c r="GC765" s="122"/>
      <c r="GD765" s="122"/>
      <c r="GE765" s="122"/>
      <c r="GF765" s="122"/>
      <c r="GG765" s="122"/>
      <c r="GH765" s="122"/>
      <c r="GI765" s="122"/>
      <c r="GJ765" s="122"/>
      <c r="GK765" s="122"/>
      <c r="GL765" s="122"/>
      <c r="GM765" s="122"/>
      <c r="GN765" s="122"/>
      <c r="GO765" s="122"/>
      <c r="GP765" s="122"/>
      <c r="GQ765" s="122"/>
      <c r="GR765" s="210">
        <v>0.11</v>
      </c>
      <c r="GS765" s="202">
        <f>GR765*(BA765+EU765)</f>
        <v>6.8689500900584797</v>
      </c>
      <c r="GT765" s="208">
        <v>1.2500000000000001E-2</v>
      </c>
      <c r="GU765" s="203">
        <f>GT765*(BA765+EU765)</f>
        <v>0.78056251023391821</v>
      </c>
      <c r="GV765" s="207">
        <v>0.02</v>
      </c>
      <c r="GW765" s="203">
        <f>GV765*EU765</f>
        <v>0.34795321637426901</v>
      </c>
      <c r="GX765" s="203">
        <f>GS765+GU765+GW765</f>
        <v>7.9974658166666668</v>
      </c>
      <c r="GY765" s="122" t="s">
        <v>130</v>
      </c>
      <c r="GZ765" s="122" t="s">
        <v>130</v>
      </c>
      <c r="HA765" s="122">
        <v>1350</v>
      </c>
      <c r="HB765" s="122">
        <v>950</v>
      </c>
      <c r="HC765" s="122">
        <v>2400</v>
      </c>
      <c r="HD765" s="122">
        <v>60</v>
      </c>
      <c r="HE765" s="122">
        <v>600</v>
      </c>
      <c r="HF765" s="122">
        <f>ROUNDUP(HE765/HD765,0)</f>
        <v>10</v>
      </c>
      <c r="HG765" s="122">
        <v>5</v>
      </c>
      <c r="HH765" s="122">
        <f>HF765*HG765</f>
        <v>50</v>
      </c>
      <c r="HI765" s="122">
        <v>24500</v>
      </c>
      <c r="HJ765" s="122">
        <f>HH765*HI765</f>
        <v>1225000</v>
      </c>
      <c r="HK765" s="122"/>
      <c r="HL765" s="122"/>
      <c r="HM765" s="122">
        <v>3</v>
      </c>
      <c r="HN765" s="122">
        <f>HM765*12*25*HE765</f>
        <v>540000</v>
      </c>
      <c r="HO765" s="202">
        <f>IF(GY765="carton box",HI765/HD765,HJ765/HN765)</f>
        <v>2.2685185185185186</v>
      </c>
      <c r="HP765" s="122">
        <v>160</v>
      </c>
      <c r="HQ765" s="122">
        <v>0</v>
      </c>
      <c r="HR765" s="122">
        <v>0.88</v>
      </c>
      <c r="HS765" s="122">
        <v>1</v>
      </c>
      <c r="HT765" s="203">
        <f>HR765/HS765</f>
        <v>0.88</v>
      </c>
      <c r="HU765" s="203"/>
      <c r="HV765" s="202">
        <f>HO765+HT765</f>
        <v>3.1485185185185185</v>
      </c>
      <c r="HW765" s="202"/>
      <c r="HX765" s="122">
        <v>5016</v>
      </c>
      <c r="HY765" s="122">
        <v>1976</v>
      </c>
      <c r="HZ765" s="122">
        <v>2280</v>
      </c>
      <c r="IA765" s="122">
        <f>ROUNDDOWN(HX765/HA765,0)</f>
        <v>3</v>
      </c>
      <c r="IB765" s="122">
        <f>ROUNDDOWN(HY765/HB765,0)</f>
        <v>2</v>
      </c>
      <c r="IC765" s="122">
        <f>ROUNDDOWN(HZ765/HC765,0)</f>
        <v>0</v>
      </c>
      <c r="ID765" s="210">
        <v>1</v>
      </c>
      <c r="IE765" s="202">
        <f>ROUND(PRODUCT(IA765:ID765),0)+5</f>
        <v>5</v>
      </c>
      <c r="IF765" s="122">
        <v>500</v>
      </c>
      <c r="IG765" s="203">
        <f>(IF765/(IE765*HD765))</f>
        <v>1.6666666666666667</v>
      </c>
      <c r="IH765" s="368"/>
    </row>
    <row r="766" spans="1:242" ht="30">
      <c r="A766">
        <v>751</v>
      </c>
      <c r="C766" s="121" t="s">
        <v>567</v>
      </c>
      <c r="D766" s="28" t="s">
        <v>1566</v>
      </c>
      <c r="E766" s="28" t="s">
        <v>773</v>
      </c>
      <c r="F766" s="28" t="s">
        <v>2444</v>
      </c>
      <c r="G766" s="27" t="s">
        <v>102</v>
      </c>
      <c r="I766" s="27" t="s">
        <v>121</v>
      </c>
      <c r="J766" s="28">
        <v>21697</v>
      </c>
      <c r="K766" s="27" t="s">
        <v>227</v>
      </c>
      <c r="L766" s="121"/>
      <c r="M766" s="121"/>
      <c r="N766" s="121" t="s">
        <v>1884</v>
      </c>
      <c r="O766" s="115" t="s">
        <v>2747</v>
      </c>
      <c r="P766" s="333">
        <v>44095</v>
      </c>
      <c r="Q766" s="139"/>
      <c r="R766" s="137"/>
      <c r="S766" s="121"/>
      <c r="T766" s="121"/>
      <c r="U766" s="121"/>
      <c r="V766" s="121" t="s">
        <v>2748</v>
      </c>
      <c r="W766" s="140" t="s">
        <v>2912</v>
      </c>
    </row>
    <row r="767" spans="1:242">
      <c r="A767">
        <v>752</v>
      </c>
      <c r="C767" s="121" t="s">
        <v>567</v>
      </c>
      <c r="D767" s="28" t="s">
        <v>1567</v>
      </c>
      <c r="E767" s="28" t="s">
        <v>1568</v>
      </c>
      <c r="F767" s="28" t="s">
        <v>2444</v>
      </c>
      <c r="G767" s="27" t="s">
        <v>102</v>
      </c>
      <c r="I767" s="27" t="s">
        <v>121</v>
      </c>
      <c r="J767" s="28">
        <v>21697</v>
      </c>
      <c r="K767" s="27" t="s">
        <v>227</v>
      </c>
      <c r="L767" s="121"/>
      <c r="M767" s="121"/>
      <c r="N767" s="121" t="s">
        <v>1884</v>
      </c>
      <c r="O767" s="115" t="s">
        <v>2747</v>
      </c>
      <c r="P767" s="333">
        <v>44095</v>
      </c>
      <c r="Q767" s="139"/>
      <c r="R767" s="137"/>
      <c r="S767" s="121"/>
      <c r="T767" s="121"/>
      <c r="U767" s="121"/>
      <c r="V767" s="121" t="s">
        <v>2748</v>
      </c>
      <c r="W767" s="140" t="s">
        <v>2913</v>
      </c>
    </row>
    <row r="768" spans="1:242">
      <c r="A768">
        <v>753</v>
      </c>
      <c r="B768" s="328" t="s">
        <v>1947</v>
      </c>
      <c r="D768" s="28" t="s">
        <v>1567</v>
      </c>
      <c r="E768" s="28" t="s">
        <v>1568</v>
      </c>
      <c r="F768" s="28" t="s">
        <v>1947</v>
      </c>
      <c r="G768" s="27" t="s">
        <v>102</v>
      </c>
      <c r="I768" s="27" t="s">
        <v>121</v>
      </c>
      <c r="J768" s="28">
        <v>29010</v>
      </c>
      <c r="K768" s="27" t="s">
        <v>229</v>
      </c>
    </row>
    <row r="769" spans="1:244" ht="30">
      <c r="A769">
        <v>754</v>
      </c>
      <c r="B769" t="s">
        <v>468</v>
      </c>
      <c r="C769" s="137" t="s">
        <v>2914</v>
      </c>
      <c r="D769" s="28" t="s">
        <v>1569</v>
      </c>
      <c r="E769" s="28" t="s">
        <v>657</v>
      </c>
      <c r="F769" s="28" t="s">
        <v>2182</v>
      </c>
      <c r="G769" s="27" t="s">
        <v>102</v>
      </c>
      <c r="I769" s="27" t="s">
        <v>226</v>
      </c>
      <c r="J769" s="28">
        <v>21590</v>
      </c>
      <c r="K769" s="27" t="s">
        <v>397</v>
      </c>
      <c r="L769" s="137"/>
      <c r="M769" s="137"/>
      <c r="N769" s="139"/>
      <c r="O769" s="139"/>
      <c r="P769" s="115"/>
      <c r="Q769" s="139" t="s">
        <v>2773</v>
      </c>
      <c r="R769" s="137" t="s">
        <v>2779</v>
      </c>
      <c r="S769" s="137" t="s">
        <v>2915</v>
      </c>
      <c r="T769" s="137" t="s">
        <v>2762</v>
      </c>
      <c r="U769" s="338">
        <v>44440</v>
      </c>
      <c r="V769" s="121" t="s">
        <v>2748</v>
      </c>
      <c r="W769" s="140" t="s">
        <v>2916</v>
      </c>
      <c r="X769" s="137"/>
      <c r="Y769" s="137"/>
      <c r="Z769" s="137"/>
      <c r="AA769" s="365" t="s">
        <v>2917</v>
      </c>
      <c r="AB769" s="137">
        <v>202.17</v>
      </c>
      <c r="AC769" s="137">
        <v>20</v>
      </c>
      <c r="AD769" s="103"/>
      <c r="AE769" s="204">
        <f>BA769</f>
        <v>3.0938519999999996</v>
      </c>
      <c r="AF769" s="204"/>
      <c r="AG769" s="204">
        <f>EU769+EM769</f>
        <v>1.1111111111111112</v>
      </c>
      <c r="AH769" s="204">
        <f>DM769</f>
        <v>2.5</v>
      </c>
      <c r="AI769" s="204">
        <f>DO769</f>
        <v>3.125E-2</v>
      </c>
      <c r="AJ769" s="204">
        <f>GW769</f>
        <v>2.2222222222222223E-2</v>
      </c>
      <c r="AK769" s="204">
        <f>GU769</f>
        <v>5.2562038888888885E-2</v>
      </c>
      <c r="AL769" s="204">
        <f>GS769</f>
        <v>0.46254594222222217</v>
      </c>
      <c r="AM769" s="204">
        <f>HV769</f>
        <v>2.5000000000000001E-2</v>
      </c>
      <c r="AN769" s="204">
        <f>IG769</f>
        <v>1.6666666666666666E-2</v>
      </c>
      <c r="AO769" s="205">
        <v>0</v>
      </c>
      <c r="AP769" s="205"/>
      <c r="AQ769" s="204">
        <f>SUM(AE769:AP769)</f>
        <v>7.3152099811111109</v>
      </c>
      <c r="AR769" s="103"/>
      <c r="AS769" s="103"/>
      <c r="AT769" s="103"/>
      <c r="AU769" s="203">
        <f>7.36-7.32</f>
        <v>4.0000000000000036E-2</v>
      </c>
      <c r="AV769" s="204">
        <f>SUM(AQ769:AU769)</f>
        <v>7.3552099811111109</v>
      </c>
      <c r="AW769" s="103">
        <v>1.5599999999999999E-2</v>
      </c>
      <c r="AX769" s="103">
        <v>1.26E-2</v>
      </c>
      <c r="AY769" s="207">
        <v>1</v>
      </c>
      <c r="AZ769" s="103">
        <f>AW769-AX769</f>
        <v>2.9999999999999992E-3</v>
      </c>
      <c r="BA769" s="203">
        <f>AW769*AB769-AZ769*AC769</f>
        <v>3.0938519999999996</v>
      </c>
      <c r="BB769" s="203"/>
      <c r="BC769" s="203"/>
      <c r="BD769" s="203"/>
      <c r="BE769" s="203"/>
      <c r="BF769" s="203"/>
      <c r="BG769" s="203"/>
      <c r="BH769" s="203"/>
      <c r="BI769" s="203"/>
      <c r="BJ769" s="203"/>
      <c r="BK769" s="203"/>
      <c r="BL769" s="203"/>
      <c r="BM769" s="203"/>
      <c r="BN769" s="203"/>
      <c r="BO769" s="203"/>
      <c r="BP769" s="203"/>
      <c r="BQ769" s="203"/>
      <c r="BR769" s="203"/>
      <c r="BS769" s="203"/>
      <c r="BT769" s="203"/>
      <c r="BU769" s="203"/>
      <c r="BV769" s="203"/>
      <c r="BW769" s="203"/>
      <c r="BX769" s="203"/>
      <c r="BY769" s="203"/>
      <c r="BZ769" s="203"/>
      <c r="CA769" s="203"/>
      <c r="CB769" s="203"/>
      <c r="CC769" s="203"/>
      <c r="CD769" s="103"/>
      <c r="CE769" s="103">
        <v>0</v>
      </c>
      <c r="CF769" s="103">
        <v>1</v>
      </c>
      <c r="CG769" s="103">
        <v>2.5</v>
      </c>
      <c r="CH769" s="103">
        <f>CG769*CF769</f>
        <v>2.5</v>
      </c>
      <c r="CI769" s="137"/>
      <c r="CJ769" s="137"/>
      <c r="CK769" s="103"/>
      <c r="CL769" s="103"/>
      <c r="CM769" s="103"/>
      <c r="CN769" s="103"/>
      <c r="CO769" s="103"/>
      <c r="CP769" s="103"/>
      <c r="CQ769" s="103"/>
      <c r="CR769" s="103"/>
      <c r="CS769" s="103"/>
      <c r="CT769" s="103"/>
      <c r="CU769" s="103"/>
      <c r="CV769" s="103"/>
      <c r="CW769" s="103"/>
      <c r="CX769" s="103"/>
      <c r="CY769" s="103"/>
      <c r="CZ769" s="103"/>
      <c r="DA769" s="103"/>
      <c r="DB769" s="103"/>
      <c r="DC769" s="103"/>
      <c r="DD769" s="103"/>
      <c r="DE769" s="103"/>
      <c r="DF769" s="103"/>
      <c r="DG769" s="103"/>
      <c r="DH769" s="103"/>
      <c r="DI769" s="103"/>
      <c r="DJ769" s="103"/>
      <c r="DK769" s="103"/>
      <c r="DL769" s="103"/>
      <c r="DM769" s="103">
        <f>CM769+CR769+CW769+DB769+DG769+DL769+CH769</f>
        <v>2.5</v>
      </c>
      <c r="DN769" s="208">
        <v>1.2500000000000001E-2</v>
      </c>
      <c r="DO769" s="203">
        <f>DM769*DN769</f>
        <v>3.125E-2</v>
      </c>
      <c r="DP769" s="203">
        <f>DM769+DO769</f>
        <v>2.53125</v>
      </c>
      <c r="DQ769" s="103"/>
      <c r="DR769" s="103"/>
      <c r="DS769" s="103"/>
      <c r="DT769" s="103"/>
      <c r="DU769" s="103"/>
      <c r="DV769" s="103"/>
      <c r="DW769" s="103"/>
      <c r="DX769" s="103"/>
      <c r="DY769" s="103"/>
      <c r="DZ769" s="103"/>
      <c r="EA769" s="103"/>
      <c r="EB769" s="103"/>
      <c r="EC769" s="103"/>
      <c r="ED769" s="103"/>
      <c r="EE769" s="103"/>
      <c r="EF769" s="103">
        <v>120</v>
      </c>
      <c r="EG769" s="103">
        <v>1200</v>
      </c>
      <c r="EH769" s="103">
        <v>7.5</v>
      </c>
      <c r="EI769" s="207">
        <v>0.9</v>
      </c>
      <c r="EJ769" s="103">
        <v>4</v>
      </c>
      <c r="EK769" s="103">
        <v>90</v>
      </c>
      <c r="EL769" s="209">
        <f>(3600/EK769*EH769*EJ769*EI769)</f>
        <v>1080</v>
      </c>
      <c r="EM769" s="103"/>
      <c r="EN769" s="103"/>
      <c r="EO769" s="103"/>
      <c r="EP769" s="103"/>
      <c r="EQ769" s="103"/>
      <c r="ER769" s="103"/>
      <c r="ES769" s="103"/>
      <c r="ET769" s="103"/>
      <c r="EU769" s="203">
        <f>EG769/EL769</f>
        <v>1.1111111111111112</v>
      </c>
      <c r="EV769" s="103"/>
      <c r="EW769" s="103"/>
      <c r="EX769" s="103"/>
      <c r="EY769" s="103"/>
      <c r="EZ769" s="103"/>
      <c r="FA769" s="103"/>
      <c r="FB769" s="103"/>
      <c r="FC769" s="103"/>
      <c r="FD769" s="103"/>
      <c r="FE769" s="103"/>
      <c r="FF769" s="103"/>
      <c r="FG769" s="103"/>
      <c r="FH769" s="103"/>
      <c r="FI769" s="103"/>
      <c r="FJ769" s="103"/>
      <c r="FK769" s="103"/>
      <c r="FL769" s="103"/>
      <c r="FM769" s="103"/>
      <c r="FN769" s="103"/>
      <c r="FO769" s="103"/>
      <c r="FP769" s="103"/>
      <c r="FQ769" s="103"/>
      <c r="FR769" s="103"/>
      <c r="FS769" s="103"/>
      <c r="FT769" s="103"/>
      <c r="FU769" s="103"/>
      <c r="FV769" s="103"/>
      <c r="FW769" s="103"/>
      <c r="FX769" s="103"/>
      <c r="FY769" s="103"/>
      <c r="FZ769" s="103"/>
      <c r="GA769" s="103"/>
      <c r="GB769" s="103"/>
      <c r="GC769" s="103"/>
      <c r="GD769" s="103"/>
      <c r="GE769" s="103"/>
      <c r="GF769" s="103"/>
      <c r="GG769" s="103"/>
      <c r="GH769" s="103"/>
      <c r="GI769" s="103"/>
      <c r="GJ769" s="103"/>
      <c r="GK769" s="103"/>
      <c r="GL769" s="103"/>
      <c r="GM769" s="103"/>
      <c r="GN769" s="103"/>
      <c r="GO769" s="103"/>
      <c r="GP769" s="103"/>
      <c r="GQ769" s="103"/>
      <c r="GR769" s="207">
        <v>0.11</v>
      </c>
      <c r="GS769" s="203">
        <f>GR769*(BA769+EU769)</f>
        <v>0.46254594222222217</v>
      </c>
      <c r="GT769" s="208">
        <v>1.2500000000000001E-2</v>
      </c>
      <c r="GU769" s="203">
        <f>GT769*(BA769+EU769)</f>
        <v>5.2562038888888885E-2</v>
      </c>
      <c r="GV769" s="207">
        <v>0.02</v>
      </c>
      <c r="GW769" s="203">
        <f>GV769*EU769</f>
        <v>2.2222222222222223E-2</v>
      </c>
      <c r="GX769" s="203">
        <f>GS769+GU769+GW769</f>
        <v>0.53733020333333326</v>
      </c>
      <c r="GY769" s="103" t="s">
        <v>43</v>
      </c>
      <c r="GZ769" s="103" t="s">
        <v>87</v>
      </c>
      <c r="HA769" s="103">
        <v>810</v>
      </c>
      <c r="HB769" s="103">
        <v>568</v>
      </c>
      <c r="HC769" s="103">
        <v>425</v>
      </c>
      <c r="HD769" s="103">
        <v>500</v>
      </c>
      <c r="HE769" s="103">
        <v>1100</v>
      </c>
      <c r="HF769" s="103">
        <f>ROUNDUP(HE769/HD769,0)</f>
        <v>3</v>
      </c>
      <c r="HG769" s="103">
        <v>5</v>
      </c>
      <c r="HH769" s="103">
        <f>HF769*HG769</f>
        <v>15</v>
      </c>
      <c r="HI769" s="103">
        <v>1100</v>
      </c>
      <c r="HJ769" s="103">
        <f>HH769*HI769</f>
        <v>16500</v>
      </c>
      <c r="HK769" s="103"/>
      <c r="HL769" s="103"/>
      <c r="HM769" s="103">
        <v>2</v>
      </c>
      <c r="HN769" s="103">
        <f>HM769*12*25*HE769</f>
        <v>660000</v>
      </c>
      <c r="HO769" s="203">
        <f>IF(GY769="carton box",HI769/HD769,HJ769/HN769)</f>
        <v>2.5000000000000001E-2</v>
      </c>
      <c r="HP769" s="103">
        <v>160</v>
      </c>
      <c r="HQ769" s="103">
        <v>0</v>
      </c>
      <c r="HR769" s="103">
        <v>0</v>
      </c>
      <c r="HS769" s="103">
        <v>0</v>
      </c>
      <c r="HT769" s="203">
        <v>0</v>
      </c>
      <c r="HU769" s="203"/>
      <c r="HV769" s="203">
        <f>HO769+HT769</f>
        <v>2.5000000000000001E-2</v>
      </c>
      <c r="HW769" s="203"/>
      <c r="HX769" s="103">
        <v>4200</v>
      </c>
      <c r="HY769" s="103">
        <v>1900</v>
      </c>
      <c r="HZ769" s="103">
        <v>1975</v>
      </c>
      <c r="IA769" s="103">
        <f>ROUNDDOWN(HX769/HA769,0)</f>
        <v>5</v>
      </c>
      <c r="IB769" s="103">
        <f>ROUNDDOWN(HY769/HB769,0)</f>
        <v>3</v>
      </c>
      <c r="IC769" s="103">
        <f>ROUNDDOWN(HZ769/HC769,0)</f>
        <v>4</v>
      </c>
      <c r="ID769" s="207">
        <v>0.95</v>
      </c>
      <c r="IE769" s="103">
        <f>ROUND(PRODUCT(IA769:ID769),0)+3</f>
        <v>60</v>
      </c>
      <c r="IF769" s="103">
        <v>500</v>
      </c>
      <c r="IG769" s="203">
        <f>(IF769/(IE769*HD769))</f>
        <v>1.6666666666666666E-2</v>
      </c>
      <c r="IH769" s="368"/>
    </row>
    <row r="770" spans="1:244">
      <c r="A770">
        <v>755</v>
      </c>
      <c r="B770" s="328" t="s">
        <v>1947</v>
      </c>
      <c r="D770" s="28" t="s">
        <v>1569</v>
      </c>
      <c r="E770" s="28" t="s">
        <v>657</v>
      </c>
      <c r="F770" s="28" t="s">
        <v>1947</v>
      </c>
      <c r="G770" s="27" t="s">
        <v>102</v>
      </c>
      <c r="I770" s="27" t="s">
        <v>226</v>
      </c>
      <c r="J770" s="28">
        <v>20205</v>
      </c>
      <c r="K770" s="27" t="s">
        <v>1245</v>
      </c>
    </row>
    <row r="771" spans="1:244">
      <c r="A771">
        <v>756</v>
      </c>
      <c r="B771" s="328" t="s">
        <v>1947</v>
      </c>
      <c r="D771" s="28" t="s">
        <v>1570</v>
      </c>
      <c r="E771" s="28" t="s">
        <v>1571</v>
      </c>
      <c r="F771" s="28" t="s">
        <v>1947</v>
      </c>
      <c r="G771" s="27" t="s">
        <v>102</v>
      </c>
      <c r="I771" s="27" t="s">
        <v>121</v>
      </c>
      <c r="J771" s="28">
        <v>21697</v>
      </c>
      <c r="K771" s="27" t="s">
        <v>227</v>
      </c>
    </row>
    <row r="772" spans="1:244">
      <c r="A772">
        <v>757</v>
      </c>
      <c r="B772" s="328" t="s">
        <v>1947</v>
      </c>
      <c r="D772" s="28" t="s">
        <v>1572</v>
      </c>
      <c r="E772" s="28" t="s">
        <v>1573</v>
      </c>
      <c r="F772" s="28" t="s">
        <v>1947</v>
      </c>
      <c r="G772" s="27" t="s">
        <v>102</v>
      </c>
      <c r="I772" s="27" t="s">
        <v>121</v>
      </c>
      <c r="J772" s="28">
        <v>21697</v>
      </c>
      <c r="K772" s="27" t="s">
        <v>227</v>
      </c>
    </row>
    <row r="773" spans="1:244" ht="30">
      <c r="A773">
        <v>758</v>
      </c>
      <c r="C773" t="s">
        <v>567</v>
      </c>
      <c r="D773" s="28" t="s">
        <v>1574</v>
      </c>
      <c r="E773" s="28" t="s">
        <v>1575</v>
      </c>
      <c r="F773" s="28" t="s">
        <v>2444</v>
      </c>
      <c r="G773" s="27" t="s">
        <v>102</v>
      </c>
      <c r="I773" s="27" t="s">
        <v>121</v>
      </c>
      <c r="J773" s="28">
        <v>21697</v>
      </c>
      <c r="K773" s="27" t="s">
        <v>227</v>
      </c>
      <c r="L773" s="121"/>
      <c r="M773" s="326"/>
      <c r="N773" s="115" t="s">
        <v>1764</v>
      </c>
      <c r="O773" s="139" t="s">
        <v>2747</v>
      </c>
      <c r="P773" s="337">
        <v>43104</v>
      </c>
      <c r="Q773" s="333"/>
      <c r="R773" s="326"/>
      <c r="S773" s="326"/>
      <c r="T773" s="326"/>
      <c r="U773" s="121"/>
      <c r="V773" s="121" t="s">
        <v>2748</v>
      </c>
      <c r="W773" s="218" t="s">
        <v>2918</v>
      </c>
      <c r="X773" s="121"/>
      <c r="Y773" s="121"/>
      <c r="Z773" s="121"/>
      <c r="AA773" s="115"/>
      <c r="AB773" s="122"/>
      <c r="AC773" s="121"/>
      <c r="AD773" s="122"/>
      <c r="AE773" s="220"/>
      <c r="AF773" s="220"/>
      <c r="AG773" s="220"/>
      <c r="AH773" s="122"/>
      <c r="AI773" s="122"/>
      <c r="AJ773" s="122"/>
      <c r="AK773" s="122"/>
      <c r="AL773" s="122"/>
      <c r="AM773" s="122"/>
      <c r="AN773" s="122"/>
      <c r="AO773" s="122"/>
      <c r="AP773" s="122"/>
      <c r="AQ773" s="204">
        <f>SUM(AE773:AP773)</f>
        <v>0</v>
      </c>
      <c r="AR773" s="122"/>
      <c r="AS773" s="122"/>
      <c r="AT773" s="122"/>
      <c r="AU773" s="122"/>
      <c r="AV773" s="204">
        <f>SUM(AQ773:AU773)</f>
        <v>0</v>
      </c>
    </row>
    <row r="774" spans="1:244">
      <c r="A774">
        <v>759</v>
      </c>
      <c r="B774" s="328" t="s">
        <v>1947</v>
      </c>
      <c r="D774" s="28" t="s">
        <v>1576</v>
      </c>
      <c r="E774" s="28" t="s">
        <v>1577</v>
      </c>
      <c r="F774" s="28" t="s">
        <v>1947</v>
      </c>
      <c r="G774" s="27" t="s">
        <v>102</v>
      </c>
      <c r="I774" s="27" t="s">
        <v>226</v>
      </c>
      <c r="J774" s="28">
        <v>21590</v>
      </c>
      <c r="K774" s="27" t="s">
        <v>397</v>
      </c>
      <c r="L774" s="121"/>
      <c r="M774" s="326"/>
      <c r="N774" s="121" t="s">
        <v>2919</v>
      </c>
      <c r="O774" s="115" t="s">
        <v>2920</v>
      </c>
      <c r="P774" s="333">
        <v>44014</v>
      </c>
    </row>
    <row r="775" spans="1:244">
      <c r="A775">
        <v>760</v>
      </c>
      <c r="C775" t="s">
        <v>567</v>
      </c>
      <c r="D775" s="28" t="s">
        <v>1578</v>
      </c>
      <c r="E775" s="28" t="s">
        <v>1579</v>
      </c>
      <c r="F775" s="28" t="s">
        <v>2444</v>
      </c>
      <c r="G775" s="27" t="s">
        <v>102</v>
      </c>
      <c r="I775" s="27" t="s">
        <v>226</v>
      </c>
      <c r="J775" s="28">
        <v>21590</v>
      </c>
      <c r="K775" s="27" t="s">
        <v>397</v>
      </c>
    </row>
    <row r="776" spans="1:244" ht="30">
      <c r="A776">
        <v>761</v>
      </c>
      <c r="C776" t="s">
        <v>567</v>
      </c>
      <c r="D776" s="28" t="s">
        <v>1580</v>
      </c>
      <c r="E776" s="28" t="s">
        <v>1581</v>
      </c>
      <c r="F776" s="28" t="s">
        <v>2444</v>
      </c>
      <c r="G776" s="27" t="s">
        <v>102</v>
      </c>
      <c r="I776" s="27" t="s">
        <v>226</v>
      </c>
      <c r="J776" s="28">
        <v>21590</v>
      </c>
      <c r="K776" s="27" t="s">
        <v>397</v>
      </c>
      <c r="L776" s="137"/>
      <c r="M776" s="338"/>
      <c r="N776" s="139" t="s">
        <v>1764</v>
      </c>
      <c r="O776" s="139" t="s">
        <v>2747</v>
      </c>
      <c r="P776" s="337">
        <v>43104</v>
      </c>
      <c r="Q776" s="337"/>
      <c r="R776" s="338"/>
      <c r="S776" s="338"/>
      <c r="T776" s="338"/>
      <c r="U776" s="137"/>
      <c r="V776" s="121" t="s">
        <v>2748</v>
      </c>
      <c r="W776" s="140" t="s">
        <v>2921</v>
      </c>
    </row>
    <row r="777" spans="1:244" ht="30">
      <c r="A777">
        <v>762</v>
      </c>
      <c r="C777" t="s">
        <v>567</v>
      </c>
      <c r="D777" s="28" t="s">
        <v>1582</v>
      </c>
      <c r="E777" s="28" t="s">
        <v>1583</v>
      </c>
      <c r="F777" s="28" t="s">
        <v>2444</v>
      </c>
      <c r="G777" s="27" t="s">
        <v>102</v>
      </c>
      <c r="I777" s="27" t="s">
        <v>226</v>
      </c>
      <c r="J777" s="28">
        <v>21590</v>
      </c>
      <c r="K777" s="27" t="s">
        <v>397</v>
      </c>
      <c r="L777" s="137"/>
      <c r="M777" s="338"/>
      <c r="N777" s="139" t="s">
        <v>1764</v>
      </c>
      <c r="O777" s="139" t="s">
        <v>2747</v>
      </c>
      <c r="P777" s="337">
        <v>43104</v>
      </c>
      <c r="Q777" s="337"/>
      <c r="R777" s="338"/>
      <c r="S777" s="338"/>
      <c r="T777" s="338"/>
      <c r="U777" s="137"/>
      <c r="V777" s="121" t="s">
        <v>2748</v>
      </c>
      <c r="W777" s="140" t="s">
        <v>2921</v>
      </c>
    </row>
    <row r="778" spans="1:244" ht="45">
      <c r="A778">
        <v>763</v>
      </c>
      <c r="B778" t="s">
        <v>468</v>
      </c>
      <c r="C778" s="137" t="s">
        <v>2922</v>
      </c>
      <c r="D778" s="28" t="s">
        <v>1584</v>
      </c>
      <c r="E778" s="28" t="s">
        <v>1585</v>
      </c>
      <c r="F778" s="28" t="s">
        <v>2182</v>
      </c>
      <c r="G778" s="27" t="s">
        <v>102</v>
      </c>
      <c r="I778" s="27" t="s">
        <v>226</v>
      </c>
      <c r="J778" s="28">
        <v>21590</v>
      </c>
      <c r="K778" s="27" t="s">
        <v>397</v>
      </c>
      <c r="L778" s="137">
        <v>20089</v>
      </c>
      <c r="M778" s="137" t="s">
        <v>2923</v>
      </c>
      <c r="N778" s="139"/>
      <c r="O778" s="139"/>
      <c r="P778" s="139"/>
      <c r="Q778" s="115" t="s">
        <v>2484</v>
      </c>
      <c r="R778" s="137" t="s">
        <v>2924</v>
      </c>
      <c r="S778" s="121" t="s">
        <v>2925</v>
      </c>
      <c r="T778" s="121" t="s">
        <v>2762</v>
      </c>
      <c r="U778" s="326">
        <v>42461</v>
      </c>
      <c r="V778" s="121" t="s">
        <v>2748</v>
      </c>
      <c r="W778" s="140" t="s">
        <v>2926</v>
      </c>
      <c r="X778" s="354"/>
      <c r="Y778" s="354"/>
      <c r="Z778" s="354"/>
      <c r="AA778" s="115" t="s">
        <v>2927</v>
      </c>
      <c r="AB778" s="354">
        <v>79.849999999999994</v>
      </c>
      <c r="AC778" s="137">
        <v>20</v>
      </c>
      <c r="AD778" s="103" t="s">
        <v>2928</v>
      </c>
      <c r="AE778" s="204">
        <f>BA778</f>
        <v>0.275445</v>
      </c>
      <c r="AF778" s="204"/>
      <c r="AG778" s="204">
        <f>EU778+EM778</f>
        <v>1.9031576131687244</v>
      </c>
      <c r="AH778" s="204">
        <f>DP778</f>
        <v>0</v>
      </c>
      <c r="AI778" s="204">
        <f>DO778</f>
        <v>0</v>
      </c>
      <c r="AJ778" s="204">
        <f>GW778</f>
        <v>5.7094728395061731E-2</v>
      </c>
      <c r="AK778" s="204">
        <f>GU778</f>
        <v>6.5358078395061733E-2</v>
      </c>
      <c r="AL778" s="204">
        <f>GS778</f>
        <v>0.27232532664609055</v>
      </c>
      <c r="AM778" s="204">
        <f>HV778</f>
        <v>1.6317708333333333E-2</v>
      </c>
      <c r="AN778" s="204">
        <f>IG778</f>
        <v>0.12</v>
      </c>
      <c r="AO778" s="205">
        <v>0</v>
      </c>
      <c r="AP778" s="205"/>
      <c r="AQ778" s="204">
        <f>SUM(AE778:AP778)</f>
        <v>2.7096984549382719</v>
      </c>
      <c r="AR778" s="203">
        <f>IJ778</f>
        <v>3.9214847037037037E-2</v>
      </c>
      <c r="AS778" s="103"/>
      <c r="AT778" s="103"/>
      <c r="AU778" s="103"/>
      <c r="AV778" s="204">
        <f>SUM(AQ778:AU778)</f>
        <v>2.7489133019753087</v>
      </c>
      <c r="AW778" s="103">
        <v>3.7000000000000002E-3</v>
      </c>
      <c r="AX778" s="103">
        <v>2.7000000000000001E-3</v>
      </c>
      <c r="AY778" s="207">
        <v>1</v>
      </c>
      <c r="AZ778" s="103">
        <f>AW778-AX778</f>
        <v>1E-3</v>
      </c>
      <c r="BA778" s="203">
        <f>AW778*AB778-AZ778*AC778</f>
        <v>0.275445</v>
      </c>
      <c r="BB778" s="203"/>
      <c r="BC778" s="203"/>
      <c r="BD778" s="203"/>
      <c r="BE778" s="203"/>
      <c r="BF778" s="203"/>
      <c r="BG778" s="203"/>
      <c r="BH778" s="203"/>
      <c r="BI778" s="203"/>
      <c r="BJ778" s="203"/>
      <c r="BK778" s="203"/>
      <c r="BL778" s="203"/>
      <c r="BM778" s="203"/>
      <c r="BN778" s="203"/>
      <c r="BO778" s="203"/>
      <c r="BP778" s="203"/>
      <c r="BQ778" s="203"/>
      <c r="BR778" s="203"/>
      <c r="BS778" s="203"/>
      <c r="BT778" s="203"/>
      <c r="BU778" s="203"/>
      <c r="BV778" s="203"/>
      <c r="BW778" s="203"/>
      <c r="BX778" s="203"/>
      <c r="BY778" s="203"/>
      <c r="BZ778" s="203"/>
      <c r="CA778" s="203"/>
      <c r="CB778" s="203"/>
      <c r="CC778" s="203"/>
      <c r="CD778" s="103"/>
      <c r="CE778" s="103">
        <v>0</v>
      </c>
      <c r="CF778" s="103">
        <v>0</v>
      </c>
      <c r="CG778" s="103">
        <v>0</v>
      </c>
      <c r="CH778" s="103">
        <v>0</v>
      </c>
      <c r="CI778" s="137"/>
      <c r="CJ778" s="137"/>
      <c r="CK778" s="103"/>
      <c r="CL778" s="103"/>
      <c r="CM778" s="103"/>
      <c r="CN778" s="103"/>
      <c r="CO778" s="103"/>
      <c r="CP778" s="103"/>
      <c r="CQ778" s="103"/>
      <c r="CR778" s="103"/>
      <c r="CS778" s="103"/>
      <c r="CT778" s="103"/>
      <c r="CU778" s="103"/>
      <c r="CV778" s="103"/>
      <c r="CW778" s="103"/>
      <c r="CX778" s="103"/>
      <c r="CY778" s="103"/>
      <c r="CZ778" s="103"/>
      <c r="DA778" s="103"/>
      <c r="DB778" s="103"/>
      <c r="DC778" s="103"/>
      <c r="DD778" s="103"/>
      <c r="DE778" s="103"/>
      <c r="DF778" s="103"/>
      <c r="DG778" s="103"/>
      <c r="DH778" s="103"/>
      <c r="DI778" s="103"/>
      <c r="DJ778" s="103"/>
      <c r="DK778" s="103"/>
      <c r="DL778" s="103"/>
      <c r="DM778" s="103">
        <f>CM778+CR778+CW778+DB778+DG778+DL778+CH778</f>
        <v>0</v>
      </c>
      <c r="DN778" s="208">
        <v>1.2500000000000001E-2</v>
      </c>
      <c r="DO778" s="203">
        <f>DM778*DN778</f>
        <v>0</v>
      </c>
      <c r="DP778" s="203">
        <f>DM778+DO778</f>
        <v>0</v>
      </c>
      <c r="DQ778" s="103"/>
      <c r="DR778" s="103"/>
      <c r="DS778" s="103"/>
      <c r="DT778" s="103"/>
      <c r="DU778" s="103"/>
      <c r="DV778" s="103"/>
      <c r="DW778" s="103"/>
      <c r="DX778" s="103"/>
      <c r="DY778" s="103"/>
      <c r="DZ778" s="103"/>
      <c r="EA778" s="103"/>
      <c r="EB778" s="103"/>
      <c r="EC778" s="103"/>
      <c r="ED778" s="103"/>
      <c r="EE778" s="103"/>
      <c r="EF778" s="103">
        <v>90</v>
      </c>
      <c r="EG778" s="103">
        <v>1699</v>
      </c>
      <c r="EH778" s="103">
        <v>7.5</v>
      </c>
      <c r="EI778" s="207">
        <v>0.9</v>
      </c>
      <c r="EJ778" s="103">
        <v>2</v>
      </c>
      <c r="EK778" s="103">
        <v>46</v>
      </c>
      <c r="EL778" s="209">
        <f>(3600/EK778*EH778*EJ778*EI778)</f>
        <v>1056.5217391304348</v>
      </c>
      <c r="EM778" s="103"/>
      <c r="EN778" s="103"/>
      <c r="EO778" s="103"/>
      <c r="EP778" s="103"/>
      <c r="EQ778" s="103"/>
      <c r="ER778" s="103"/>
      <c r="ES778" s="103"/>
      <c r="ET778" s="103"/>
      <c r="EU778" s="203">
        <f>EG778/EL778+EV778+EW778</f>
        <v>1.9031576131687244</v>
      </c>
      <c r="EV778" s="203">
        <f>300/EL778</f>
        <v>0.2839506172839506</v>
      </c>
      <c r="EW778" s="203">
        <f>3*AW778</f>
        <v>1.11E-2</v>
      </c>
      <c r="EX778" s="103"/>
      <c r="EY778" s="103"/>
      <c r="EZ778" s="103"/>
      <c r="FA778" s="103"/>
      <c r="FB778" s="103"/>
      <c r="FC778" s="103"/>
      <c r="FD778" s="103"/>
      <c r="FE778" s="103"/>
      <c r="FF778" s="103"/>
      <c r="FG778" s="103"/>
      <c r="FH778" s="103"/>
      <c r="FI778" s="103"/>
      <c r="FJ778" s="103"/>
      <c r="FK778" s="103"/>
      <c r="FL778" s="103"/>
      <c r="FM778" s="103"/>
      <c r="FN778" s="103"/>
      <c r="FO778" s="103"/>
      <c r="FP778" s="103"/>
      <c r="FQ778" s="103"/>
      <c r="FR778" s="103"/>
      <c r="FS778" s="103"/>
      <c r="FT778" s="103"/>
      <c r="FU778" s="103"/>
      <c r="FV778" s="103"/>
      <c r="FW778" s="103"/>
      <c r="FX778" s="103"/>
      <c r="FY778" s="103"/>
      <c r="FZ778" s="103"/>
      <c r="GA778" s="103"/>
      <c r="GB778" s="103"/>
      <c r="GC778" s="103"/>
      <c r="GD778" s="103"/>
      <c r="GE778" s="103"/>
      <c r="GF778" s="103"/>
      <c r="GG778" s="103"/>
      <c r="GH778" s="103"/>
      <c r="GI778" s="103"/>
      <c r="GJ778" s="103"/>
      <c r="GK778" s="103"/>
      <c r="GL778" s="103"/>
      <c r="GM778" s="103"/>
      <c r="GN778" s="103"/>
      <c r="GO778" s="103"/>
      <c r="GP778" s="103"/>
      <c r="GQ778" s="103"/>
      <c r="GR778" s="208">
        <v>0.125</v>
      </c>
      <c r="GS778" s="203">
        <f>GR778*(BA778+EU778)</f>
        <v>0.27232532664609055</v>
      </c>
      <c r="GT778" s="207">
        <v>0.03</v>
      </c>
      <c r="GU778" s="203">
        <f>GT778*(BA778+EU778)</f>
        <v>6.5358078395061733E-2</v>
      </c>
      <c r="GV778" s="207">
        <v>0.03</v>
      </c>
      <c r="GW778" s="203">
        <f>GV778*EU778</f>
        <v>5.7094728395061731E-2</v>
      </c>
      <c r="GX778" s="203">
        <f>GS778+GU778+GW778</f>
        <v>0.39477813343621404</v>
      </c>
      <c r="GY778" s="103" t="s">
        <v>43</v>
      </c>
      <c r="GZ778" s="103" t="s">
        <v>87</v>
      </c>
      <c r="HA778" s="103">
        <v>650</v>
      </c>
      <c r="HB778" s="103">
        <v>450</v>
      </c>
      <c r="HC778" s="103">
        <v>330</v>
      </c>
      <c r="HD778" s="103">
        <v>400</v>
      </c>
      <c r="HE778" s="103">
        <v>400</v>
      </c>
      <c r="HF778" s="103">
        <f>ROUNDUP(HE778/HD778,0)</f>
        <v>1</v>
      </c>
      <c r="HG778" s="103">
        <v>5</v>
      </c>
      <c r="HH778" s="103">
        <f>HF778*HG778</f>
        <v>5</v>
      </c>
      <c r="HI778" s="103">
        <v>650</v>
      </c>
      <c r="HJ778" s="103">
        <f>HH778*HI778</f>
        <v>3250</v>
      </c>
      <c r="HK778" s="208">
        <v>0.20499999999999999</v>
      </c>
      <c r="HL778" s="209">
        <v>3916.25</v>
      </c>
      <c r="HM778" s="103">
        <v>2</v>
      </c>
      <c r="HN778" s="103">
        <f>HM778*12*25*HE778</f>
        <v>240000</v>
      </c>
      <c r="HO778" s="203">
        <f>IF(GY778="carton box",HI778/HD778,HL778/HN778)</f>
        <v>1.6317708333333333E-2</v>
      </c>
      <c r="HP778" s="103"/>
      <c r="HQ778" s="103"/>
      <c r="HR778" s="103"/>
      <c r="HS778" s="103"/>
      <c r="HT778" s="103"/>
      <c r="HU778" s="103"/>
      <c r="HV778" s="202">
        <f>HO778+HT778</f>
        <v>1.6317708333333333E-2</v>
      </c>
      <c r="HW778" s="202"/>
      <c r="HX778" s="103"/>
      <c r="HY778" s="103"/>
      <c r="HZ778" s="103"/>
      <c r="IA778" s="103"/>
      <c r="IB778" s="103"/>
      <c r="IC778" s="103"/>
      <c r="ID778" s="103"/>
      <c r="IE778" s="103"/>
      <c r="IF778" s="103"/>
      <c r="IG778" s="103">
        <v>0.12</v>
      </c>
      <c r="IH778" s="103"/>
      <c r="II778" s="208">
        <v>1.7999999999999999E-2</v>
      </c>
      <c r="IJ778" s="203">
        <f>II778*(BA778+EU778)</f>
        <v>3.9214847037037037E-2</v>
      </c>
    </row>
    <row r="779" spans="1:244">
      <c r="A779">
        <v>764</v>
      </c>
      <c r="B779" s="328" t="s">
        <v>1947</v>
      </c>
      <c r="D779" s="28" t="s">
        <v>1586</v>
      </c>
      <c r="E779" s="28" t="s">
        <v>1512</v>
      </c>
      <c r="F779" s="28" t="s">
        <v>1947</v>
      </c>
      <c r="G779" s="27" t="s">
        <v>102</v>
      </c>
      <c r="I779" s="27" t="s">
        <v>226</v>
      </c>
      <c r="J779" s="28">
        <v>21590</v>
      </c>
      <c r="K779" s="27" t="s">
        <v>397</v>
      </c>
    </row>
    <row r="780" spans="1:244" ht="45">
      <c r="A780">
        <v>765</v>
      </c>
      <c r="B780" t="s">
        <v>468</v>
      </c>
      <c r="C780" s="137" t="s">
        <v>2929</v>
      </c>
      <c r="D780" s="28" t="s">
        <v>1587</v>
      </c>
      <c r="E780" s="28" t="s">
        <v>1588</v>
      </c>
      <c r="F780" s="28" t="s">
        <v>2182</v>
      </c>
      <c r="G780" s="27" t="s">
        <v>102</v>
      </c>
      <c r="I780" s="27" t="s">
        <v>121</v>
      </c>
      <c r="J780" s="28">
        <v>21697</v>
      </c>
      <c r="K780" s="27" t="s">
        <v>227</v>
      </c>
      <c r="L780" s="137">
        <v>20089</v>
      </c>
      <c r="M780" s="122" t="s">
        <v>2930</v>
      </c>
      <c r="N780" s="139"/>
      <c r="O780" s="139"/>
      <c r="P780" s="139"/>
      <c r="Q780" s="115" t="s">
        <v>2818</v>
      </c>
      <c r="R780" s="121" t="s">
        <v>2924</v>
      </c>
      <c r="S780" s="137" t="s">
        <v>2931</v>
      </c>
      <c r="T780" s="137" t="s">
        <v>2762</v>
      </c>
      <c r="U780" s="338">
        <v>42808</v>
      </c>
      <c r="V780" s="137" t="s">
        <v>2748</v>
      </c>
      <c r="W780" s="140" t="s">
        <v>2932</v>
      </c>
      <c r="X780" s="354"/>
      <c r="Y780" s="354"/>
      <c r="Z780" s="354"/>
      <c r="AA780" s="115" t="s">
        <v>2927</v>
      </c>
      <c r="AB780" s="354">
        <v>89</v>
      </c>
      <c r="AC780" s="137">
        <v>20</v>
      </c>
      <c r="AD780" s="103" t="s">
        <v>2933</v>
      </c>
      <c r="AE780" s="204">
        <f>BA780</f>
        <v>0.33489999999999998</v>
      </c>
      <c r="AF780" s="204"/>
      <c r="AG780" s="204">
        <f>EU780+EM780</f>
        <v>1.0405921810699588</v>
      </c>
      <c r="AH780" s="204">
        <f>DP780</f>
        <v>0</v>
      </c>
      <c r="AI780" s="204">
        <f>DO780</f>
        <v>0</v>
      </c>
      <c r="AJ780" s="204">
        <f>GW780</f>
        <v>3.1217765432098761E-2</v>
      </c>
      <c r="AK780" s="204">
        <f>GU780</f>
        <v>4.1264765432098761E-2</v>
      </c>
      <c r="AL780" s="204">
        <f>GS780</f>
        <v>0.17193652263374484</v>
      </c>
      <c r="AM780" s="204">
        <f>HV780</f>
        <v>6.0000000000000005E-2</v>
      </c>
      <c r="AN780" s="204">
        <f>IG780</f>
        <v>0.02</v>
      </c>
      <c r="AO780" s="205">
        <v>0</v>
      </c>
      <c r="AP780" s="205"/>
      <c r="AQ780" s="204">
        <f>SUM(AE780:AP780)</f>
        <v>1.6999112345679013</v>
      </c>
      <c r="AR780" s="203">
        <f>IJ780</f>
        <v>2.4758859259259254E-2</v>
      </c>
      <c r="AS780" s="103"/>
      <c r="AT780" s="103"/>
      <c r="AU780" s="103"/>
      <c r="AV780" s="204">
        <f>SUM(AQ780:AU780)</f>
        <v>1.7246700938271606</v>
      </c>
      <c r="AW780" s="103">
        <v>4.0999999999999995E-3</v>
      </c>
      <c r="AX780" s="103">
        <v>2.5999999999999999E-3</v>
      </c>
      <c r="AY780" s="207">
        <v>1</v>
      </c>
      <c r="AZ780" s="103">
        <f>AW780-AX780</f>
        <v>1.4999999999999996E-3</v>
      </c>
      <c r="BA780" s="203">
        <f>AW780*AB780-AZ780*AC780</f>
        <v>0.33489999999999998</v>
      </c>
      <c r="BB780" s="203"/>
      <c r="BC780" s="203"/>
      <c r="BD780" s="203"/>
      <c r="BE780" s="203"/>
      <c r="BF780" s="203"/>
      <c r="BG780" s="203"/>
      <c r="BH780" s="203"/>
      <c r="BI780" s="203"/>
      <c r="BJ780" s="203"/>
      <c r="BK780" s="203"/>
      <c r="BL780" s="203"/>
      <c r="BM780" s="203"/>
      <c r="BN780" s="203"/>
      <c r="BO780" s="203"/>
      <c r="BP780" s="203"/>
      <c r="BQ780" s="203"/>
      <c r="BR780" s="203"/>
      <c r="BS780" s="203"/>
      <c r="BT780" s="203"/>
      <c r="BU780" s="203"/>
      <c r="BV780" s="203"/>
      <c r="BW780" s="203"/>
      <c r="BX780" s="203"/>
      <c r="BY780" s="203"/>
      <c r="BZ780" s="203"/>
      <c r="CA780" s="203"/>
      <c r="CB780" s="203"/>
      <c r="CC780" s="203"/>
      <c r="CD780" s="103"/>
      <c r="CE780" s="103">
        <v>0</v>
      </c>
      <c r="CF780" s="103">
        <v>0</v>
      </c>
      <c r="CG780" s="103">
        <v>0</v>
      </c>
      <c r="CH780" s="103">
        <v>0</v>
      </c>
      <c r="CI780" s="137"/>
      <c r="CJ780" s="137"/>
      <c r="CK780" s="103"/>
      <c r="CL780" s="103"/>
      <c r="CM780" s="103"/>
      <c r="CN780" s="103"/>
      <c r="CO780" s="103"/>
      <c r="CP780" s="103"/>
      <c r="CQ780" s="103"/>
      <c r="CR780" s="103"/>
      <c r="CS780" s="103"/>
      <c r="CT780" s="103"/>
      <c r="CU780" s="103"/>
      <c r="CV780" s="103"/>
      <c r="CW780" s="103"/>
      <c r="CX780" s="103"/>
      <c r="CY780" s="103"/>
      <c r="CZ780" s="103"/>
      <c r="DA780" s="103"/>
      <c r="DB780" s="103"/>
      <c r="DC780" s="103"/>
      <c r="DD780" s="103"/>
      <c r="DE780" s="103"/>
      <c r="DF780" s="103"/>
      <c r="DG780" s="103"/>
      <c r="DH780" s="103"/>
      <c r="DI780" s="103"/>
      <c r="DJ780" s="103"/>
      <c r="DK780" s="103"/>
      <c r="DL780" s="103"/>
      <c r="DM780" s="103">
        <f>CM780+CR780+CW780+DB780+DG780+DL780+CH780</f>
        <v>0</v>
      </c>
      <c r="DN780" s="208">
        <v>1.2500000000000001E-2</v>
      </c>
      <c r="DO780" s="203">
        <f>DM780*DN780</f>
        <v>0</v>
      </c>
      <c r="DP780" s="203">
        <f>DM780+DO780</f>
        <v>0</v>
      </c>
      <c r="DQ780" s="103"/>
      <c r="DR780" s="103"/>
      <c r="DS780" s="103"/>
      <c r="DT780" s="103"/>
      <c r="DU780" s="103"/>
      <c r="DV780" s="103"/>
      <c r="DW780" s="103"/>
      <c r="DX780" s="103"/>
      <c r="DY780" s="103"/>
      <c r="DZ780" s="103"/>
      <c r="EA780" s="103"/>
      <c r="EB780" s="103"/>
      <c r="EC780" s="103"/>
      <c r="ED780" s="103"/>
      <c r="EE780" s="103"/>
      <c r="EF780" s="103">
        <v>90</v>
      </c>
      <c r="EG780" s="103">
        <v>1699</v>
      </c>
      <c r="EH780" s="103">
        <v>7.5</v>
      </c>
      <c r="EI780" s="207">
        <v>0.9</v>
      </c>
      <c r="EJ780" s="103">
        <v>4</v>
      </c>
      <c r="EK780" s="103">
        <v>50</v>
      </c>
      <c r="EL780" s="209">
        <f>(3600/EK780*EH780*EJ780*EI780)</f>
        <v>1944</v>
      </c>
      <c r="EM780" s="103"/>
      <c r="EN780" s="103"/>
      <c r="EO780" s="103"/>
      <c r="EP780" s="103"/>
      <c r="EQ780" s="103"/>
      <c r="ER780" s="103"/>
      <c r="ES780" s="103"/>
      <c r="ET780" s="103"/>
      <c r="EU780" s="203">
        <f>EG780/EL780+EV780+EW780</f>
        <v>1.0405921810699588</v>
      </c>
      <c r="EV780" s="203">
        <f>300/EL780</f>
        <v>0.15432098765432098</v>
      </c>
      <c r="EW780" s="203">
        <f>3*AW780</f>
        <v>1.2299999999999998E-2</v>
      </c>
      <c r="EX780" s="103"/>
      <c r="EY780" s="103"/>
      <c r="EZ780" s="103"/>
      <c r="FA780" s="103"/>
      <c r="FB780" s="103"/>
      <c r="FC780" s="103"/>
      <c r="FD780" s="103"/>
      <c r="FE780" s="103"/>
      <c r="FF780" s="103"/>
      <c r="FG780" s="103"/>
      <c r="FH780" s="103"/>
      <c r="FI780" s="103"/>
      <c r="FJ780" s="103"/>
      <c r="FK780" s="103"/>
      <c r="FL780" s="103"/>
      <c r="FM780" s="103"/>
      <c r="FN780" s="103"/>
      <c r="FO780" s="103"/>
      <c r="FP780" s="103"/>
      <c r="FQ780" s="103"/>
      <c r="FR780" s="103"/>
      <c r="FS780" s="103"/>
      <c r="FT780" s="103"/>
      <c r="FU780" s="103"/>
      <c r="FV780" s="103"/>
      <c r="FW780" s="103"/>
      <c r="FX780" s="103"/>
      <c r="FY780" s="103"/>
      <c r="FZ780" s="103"/>
      <c r="GA780" s="103"/>
      <c r="GB780" s="103"/>
      <c r="GC780" s="103"/>
      <c r="GD780" s="103"/>
      <c r="GE780" s="103"/>
      <c r="GF780" s="103"/>
      <c r="GG780" s="103"/>
      <c r="GH780" s="103"/>
      <c r="GI780" s="103"/>
      <c r="GJ780" s="103"/>
      <c r="GK780" s="103"/>
      <c r="GL780" s="103"/>
      <c r="GM780" s="103"/>
      <c r="GN780" s="103"/>
      <c r="GO780" s="103"/>
      <c r="GP780" s="103"/>
      <c r="GQ780" s="103"/>
      <c r="GR780" s="208">
        <v>0.125</v>
      </c>
      <c r="GS780" s="203">
        <f>GR780*(BA780+EU780)</f>
        <v>0.17193652263374484</v>
      </c>
      <c r="GT780" s="207">
        <v>0.03</v>
      </c>
      <c r="GU780" s="203">
        <f>GT780*(BA780+EU780)</f>
        <v>4.1264765432098761E-2</v>
      </c>
      <c r="GV780" s="207">
        <v>0.03</v>
      </c>
      <c r="GW780" s="203">
        <f>GV780*EU780</f>
        <v>3.1217765432098761E-2</v>
      </c>
      <c r="GX780" s="203">
        <f>GS780+GU780+GW780</f>
        <v>0.24441905349794235</v>
      </c>
      <c r="GY780" s="103" t="s">
        <v>43</v>
      </c>
      <c r="GZ780" s="103" t="s">
        <v>87</v>
      </c>
      <c r="HA780" s="103">
        <v>650</v>
      </c>
      <c r="HB780" s="103">
        <v>450</v>
      </c>
      <c r="HC780" s="103">
        <v>330</v>
      </c>
      <c r="HD780" s="103">
        <v>1000</v>
      </c>
      <c r="HE780" s="103">
        <v>200</v>
      </c>
      <c r="HF780" s="103">
        <f>ROUNDUP(HE780/HD780,0)</f>
        <v>1</v>
      </c>
      <c r="HG780" s="103">
        <v>5</v>
      </c>
      <c r="HH780" s="103">
        <f>HF780*HG780</f>
        <v>5</v>
      </c>
      <c r="HI780" s="103">
        <v>650</v>
      </c>
      <c r="HJ780" s="103">
        <f>HH780*HI780</f>
        <v>3250</v>
      </c>
      <c r="HK780" s="208">
        <v>0.10249999999999999</v>
      </c>
      <c r="HL780" s="209">
        <f>HJ780+(HK780*HJ780)*HM780</f>
        <v>3916.25</v>
      </c>
      <c r="HM780" s="103">
        <v>2</v>
      </c>
      <c r="HN780" s="103">
        <f>HM780*12*25*HE780</f>
        <v>120000</v>
      </c>
      <c r="HO780" s="203">
        <f>IF(GY780="carton box",HI780/HD780,HL780/HN780)</f>
        <v>3.2635416666666667E-2</v>
      </c>
      <c r="HP780" s="103">
        <v>160</v>
      </c>
      <c r="HQ780" s="103">
        <v>0</v>
      </c>
      <c r="HR780" s="103">
        <v>0.02</v>
      </c>
      <c r="HS780" s="103">
        <v>1</v>
      </c>
      <c r="HT780" s="203">
        <f>HR780/HS780</f>
        <v>0.02</v>
      </c>
      <c r="HU780" s="203"/>
      <c r="HV780" s="203">
        <f>ROUNDUP((HO780+HT780),2)</f>
        <v>6.0000000000000005E-2</v>
      </c>
      <c r="HW780" s="203"/>
      <c r="HX780" s="103">
        <v>4200</v>
      </c>
      <c r="HY780" s="103">
        <v>1900</v>
      </c>
      <c r="HZ780" s="103">
        <v>1975</v>
      </c>
      <c r="IA780" s="103">
        <f>ROUNDDOWN(HX780/HA780,0)</f>
        <v>6</v>
      </c>
      <c r="IB780" s="103">
        <f>ROUNDDOWN(HY780/HB780,0)</f>
        <v>4</v>
      </c>
      <c r="IC780" s="103">
        <f>ROUNDDOWN(HZ780/HC780,0)</f>
        <v>5</v>
      </c>
      <c r="ID780" s="207">
        <v>1</v>
      </c>
      <c r="IE780" s="203">
        <f>ROUND(PRODUCT(IA780:ID780),0)</f>
        <v>120</v>
      </c>
      <c r="IF780" s="103">
        <v>1240</v>
      </c>
      <c r="IG780" s="203">
        <f>ROUNDUP(IF780/(IE780*HD780),2)</f>
        <v>0.02</v>
      </c>
      <c r="IH780" s="203"/>
      <c r="II780" s="208">
        <v>1.7999999999999999E-2</v>
      </c>
      <c r="IJ780" s="203">
        <f>II780*(BA780+EU780)</f>
        <v>2.4758859259259254E-2</v>
      </c>
    </row>
    <row r="781" spans="1:244" ht="30">
      <c r="A781">
        <v>766</v>
      </c>
      <c r="C781" t="s">
        <v>567</v>
      </c>
      <c r="D781" s="28" t="s">
        <v>1587</v>
      </c>
      <c r="E781" s="28" t="s">
        <v>1588</v>
      </c>
      <c r="F781" s="28" t="s">
        <v>2444</v>
      </c>
      <c r="G781" s="27" t="s">
        <v>102</v>
      </c>
      <c r="I781" s="27" t="s">
        <v>226</v>
      </c>
      <c r="J781" s="28">
        <v>21590</v>
      </c>
      <c r="K781" s="27" t="s">
        <v>397</v>
      </c>
      <c r="L781" s="121"/>
      <c r="M781" s="122"/>
      <c r="N781" s="115" t="s">
        <v>1764</v>
      </c>
      <c r="O781" s="115" t="s">
        <v>2747</v>
      </c>
      <c r="P781" s="337">
        <v>43104</v>
      </c>
      <c r="Q781" s="139"/>
      <c r="R781" s="137"/>
      <c r="S781" s="137"/>
      <c r="T781" s="137"/>
      <c r="U781" s="137"/>
      <c r="V781" s="137" t="s">
        <v>2748</v>
      </c>
      <c r="W781" s="140" t="s">
        <v>2921</v>
      </c>
      <c r="X781" s="137"/>
      <c r="Y781" s="137"/>
      <c r="Z781" s="137"/>
      <c r="AA781" s="115"/>
      <c r="AB781" s="354"/>
      <c r="AC781" s="121"/>
      <c r="AD781" s="122"/>
      <c r="AE781" s="220"/>
      <c r="AF781" s="220"/>
      <c r="AG781" s="220"/>
      <c r="AH781" s="220"/>
      <c r="AI781" s="122"/>
      <c r="AJ781" s="122"/>
      <c r="AK781" s="122"/>
      <c r="AL781" s="122"/>
      <c r="AM781" s="122"/>
      <c r="AN781" s="122"/>
      <c r="AO781" s="122"/>
      <c r="AP781" s="122"/>
      <c r="AQ781" s="204">
        <f>SUM(AE781:AP781)</f>
        <v>0</v>
      </c>
      <c r="AR781" s="122"/>
      <c r="AS781" s="122"/>
      <c r="AT781" s="122"/>
      <c r="AU781" s="122"/>
      <c r="AV781" s="204">
        <f>SUM(AQ781:AU781)</f>
        <v>0</v>
      </c>
    </row>
    <row r="782" spans="1:244" ht="45">
      <c r="A782">
        <v>767</v>
      </c>
      <c r="B782" t="s">
        <v>468</v>
      </c>
      <c r="C782" s="121" t="s">
        <v>2934</v>
      </c>
      <c r="D782" s="28" t="s">
        <v>1589</v>
      </c>
      <c r="E782" s="28" t="s">
        <v>1554</v>
      </c>
      <c r="F782" s="28" t="s">
        <v>2182</v>
      </c>
      <c r="G782" s="27" t="s">
        <v>102</v>
      </c>
      <c r="I782" s="27" t="s">
        <v>226</v>
      </c>
      <c r="J782" s="28">
        <v>21590</v>
      </c>
      <c r="K782" s="27" t="s">
        <v>397</v>
      </c>
      <c r="L782" s="121">
        <v>20089</v>
      </c>
      <c r="M782" s="122" t="s">
        <v>2923</v>
      </c>
      <c r="N782" s="115"/>
      <c r="O782" s="115"/>
      <c r="P782" s="115"/>
      <c r="Q782" s="115"/>
      <c r="R782" s="121"/>
      <c r="S782" s="121"/>
      <c r="T782" s="121"/>
      <c r="U782" s="121"/>
      <c r="V782" s="121" t="s">
        <v>2748</v>
      </c>
      <c r="W782" s="218" t="s">
        <v>2926</v>
      </c>
      <c r="X782" s="353"/>
      <c r="Y782" s="353"/>
      <c r="Z782" s="353"/>
      <c r="AA782" s="218" t="s">
        <v>2935</v>
      </c>
      <c r="AB782" s="353">
        <v>79.849999999999994</v>
      </c>
      <c r="AC782" s="121">
        <v>20</v>
      </c>
      <c r="AD782" s="122" t="s">
        <v>2928</v>
      </c>
      <c r="AE782" s="219">
        <f>BA782</f>
        <v>10.3805</v>
      </c>
      <c r="AF782" s="219"/>
      <c r="AG782" s="219">
        <f>EU782+EM782</f>
        <v>5.945555555555555</v>
      </c>
      <c r="AH782" s="219">
        <f>DP782</f>
        <v>0</v>
      </c>
      <c r="AI782" s="219">
        <f>DO782</f>
        <v>0</v>
      </c>
      <c r="AJ782" s="219">
        <f>GW782</f>
        <v>0.17836666666666665</v>
      </c>
      <c r="AK782" s="219">
        <f>GU782</f>
        <v>0.48978166666666667</v>
      </c>
      <c r="AL782" s="219">
        <f>GS782</f>
        <v>2.0407569444444444</v>
      </c>
      <c r="AM782" s="219">
        <f>HV782</f>
        <v>0.16317708333333333</v>
      </c>
      <c r="AN782" s="219">
        <f>IG782</f>
        <v>1.1499999999999999</v>
      </c>
      <c r="AO782" s="220">
        <v>0</v>
      </c>
      <c r="AP782" s="220"/>
      <c r="AQ782" s="219">
        <f>SUM(AE782:AP782)</f>
        <v>20.348137916666662</v>
      </c>
      <c r="AR782" s="202">
        <f>IJ782</f>
        <v>0.29386899999999999</v>
      </c>
      <c r="AS782" s="122"/>
      <c r="AT782" s="122"/>
      <c r="AU782" s="122"/>
      <c r="AV782" s="219">
        <f>SUM(AQ782:AU782)</f>
        <v>20.642006916666663</v>
      </c>
      <c r="AW782" s="122">
        <v>0.13</v>
      </c>
      <c r="AX782" s="122">
        <v>0.13</v>
      </c>
      <c r="AY782" s="210">
        <v>0</v>
      </c>
      <c r="AZ782" s="122">
        <v>0</v>
      </c>
      <c r="BA782" s="202">
        <f>AW782*AB782-AZ782*AC782</f>
        <v>10.3805</v>
      </c>
      <c r="BB782" s="202"/>
      <c r="BC782" s="202"/>
      <c r="BD782" s="202"/>
      <c r="BE782" s="202"/>
      <c r="BF782" s="202"/>
      <c r="BG782" s="202"/>
      <c r="BH782" s="202"/>
      <c r="BI782" s="202"/>
      <c r="BJ782" s="202"/>
      <c r="BK782" s="202"/>
      <c r="BL782" s="202"/>
      <c r="BM782" s="202"/>
      <c r="BN782" s="202"/>
      <c r="BO782" s="202"/>
      <c r="BP782" s="202"/>
      <c r="BQ782" s="202"/>
      <c r="BR782" s="202"/>
      <c r="BS782" s="202"/>
      <c r="BT782" s="202"/>
      <c r="BU782" s="202"/>
      <c r="BV782" s="202"/>
      <c r="BW782" s="202"/>
      <c r="BX782" s="202"/>
      <c r="BY782" s="202"/>
      <c r="BZ782" s="202"/>
      <c r="CA782" s="202"/>
      <c r="CB782" s="202"/>
      <c r="CC782" s="202"/>
      <c r="CD782" s="122"/>
      <c r="CE782" s="122">
        <v>0</v>
      </c>
      <c r="CF782" s="122">
        <v>0</v>
      </c>
      <c r="CG782" s="122">
        <v>0</v>
      </c>
      <c r="CH782" s="122">
        <v>0</v>
      </c>
      <c r="CI782" s="121"/>
      <c r="CJ782" s="121"/>
      <c r="CK782" s="122"/>
      <c r="CL782" s="122"/>
      <c r="CM782" s="122"/>
      <c r="CN782" s="122"/>
      <c r="CO782" s="122"/>
      <c r="CP782" s="122"/>
      <c r="CQ782" s="122"/>
      <c r="CR782" s="122"/>
      <c r="CS782" s="122"/>
      <c r="CT782" s="122"/>
      <c r="CU782" s="122"/>
      <c r="CV782" s="122"/>
      <c r="CW782" s="122"/>
      <c r="CX782" s="122"/>
      <c r="CY782" s="122"/>
      <c r="CZ782" s="122"/>
      <c r="DA782" s="122"/>
      <c r="DB782" s="122"/>
      <c r="DC782" s="122"/>
      <c r="DD782" s="122"/>
      <c r="DE782" s="122"/>
      <c r="DF782" s="122"/>
      <c r="DG782" s="122"/>
      <c r="DH782" s="122"/>
      <c r="DI782" s="122"/>
      <c r="DJ782" s="122"/>
      <c r="DK782" s="122"/>
      <c r="DL782" s="122"/>
      <c r="DM782" s="122">
        <f>CM782+CR782+CW782+DB782+DG782+DL782+CH782</f>
        <v>0</v>
      </c>
      <c r="DN782" s="211">
        <v>1.2500000000000001E-2</v>
      </c>
      <c r="DO782" s="202">
        <f>DM782*DN782</f>
        <v>0</v>
      </c>
      <c r="DP782" s="202">
        <f>DM782+DO782</f>
        <v>0</v>
      </c>
      <c r="DQ782" s="122"/>
      <c r="DR782" s="122"/>
      <c r="DS782" s="122"/>
      <c r="DT782" s="122"/>
      <c r="DU782" s="122"/>
      <c r="DV782" s="122"/>
      <c r="DW782" s="122"/>
      <c r="DX782" s="122"/>
      <c r="DY782" s="122"/>
      <c r="DZ782" s="122"/>
      <c r="EA782" s="122"/>
      <c r="EB782" s="122"/>
      <c r="EC782" s="122"/>
      <c r="ED782" s="122"/>
      <c r="EE782" s="122"/>
      <c r="EF782" s="122">
        <v>150</v>
      </c>
      <c r="EG782" s="122">
        <v>1950</v>
      </c>
      <c r="EH782" s="122">
        <v>7.5</v>
      </c>
      <c r="EI782" s="210">
        <v>0.9</v>
      </c>
      <c r="EJ782" s="122">
        <v>1</v>
      </c>
      <c r="EK782" s="122">
        <v>60</v>
      </c>
      <c r="EL782" s="221">
        <f>(3600/EK782*EH782*EJ782*EI782)</f>
        <v>405</v>
      </c>
      <c r="EM782" s="122"/>
      <c r="EN782" s="122"/>
      <c r="EO782" s="122"/>
      <c r="EP782" s="122"/>
      <c r="EQ782" s="122"/>
      <c r="ER782" s="122"/>
      <c r="ES782" s="122"/>
      <c r="ET782" s="122"/>
      <c r="EU782" s="202">
        <f>EG782/EL782+EV782+EW782</f>
        <v>5.945555555555555</v>
      </c>
      <c r="EV782" s="202">
        <f>300/EL782</f>
        <v>0.7407407407407407</v>
      </c>
      <c r="EW782" s="202">
        <f>3*AW782</f>
        <v>0.39</v>
      </c>
      <c r="EX782" s="122"/>
      <c r="EY782" s="122"/>
      <c r="EZ782" s="122"/>
      <c r="FA782" s="122"/>
      <c r="FB782" s="122"/>
      <c r="FC782" s="122"/>
      <c r="FD782" s="122"/>
      <c r="FE782" s="122"/>
      <c r="FF782" s="122"/>
      <c r="FG782" s="122"/>
      <c r="FH782" s="122"/>
      <c r="FI782" s="122"/>
      <c r="FJ782" s="122"/>
      <c r="FK782" s="122"/>
      <c r="FL782" s="122"/>
      <c r="FM782" s="122"/>
      <c r="FN782" s="122"/>
      <c r="FO782" s="122"/>
      <c r="FP782" s="122"/>
      <c r="FQ782" s="122"/>
      <c r="FR782" s="122"/>
      <c r="FS782" s="122"/>
      <c r="FT782" s="122"/>
      <c r="FU782" s="122"/>
      <c r="FV782" s="122"/>
      <c r="FW782" s="122"/>
      <c r="FX782" s="122"/>
      <c r="FY782" s="122"/>
      <c r="FZ782" s="122"/>
      <c r="GA782" s="122"/>
      <c r="GB782" s="122"/>
      <c r="GC782" s="122"/>
      <c r="GD782" s="122"/>
      <c r="GE782" s="122"/>
      <c r="GF782" s="122"/>
      <c r="GG782" s="122"/>
      <c r="GH782" s="122"/>
      <c r="GI782" s="122"/>
      <c r="GJ782" s="122"/>
      <c r="GK782" s="122"/>
      <c r="GL782" s="122"/>
      <c r="GM782" s="122"/>
      <c r="GN782" s="122"/>
      <c r="GO782" s="122"/>
      <c r="GP782" s="122"/>
      <c r="GQ782" s="122"/>
      <c r="GR782" s="211">
        <v>0.125</v>
      </c>
      <c r="GS782" s="202">
        <f>GR782*(BA782+EU782)</f>
        <v>2.0407569444444444</v>
      </c>
      <c r="GT782" s="210">
        <v>0.03</v>
      </c>
      <c r="GU782" s="202">
        <f>GT782*(BA782+EU782)</f>
        <v>0.48978166666666667</v>
      </c>
      <c r="GV782" s="210">
        <v>0.03</v>
      </c>
      <c r="GW782" s="202">
        <f>GV782*EU782</f>
        <v>0.17836666666666665</v>
      </c>
      <c r="GX782" s="202">
        <f>GS782+GU782+GW782</f>
        <v>2.7089052777777778</v>
      </c>
      <c r="GY782" s="122" t="s">
        <v>43</v>
      </c>
      <c r="GZ782" s="122" t="s">
        <v>87</v>
      </c>
      <c r="HA782" s="122">
        <v>650</v>
      </c>
      <c r="HB782" s="122">
        <v>450</v>
      </c>
      <c r="HC782" s="122">
        <v>330</v>
      </c>
      <c r="HD782" s="122">
        <v>40</v>
      </c>
      <c r="HE782" s="122">
        <v>400</v>
      </c>
      <c r="HF782" s="122">
        <f>ROUNDUP(HE782/HD782,0)</f>
        <v>10</v>
      </c>
      <c r="HG782" s="122">
        <v>5</v>
      </c>
      <c r="HH782" s="122">
        <f>HF782*HG782</f>
        <v>50</v>
      </c>
      <c r="HI782" s="122">
        <v>650</v>
      </c>
      <c r="HJ782" s="122">
        <f>HH782*HI782</f>
        <v>32500</v>
      </c>
      <c r="HK782" s="211">
        <v>0.10249999999999999</v>
      </c>
      <c r="HL782" s="221">
        <f>HJ782+(HK782*HJ782)*HM782</f>
        <v>39162.5</v>
      </c>
      <c r="HM782" s="122">
        <v>2</v>
      </c>
      <c r="HN782" s="122">
        <f>HM782*12*25*HE782</f>
        <v>240000</v>
      </c>
      <c r="HO782" s="202">
        <f>IF(GY782="carton box",HI782/HD782,HL782/HN782)</f>
        <v>0.16317708333333333</v>
      </c>
      <c r="HP782" s="122">
        <v>160</v>
      </c>
      <c r="HQ782" s="122">
        <v>0</v>
      </c>
      <c r="HR782" s="122">
        <v>0</v>
      </c>
      <c r="HS782" s="122">
        <v>0</v>
      </c>
      <c r="HT782" s="122">
        <v>0</v>
      </c>
      <c r="HU782" s="122"/>
      <c r="HV782" s="202">
        <f>HO782+HT782</f>
        <v>0.16317708333333333</v>
      </c>
      <c r="HW782" s="202"/>
      <c r="HX782" s="122"/>
      <c r="HY782" s="122"/>
      <c r="HZ782" s="122"/>
      <c r="IA782" s="122"/>
      <c r="IB782" s="122"/>
      <c r="IC782" s="122"/>
      <c r="ID782" s="122"/>
      <c r="IE782" s="122"/>
      <c r="IF782" s="122"/>
      <c r="IG782" s="122">
        <v>1.1499999999999999</v>
      </c>
      <c r="IH782" s="122"/>
      <c r="II782" s="211">
        <v>1.7999999999999999E-2</v>
      </c>
      <c r="IJ782" s="202">
        <f>II782*(BA782+EU782)</f>
        <v>0.29386899999999999</v>
      </c>
    </row>
    <row r="783" spans="1:244">
      <c r="A783">
        <v>768</v>
      </c>
      <c r="B783" t="s">
        <v>468</v>
      </c>
      <c r="C783" s="137" t="s">
        <v>2936</v>
      </c>
      <c r="D783" s="28" t="s">
        <v>1590</v>
      </c>
      <c r="E783" s="28" t="s">
        <v>140</v>
      </c>
      <c r="F783" s="28" t="s">
        <v>2182</v>
      </c>
      <c r="G783" s="27" t="s">
        <v>102</v>
      </c>
      <c r="I783" s="27" t="s">
        <v>121</v>
      </c>
      <c r="J783" s="28">
        <v>21677</v>
      </c>
      <c r="K783" s="27" t="s">
        <v>228</v>
      </c>
      <c r="L783" s="137">
        <v>21554</v>
      </c>
      <c r="M783" s="137" t="s">
        <v>2930</v>
      </c>
      <c r="N783" s="139"/>
      <c r="O783" s="139"/>
      <c r="P783" s="139"/>
      <c r="Q783" s="139" t="s">
        <v>2805</v>
      </c>
      <c r="R783" s="137" t="s">
        <v>2924</v>
      </c>
      <c r="S783" s="137" t="s">
        <v>2937</v>
      </c>
      <c r="T783" s="137" t="s">
        <v>2762</v>
      </c>
      <c r="U783" s="338">
        <v>43747</v>
      </c>
      <c r="V783" s="137" t="s">
        <v>2748</v>
      </c>
      <c r="W783" s="140"/>
      <c r="X783" s="137"/>
      <c r="Y783" s="137"/>
      <c r="Z783" s="137"/>
      <c r="AA783" s="140" t="s">
        <v>2938</v>
      </c>
      <c r="AB783" s="354">
        <v>285</v>
      </c>
      <c r="AC783" s="137">
        <v>0</v>
      </c>
      <c r="AD783" s="103"/>
      <c r="AE783" s="204">
        <f>BA783</f>
        <v>3.99</v>
      </c>
      <c r="AF783" s="204"/>
      <c r="AG783" s="204">
        <f>EU783+EM783+EP783+EQ783</f>
        <v>2.0611111111111113</v>
      </c>
      <c r="AH783" s="204">
        <f>DP783</f>
        <v>0</v>
      </c>
      <c r="AI783" s="204">
        <f>DO783</f>
        <v>0</v>
      </c>
      <c r="AJ783" s="204">
        <f>GW783</f>
        <v>2.2222222222222223E-2</v>
      </c>
      <c r="AK783" s="204">
        <f>GU783</f>
        <v>0.12102222222222223</v>
      </c>
      <c r="AL783" s="204">
        <f>GS783</f>
        <v>0.66562222222222223</v>
      </c>
      <c r="AM783" s="204">
        <f>HV783</f>
        <v>1.3541666666666667E-2</v>
      </c>
      <c r="AN783" s="204">
        <f>IG783</f>
        <v>0.01</v>
      </c>
      <c r="AO783" s="205">
        <v>0</v>
      </c>
      <c r="AP783" s="205"/>
      <c r="AQ783" s="204">
        <f>SUM(AE783:AP783)</f>
        <v>6.8835194444444445</v>
      </c>
      <c r="AR783" s="203">
        <f>IJ783</f>
        <v>0</v>
      </c>
      <c r="AS783" s="103"/>
      <c r="AT783" s="103"/>
      <c r="AU783" s="103"/>
      <c r="AV783" s="204">
        <f>SUM(AQ783:AU783)</f>
        <v>6.8835194444444445</v>
      </c>
      <c r="AW783" s="103">
        <v>1.4E-2</v>
      </c>
      <c r="AX783" s="103">
        <v>1.0999999999999999E-2</v>
      </c>
      <c r="AY783" s="207">
        <v>0</v>
      </c>
      <c r="AZ783" s="103">
        <f>AW783-AX783</f>
        <v>3.0000000000000009E-3</v>
      </c>
      <c r="BA783" s="203">
        <f>AW783*AB783-AZ783*AC783</f>
        <v>3.99</v>
      </c>
      <c r="BB783" s="203"/>
      <c r="BC783" s="203"/>
      <c r="BD783" s="203"/>
      <c r="BE783" s="203"/>
      <c r="BF783" s="203"/>
      <c r="BG783" s="203"/>
      <c r="BH783" s="203"/>
      <c r="BI783" s="203"/>
      <c r="BJ783" s="203"/>
      <c r="BK783" s="203"/>
      <c r="BL783" s="203"/>
      <c r="BM783" s="203"/>
      <c r="BN783" s="203"/>
      <c r="BO783" s="203"/>
      <c r="BP783" s="203"/>
      <c r="BQ783" s="203"/>
      <c r="BR783" s="203"/>
      <c r="BS783" s="203"/>
      <c r="BT783" s="203"/>
      <c r="BU783" s="203"/>
      <c r="BV783" s="203"/>
      <c r="BW783" s="203"/>
      <c r="BX783" s="203"/>
      <c r="BY783" s="203"/>
      <c r="BZ783" s="203"/>
      <c r="CA783" s="203"/>
      <c r="CB783" s="203"/>
      <c r="CC783" s="203"/>
      <c r="CD783" s="103"/>
      <c r="CE783" s="103">
        <v>0</v>
      </c>
      <c r="CF783" s="103">
        <v>0</v>
      </c>
      <c r="CG783" s="103">
        <v>0</v>
      </c>
      <c r="CH783" s="103">
        <v>0</v>
      </c>
      <c r="CI783" s="137"/>
      <c r="CJ783" s="137"/>
      <c r="CK783" s="103"/>
      <c r="CL783" s="103"/>
      <c r="CM783" s="103"/>
      <c r="CN783" s="103"/>
      <c r="CO783" s="103"/>
      <c r="CP783" s="103"/>
      <c r="CQ783" s="103"/>
      <c r="CR783" s="103"/>
      <c r="CS783" s="103"/>
      <c r="CT783" s="103"/>
      <c r="CU783" s="103"/>
      <c r="CV783" s="103"/>
      <c r="CW783" s="103"/>
      <c r="CX783" s="103"/>
      <c r="CY783" s="103"/>
      <c r="CZ783" s="103"/>
      <c r="DA783" s="103"/>
      <c r="DB783" s="103"/>
      <c r="DC783" s="103"/>
      <c r="DD783" s="103"/>
      <c r="DE783" s="103"/>
      <c r="DF783" s="103"/>
      <c r="DG783" s="103"/>
      <c r="DH783" s="103"/>
      <c r="DI783" s="103"/>
      <c r="DJ783" s="103"/>
      <c r="DK783" s="103"/>
      <c r="DL783" s="103"/>
      <c r="DM783" s="103">
        <f>CM783+CR783+CW783+DB783+DG783+DL783+CH783</f>
        <v>0</v>
      </c>
      <c r="DN783" s="208">
        <v>1.2500000000000001E-2</v>
      </c>
      <c r="DO783" s="203">
        <f>DM783*DN783</f>
        <v>0</v>
      </c>
      <c r="DP783" s="203">
        <f>DM783+DO783</f>
        <v>0</v>
      </c>
      <c r="DQ783" s="103"/>
      <c r="DR783" s="103"/>
      <c r="DS783" s="103"/>
      <c r="DT783" s="103"/>
      <c r="DU783" s="103"/>
      <c r="DV783" s="103"/>
      <c r="DW783" s="103"/>
      <c r="DX783" s="103"/>
      <c r="DY783" s="103"/>
      <c r="DZ783" s="103"/>
      <c r="EA783" s="103"/>
      <c r="EB783" s="103"/>
      <c r="EC783" s="103"/>
      <c r="ED783" s="103"/>
      <c r="EE783" s="103"/>
      <c r="EF783" s="103">
        <v>160</v>
      </c>
      <c r="EG783" s="103">
        <v>2560</v>
      </c>
      <c r="EH783" s="103">
        <v>8</v>
      </c>
      <c r="EI783" s="207">
        <v>0.85</v>
      </c>
      <c r="EJ783" s="103">
        <v>8</v>
      </c>
      <c r="EK783" s="103">
        <v>85</v>
      </c>
      <c r="EL783" s="209">
        <f>(3600/EK783*EH783*EJ783*EI783)</f>
        <v>2304</v>
      </c>
      <c r="EM783" s="103"/>
      <c r="EN783" s="103"/>
      <c r="EO783" s="103"/>
      <c r="EP783" s="103">
        <v>0.8</v>
      </c>
      <c r="EQ783" s="103">
        <v>0.15</v>
      </c>
      <c r="ER783" s="103"/>
      <c r="ES783" s="103"/>
      <c r="ET783" s="103"/>
      <c r="EU783" s="203">
        <f>EG783/EL783</f>
        <v>1.1111111111111112</v>
      </c>
      <c r="EV783" s="103"/>
      <c r="EW783" s="103"/>
      <c r="EX783" s="103"/>
      <c r="EY783" s="103"/>
      <c r="EZ783" s="103"/>
      <c r="FA783" s="103"/>
      <c r="FB783" s="103"/>
      <c r="FC783" s="103"/>
      <c r="FD783" s="103"/>
      <c r="FE783" s="103"/>
      <c r="FF783" s="103"/>
      <c r="FG783" s="103"/>
      <c r="FH783" s="103"/>
      <c r="FI783" s="103"/>
      <c r="FJ783" s="103"/>
      <c r="FK783" s="103"/>
      <c r="FL783" s="103"/>
      <c r="FM783" s="103"/>
      <c r="FN783" s="103"/>
      <c r="FO783" s="103"/>
      <c r="FP783" s="103"/>
      <c r="FQ783" s="103"/>
      <c r="FR783" s="103"/>
      <c r="FS783" s="103"/>
      <c r="FT783" s="103"/>
      <c r="FU783" s="103"/>
      <c r="FV783" s="103"/>
      <c r="FW783" s="103"/>
      <c r="FX783" s="103"/>
      <c r="FY783" s="103"/>
      <c r="FZ783" s="103"/>
      <c r="GA783" s="103"/>
      <c r="GB783" s="103"/>
      <c r="GC783" s="103"/>
      <c r="GD783" s="103"/>
      <c r="GE783" s="103"/>
      <c r="GF783" s="103"/>
      <c r="GG783" s="103"/>
      <c r="GH783" s="103"/>
      <c r="GI783" s="103"/>
      <c r="GJ783" s="103"/>
      <c r="GK783" s="103"/>
      <c r="GL783" s="103"/>
      <c r="GM783" s="103"/>
      <c r="GN783" s="103"/>
      <c r="GO783" s="103"/>
      <c r="GP783" s="103"/>
      <c r="GQ783" s="103"/>
      <c r="GR783" s="207">
        <v>0.11</v>
      </c>
      <c r="GS783" s="203">
        <f>GR783*(EU783+BA783+EP783+EQ783)</f>
        <v>0.66562222222222223</v>
      </c>
      <c r="GT783" s="208">
        <v>0.02</v>
      </c>
      <c r="GU783" s="203">
        <f>GT783*(BA783+EU783+EP783+EQ783)</f>
        <v>0.12102222222222223</v>
      </c>
      <c r="GV783" s="207">
        <v>0.02</v>
      </c>
      <c r="GW783" s="203">
        <f>GV783*EU783</f>
        <v>2.2222222222222223E-2</v>
      </c>
      <c r="GX783" s="203">
        <f>GS783+GU783+GW783</f>
        <v>0.80886666666666673</v>
      </c>
      <c r="GY783" s="103" t="s">
        <v>43</v>
      </c>
      <c r="GZ783" s="103" t="s">
        <v>87</v>
      </c>
      <c r="HA783" s="103">
        <v>650</v>
      </c>
      <c r="HB783" s="103">
        <v>450</v>
      </c>
      <c r="HC783" s="103">
        <v>315</v>
      </c>
      <c r="HD783" s="103">
        <v>400</v>
      </c>
      <c r="HE783" s="103">
        <v>800</v>
      </c>
      <c r="HF783" s="103">
        <f>ROUNDUP(HE783/HD783,0)</f>
        <v>2</v>
      </c>
      <c r="HG783" s="103">
        <v>5</v>
      </c>
      <c r="HH783" s="103">
        <f>HF783*HG783</f>
        <v>10</v>
      </c>
      <c r="HI783" s="103">
        <v>650</v>
      </c>
      <c r="HJ783" s="103">
        <f>HH783*HI783</f>
        <v>6500</v>
      </c>
      <c r="HK783" s="103"/>
      <c r="HL783" s="103"/>
      <c r="HM783" s="103">
        <v>2</v>
      </c>
      <c r="HN783" s="103">
        <f>HM783*12*25*HE783</f>
        <v>480000</v>
      </c>
      <c r="HO783" s="203">
        <f>IF(GY783="carton box",HI783/HD783,HJ783/HN783)</f>
        <v>1.3541666666666667E-2</v>
      </c>
      <c r="HP783" s="103">
        <v>160</v>
      </c>
      <c r="HQ783" s="103">
        <v>0</v>
      </c>
      <c r="HR783" s="103">
        <v>0</v>
      </c>
      <c r="HS783" s="103">
        <v>0</v>
      </c>
      <c r="HT783" s="103">
        <v>0</v>
      </c>
      <c r="HU783" s="103"/>
      <c r="HV783" s="203">
        <f>HO783+HT783</f>
        <v>1.3541666666666667E-2</v>
      </c>
      <c r="HW783" s="203"/>
      <c r="HX783" s="103">
        <v>5016</v>
      </c>
      <c r="HY783" s="103">
        <v>1976</v>
      </c>
      <c r="HZ783" s="103">
        <v>2280</v>
      </c>
      <c r="IA783" s="103">
        <f>ROUNDDOWN(HX783/HA783,0)</f>
        <v>7</v>
      </c>
      <c r="IB783" s="103">
        <f>ROUNDDOWN(HY783/HB783,0)</f>
        <v>4</v>
      </c>
      <c r="IC783" s="103">
        <f>ROUNDDOWN(HZ783/HC783,0)</f>
        <v>7</v>
      </c>
      <c r="ID783" s="207">
        <v>1</v>
      </c>
      <c r="IE783" s="203">
        <f>ROUND(PRODUCT(IA783:ID783),0)</f>
        <v>196</v>
      </c>
      <c r="IF783" s="103">
        <v>500</v>
      </c>
      <c r="IG783" s="203">
        <f>ROUNDUP(IF783/(IE783*HD783),2)</f>
        <v>0.01</v>
      </c>
      <c r="IH783" s="368"/>
    </row>
    <row r="784" spans="1:244">
      <c r="A784">
        <v>769</v>
      </c>
      <c r="B784" s="328" t="s">
        <v>1947</v>
      </c>
      <c r="D784" s="28" t="s">
        <v>1590</v>
      </c>
      <c r="E784" s="28" t="s">
        <v>140</v>
      </c>
      <c r="F784" s="28" t="s">
        <v>1947</v>
      </c>
      <c r="G784" s="27" t="s">
        <v>102</v>
      </c>
      <c r="I784" s="27" t="s">
        <v>121</v>
      </c>
      <c r="J784" s="28">
        <v>21758</v>
      </c>
      <c r="K784" s="27" t="s">
        <v>398</v>
      </c>
    </row>
    <row r="785" spans="1:244">
      <c r="A785">
        <v>770</v>
      </c>
      <c r="B785" s="328" t="s">
        <v>1947</v>
      </c>
      <c r="D785" s="28" t="s">
        <v>1591</v>
      </c>
      <c r="E785" s="28" t="s">
        <v>1592</v>
      </c>
      <c r="F785" s="28" t="s">
        <v>1947</v>
      </c>
      <c r="G785" s="27" t="s">
        <v>102</v>
      </c>
      <c r="I785" s="27" t="s">
        <v>121</v>
      </c>
      <c r="J785" s="28">
        <v>20900</v>
      </c>
      <c r="K785" s="27" t="s">
        <v>1246</v>
      </c>
    </row>
    <row r="786" spans="1:244">
      <c r="A786">
        <v>771</v>
      </c>
      <c r="B786" s="328" t="s">
        <v>1947</v>
      </c>
      <c r="D786" s="28" t="s">
        <v>1591</v>
      </c>
      <c r="E786" s="28" t="s">
        <v>1592</v>
      </c>
      <c r="F786" s="28" t="s">
        <v>1947</v>
      </c>
      <c r="G786" s="27" t="s">
        <v>102</v>
      </c>
      <c r="I786" s="27" t="s">
        <v>121</v>
      </c>
      <c r="J786" s="28">
        <v>21554</v>
      </c>
      <c r="K786" s="27" t="s">
        <v>228</v>
      </c>
    </row>
    <row r="787" spans="1:244">
      <c r="A787">
        <v>772</v>
      </c>
      <c r="B787" t="s">
        <v>468</v>
      </c>
      <c r="C787" s="121" t="s">
        <v>2939</v>
      </c>
      <c r="D787" s="28" t="s">
        <v>1593</v>
      </c>
      <c r="E787" s="28" t="s">
        <v>1594</v>
      </c>
      <c r="F787" s="28" t="s">
        <v>2182</v>
      </c>
      <c r="G787" s="27" t="s">
        <v>102</v>
      </c>
      <c r="I787" s="27" t="s">
        <v>226</v>
      </c>
      <c r="J787" s="28">
        <v>21691</v>
      </c>
      <c r="K787" s="27" t="s">
        <v>404</v>
      </c>
      <c r="L787" s="121"/>
      <c r="M787" s="121"/>
      <c r="N787" s="115"/>
      <c r="O787" s="115"/>
      <c r="P787" s="115"/>
      <c r="Q787" s="115" t="s">
        <v>2484</v>
      </c>
      <c r="R787" s="121" t="s">
        <v>2779</v>
      </c>
      <c r="S787" s="121" t="s">
        <v>2940</v>
      </c>
      <c r="T787" s="121"/>
      <c r="U787" s="326"/>
      <c r="V787" s="121" t="s">
        <v>2748</v>
      </c>
      <c r="W787" s="218"/>
      <c r="X787" s="121"/>
      <c r="Y787" s="121"/>
      <c r="Z787" s="121"/>
      <c r="AA787" s="320" t="s">
        <v>2941</v>
      </c>
      <c r="AB787" s="354">
        <v>760</v>
      </c>
      <c r="AC787" s="121">
        <v>20</v>
      </c>
      <c r="AD787" s="122"/>
      <c r="AE787" s="219">
        <f>BA787</f>
        <v>21.437999999999999</v>
      </c>
      <c r="AF787" s="219"/>
      <c r="AG787" s="219">
        <f>EU787+EM787</f>
        <v>2.0102339181286548</v>
      </c>
      <c r="AH787" s="219">
        <f>DP787</f>
        <v>0</v>
      </c>
      <c r="AI787" s="219">
        <f>DO787</f>
        <v>0</v>
      </c>
      <c r="AJ787" s="219">
        <f>GW787</f>
        <v>4.0204678362573097E-2</v>
      </c>
      <c r="AK787" s="219">
        <f>GU787</f>
        <v>0.2931029239766082</v>
      </c>
      <c r="AL787" s="219">
        <f>GS787</f>
        <v>2.5793057309941521</v>
      </c>
      <c r="AM787" s="219">
        <f>HV787</f>
        <v>0.10951666666666666</v>
      </c>
      <c r="AN787" s="219">
        <f>IG787</f>
        <v>2.5000000000000001E-2</v>
      </c>
      <c r="AO787" s="220">
        <v>0</v>
      </c>
      <c r="AP787" s="220"/>
      <c r="AQ787" s="204">
        <f>SUM(AE787:AP787)</f>
        <v>26.495363918128657</v>
      </c>
      <c r="AR787" s="122"/>
      <c r="AS787" s="122"/>
      <c r="AT787" s="122"/>
      <c r="AU787" s="122"/>
      <c r="AV787" s="204">
        <f>SUM(AQ787:AU787)</f>
        <v>26.495363918128657</v>
      </c>
      <c r="AW787" s="230">
        <v>2.8299999999999999E-2</v>
      </c>
      <c r="AX787" s="122">
        <v>2.4799999999999999E-2</v>
      </c>
      <c r="AY787" s="207">
        <v>1</v>
      </c>
      <c r="AZ787" s="103">
        <f>AW787-AX787</f>
        <v>3.4999999999999996E-3</v>
      </c>
      <c r="BA787" s="203">
        <f>AW787*AB787-AZ787*AC787</f>
        <v>21.437999999999999</v>
      </c>
      <c r="BB787" s="203"/>
      <c r="BC787" s="203"/>
      <c r="BD787" s="203"/>
      <c r="BE787" s="203"/>
      <c r="BF787" s="203"/>
      <c r="BG787" s="203"/>
      <c r="BH787" s="203"/>
      <c r="BI787" s="203"/>
      <c r="BJ787" s="203"/>
      <c r="BK787" s="203"/>
      <c r="BL787" s="203"/>
      <c r="BM787" s="203"/>
      <c r="BN787" s="203"/>
      <c r="BO787" s="203"/>
      <c r="BP787" s="203"/>
      <c r="BQ787" s="203"/>
      <c r="BR787" s="203"/>
      <c r="BS787" s="203"/>
      <c r="BT787" s="203"/>
      <c r="BU787" s="203"/>
      <c r="BV787" s="203"/>
      <c r="BW787" s="203"/>
      <c r="BX787" s="203"/>
      <c r="BY787" s="203"/>
      <c r="BZ787" s="203"/>
      <c r="CA787" s="203"/>
      <c r="CB787" s="203"/>
      <c r="CC787" s="203"/>
      <c r="CD787" s="122"/>
      <c r="CE787" s="122">
        <v>0</v>
      </c>
      <c r="CF787" s="122">
        <v>0</v>
      </c>
      <c r="CG787" s="122">
        <v>0</v>
      </c>
      <c r="CH787" s="122">
        <v>0</v>
      </c>
      <c r="CI787" s="121"/>
      <c r="CJ787" s="121"/>
      <c r="CK787" s="122"/>
      <c r="CL787" s="122"/>
      <c r="CM787" s="122"/>
      <c r="CN787" s="122"/>
      <c r="CO787" s="122"/>
      <c r="CP787" s="122"/>
      <c r="CQ787" s="122"/>
      <c r="CR787" s="122"/>
      <c r="CS787" s="122"/>
      <c r="CT787" s="122"/>
      <c r="CU787" s="122"/>
      <c r="CV787" s="122"/>
      <c r="CW787" s="122"/>
      <c r="CX787" s="122"/>
      <c r="CY787" s="122"/>
      <c r="CZ787" s="122"/>
      <c r="DA787" s="122"/>
      <c r="DB787" s="122"/>
      <c r="DC787" s="122"/>
      <c r="DD787" s="122"/>
      <c r="DE787" s="122"/>
      <c r="DF787" s="122"/>
      <c r="DG787" s="122"/>
      <c r="DH787" s="122"/>
      <c r="DI787" s="122"/>
      <c r="DJ787" s="122"/>
      <c r="DK787" s="122"/>
      <c r="DL787" s="122"/>
      <c r="DM787" s="103">
        <f>CM787+CR787+CW787+DB787+DG787+DL787+CH787</f>
        <v>0</v>
      </c>
      <c r="DN787" s="208">
        <v>1.2500000000000001E-2</v>
      </c>
      <c r="DO787" s="203">
        <f>DM787*DN787</f>
        <v>0</v>
      </c>
      <c r="DP787" s="203">
        <f>DM787+DO787</f>
        <v>0</v>
      </c>
      <c r="DQ787" s="122"/>
      <c r="DR787" s="122"/>
      <c r="DS787" s="122"/>
      <c r="DT787" s="122"/>
      <c r="DU787" s="122"/>
      <c r="DV787" s="122"/>
      <c r="DW787" s="122"/>
      <c r="DX787" s="122"/>
      <c r="DY787" s="122"/>
      <c r="DZ787" s="122"/>
      <c r="EA787" s="122"/>
      <c r="EB787" s="122"/>
      <c r="EC787" s="122"/>
      <c r="ED787" s="122"/>
      <c r="EE787" s="122"/>
      <c r="EF787" s="122">
        <v>200</v>
      </c>
      <c r="EG787" s="122">
        <v>2000</v>
      </c>
      <c r="EH787" s="122">
        <v>8</v>
      </c>
      <c r="EI787" s="210">
        <v>0.95</v>
      </c>
      <c r="EJ787" s="122">
        <v>2</v>
      </c>
      <c r="EK787" s="122">
        <v>55</v>
      </c>
      <c r="EL787" s="209">
        <f>(3600/EK787*EH787*EJ787*EI787)</f>
        <v>994.90909090909088</v>
      </c>
      <c r="EM787" s="122"/>
      <c r="EN787" s="122"/>
      <c r="EO787" s="122"/>
      <c r="EP787" s="122"/>
      <c r="EQ787" s="122"/>
      <c r="ER787" s="122"/>
      <c r="ES787" s="122"/>
      <c r="ET787" s="122"/>
      <c r="EU787" s="203">
        <f>EG787/EL787+EV787+EW787</f>
        <v>2.0102339181286548</v>
      </c>
      <c r="EV787" s="122"/>
      <c r="EW787" s="122"/>
      <c r="EX787" s="122"/>
      <c r="EY787" s="122"/>
      <c r="EZ787" s="122"/>
      <c r="FA787" s="122"/>
      <c r="FB787" s="122"/>
      <c r="FC787" s="122"/>
      <c r="FD787" s="122"/>
      <c r="FE787" s="122"/>
      <c r="FF787" s="122"/>
      <c r="FG787" s="122"/>
      <c r="FH787" s="122"/>
      <c r="FI787" s="122"/>
      <c r="FJ787" s="122"/>
      <c r="FK787" s="122"/>
      <c r="FL787" s="122"/>
      <c r="FM787" s="122"/>
      <c r="FN787" s="122"/>
      <c r="FO787" s="122"/>
      <c r="FP787" s="122"/>
      <c r="FQ787" s="122"/>
      <c r="FR787" s="122"/>
      <c r="FS787" s="122"/>
      <c r="FT787" s="122"/>
      <c r="FU787" s="122"/>
      <c r="FV787" s="122"/>
      <c r="FW787" s="122"/>
      <c r="FX787" s="122"/>
      <c r="FY787" s="122"/>
      <c r="FZ787" s="122"/>
      <c r="GA787" s="122"/>
      <c r="GB787" s="122"/>
      <c r="GC787" s="122"/>
      <c r="GD787" s="122"/>
      <c r="GE787" s="122"/>
      <c r="GF787" s="122"/>
      <c r="GG787" s="122"/>
      <c r="GH787" s="122"/>
      <c r="GI787" s="122"/>
      <c r="GJ787" s="122"/>
      <c r="GK787" s="122"/>
      <c r="GL787" s="122"/>
      <c r="GM787" s="122"/>
      <c r="GN787" s="122"/>
      <c r="GO787" s="122"/>
      <c r="GP787" s="122"/>
      <c r="GQ787" s="122"/>
      <c r="GR787" s="210">
        <v>0.11</v>
      </c>
      <c r="GS787" s="202">
        <f>GR787*(BA787+EU787)</f>
        <v>2.5793057309941521</v>
      </c>
      <c r="GT787" s="208">
        <v>1.2500000000000001E-2</v>
      </c>
      <c r="GU787" s="203">
        <f>GT787*(BA787+EU787)</f>
        <v>0.2931029239766082</v>
      </c>
      <c r="GV787" s="207">
        <v>0.02</v>
      </c>
      <c r="GW787" s="203">
        <f>GV787*EU787</f>
        <v>4.0204678362573097E-2</v>
      </c>
      <c r="GX787" s="203">
        <f>GS787+GU787+GW787</f>
        <v>2.9126133333333333</v>
      </c>
      <c r="GY787" s="122" t="s">
        <v>43</v>
      </c>
      <c r="GZ787" s="122" t="s">
        <v>87</v>
      </c>
      <c r="HA787" s="122">
        <v>805</v>
      </c>
      <c r="HB787" s="122">
        <v>675</v>
      </c>
      <c r="HC787" s="122">
        <v>405</v>
      </c>
      <c r="HD787" s="122">
        <v>400</v>
      </c>
      <c r="HE787" s="122">
        <v>400</v>
      </c>
      <c r="HF787" s="103">
        <f>ROUNDUP(HE787/HD787,0)</f>
        <v>1</v>
      </c>
      <c r="HG787" s="122">
        <v>5</v>
      </c>
      <c r="HH787" s="103">
        <f>HF787*HG787</f>
        <v>5</v>
      </c>
      <c r="HI787" s="122">
        <v>1100</v>
      </c>
      <c r="HJ787" s="103">
        <f>HH787*HI787</f>
        <v>5500</v>
      </c>
      <c r="HK787" s="122"/>
      <c r="HL787" s="122"/>
      <c r="HM787" s="122">
        <v>2</v>
      </c>
      <c r="HN787" s="103">
        <f>HM787*12*25*HE787</f>
        <v>240000</v>
      </c>
      <c r="HO787" s="202">
        <f>IF(GY787="carton box",HI787/HD787,HJ787/HN787)</f>
        <v>2.2916666666666665E-2</v>
      </c>
      <c r="HP787" s="122">
        <v>160</v>
      </c>
      <c r="HQ787" s="122">
        <v>0</v>
      </c>
      <c r="HR787" s="122">
        <v>4.33</v>
      </c>
      <c r="HS787" s="122">
        <v>50</v>
      </c>
      <c r="HT787" s="336">
        <f>HR787/HS787</f>
        <v>8.6599999999999996E-2</v>
      </c>
      <c r="HU787" s="336"/>
      <c r="HV787" s="202">
        <f>HO787+HT787</f>
        <v>0.10951666666666666</v>
      </c>
      <c r="HW787" s="202"/>
      <c r="HX787" s="122">
        <v>5016</v>
      </c>
      <c r="HY787" s="122">
        <v>1976</v>
      </c>
      <c r="HZ787" s="122">
        <v>2280</v>
      </c>
      <c r="IA787" s="103">
        <f t="shared" ref="IA787:IC789" si="737">ROUNDDOWN(HX787/HA787,0)</f>
        <v>6</v>
      </c>
      <c r="IB787" s="103">
        <f t="shared" si="737"/>
        <v>2</v>
      </c>
      <c r="IC787" s="103">
        <f t="shared" si="737"/>
        <v>5</v>
      </c>
      <c r="ID787" s="210">
        <v>1</v>
      </c>
      <c r="IE787" s="122">
        <f>ROUND(PRODUCT(IA787:ID787),0)-10</f>
        <v>50</v>
      </c>
      <c r="IF787" s="122">
        <v>500</v>
      </c>
      <c r="IG787" s="203">
        <f>(IF787/(IE787*HD787))</f>
        <v>2.5000000000000001E-2</v>
      </c>
      <c r="IH787" s="368"/>
    </row>
    <row r="788" spans="1:244">
      <c r="A788">
        <v>773</v>
      </c>
      <c r="B788" t="s">
        <v>468</v>
      </c>
      <c r="C788" s="121" t="s">
        <v>2942</v>
      </c>
      <c r="D788" s="28" t="s">
        <v>1595</v>
      </c>
      <c r="E788" s="28" t="s">
        <v>1596</v>
      </c>
      <c r="F788" s="28" t="s">
        <v>2182</v>
      </c>
      <c r="G788" s="27" t="s">
        <v>102</v>
      </c>
      <c r="I788" s="27" t="s">
        <v>226</v>
      </c>
      <c r="J788" s="28">
        <v>21691</v>
      </c>
      <c r="K788" s="27" t="s">
        <v>404</v>
      </c>
      <c r="L788" s="121"/>
      <c r="M788" s="121"/>
      <c r="N788" s="115"/>
      <c r="O788" s="115"/>
      <c r="P788" s="115"/>
      <c r="Q788" s="115" t="s">
        <v>2484</v>
      </c>
      <c r="R788" s="121" t="s">
        <v>2779</v>
      </c>
      <c r="S788" s="121" t="s">
        <v>2940</v>
      </c>
      <c r="T788" s="121" t="s">
        <v>2762</v>
      </c>
      <c r="U788" s="326">
        <v>44264</v>
      </c>
      <c r="V788" s="121" t="s">
        <v>2748</v>
      </c>
      <c r="W788" s="218"/>
      <c r="X788" s="121"/>
      <c r="Y788" s="121"/>
      <c r="Z788" s="121"/>
      <c r="AA788" s="140" t="s">
        <v>2941</v>
      </c>
      <c r="AB788" s="354">
        <v>760</v>
      </c>
      <c r="AC788" s="121">
        <v>20</v>
      </c>
      <c r="AD788" s="122"/>
      <c r="AE788" s="219">
        <f>BA788</f>
        <v>19.68</v>
      </c>
      <c r="AF788" s="219"/>
      <c r="AG788" s="219">
        <f>EU788+EM788</f>
        <v>2.0102339181286548</v>
      </c>
      <c r="AH788" s="219">
        <f>DP788</f>
        <v>0</v>
      </c>
      <c r="AI788" s="219">
        <f>DO788</f>
        <v>0</v>
      </c>
      <c r="AJ788" s="219">
        <f>GW788</f>
        <v>4.0204678362573097E-2</v>
      </c>
      <c r="AK788" s="219">
        <f>GU788</f>
        <v>0.27112792397660818</v>
      </c>
      <c r="AL788" s="219">
        <f>GS788</f>
        <v>2.3859257309941522</v>
      </c>
      <c r="AM788" s="219">
        <f>HV788</f>
        <v>0.10951666666666666</v>
      </c>
      <c r="AN788" s="219">
        <f>IG788</f>
        <v>2.5000000000000001E-2</v>
      </c>
      <c r="AO788" s="220">
        <v>0</v>
      </c>
      <c r="AP788" s="220"/>
      <c r="AQ788" s="204">
        <f>SUM(AE788:AP788)</f>
        <v>24.522008918128655</v>
      </c>
      <c r="AR788" s="122"/>
      <c r="AS788" s="122"/>
      <c r="AT788" s="122"/>
      <c r="AU788" s="122"/>
      <c r="AV788" s="204">
        <f>SUM(AQ788:AU788)</f>
        <v>24.522008918128655</v>
      </c>
      <c r="AW788" s="122">
        <v>2.5999999999999999E-2</v>
      </c>
      <c r="AX788" s="122">
        <v>2.1999999999999999E-2</v>
      </c>
      <c r="AY788" s="207">
        <v>1</v>
      </c>
      <c r="AZ788" s="103">
        <f>AW788-AX788</f>
        <v>4.0000000000000001E-3</v>
      </c>
      <c r="BA788" s="203">
        <f>AW788*AB788-AZ788*AC788</f>
        <v>19.68</v>
      </c>
      <c r="BB788" s="203"/>
      <c r="BC788" s="203"/>
      <c r="BD788" s="203"/>
      <c r="BE788" s="203"/>
      <c r="BF788" s="203"/>
      <c r="BG788" s="203"/>
      <c r="BH788" s="203"/>
      <c r="BI788" s="203"/>
      <c r="BJ788" s="203"/>
      <c r="BK788" s="203"/>
      <c r="BL788" s="203"/>
      <c r="BM788" s="203"/>
      <c r="BN788" s="203"/>
      <c r="BO788" s="203"/>
      <c r="BP788" s="203"/>
      <c r="BQ788" s="203"/>
      <c r="BR788" s="203"/>
      <c r="BS788" s="203"/>
      <c r="BT788" s="203"/>
      <c r="BU788" s="203"/>
      <c r="BV788" s="203"/>
      <c r="BW788" s="203"/>
      <c r="BX788" s="203"/>
      <c r="BY788" s="203"/>
      <c r="BZ788" s="203"/>
      <c r="CA788" s="203"/>
      <c r="CB788" s="203"/>
      <c r="CC788" s="203"/>
      <c r="CD788" s="122"/>
      <c r="CE788" s="122">
        <v>0</v>
      </c>
      <c r="CF788" s="122">
        <v>0</v>
      </c>
      <c r="CG788" s="122">
        <v>0</v>
      </c>
      <c r="CH788" s="122">
        <v>0</v>
      </c>
      <c r="CI788" s="121"/>
      <c r="CJ788" s="121"/>
      <c r="CK788" s="122"/>
      <c r="CL788" s="122"/>
      <c r="CM788" s="122"/>
      <c r="CN788" s="122"/>
      <c r="CO788" s="122"/>
      <c r="CP788" s="122"/>
      <c r="CQ788" s="122"/>
      <c r="CR788" s="122"/>
      <c r="CS788" s="122"/>
      <c r="CT788" s="122"/>
      <c r="CU788" s="122"/>
      <c r="CV788" s="122"/>
      <c r="CW788" s="122"/>
      <c r="CX788" s="122"/>
      <c r="CY788" s="122"/>
      <c r="CZ788" s="122"/>
      <c r="DA788" s="122"/>
      <c r="DB788" s="122"/>
      <c r="DC788" s="122"/>
      <c r="DD788" s="122"/>
      <c r="DE788" s="122"/>
      <c r="DF788" s="122"/>
      <c r="DG788" s="122"/>
      <c r="DH788" s="122"/>
      <c r="DI788" s="122"/>
      <c r="DJ788" s="122"/>
      <c r="DK788" s="122"/>
      <c r="DL788" s="122"/>
      <c r="DM788" s="103">
        <f>CM788+CR788+CW788+DB788+DG788+DL788+CH788</f>
        <v>0</v>
      </c>
      <c r="DN788" s="208">
        <v>1.2500000000000001E-2</v>
      </c>
      <c r="DO788" s="203">
        <f>DM788*DN788</f>
        <v>0</v>
      </c>
      <c r="DP788" s="203">
        <f>DM788+DO788</f>
        <v>0</v>
      </c>
      <c r="DQ788" s="122"/>
      <c r="DR788" s="122"/>
      <c r="DS788" s="122"/>
      <c r="DT788" s="122"/>
      <c r="DU788" s="122"/>
      <c r="DV788" s="122"/>
      <c r="DW788" s="122"/>
      <c r="DX788" s="122"/>
      <c r="DY788" s="122"/>
      <c r="DZ788" s="122"/>
      <c r="EA788" s="122"/>
      <c r="EB788" s="122"/>
      <c r="EC788" s="122"/>
      <c r="ED788" s="122"/>
      <c r="EE788" s="122"/>
      <c r="EF788" s="122">
        <v>200</v>
      </c>
      <c r="EG788" s="122">
        <v>2000</v>
      </c>
      <c r="EH788" s="122">
        <v>8</v>
      </c>
      <c r="EI788" s="210">
        <v>0.95</v>
      </c>
      <c r="EJ788" s="122">
        <v>2</v>
      </c>
      <c r="EK788" s="122">
        <v>55</v>
      </c>
      <c r="EL788" s="209">
        <f>(3600/EK788*EH788*EJ788*EI788)</f>
        <v>994.90909090909088</v>
      </c>
      <c r="EM788" s="122"/>
      <c r="EN788" s="122"/>
      <c r="EO788" s="122"/>
      <c r="EP788" s="122"/>
      <c r="EQ788" s="122"/>
      <c r="ER788" s="122"/>
      <c r="ES788" s="122"/>
      <c r="ET788" s="122"/>
      <c r="EU788" s="203">
        <f>EG788/EL788+EV788+EW788</f>
        <v>2.0102339181286548</v>
      </c>
      <c r="EV788" s="122"/>
      <c r="EW788" s="122"/>
      <c r="EX788" s="122"/>
      <c r="EY788" s="122"/>
      <c r="EZ788" s="122"/>
      <c r="FA788" s="122"/>
      <c r="FB788" s="122"/>
      <c r="FC788" s="122"/>
      <c r="FD788" s="122"/>
      <c r="FE788" s="122"/>
      <c r="FF788" s="122"/>
      <c r="FG788" s="122"/>
      <c r="FH788" s="122"/>
      <c r="FI788" s="122"/>
      <c r="FJ788" s="122"/>
      <c r="FK788" s="122"/>
      <c r="FL788" s="122"/>
      <c r="FM788" s="122"/>
      <c r="FN788" s="122"/>
      <c r="FO788" s="122"/>
      <c r="FP788" s="122"/>
      <c r="FQ788" s="122"/>
      <c r="FR788" s="122"/>
      <c r="FS788" s="122"/>
      <c r="FT788" s="122"/>
      <c r="FU788" s="122"/>
      <c r="FV788" s="122"/>
      <c r="FW788" s="122"/>
      <c r="FX788" s="122"/>
      <c r="FY788" s="122"/>
      <c r="FZ788" s="122"/>
      <c r="GA788" s="122"/>
      <c r="GB788" s="122"/>
      <c r="GC788" s="122"/>
      <c r="GD788" s="122"/>
      <c r="GE788" s="122"/>
      <c r="GF788" s="122"/>
      <c r="GG788" s="122"/>
      <c r="GH788" s="122"/>
      <c r="GI788" s="122"/>
      <c r="GJ788" s="122"/>
      <c r="GK788" s="122"/>
      <c r="GL788" s="122"/>
      <c r="GM788" s="122"/>
      <c r="GN788" s="122"/>
      <c r="GO788" s="122"/>
      <c r="GP788" s="122"/>
      <c r="GQ788" s="122"/>
      <c r="GR788" s="210">
        <v>0.11</v>
      </c>
      <c r="GS788" s="202">
        <f>GR788*(BA788+EU788)</f>
        <v>2.3859257309941522</v>
      </c>
      <c r="GT788" s="208">
        <v>1.2500000000000001E-2</v>
      </c>
      <c r="GU788" s="203">
        <f>GT788*(BA788+EU788)</f>
        <v>0.27112792397660818</v>
      </c>
      <c r="GV788" s="207">
        <v>0.02</v>
      </c>
      <c r="GW788" s="203">
        <f>GV788*EU788</f>
        <v>4.0204678362573097E-2</v>
      </c>
      <c r="GX788" s="203">
        <f>GS788+GU788+GW788</f>
        <v>2.6972583333333331</v>
      </c>
      <c r="GY788" s="122" t="s">
        <v>43</v>
      </c>
      <c r="GZ788" s="122" t="s">
        <v>87</v>
      </c>
      <c r="HA788" s="122">
        <v>805</v>
      </c>
      <c r="HB788" s="122">
        <v>675</v>
      </c>
      <c r="HC788" s="122">
        <v>405</v>
      </c>
      <c r="HD788" s="122">
        <v>400</v>
      </c>
      <c r="HE788" s="122">
        <v>400</v>
      </c>
      <c r="HF788" s="103">
        <f>ROUNDUP(HE788/HD788,0)</f>
        <v>1</v>
      </c>
      <c r="HG788" s="122">
        <v>5</v>
      </c>
      <c r="HH788" s="103">
        <f>HF788*HG788</f>
        <v>5</v>
      </c>
      <c r="HI788" s="122">
        <v>1100</v>
      </c>
      <c r="HJ788" s="103">
        <f>HH788*HI788</f>
        <v>5500</v>
      </c>
      <c r="HK788" s="122"/>
      <c r="HL788" s="122"/>
      <c r="HM788" s="122">
        <v>2</v>
      </c>
      <c r="HN788" s="103">
        <f>HM788*12*25*HE788</f>
        <v>240000</v>
      </c>
      <c r="HO788" s="202">
        <f>IF(GY788="carton box",HI788/HD788,HJ788/HN788)</f>
        <v>2.2916666666666665E-2</v>
      </c>
      <c r="HP788" s="122">
        <v>160</v>
      </c>
      <c r="HQ788" s="122">
        <v>0</v>
      </c>
      <c r="HR788" s="122">
        <v>4.33</v>
      </c>
      <c r="HS788" s="122">
        <v>50</v>
      </c>
      <c r="HT788" s="336">
        <f>HR788/HS788</f>
        <v>8.6599999999999996E-2</v>
      </c>
      <c r="HU788" s="336"/>
      <c r="HV788" s="202">
        <f>HO788+HT788</f>
        <v>0.10951666666666666</v>
      </c>
      <c r="HW788" s="202"/>
      <c r="HX788" s="122">
        <v>5016</v>
      </c>
      <c r="HY788" s="122">
        <v>1976</v>
      </c>
      <c r="HZ788" s="122">
        <v>2280</v>
      </c>
      <c r="IA788" s="103">
        <f t="shared" si="737"/>
        <v>6</v>
      </c>
      <c r="IB788" s="103">
        <f t="shared" si="737"/>
        <v>2</v>
      </c>
      <c r="IC788" s="103">
        <f t="shared" si="737"/>
        <v>5</v>
      </c>
      <c r="ID788" s="210">
        <v>1</v>
      </c>
      <c r="IE788" s="122">
        <f>ROUND(PRODUCT(IA788:ID788),0)-10</f>
        <v>50</v>
      </c>
      <c r="IF788" s="122">
        <v>500</v>
      </c>
      <c r="IG788" s="203">
        <f>(IF788/(IE788*HD788))</f>
        <v>2.5000000000000001E-2</v>
      </c>
      <c r="IH788" s="368"/>
    </row>
    <row r="789" spans="1:244">
      <c r="A789">
        <v>774</v>
      </c>
      <c r="B789" t="s">
        <v>468</v>
      </c>
      <c r="C789" s="121" t="s">
        <v>2943</v>
      </c>
      <c r="D789" s="28" t="s">
        <v>1597</v>
      </c>
      <c r="E789" s="28" t="s">
        <v>1598</v>
      </c>
      <c r="F789" s="28" t="s">
        <v>2182</v>
      </c>
      <c r="G789" s="27" t="s">
        <v>102</v>
      </c>
      <c r="I789" s="27" t="s">
        <v>226</v>
      </c>
      <c r="J789" s="28">
        <v>21691</v>
      </c>
      <c r="K789" s="27" t="s">
        <v>404</v>
      </c>
      <c r="L789" s="121">
        <v>21401</v>
      </c>
      <c r="M789" s="121" t="s">
        <v>2923</v>
      </c>
      <c r="N789" s="115"/>
      <c r="O789" s="115"/>
      <c r="P789" s="115"/>
      <c r="Q789" s="115" t="s">
        <v>2805</v>
      </c>
      <c r="R789" s="121" t="s">
        <v>2924</v>
      </c>
      <c r="S789" s="121" t="s">
        <v>2944</v>
      </c>
      <c r="T789" s="121" t="s">
        <v>2762</v>
      </c>
      <c r="U789" s="326">
        <v>43544</v>
      </c>
      <c r="V789" s="121" t="s">
        <v>2748</v>
      </c>
      <c r="W789" s="218"/>
      <c r="X789" s="121"/>
      <c r="Y789" s="121"/>
      <c r="Z789" s="121"/>
      <c r="AA789" s="140" t="s">
        <v>2945</v>
      </c>
      <c r="AB789" s="354">
        <v>160</v>
      </c>
      <c r="AC789" s="121">
        <v>20</v>
      </c>
      <c r="AD789" s="122"/>
      <c r="AE789" s="219">
        <f>BA789</f>
        <v>17.555148127999999</v>
      </c>
      <c r="AF789" s="219"/>
      <c r="AG789" s="219">
        <f>EU789+EM789</f>
        <v>3.746345029239766</v>
      </c>
      <c r="AH789" s="219">
        <f>DP789</f>
        <v>0</v>
      </c>
      <c r="AI789" s="219">
        <f>DO789</f>
        <v>0</v>
      </c>
      <c r="AJ789" s="219">
        <f>GW789</f>
        <v>7.4926900584795328E-2</v>
      </c>
      <c r="AK789" s="219">
        <f>GU789</f>
        <v>0.26626866446549707</v>
      </c>
      <c r="AL789" s="219">
        <f>GS789</f>
        <v>2.3431642472963743</v>
      </c>
      <c r="AM789" s="219">
        <f>HV789</f>
        <v>6.5000000000000002E-2</v>
      </c>
      <c r="AN789" s="219">
        <f>IG789</f>
        <v>0.2</v>
      </c>
      <c r="AO789" s="220">
        <v>0</v>
      </c>
      <c r="AP789" s="220"/>
      <c r="AQ789" s="204">
        <f>SUM(AE789:AP789)</f>
        <v>24.250852969586433</v>
      </c>
      <c r="AR789" s="122"/>
      <c r="AS789" s="122"/>
      <c r="AT789" s="122"/>
      <c r="AU789" s="122"/>
      <c r="AV789" s="204">
        <f>SUM(AQ789:AU789)</f>
        <v>24.250852969586433</v>
      </c>
      <c r="AW789" s="230">
        <v>0.1104696758</v>
      </c>
      <c r="AX789" s="122">
        <v>0.10446967579999999</v>
      </c>
      <c r="AY789" s="207">
        <v>1</v>
      </c>
      <c r="AZ789" s="103">
        <f>AW789-AX789</f>
        <v>6.0000000000000053E-3</v>
      </c>
      <c r="BA789" s="203">
        <f>AW789*AB789-AZ789*AC789</f>
        <v>17.555148127999999</v>
      </c>
      <c r="BB789" s="203"/>
      <c r="BC789" s="203"/>
      <c r="BD789" s="203"/>
      <c r="BE789" s="203"/>
      <c r="BF789" s="203"/>
      <c r="BG789" s="203"/>
      <c r="BH789" s="203"/>
      <c r="BI789" s="203"/>
      <c r="BJ789" s="203"/>
      <c r="BK789" s="203"/>
      <c r="BL789" s="203"/>
      <c r="BM789" s="203"/>
      <c r="BN789" s="203"/>
      <c r="BO789" s="203"/>
      <c r="BP789" s="203"/>
      <c r="BQ789" s="203"/>
      <c r="BR789" s="203"/>
      <c r="BS789" s="203"/>
      <c r="BT789" s="203"/>
      <c r="BU789" s="203"/>
      <c r="BV789" s="203"/>
      <c r="BW789" s="203"/>
      <c r="BX789" s="203"/>
      <c r="BY789" s="203"/>
      <c r="BZ789" s="203"/>
      <c r="CA789" s="203"/>
      <c r="CB789" s="203"/>
      <c r="CC789" s="203"/>
      <c r="CD789" s="122"/>
      <c r="CE789" s="122">
        <v>0</v>
      </c>
      <c r="CF789" s="122">
        <v>0</v>
      </c>
      <c r="CG789" s="122">
        <v>0</v>
      </c>
      <c r="CH789" s="122">
        <v>0</v>
      </c>
      <c r="CI789" s="121"/>
      <c r="CJ789" s="121"/>
      <c r="CK789" s="122"/>
      <c r="CL789" s="122"/>
      <c r="CM789" s="122"/>
      <c r="CN789" s="122"/>
      <c r="CO789" s="122"/>
      <c r="CP789" s="122"/>
      <c r="CQ789" s="122"/>
      <c r="CR789" s="122"/>
      <c r="CS789" s="122"/>
      <c r="CT789" s="122"/>
      <c r="CU789" s="122"/>
      <c r="CV789" s="122"/>
      <c r="CW789" s="122"/>
      <c r="CX789" s="122"/>
      <c r="CY789" s="122"/>
      <c r="CZ789" s="122"/>
      <c r="DA789" s="122"/>
      <c r="DB789" s="122"/>
      <c r="DC789" s="122"/>
      <c r="DD789" s="122"/>
      <c r="DE789" s="122"/>
      <c r="DF789" s="122"/>
      <c r="DG789" s="122"/>
      <c r="DH789" s="122"/>
      <c r="DI789" s="122"/>
      <c r="DJ789" s="122"/>
      <c r="DK789" s="122"/>
      <c r="DL789" s="122"/>
      <c r="DM789" s="103">
        <f>CM789+CR789+CW789+DB789+DG789+DL789+CH789</f>
        <v>0</v>
      </c>
      <c r="DN789" s="208">
        <v>1.2500000000000001E-2</v>
      </c>
      <c r="DO789" s="203">
        <f>DM789*DN789</f>
        <v>0</v>
      </c>
      <c r="DP789" s="203">
        <f>DM789+DO789</f>
        <v>0</v>
      </c>
      <c r="DQ789" s="122"/>
      <c r="DR789" s="122"/>
      <c r="DS789" s="122"/>
      <c r="DT789" s="122"/>
      <c r="DU789" s="122"/>
      <c r="DV789" s="122"/>
      <c r="DW789" s="122"/>
      <c r="DX789" s="122"/>
      <c r="DY789" s="122"/>
      <c r="DZ789" s="122"/>
      <c r="EA789" s="122"/>
      <c r="EB789" s="122"/>
      <c r="EC789" s="122"/>
      <c r="ED789" s="122"/>
      <c r="EE789" s="122"/>
      <c r="EF789" s="122">
        <v>250</v>
      </c>
      <c r="EG789" s="122">
        <v>2500</v>
      </c>
      <c r="EH789" s="122">
        <v>8</v>
      </c>
      <c r="EI789" s="210">
        <v>0.95</v>
      </c>
      <c r="EJ789" s="122">
        <v>2</v>
      </c>
      <c r="EK789" s="122">
        <v>82</v>
      </c>
      <c r="EL789" s="221">
        <f>(3600/EK789*EH789*EJ789*EI789)</f>
        <v>667.31707317073176</v>
      </c>
      <c r="EM789" s="122"/>
      <c r="EN789" s="122"/>
      <c r="EO789" s="122"/>
      <c r="EP789" s="122"/>
      <c r="EQ789" s="122"/>
      <c r="ER789" s="122"/>
      <c r="ES789" s="122"/>
      <c r="ET789" s="122"/>
      <c r="EU789" s="203">
        <f>EG789/EL789+EV789+EW789</f>
        <v>3.746345029239766</v>
      </c>
      <c r="EV789" s="122"/>
      <c r="EW789" s="122"/>
      <c r="EX789" s="122"/>
      <c r="EY789" s="122"/>
      <c r="EZ789" s="122"/>
      <c r="FA789" s="122"/>
      <c r="FB789" s="122"/>
      <c r="FC789" s="122"/>
      <c r="FD789" s="122"/>
      <c r="FE789" s="122"/>
      <c r="FF789" s="122"/>
      <c r="FG789" s="122"/>
      <c r="FH789" s="122"/>
      <c r="FI789" s="122"/>
      <c r="FJ789" s="122"/>
      <c r="FK789" s="122"/>
      <c r="FL789" s="122"/>
      <c r="FM789" s="122"/>
      <c r="FN789" s="122"/>
      <c r="FO789" s="122"/>
      <c r="FP789" s="122"/>
      <c r="FQ789" s="122"/>
      <c r="FR789" s="122"/>
      <c r="FS789" s="122"/>
      <c r="FT789" s="122"/>
      <c r="FU789" s="122"/>
      <c r="FV789" s="122"/>
      <c r="FW789" s="122"/>
      <c r="FX789" s="122"/>
      <c r="FY789" s="122"/>
      <c r="FZ789" s="122"/>
      <c r="GA789" s="122"/>
      <c r="GB789" s="122"/>
      <c r="GC789" s="122"/>
      <c r="GD789" s="122"/>
      <c r="GE789" s="122"/>
      <c r="GF789" s="122"/>
      <c r="GG789" s="122"/>
      <c r="GH789" s="122"/>
      <c r="GI789" s="122"/>
      <c r="GJ789" s="122"/>
      <c r="GK789" s="122"/>
      <c r="GL789" s="122"/>
      <c r="GM789" s="122"/>
      <c r="GN789" s="122"/>
      <c r="GO789" s="122"/>
      <c r="GP789" s="122"/>
      <c r="GQ789" s="122"/>
      <c r="GR789" s="210">
        <v>0.11</v>
      </c>
      <c r="GS789" s="202">
        <f>GR789*(BA789+EU789)</f>
        <v>2.3431642472963743</v>
      </c>
      <c r="GT789" s="208">
        <v>1.2500000000000001E-2</v>
      </c>
      <c r="GU789" s="203">
        <f>GT789*(BA789+EU789)</f>
        <v>0.26626866446549707</v>
      </c>
      <c r="GV789" s="207">
        <v>0.02</v>
      </c>
      <c r="GW789" s="203">
        <f>GV789*EU789</f>
        <v>7.4926900584795328E-2</v>
      </c>
      <c r="GX789" s="203">
        <f>GS789+GU789+GW789</f>
        <v>2.6843598123466665</v>
      </c>
      <c r="GY789" s="122" t="s">
        <v>43</v>
      </c>
      <c r="GZ789" s="122" t="s">
        <v>87</v>
      </c>
      <c r="HA789" s="122">
        <v>650</v>
      </c>
      <c r="HB789" s="122">
        <v>450</v>
      </c>
      <c r="HC789" s="122">
        <v>325</v>
      </c>
      <c r="HD789" s="122">
        <v>100</v>
      </c>
      <c r="HE789" s="122">
        <v>2000</v>
      </c>
      <c r="HF789" s="122">
        <f>ROUNDUP(HE789/HD789,0)</f>
        <v>20</v>
      </c>
      <c r="HG789" s="122">
        <v>5</v>
      </c>
      <c r="HH789" s="122">
        <f>HF789*HG789</f>
        <v>100</v>
      </c>
      <c r="HI789" s="122">
        <v>780</v>
      </c>
      <c r="HJ789" s="122">
        <f>HH789*HI789</f>
        <v>78000</v>
      </c>
      <c r="HK789" s="122"/>
      <c r="HL789" s="122"/>
      <c r="HM789" s="122">
        <v>2</v>
      </c>
      <c r="HN789" s="122">
        <f>HM789*12*25*HE789</f>
        <v>1200000</v>
      </c>
      <c r="HO789" s="202">
        <f>IF(GY789="carton box",HI789/HD789,HJ789/HN789)</f>
        <v>6.5000000000000002E-2</v>
      </c>
      <c r="HP789" s="122">
        <v>160</v>
      </c>
      <c r="HQ789" s="122">
        <v>0</v>
      </c>
      <c r="HR789" s="122">
        <v>0</v>
      </c>
      <c r="HS789" s="122">
        <v>0</v>
      </c>
      <c r="HT789" s="122">
        <v>0</v>
      </c>
      <c r="HU789" s="122"/>
      <c r="HV789" s="202">
        <f>HO789+HT789</f>
        <v>6.5000000000000002E-2</v>
      </c>
      <c r="HW789" s="202"/>
      <c r="HX789" s="122">
        <v>5016</v>
      </c>
      <c r="HY789" s="122">
        <v>1976</v>
      </c>
      <c r="HZ789" s="122">
        <v>2280</v>
      </c>
      <c r="IA789" s="103">
        <f t="shared" si="737"/>
        <v>7</v>
      </c>
      <c r="IB789" s="103">
        <f t="shared" si="737"/>
        <v>4</v>
      </c>
      <c r="IC789" s="103">
        <f t="shared" si="737"/>
        <v>7</v>
      </c>
      <c r="ID789" s="210">
        <v>1</v>
      </c>
      <c r="IE789" s="203">
        <f>ROUND(PRODUCT(IA789:ID789),0)-171</f>
        <v>25</v>
      </c>
      <c r="IF789" s="122">
        <v>500</v>
      </c>
      <c r="IG789" s="203">
        <f>(IF789/(IE789*HD789))</f>
        <v>0.2</v>
      </c>
      <c r="IH789" s="368"/>
    </row>
    <row r="790" spans="1:244">
      <c r="A790">
        <v>775</v>
      </c>
      <c r="B790" t="s">
        <v>468</v>
      </c>
      <c r="C790" s="121" t="s">
        <v>2946</v>
      </c>
      <c r="D790" s="28" t="s">
        <v>1599</v>
      </c>
      <c r="E790" s="28" t="s">
        <v>1519</v>
      </c>
      <c r="F790" s="28" t="s">
        <v>2182</v>
      </c>
      <c r="G790" s="27" t="s">
        <v>102</v>
      </c>
      <c r="I790" s="27" t="s">
        <v>226</v>
      </c>
      <c r="J790" s="28">
        <v>21590</v>
      </c>
      <c r="K790" s="27" t="s">
        <v>397</v>
      </c>
    </row>
    <row r="791" spans="1:244" ht="30">
      <c r="A791">
        <v>776</v>
      </c>
      <c r="B791" t="s">
        <v>468</v>
      </c>
      <c r="C791" s="137" t="s">
        <v>2947</v>
      </c>
      <c r="D791" s="28" t="s">
        <v>1600</v>
      </c>
      <c r="E791" s="28" t="s">
        <v>1601</v>
      </c>
      <c r="F791" s="28" t="s">
        <v>2182</v>
      </c>
      <c r="G791" s="27" t="s">
        <v>102</v>
      </c>
      <c r="I791" s="27" t="s">
        <v>226</v>
      </c>
      <c r="J791" s="28">
        <v>21691</v>
      </c>
      <c r="K791" s="27" t="s">
        <v>404</v>
      </c>
      <c r="L791" s="137">
        <v>21401</v>
      </c>
      <c r="M791" s="137" t="s">
        <v>226</v>
      </c>
      <c r="N791" s="139"/>
      <c r="O791" s="139"/>
      <c r="P791" s="139"/>
      <c r="Q791" s="115" t="s">
        <v>2948</v>
      </c>
      <c r="R791" s="121" t="s">
        <v>2924</v>
      </c>
      <c r="S791" s="137" t="s">
        <v>2949</v>
      </c>
      <c r="T791" s="137" t="s">
        <v>2762</v>
      </c>
      <c r="U791" s="338">
        <v>43904</v>
      </c>
      <c r="V791" s="137" t="s">
        <v>2748</v>
      </c>
      <c r="W791" s="140" t="s">
        <v>2950</v>
      </c>
      <c r="X791" s="137"/>
      <c r="Y791" s="137"/>
      <c r="Z791" s="137"/>
      <c r="AA791" s="140" t="s">
        <v>2951</v>
      </c>
      <c r="AB791" s="137">
        <v>176.5</v>
      </c>
      <c r="AC791" s="137">
        <v>20</v>
      </c>
      <c r="AD791" s="103" t="s">
        <v>285</v>
      </c>
      <c r="AE791" s="204">
        <f t="shared" ref="AE791:AE805" si="738">BA791</f>
        <v>11.4329135</v>
      </c>
      <c r="AF791" s="204"/>
      <c r="AG791" s="204">
        <f>EU791+EM791</f>
        <v>1.3157894736842106</v>
      </c>
      <c r="AH791" s="204">
        <f t="shared" ref="AH791:AH805" si="739">DM791</f>
        <v>10.82</v>
      </c>
      <c r="AI791" s="204">
        <f t="shared" ref="AI791:AI805" si="740">DO791</f>
        <v>0.13525000000000001</v>
      </c>
      <c r="AJ791" s="204">
        <f t="shared" ref="AJ791:AJ805" si="741">GW791</f>
        <v>0.03</v>
      </c>
      <c r="AK791" s="204">
        <f t="shared" ref="AK791:AK805" si="742">GU791</f>
        <v>0.16</v>
      </c>
      <c r="AL791" s="204">
        <f t="shared" ref="AL791:AL805" si="743">GS791</f>
        <v>1.4023573271052632</v>
      </c>
      <c r="AM791" s="204">
        <f t="shared" ref="AM791:AM805" si="744">HV791</f>
        <v>0.27718749999999998</v>
      </c>
      <c r="AN791" s="204">
        <f t="shared" ref="AN791:AN805" si="745">IG791</f>
        <v>2.1367521367521368E-2</v>
      </c>
      <c r="AO791" s="205">
        <v>0</v>
      </c>
      <c r="AP791" s="205"/>
      <c r="AQ791" s="204">
        <f>SUM(AE791:AP791)</f>
        <v>25.594865322156998</v>
      </c>
      <c r="AR791" s="103"/>
      <c r="AS791" s="103"/>
      <c r="AT791" s="103"/>
      <c r="AU791" s="103"/>
      <c r="AV791" s="204">
        <f>SUM(AQ791:AU791)</f>
        <v>25.594865322156998</v>
      </c>
      <c r="AW791" s="336">
        <v>6.5059000000000006E-2</v>
      </c>
      <c r="AX791" s="336">
        <v>6.2559000000000003E-2</v>
      </c>
      <c r="AY791" s="207">
        <v>1</v>
      </c>
      <c r="AZ791" s="103">
        <f t="shared" ref="AZ791:AZ805" si="746">AW791-AX791</f>
        <v>2.5000000000000022E-3</v>
      </c>
      <c r="BA791" s="203">
        <f>AW791*AB791-AZ791*AC791</f>
        <v>11.4329135</v>
      </c>
      <c r="BB791" s="203"/>
      <c r="BC791" s="203"/>
      <c r="BD791" s="203"/>
      <c r="BE791" s="203"/>
      <c r="BF791" s="203"/>
      <c r="BG791" s="203"/>
      <c r="BH791" s="203"/>
      <c r="BI791" s="203"/>
      <c r="BJ791" s="203"/>
      <c r="BK791" s="203"/>
      <c r="BL791" s="203"/>
      <c r="BM791" s="203"/>
      <c r="BN791" s="203"/>
      <c r="BO791" s="203"/>
      <c r="BP791" s="203"/>
      <c r="BQ791" s="203"/>
      <c r="BR791" s="203"/>
      <c r="BS791" s="203"/>
      <c r="BT791" s="203"/>
      <c r="BU791" s="203"/>
      <c r="BV791" s="203"/>
      <c r="BW791" s="203"/>
      <c r="BX791" s="203"/>
      <c r="BY791" s="203"/>
      <c r="BZ791" s="203"/>
      <c r="CA791" s="203"/>
      <c r="CB791" s="203"/>
      <c r="CC791" s="203"/>
      <c r="CD791" s="103"/>
      <c r="CE791" s="103">
        <v>0</v>
      </c>
      <c r="CF791" s="103">
        <v>0</v>
      </c>
      <c r="CG791" s="103">
        <v>0</v>
      </c>
      <c r="CH791" s="103">
        <v>0</v>
      </c>
      <c r="CI791" s="137" t="s">
        <v>2952</v>
      </c>
      <c r="CJ791" s="137" t="s">
        <v>2547</v>
      </c>
      <c r="CK791" s="103">
        <v>2</v>
      </c>
      <c r="CL791" s="103">
        <v>3.67</v>
      </c>
      <c r="CM791" s="103">
        <f>CK791*CL791</f>
        <v>7.34</v>
      </c>
      <c r="CN791" s="103" t="s">
        <v>2953</v>
      </c>
      <c r="CO791" s="137" t="s">
        <v>2547</v>
      </c>
      <c r="CP791" s="103">
        <v>2</v>
      </c>
      <c r="CQ791" s="103">
        <v>1.74</v>
      </c>
      <c r="CR791" s="103">
        <f>CP791*CQ791</f>
        <v>3.48</v>
      </c>
      <c r="CS791" s="103"/>
      <c r="CT791" s="103"/>
      <c r="CU791" s="103"/>
      <c r="CV791" s="103"/>
      <c r="CW791" s="103"/>
      <c r="CX791" s="103"/>
      <c r="CY791" s="103"/>
      <c r="CZ791" s="103"/>
      <c r="DA791" s="103"/>
      <c r="DB791" s="103"/>
      <c r="DC791" s="103"/>
      <c r="DD791" s="103"/>
      <c r="DE791" s="103"/>
      <c r="DF791" s="103"/>
      <c r="DG791" s="103"/>
      <c r="DH791" s="103"/>
      <c r="DI791" s="103"/>
      <c r="DJ791" s="103"/>
      <c r="DK791" s="103"/>
      <c r="DL791" s="103"/>
      <c r="DM791" s="103">
        <f>CM791+CR791+CW791+DB791+DG791+DL791+CH791</f>
        <v>10.82</v>
      </c>
      <c r="DN791" s="208">
        <v>1.2500000000000001E-2</v>
      </c>
      <c r="DO791" s="203">
        <f>DM791*DN791</f>
        <v>0.13525000000000001</v>
      </c>
      <c r="DP791" s="203">
        <f t="shared" ref="DP791:DP805" si="747">DM791+DO791</f>
        <v>10.955249999999999</v>
      </c>
      <c r="DQ791" s="103"/>
      <c r="DR791" s="103"/>
      <c r="DS791" s="103"/>
      <c r="DT791" s="103"/>
      <c r="DU791" s="103"/>
      <c r="DV791" s="103"/>
      <c r="DW791" s="103"/>
      <c r="DX791" s="103"/>
      <c r="DY791" s="103"/>
      <c r="DZ791" s="103"/>
      <c r="EA791" s="103"/>
      <c r="EB791" s="103"/>
      <c r="EC791" s="103"/>
      <c r="ED791" s="103"/>
      <c r="EE791" s="103"/>
      <c r="EF791" s="103">
        <v>120</v>
      </c>
      <c r="EG791" s="103">
        <v>1200</v>
      </c>
      <c r="EH791" s="103">
        <v>8</v>
      </c>
      <c r="EI791" s="207">
        <v>0.95</v>
      </c>
      <c r="EJ791" s="103">
        <v>2</v>
      </c>
      <c r="EK791" s="103">
        <v>60</v>
      </c>
      <c r="EL791" s="209">
        <f>(3600/EK791*EH791*EJ791*EI791)</f>
        <v>912</v>
      </c>
      <c r="EM791" s="103"/>
      <c r="EN791" s="103"/>
      <c r="EO791" s="103"/>
      <c r="EP791" s="103"/>
      <c r="EQ791" s="103"/>
      <c r="ER791" s="103"/>
      <c r="ES791" s="103"/>
      <c r="ET791" s="103"/>
      <c r="EU791" s="203">
        <f>EG791/EL791+EV791+EW791+FA791</f>
        <v>1.3157894736842106</v>
      </c>
      <c r="EV791" s="103"/>
      <c r="EW791" s="103"/>
      <c r="EX791" s="103"/>
      <c r="EY791" s="103"/>
      <c r="EZ791" s="103"/>
      <c r="FA791" s="103"/>
      <c r="FB791" s="103"/>
      <c r="FC791" s="103"/>
      <c r="FD791" s="103"/>
      <c r="FE791" s="103"/>
      <c r="FF791" s="103"/>
      <c r="FG791" s="103"/>
      <c r="FH791" s="103"/>
      <c r="FI791" s="103"/>
      <c r="FJ791" s="103"/>
      <c r="FK791" s="103"/>
      <c r="FL791" s="103"/>
      <c r="FM791" s="103"/>
      <c r="FN791" s="103"/>
      <c r="FO791" s="103"/>
      <c r="FP791" s="103"/>
      <c r="FQ791" s="103"/>
      <c r="FR791" s="103"/>
      <c r="FS791" s="103"/>
      <c r="FT791" s="103"/>
      <c r="FU791" s="103"/>
      <c r="FV791" s="103"/>
      <c r="FW791" s="103"/>
      <c r="FX791" s="103"/>
      <c r="FY791" s="103"/>
      <c r="FZ791" s="103"/>
      <c r="GA791" s="103"/>
      <c r="GB791" s="103"/>
      <c r="GC791" s="103"/>
      <c r="GD791" s="103"/>
      <c r="GE791" s="103"/>
      <c r="GF791" s="103"/>
      <c r="GG791" s="103"/>
      <c r="GH791" s="103"/>
      <c r="GI791" s="103"/>
      <c r="GJ791" s="103"/>
      <c r="GK791" s="103"/>
      <c r="GL791" s="103"/>
      <c r="GM791" s="103"/>
      <c r="GN791" s="103"/>
      <c r="GO791" s="103"/>
      <c r="GP791" s="103"/>
      <c r="GQ791" s="103"/>
      <c r="GR791" s="207">
        <v>0.11</v>
      </c>
      <c r="GS791" s="203">
        <f>GR791*(BA791+EU791)</f>
        <v>1.4023573271052632</v>
      </c>
      <c r="GT791" s="208">
        <v>1.2500000000000001E-2</v>
      </c>
      <c r="GU791" s="203">
        <f>ROUNDUP(GT791*(BA791+EU791),2)</f>
        <v>0.16</v>
      </c>
      <c r="GV791" s="207">
        <v>0.02</v>
      </c>
      <c r="GW791" s="203">
        <f>ROUNDUP((GV791*EU791),2)</f>
        <v>0.03</v>
      </c>
      <c r="GX791" s="203">
        <f t="shared" ref="GX791:GX805" si="748">GS791+GU791+GW791</f>
        <v>1.5923573271052631</v>
      </c>
      <c r="GY791" s="103" t="s">
        <v>43</v>
      </c>
      <c r="GZ791" s="103" t="s">
        <v>87</v>
      </c>
      <c r="HA791" s="103">
        <v>650</v>
      </c>
      <c r="HB791" s="103">
        <v>450</v>
      </c>
      <c r="HC791" s="103">
        <v>300</v>
      </c>
      <c r="HD791" s="103">
        <v>180</v>
      </c>
      <c r="HE791" s="103">
        <v>800</v>
      </c>
      <c r="HF791" s="103">
        <f>ROUNDUP(HE791/HD791,0)</f>
        <v>5</v>
      </c>
      <c r="HG791" s="103">
        <v>5</v>
      </c>
      <c r="HH791" s="103">
        <f>HF791*HG791</f>
        <v>25</v>
      </c>
      <c r="HI791" s="103">
        <v>650</v>
      </c>
      <c r="HJ791" s="103">
        <f>HH791*HI791</f>
        <v>16250</v>
      </c>
      <c r="HK791" s="103"/>
      <c r="HL791" s="103"/>
      <c r="HM791" s="103">
        <v>2</v>
      </c>
      <c r="HN791" s="103">
        <f>HM791*12*25*HE791</f>
        <v>480000</v>
      </c>
      <c r="HO791" s="203">
        <f>IF(GY791="carton box",HI791/HD791,HJ791/HN791)</f>
        <v>3.3854166666666664E-2</v>
      </c>
      <c r="HP791" s="103">
        <v>160</v>
      </c>
      <c r="HQ791" s="103">
        <v>0</v>
      </c>
      <c r="HR791" s="203">
        <f>60*(0.73/180)</f>
        <v>0.24333333333333332</v>
      </c>
      <c r="HS791" s="103">
        <v>1</v>
      </c>
      <c r="HT791" s="203">
        <f>HR791/HS791</f>
        <v>0.24333333333333332</v>
      </c>
      <c r="HU791" s="203"/>
      <c r="HV791" s="203">
        <f>HO791+HT791</f>
        <v>0.27718749999999998</v>
      </c>
      <c r="HW791" s="203"/>
      <c r="HX791" s="103">
        <v>5016</v>
      </c>
      <c r="HY791" s="103">
        <v>1976</v>
      </c>
      <c r="HZ791" s="103">
        <v>2280</v>
      </c>
      <c r="IA791" s="103">
        <f t="shared" ref="IA791:IC792" si="749">ROUNDDOWN(HX791/HA791,0)</f>
        <v>7</v>
      </c>
      <c r="IB791" s="103">
        <f t="shared" si="749"/>
        <v>4</v>
      </c>
      <c r="IC791" s="103">
        <f t="shared" si="749"/>
        <v>7</v>
      </c>
      <c r="ID791" s="207">
        <v>1</v>
      </c>
      <c r="IE791" s="203">
        <f>ROUND(PRODUCT(IA791:ID791),0)-66</f>
        <v>130</v>
      </c>
      <c r="IF791" s="103">
        <v>500</v>
      </c>
      <c r="IG791" s="203">
        <f>(IF791/(IE791*HD791))</f>
        <v>2.1367521367521368E-2</v>
      </c>
      <c r="IH791" s="368"/>
    </row>
    <row r="792" spans="1:244" ht="30">
      <c r="A792">
        <v>777</v>
      </c>
      <c r="B792" t="s">
        <v>468</v>
      </c>
      <c r="C792" s="121" t="s">
        <v>2954</v>
      </c>
      <c r="D792" s="28" t="s">
        <v>1602</v>
      </c>
      <c r="E792" s="28" t="s">
        <v>769</v>
      </c>
      <c r="F792" s="28" t="s">
        <v>2182</v>
      </c>
      <c r="G792" s="27" t="s">
        <v>102</v>
      </c>
      <c r="I792" s="27" t="s">
        <v>226</v>
      </c>
      <c r="J792" s="28">
        <v>21590</v>
      </c>
      <c r="K792" s="27" t="s">
        <v>397</v>
      </c>
      <c r="L792" s="121"/>
      <c r="M792" s="121"/>
      <c r="N792" s="115"/>
      <c r="O792" s="115"/>
      <c r="P792" s="115"/>
      <c r="Q792" s="115" t="s">
        <v>2484</v>
      </c>
      <c r="R792" s="121" t="s">
        <v>2955</v>
      </c>
      <c r="S792" s="121" t="s">
        <v>2956</v>
      </c>
      <c r="T792" s="121" t="s">
        <v>2762</v>
      </c>
      <c r="U792" s="326">
        <v>44653</v>
      </c>
      <c r="V792" s="121" t="s">
        <v>2748</v>
      </c>
      <c r="W792" s="218" t="s">
        <v>2957</v>
      </c>
      <c r="X792" s="121"/>
      <c r="Y792" s="121"/>
      <c r="Z792" s="121"/>
      <c r="AA792" s="140" t="s">
        <v>2958</v>
      </c>
      <c r="AB792" s="137">
        <v>126.31</v>
      </c>
      <c r="AC792" s="121">
        <v>20</v>
      </c>
      <c r="AD792" s="122" t="s">
        <v>2807</v>
      </c>
      <c r="AE792" s="204">
        <f t="shared" si="738"/>
        <v>62.429760000000002</v>
      </c>
      <c r="AF792" s="204"/>
      <c r="AG792" s="204">
        <f>EU792+EM792</f>
        <v>16.97530864197531</v>
      </c>
      <c r="AH792" s="204">
        <f t="shared" si="739"/>
        <v>0</v>
      </c>
      <c r="AI792" s="204">
        <f t="shared" si="740"/>
        <v>0</v>
      </c>
      <c r="AJ792" s="204">
        <f t="shared" si="741"/>
        <v>0.34</v>
      </c>
      <c r="AK792" s="204">
        <f t="shared" si="742"/>
        <v>1</v>
      </c>
      <c r="AL792" s="204">
        <f t="shared" si="743"/>
        <v>8.74</v>
      </c>
      <c r="AM792" s="204">
        <f t="shared" si="744"/>
        <v>0.42</v>
      </c>
      <c r="AN792" s="204">
        <f t="shared" si="745"/>
        <v>0.3</v>
      </c>
      <c r="AO792" s="205">
        <v>0</v>
      </c>
      <c r="AP792" s="205"/>
      <c r="AQ792" s="204">
        <f>SUM(AE792:AP792)</f>
        <v>90.205068641975302</v>
      </c>
      <c r="AR792" s="103"/>
      <c r="AS792" s="103"/>
      <c r="AT792" s="103"/>
      <c r="AU792" s="103">
        <f>90.33-90.21</f>
        <v>0.12000000000000455</v>
      </c>
      <c r="AV792" s="204">
        <f>SUM(AQ792:AU792)</f>
        <v>90.325068641975307</v>
      </c>
      <c r="AW792" s="122">
        <v>0.496</v>
      </c>
      <c r="AX792" s="122">
        <v>0.48499999999999999</v>
      </c>
      <c r="AY792" s="207">
        <v>1</v>
      </c>
      <c r="AZ792" s="103">
        <f t="shared" si="746"/>
        <v>1.100000000000001E-2</v>
      </c>
      <c r="BA792" s="203">
        <f>AW792*AB792-AZ792*AC792</f>
        <v>62.429760000000002</v>
      </c>
      <c r="BB792" s="203"/>
      <c r="BC792" s="203"/>
      <c r="BD792" s="203"/>
      <c r="BE792" s="203"/>
      <c r="BF792" s="203"/>
      <c r="BG792" s="203"/>
      <c r="BH792" s="203"/>
      <c r="BI792" s="203"/>
      <c r="BJ792" s="203"/>
      <c r="BK792" s="203"/>
      <c r="BL792" s="203"/>
      <c r="BM792" s="203"/>
      <c r="BN792" s="203"/>
      <c r="BO792" s="203"/>
      <c r="BP792" s="203"/>
      <c r="BQ792" s="203"/>
      <c r="BR792" s="203"/>
      <c r="BS792" s="203"/>
      <c r="BT792" s="203"/>
      <c r="BU792" s="203"/>
      <c r="BV792" s="203"/>
      <c r="BW792" s="203"/>
      <c r="BX792" s="203"/>
      <c r="BY792" s="203"/>
      <c r="BZ792" s="203"/>
      <c r="CA792" s="203"/>
      <c r="CB792" s="203"/>
      <c r="CC792" s="203"/>
      <c r="CD792" s="122"/>
      <c r="CE792" s="103">
        <v>0</v>
      </c>
      <c r="CF792" s="103">
        <v>0</v>
      </c>
      <c r="CG792" s="103">
        <v>0</v>
      </c>
      <c r="CH792" s="103">
        <v>0</v>
      </c>
      <c r="CI792" s="121"/>
      <c r="CJ792" s="121"/>
      <c r="CK792" s="122"/>
      <c r="CL792" s="122"/>
      <c r="CM792" s="122"/>
      <c r="CN792" s="122"/>
      <c r="CO792" s="122"/>
      <c r="CP792" s="122"/>
      <c r="CQ792" s="122"/>
      <c r="CR792" s="122"/>
      <c r="CS792" s="122"/>
      <c r="CT792" s="122"/>
      <c r="CU792" s="122"/>
      <c r="CV792" s="122"/>
      <c r="CW792" s="122"/>
      <c r="CX792" s="122"/>
      <c r="CY792" s="122"/>
      <c r="CZ792" s="122"/>
      <c r="DA792" s="122"/>
      <c r="DB792" s="122"/>
      <c r="DC792" s="122"/>
      <c r="DD792" s="122"/>
      <c r="DE792" s="122"/>
      <c r="DF792" s="122"/>
      <c r="DG792" s="122"/>
      <c r="DH792" s="122"/>
      <c r="DI792" s="122"/>
      <c r="DJ792" s="122"/>
      <c r="DK792" s="122"/>
      <c r="DL792" s="122"/>
      <c r="DM792" s="103">
        <f>CM792+CR792+CW792+DB792+DG792+DL792+CH792</f>
        <v>0</v>
      </c>
      <c r="DN792" s="208">
        <v>1.2500000000000001E-2</v>
      </c>
      <c r="DO792" s="203">
        <f>DM792*DN792</f>
        <v>0</v>
      </c>
      <c r="DP792" s="203">
        <f t="shared" si="747"/>
        <v>0</v>
      </c>
      <c r="DQ792" s="122"/>
      <c r="DR792" s="122"/>
      <c r="DS792" s="122"/>
      <c r="DT792" s="122"/>
      <c r="DU792" s="122"/>
      <c r="DV792" s="122"/>
      <c r="DW792" s="122"/>
      <c r="DX792" s="122"/>
      <c r="DY792" s="122"/>
      <c r="DZ792" s="122"/>
      <c r="EA792" s="122"/>
      <c r="EB792" s="122"/>
      <c r="EC792" s="122"/>
      <c r="ED792" s="122"/>
      <c r="EE792" s="122"/>
      <c r="EF792" s="122">
        <v>550</v>
      </c>
      <c r="EG792" s="122">
        <v>5500</v>
      </c>
      <c r="EH792" s="122">
        <v>7.5</v>
      </c>
      <c r="EI792" s="210">
        <v>0.9</v>
      </c>
      <c r="EJ792" s="122">
        <v>1</v>
      </c>
      <c r="EK792" s="122">
        <v>75</v>
      </c>
      <c r="EL792" s="221">
        <f>(3600/EK792*EH792*EJ792*EI792)</f>
        <v>324</v>
      </c>
      <c r="EM792" s="122"/>
      <c r="EN792" s="122"/>
      <c r="EO792" s="122"/>
      <c r="EP792" s="122"/>
      <c r="EQ792" s="122"/>
      <c r="ER792" s="122"/>
      <c r="ES792" s="122"/>
      <c r="ET792" s="122"/>
      <c r="EU792" s="203">
        <f>EG792/EL792+EV792+EW792+FA792</f>
        <v>16.97530864197531</v>
      </c>
      <c r="EV792" s="122"/>
      <c r="EW792" s="122"/>
      <c r="EX792" s="122"/>
      <c r="EY792" s="122"/>
      <c r="EZ792" s="122"/>
      <c r="FA792" s="122"/>
      <c r="FB792" s="122"/>
      <c r="FC792" s="122"/>
      <c r="FD792" s="122"/>
      <c r="FE792" s="122"/>
      <c r="FF792" s="122"/>
      <c r="FG792" s="122"/>
      <c r="FH792" s="122"/>
      <c r="FI792" s="122"/>
      <c r="FJ792" s="122"/>
      <c r="FK792" s="122"/>
      <c r="FL792" s="122"/>
      <c r="FM792" s="122"/>
      <c r="FN792" s="122"/>
      <c r="FO792" s="122"/>
      <c r="FP792" s="122"/>
      <c r="FQ792" s="122"/>
      <c r="FR792" s="122"/>
      <c r="FS792" s="122"/>
      <c r="FT792" s="122"/>
      <c r="FU792" s="122"/>
      <c r="FV792" s="122"/>
      <c r="FW792" s="122"/>
      <c r="FX792" s="122"/>
      <c r="FY792" s="122"/>
      <c r="FZ792" s="122"/>
      <c r="GA792" s="122"/>
      <c r="GB792" s="122"/>
      <c r="GC792" s="122"/>
      <c r="GD792" s="122"/>
      <c r="GE792" s="122"/>
      <c r="GF792" s="122"/>
      <c r="GG792" s="122"/>
      <c r="GH792" s="122"/>
      <c r="GI792" s="122"/>
      <c r="GJ792" s="122"/>
      <c r="GK792" s="122"/>
      <c r="GL792" s="122"/>
      <c r="GM792" s="122"/>
      <c r="GN792" s="122"/>
      <c r="GO792" s="122"/>
      <c r="GP792" s="122"/>
      <c r="GQ792" s="122"/>
      <c r="GR792" s="210">
        <v>0.11</v>
      </c>
      <c r="GS792" s="202">
        <f>ROUNDUP((GR792*(BA792+EU792)),2)</f>
        <v>8.74</v>
      </c>
      <c r="GT792" s="208">
        <v>1.2500000000000001E-2</v>
      </c>
      <c r="GU792" s="203">
        <f>ROUNDUP(GT792*(BA792+EU792),2)</f>
        <v>1</v>
      </c>
      <c r="GV792" s="207">
        <v>0.02</v>
      </c>
      <c r="GW792" s="203">
        <f>ROUNDUP((GV792*EU792),2)</f>
        <v>0.34</v>
      </c>
      <c r="GX792" s="203">
        <f t="shared" si="748"/>
        <v>10.08</v>
      </c>
      <c r="GY792" s="122" t="s">
        <v>43</v>
      </c>
      <c r="GZ792" s="122" t="s">
        <v>87</v>
      </c>
      <c r="HA792" s="122">
        <v>810</v>
      </c>
      <c r="HB792" s="122">
        <v>568</v>
      </c>
      <c r="HC792" s="122">
        <v>425</v>
      </c>
      <c r="HD792" s="122">
        <v>30</v>
      </c>
      <c r="HE792" s="122">
        <v>200</v>
      </c>
      <c r="HF792" s="122">
        <f>ROUNDUP(HE792/HD792,0)</f>
        <v>7</v>
      </c>
      <c r="HG792" s="213">
        <v>5</v>
      </c>
      <c r="HH792" s="122">
        <f>HF792*HG792</f>
        <v>35</v>
      </c>
      <c r="HI792" s="122">
        <v>1100</v>
      </c>
      <c r="HJ792" s="103">
        <f>HH792*HI792</f>
        <v>38500</v>
      </c>
      <c r="HK792" s="122"/>
      <c r="HL792" s="122"/>
      <c r="HM792" s="122">
        <v>2</v>
      </c>
      <c r="HN792" s="122">
        <f>HM792*12*25*HE792</f>
        <v>120000</v>
      </c>
      <c r="HO792" s="202">
        <f>IF(GY792="carton box",HI792/HD792,HJ792/HN792)</f>
        <v>0.32083333333333336</v>
      </c>
      <c r="HP792" s="122">
        <v>160</v>
      </c>
      <c r="HQ792" s="122">
        <v>0</v>
      </c>
      <c r="HR792" s="122">
        <v>0.09</v>
      </c>
      <c r="HS792" s="122">
        <v>1</v>
      </c>
      <c r="HT792" s="203">
        <f>HR792/HS792</f>
        <v>0.09</v>
      </c>
      <c r="HU792" s="203"/>
      <c r="HV792" s="203">
        <f>ROUNDUP((HO792+HT792),2)</f>
        <v>0.42</v>
      </c>
      <c r="HW792" s="203"/>
      <c r="HX792" s="122">
        <v>4200</v>
      </c>
      <c r="HY792" s="122">
        <v>1900</v>
      </c>
      <c r="HZ792" s="122">
        <v>1975</v>
      </c>
      <c r="IA792" s="122">
        <f t="shared" si="749"/>
        <v>5</v>
      </c>
      <c r="IB792" s="122">
        <f t="shared" si="749"/>
        <v>3</v>
      </c>
      <c r="IC792" s="122">
        <f t="shared" si="749"/>
        <v>4</v>
      </c>
      <c r="ID792" s="210">
        <v>0.95</v>
      </c>
      <c r="IE792" s="122">
        <f>ROUND(PRODUCT(IA792:ID792),0)</f>
        <v>57</v>
      </c>
      <c r="IF792" s="122">
        <v>500</v>
      </c>
      <c r="IG792" s="203">
        <f>ROUNDUP(IF792/(IE792*HD792),2)</f>
        <v>0.3</v>
      </c>
      <c r="IH792" s="368"/>
    </row>
    <row r="793" spans="1:244">
      <c r="A793">
        <v>778</v>
      </c>
      <c r="B793" t="s">
        <v>468</v>
      </c>
      <c r="C793" s="121" t="s">
        <v>2970</v>
      </c>
      <c r="D793" s="28" t="s">
        <v>1603</v>
      </c>
      <c r="E793" s="28" t="s">
        <v>1604</v>
      </c>
      <c r="F793" s="28" t="s">
        <v>2182</v>
      </c>
      <c r="G793" s="27" t="s">
        <v>102</v>
      </c>
      <c r="I793" s="27" t="s">
        <v>226</v>
      </c>
      <c r="J793" s="28">
        <v>21590</v>
      </c>
      <c r="K793" s="27" t="s">
        <v>397</v>
      </c>
      <c r="L793" s="121"/>
      <c r="M793" s="121"/>
      <c r="N793" s="115"/>
      <c r="O793" s="115"/>
      <c r="P793" s="115"/>
      <c r="Q793" s="115" t="s">
        <v>2484</v>
      </c>
      <c r="R793" s="121" t="s">
        <v>2779</v>
      </c>
      <c r="S793" s="121" t="s">
        <v>2968</v>
      </c>
      <c r="T793" s="121" t="s">
        <v>2762</v>
      </c>
      <c r="U793" s="326">
        <v>44178</v>
      </c>
      <c r="V793" s="121" t="s">
        <v>2748</v>
      </c>
      <c r="W793" s="218"/>
      <c r="X793" s="121"/>
      <c r="Y793" s="121"/>
      <c r="Z793" s="121"/>
      <c r="AA793" s="140" t="s">
        <v>2969</v>
      </c>
      <c r="AB793" s="121">
        <v>79.97</v>
      </c>
      <c r="AC793" s="121">
        <v>20</v>
      </c>
      <c r="AD793" s="122" t="s">
        <v>2313</v>
      </c>
      <c r="AE793" s="204">
        <f t="shared" si="738"/>
        <v>12.995080000000002</v>
      </c>
      <c r="AF793" s="204"/>
      <c r="AG793" s="204">
        <f>EU793+EM793</f>
        <v>7.21</v>
      </c>
      <c r="AH793" s="204">
        <f t="shared" si="739"/>
        <v>0.09</v>
      </c>
      <c r="AI793" s="204">
        <f t="shared" si="740"/>
        <v>1.1249999999999999E-3</v>
      </c>
      <c r="AJ793" s="204">
        <f t="shared" si="741"/>
        <v>0.15000000000000002</v>
      </c>
      <c r="AK793" s="204">
        <f t="shared" si="742"/>
        <v>0.26</v>
      </c>
      <c r="AL793" s="204">
        <f t="shared" si="743"/>
        <v>2.23</v>
      </c>
      <c r="AM793" s="204">
        <f t="shared" si="744"/>
        <v>0.19</v>
      </c>
      <c r="AN793" s="204">
        <f t="shared" si="745"/>
        <v>0.08</v>
      </c>
      <c r="AO793" s="205">
        <v>0</v>
      </c>
      <c r="AP793" s="205"/>
      <c r="AQ793" s="204">
        <f>SUM(AE793:AP793)</f>
        <v>23.206205000000001</v>
      </c>
      <c r="AR793" s="103"/>
      <c r="AS793" s="103"/>
      <c r="AT793" s="103"/>
      <c r="AU793" s="103"/>
      <c r="AV793" s="204">
        <f>SUM(AQ793:AU793)</f>
        <v>23.206205000000001</v>
      </c>
      <c r="AW793" s="122">
        <v>0.16400000000000001</v>
      </c>
      <c r="AX793" s="122">
        <v>0.158</v>
      </c>
      <c r="AY793" s="207">
        <v>1</v>
      </c>
      <c r="AZ793" s="103">
        <f t="shared" si="746"/>
        <v>6.0000000000000053E-3</v>
      </c>
      <c r="BA793" s="203">
        <f>AW793*AB793-AZ793*AC793</f>
        <v>12.995080000000002</v>
      </c>
      <c r="BB793" s="203"/>
      <c r="BC793" s="203"/>
      <c r="BD793" s="203"/>
      <c r="BE793" s="203"/>
      <c r="BF793" s="203"/>
      <c r="BG793" s="203"/>
      <c r="BH793" s="203"/>
      <c r="BI793" s="203"/>
      <c r="BJ793" s="203"/>
      <c r="BK793" s="203"/>
      <c r="BL793" s="203"/>
      <c r="BM793" s="203"/>
      <c r="BN793" s="203"/>
      <c r="BO793" s="203"/>
      <c r="BP793" s="203"/>
      <c r="BQ793" s="203"/>
      <c r="BR793" s="203"/>
      <c r="BS793" s="203"/>
      <c r="BT793" s="203"/>
      <c r="BU793" s="203"/>
      <c r="BV793" s="203"/>
      <c r="BW793" s="203"/>
      <c r="BX793" s="203"/>
      <c r="BY793" s="203"/>
      <c r="BZ793" s="203"/>
      <c r="CA793" s="203"/>
      <c r="CB793" s="203"/>
      <c r="CC793" s="203"/>
      <c r="CD793" s="122"/>
      <c r="CE793" s="103">
        <v>0</v>
      </c>
      <c r="CF793" s="103">
        <v>1</v>
      </c>
      <c r="CG793" s="103">
        <v>0.09</v>
      </c>
      <c r="CH793" s="122">
        <f>CG793*CF793</f>
        <v>0.09</v>
      </c>
      <c r="CI793" s="121"/>
      <c r="CJ793" s="121"/>
      <c r="CK793" s="122"/>
      <c r="CL793" s="122"/>
      <c r="CM793" s="122"/>
      <c r="CN793" s="122"/>
      <c r="CO793" s="122"/>
      <c r="CP793" s="122"/>
      <c r="CQ793" s="122"/>
      <c r="CR793" s="122"/>
      <c r="CS793" s="122"/>
      <c r="CT793" s="122"/>
      <c r="CU793" s="122"/>
      <c r="CV793" s="122"/>
      <c r="CW793" s="122"/>
      <c r="CX793" s="122"/>
      <c r="CY793" s="122"/>
      <c r="CZ793" s="122"/>
      <c r="DA793" s="122"/>
      <c r="DB793" s="122"/>
      <c r="DC793" s="122"/>
      <c r="DD793" s="122"/>
      <c r="DE793" s="122"/>
      <c r="DF793" s="122"/>
      <c r="DG793" s="122"/>
      <c r="DH793" s="122"/>
      <c r="DI793" s="122"/>
      <c r="DJ793" s="122"/>
      <c r="DK793" s="122"/>
      <c r="DL793" s="122"/>
      <c r="DM793" s="103">
        <f>CM793+CR793+CW793+DB793+DG793+DL793+CH793</f>
        <v>0.09</v>
      </c>
      <c r="DN793" s="208">
        <v>1.2500000000000001E-2</v>
      </c>
      <c r="DO793" s="203">
        <f>DM793*DN793</f>
        <v>1.1249999999999999E-3</v>
      </c>
      <c r="DP793" s="203">
        <f t="shared" si="747"/>
        <v>9.1124999999999998E-2</v>
      </c>
      <c r="DQ793" s="122"/>
      <c r="DR793" s="122"/>
      <c r="DS793" s="122"/>
      <c r="DT793" s="122"/>
      <c r="DU793" s="122"/>
      <c r="DV793" s="122"/>
      <c r="DW793" s="122"/>
      <c r="DX793" s="122"/>
      <c r="DY793" s="122"/>
      <c r="DZ793" s="122"/>
      <c r="EA793" s="122"/>
      <c r="EB793" s="122"/>
      <c r="EC793" s="122"/>
      <c r="ED793" s="122"/>
      <c r="EE793" s="122"/>
      <c r="EF793" s="122">
        <v>350</v>
      </c>
      <c r="EG793" s="122">
        <v>3500</v>
      </c>
      <c r="EH793" s="122">
        <v>7.5</v>
      </c>
      <c r="EI793" s="210">
        <v>0.9</v>
      </c>
      <c r="EJ793" s="122">
        <v>1</v>
      </c>
      <c r="EK793" s="122">
        <v>50</v>
      </c>
      <c r="EL793" s="122">
        <f>(3600/EK793*EH793*EJ793*EI793)</f>
        <v>486</v>
      </c>
      <c r="EM793" s="122"/>
      <c r="EN793" s="122"/>
      <c r="EO793" s="122"/>
      <c r="EP793" s="122"/>
      <c r="EQ793" s="122"/>
      <c r="ER793" s="122"/>
      <c r="ES793" s="122"/>
      <c r="ET793" s="122"/>
      <c r="EU793" s="203">
        <f>ROUNDUP((EG793/EL793+EV793+EW793+FA793),2)</f>
        <v>7.21</v>
      </c>
      <c r="EV793" s="122"/>
      <c r="EW793" s="122"/>
      <c r="EX793" s="122"/>
      <c r="EY793" s="122"/>
      <c r="EZ793" s="122"/>
      <c r="FA793" s="122"/>
      <c r="FB793" s="122"/>
      <c r="FC793" s="122"/>
      <c r="FD793" s="122"/>
      <c r="FE793" s="122"/>
      <c r="FF793" s="122"/>
      <c r="FG793" s="122"/>
      <c r="FH793" s="122"/>
      <c r="FI793" s="122"/>
      <c r="FJ793" s="122"/>
      <c r="FK793" s="122"/>
      <c r="FL793" s="122"/>
      <c r="FM793" s="122"/>
      <c r="FN793" s="122"/>
      <c r="FO793" s="122"/>
      <c r="FP793" s="122"/>
      <c r="FQ793" s="122"/>
      <c r="FR793" s="122"/>
      <c r="FS793" s="122"/>
      <c r="FT793" s="122"/>
      <c r="FU793" s="122"/>
      <c r="FV793" s="122"/>
      <c r="FW793" s="122"/>
      <c r="FX793" s="122"/>
      <c r="FY793" s="122"/>
      <c r="FZ793" s="122"/>
      <c r="GA793" s="122"/>
      <c r="GB793" s="122"/>
      <c r="GC793" s="122"/>
      <c r="GD793" s="122"/>
      <c r="GE793" s="122"/>
      <c r="GF793" s="122"/>
      <c r="GG793" s="122"/>
      <c r="GH793" s="122"/>
      <c r="GI793" s="122"/>
      <c r="GJ793" s="122"/>
      <c r="GK793" s="122"/>
      <c r="GL793" s="122"/>
      <c r="GM793" s="122"/>
      <c r="GN793" s="122"/>
      <c r="GO793" s="122"/>
      <c r="GP793" s="122"/>
      <c r="GQ793" s="122"/>
      <c r="GR793" s="210">
        <v>0.11</v>
      </c>
      <c r="GS793" s="202">
        <f>ROUNDUP((GR793*(BA793+EU793)),2)</f>
        <v>2.23</v>
      </c>
      <c r="GT793" s="208">
        <v>1.2500000000000001E-2</v>
      </c>
      <c r="GU793" s="203">
        <f>ROUNDUP(GT793*(BA793+EU793),2)</f>
        <v>0.26</v>
      </c>
      <c r="GV793" s="207">
        <v>0.02</v>
      </c>
      <c r="GW793" s="203">
        <f>ROUNDUP((GV793*EU793),2)</f>
        <v>0.15000000000000002</v>
      </c>
      <c r="GX793" s="203">
        <f t="shared" si="748"/>
        <v>2.64</v>
      </c>
      <c r="GY793" s="122"/>
      <c r="GZ793" s="122"/>
      <c r="HA793" s="122"/>
      <c r="HB793" s="122"/>
      <c r="HC793" s="122"/>
      <c r="HD793" s="122"/>
      <c r="HE793" s="122"/>
      <c r="HF793" s="122"/>
      <c r="HG793" s="122"/>
      <c r="HH793" s="122"/>
      <c r="HI793" s="122"/>
      <c r="HJ793" s="122"/>
      <c r="HK793" s="122"/>
      <c r="HL793" s="122"/>
      <c r="HM793" s="122"/>
      <c r="HN793" s="122"/>
      <c r="HO793" s="122"/>
      <c r="HP793" s="122"/>
      <c r="HQ793" s="122"/>
      <c r="HR793" s="122"/>
      <c r="HS793" s="122"/>
      <c r="HT793" s="122"/>
      <c r="HU793" s="122"/>
      <c r="HV793" s="122">
        <v>0.19</v>
      </c>
      <c r="HW793" s="122"/>
      <c r="HX793" s="122"/>
      <c r="HY793" s="122"/>
      <c r="HZ793" s="122"/>
      <c r="IA793" s="122"/>
      <c r="IB793" s="122"/>
      <c r="IC793" s="122"/>
      <c r="ID793" s="122"/>
      <c r="IE793" s="122"/>
      <c r="IF793" s="122"/>
      <c r="IG793" s="122">
        <v>0.08</v>
      </c>
      <c r="IH793" s="21"/>
    </row>
    <row r="794" spans="1:244">
      <c r="A794">
        <v>779</v>
      </c>
      <c r="B794" t="s">
        <v>468</v>
      </c>
      <c r="C794" s="121" t="s">
        <v>2959</v>
      </c>
      <c r="D794" s="28" t="s">
        <v>1605</v>
      </c>
      <c r="E794" s="28" t="s">
        <v>1606</v>
      </c>
      <c r="F794" s="28" t="s">
        <v>2182</v>
      </c>
      <c r="G794" s="27" t="s">
        <v>102</v>
      </c>
      <c r="I794" s="27" t="s">
        <v>226</v>
      </c>
      <c r="J794" s="28">
        <v>21590</v>
      </c>
      <c r="K794" s="27" t="s">
        <v>397</v>
      </c>
      <c r="L794" s="121">
        <v>20089</v>
      </c>
      <c r="M794" s="121" t="s">
        <v>2923</v>
      </c>
      <c r="N794" s="115"/>
      <c r="O794" s="115"/>
      <c r="P794" s="115"/>
      <c r="Q794" s="115" t="s">
        <v>2818</v>
      </c>
      <c r="R794" s="121" t="s">
        <v>2924</v>
      </c>
      <c r="S794" s="121" t="s">
        <v>2960</v>
      </c>
      <c r="T794" s="121" t="s">
        <v>2762</v>
      </c>
      <c r="U794" s="326">
        <v>43263</v>
      </c>
      <c r="V794" s="121" t="s">
        <v>2748</v>
      </c>
      <c r="W794" s="218" t="s">
        <v>2961</v>
      </c>
      <c r="X794" s="121"/>
      <c r="Y794" s="121"/>
      <c r="Z794" s="121"/>
      <c r="AA794" s="140" t="s">
        <v>2962</v>
      </c>
      <c r="AB794" s="121">
        <v>126</v>
      </c>
      <c r="AC794" s="121">
        <v>20</v>
      </c>
      <c r="AD794" s="122" t="s">
        <v>2963</v>
      </c>
      <c r="AE794" s="204">
        <f t="shared" si="738"/>
        <v>5.61</v>
      </c>
      <c r="AF794" s="204"/>
      <c r="AG794" s="204">
        <f>EU794+EM794</f>
        <v>1.4506172839506173</v>
      </c>
      <c r="AH794" s="204">
        <f t="shared" si="739"/>
        <v>0</v>
      </c>
      <c r="AI794" s="204">
        <f t="shared" si="740"/>
        <v>0</v>
      </c>
      <c r="AJ794" s="204">
        <f t="shared" si="741"/>
        <v>0.03</v>
      </c>
      <c r="AK794" s="204">
        <f t="shared" si="742"/>
        <v>0.11</v>
      </c>
      <c r="AL794" s="204">
        <f t="shared" si="743"/>
        <v>0.88257716049382717</v>
      </c>
      <c r="AM794" s="204">
        <f t="shared" si="744"/>
        <v>0.03</v>
      </c>
      <c r="AN794" s="204">
        <f t="shared" si="745"/>
        <v>0.09</v>
      </c>
      <c r="AO794" s="205">
        <v>0</v>
      </c>
      <c r="AP794" s="205"/>
      <c r="AQ794" s="204">
        <f>SUM(AE794:AP794)</f>
        <v>8.2031944444444438</v>
      </c>
      <c r="AR794" s="203">
        <f>IJ794</f>
        <v>7.0606172839506182E-2</v>
      </c>
      <c r="AS794" s="103"/>
      <c r="AT794" s="103"/>
      <c r="AU794" s="103"/>
      <c r="AV794" s="204">
        <f>SUM(AQ794:AU794)</f>
        <v>8.2738006172839498</v>
      </c>
      <c r="AW794" s="122">
        <v>4.4999999999999998E-2</v>
      </c>
      <c r="AX794" s="122">
        <v>4.2000000000000003E-2</v>
      </c>
      <c r="AY794" s="210">
        <v>1</v>
      </c>
      <c r="AZ794" s="122">
        <f t="shared" si="746"/>
        <v>2.9999999999999957E-3</v>
      </c>
      <c r="BA794" s="122">
        <f>AW794*AB794-AZ794*AC794</f>
        <v>5.61</v>
      </c>
      <c r="BB794" s="122"/>
      <c r="BC794" s="122"/>
      <c r="BD794" s="122"/>
      <c r="BE794" s="122"/>
      <c r="BF794" s="122"/>
      <c r="BG794" s="122"/>
      <c r="BH794" s="122"/>
      <c r="BI794" s="122"/>
      <c r="BJ794" s="122"/>
      <c r="BK794" s="122"/>
      <c r="BL794" s="122"/>
      <c r="BM794" s="122"/>
      <c r="BN794" s="122"/>
      <c r="BO794" s="122"/>
      <c r="BP794" s="122"/>
      <c r="BQ794" s="122"/>
      <c r="BR794" s="122"/>
      <c r="BS794" s="122"/>
      <c r="BT794" s="122"/>
      <c r="BU794" s="122"/>
      <c r="BV794" s="122"/>
      <c r="BW794" s="122"/>
      <c r="BX794" s="122"/>
      <c r="BY794" s="122"/>
      <c r="BZ794" s="122"/>
      <c r="CA794" s="122"/>
      <c r="CB794" s="122"/>
      <c r="CC794" s="122"/>
      <c r="CD794" s="122"/>
      <c r="CE794" s="122">
        <v>0</v>
      </c>
      <c r="CF794" s="122">
        <v>0</v>
      </c>
      <c r="CG794" s="122">
        <v>0</v>
      </c>
      <c r="CH794" s="122">
        <v>0</v>
      </c>
      <c r="CI794" s="121"/>
      <c r="CJ794" s="121"/>
      <c r="CK794" s="122"/>
      <c r="CL794" s="122"/>
      <c r="CM794" s="122"/>
      <c r="CN794" s="122"/>
      <c r="CO794" s="122"/>
      <c r="CP794" s="122"/>
      <c r="CQ794" s="122"/>
      <c r="CR794" s="122"/>
      <c r="CS794" s="122"/>
      <c r="CT794" s="122"/>
      <c r="CU794" s="122"/>
      <c r="CV794" s="122"/>
      <c r="CW794" s="122"/>
      <c r="CX794" s="122"/>
      <c r="CY794" s="122"/>
      <c r="CZ794" s="122"/>
      <c r="DA794" s="122"/>
      <c r="DB794" s="122"/>
      <c r="DC794" s="122"/>
      <c r="DD794" s="122"/>
      <c r="DE794" s="122"/>
      <c r="DF794" s="122"/>
      <c r="DG794" s="122"/>
      <c r="DH794" s="122"/>
      <c r="DI794" s="122"/>
      <c r="DJ794" s="122"/>
      <c r="DK794" s="122"/>
      <c r="DL794" s="122"/>
      <c r="DM794" s="103">
        <f>CM794+CR794+CW794+DB794+DG794+DL794+CH794</f>
        <v>0</v>
      </c>
      <c r="DN794" s="208">
        <v>1.2500000000000001E-2</v>
      </c>
      <c r="DO794" s="203">
        <f>DM794*DN794</f>
        <v>0</v>
      </c>
      <c r="DP794" s="203">
        <f t="shared" si="747"/>
        <v>0</v>
      </c>
      <c r="DQ794" s="122"/>
      <c r="DR794" s="122"/>
      <c r="DS794" s="122"/>
      <c r="DT794" s="122"/>
      <c r="DU794" s="122"/>
      <c r="DV794" s="122"/>
      <c r="DW794" s="122"/>
      <c r="DX794" s="122"/>
      <c r="DY794" s="122"/>
      <c r="DZ794" s="122"/>
      <c r="EA794" s="122"/>
      <c r="EB794" s="122"/>
      <c r="EC794" s="122"/>
      <c r="ED794" s="122"/>
      <c r="EE794" s="122"/>
      <c r="EF794" s="122">
        <v>150</v>
      </c>
      <c r="EG794" s="122">
        <v>1950</v>
      </c>
      <c r="EH794" s="122">
        <v>7.5</v>
      </c>
      <c r="EI794" s="210">
        <v>0.9</v>
      </c>
      <c r="EJ794" s="122">
        <v>4</v>
      </c>
      <c r="EK794" s="122">
        <v>60</v>
      </c>
      <c r="EL794" s="221">
        <f>(3600/EK794*EH794*EJ794*EI794)</f>
        <v>1620</v>
      </c>
      <c r="EM794" s="122"/>
      <c r="EN794" s="122"/>
      <c r="EO794" s="122"/>
      <c r="EP794" s="122"/>
      <c r="EQ794" s="122"/>
      <c r="ER794" s="202">
        <f>400/EL794</f>
        <v>0.24691358024691357</v>
      </c>
      <c r="ES794" s="202"/>
      <c r="ET794" s="202"/>
      <c r="EU794" s="203">
        <f>EG794/EL794+EV794+EW794+FA794+ER794</f>
        <v>1.4506172839506173</v>
      </c>
      <c r="EV794" s="122"/>
      <c r="EW794" s="122"/>
      <c r="EX794" s="122"/>
      <c r="EY794" s="122"/>
      <c r="EZ794" s="122"/>
      <c r="FA794" s="122"/>
      <c r="FB794" s="122"/>
      <c r="FC794" s="122"/>
      <c r="FD794" s="122"/>
      <c r="FE794" s="122"/>
      <c r="FF794" s="122"/>
      <c r="FG794" s="122"/>
      <c r="FH794" s="122"/>
      <c r="FI794" s="122"/>
      <c r="FJ794" s="122"/>
      <c r="FK794" s="122"/>
      <c r="FL794" s="122"/>
      <c r="FM794" s="122"/>
      <c r="FN794" s="122"/>
      <c r="FO794" s="122"/>
      <c r="FP794" s="122"/>
      <c r="FQ794" s="122"/>
      <c r="FR794" s="122"/>
      <c r="FS794" s="122"/>
      <c r="FT794" s="122"/>
      <c r="FU794" s="122"/>
      <c r="FV794" s="122"/>
      <c r="FW794" s="122"/>
      <c r="FX794" s="122"/>
      <c r="FY794" s="122"/>
      <c r="FZ794" s="122"/>
      <c r="GA794" s="122"/>
      <c r="GB794" s="122"/>
      <c r="GC794" s="122"/>
      <c r="GD794" s="122"/>
      <c r="GE794" s="122"/>
      <c r="GF794" s="122"/>
      <c r="GG794" s="122"/>
      <c r="GH794" s="122"/>
      <c r="GI794" s="122"/>
      <c r="GJ794" s="122"/>
      <c r="GK794" s="122"/>
      <c r="GL794" s="122"/>
      <c r="GM794" s="122"/>
      <c r="GN794" s="122"/>
      <c r="GO794" s="122"/>
      <c r="GP794" s="122"/>
      <c r="GQ794" s="122"/>
      <c r="GR794" s="210">
        <v>0.125</v>
      </c>
      <c r="GS794" s="202">
        <f>GR794*(BA794+EU794)</f>
        <v>0.88257716049382717</v>
      </c>
      <c r="GT794" s="208">
        <v>1.4999999999999999E-2</v>
      </c>
      <c r="GU794" s="203">
        <f>ROUNDUP(GT794*(BA794+EU794),2)</f>
        <v>0.11</v>
      </c>
      <c r="GV794" s="207">
        <v>0.02</v>
      </c>
      <c r="GW794" s="203">
        <f>ROUNDUP((GV794*EU794),2)</f>
        <v>0.03</v>
      </c>
      <c r="GX794" s="203">
        <f t="shared" si="748"/>
        <v>1.0225771604938272</v>
      </c>
      <c r="GY794" s="122" t="s">
        <v>43</v>
      </c>
      <c r="GZ794" s="122" t="s">
        <v>87</v>
      </c>
      <c r="HA794" s="122">
        <v>650</v>
      </c>
      <c r="HB794" s="122">
        <v>450</v>
      </c>
      <c r="HC794" s="122">
        <v>330</v>
      </c>
      <c r="HD794" s="122">
        <v>200</v>
      </c>
      <c r="HE794" s="122">
        <v>1000</v>
      </c>
      <c r="HF794" s="122">
        <f>ROUNDUP(HE794/HD794,0)</f>
        <v>5</v>
      </c>
      <c r="HG794" s="122">
        <v>5</v>
      </c>
      <c r="HH794" s="122">
        <f>HF794*HG794</f>
        <v>25</v>
      </c>
      <c r="HI794" s="122">
        <v>650</v>
      </c>
      <c r="HJ794" s="103">
        <f t="shared" ref="HJ794:HJ805" si="750">HH794*HI794</f>
        <v>16250</v>
      </c>
      <c r="HK794" s="122"/>
      <c r="HL794" s="122"/>
      <c r="HM794" s="122">
        <v>2</v>
      </c>
      <c r="HN794" s="122">
        <f t="shared" ref="HN794:HN805" si="751">HM794*12*25*HE794</f>
        <v>600000</v>
      </c>
      <c r="HO794" s="202">
        <f t="shared" ref="HO794:HO805" si="752">IF(GY794="carton box",HI794/HD794,HJ794/HN794)</f>
        <v>2.7083333333333334E-2</v>
      </c>
      <c r="HP794" s="122">
        <v>160</v>
      </c>
      <c r="HQ794" s="122">
        <v>0</v>
      </c>
      <c r="HR794" s="122">
        <v>0</v>
      </c>
      <c r="HS794" s="122">
        <v>0</v>
      </c>
      <c r="HT794" s="122">
        <v>0</v>
      </c>
      <c r="HU794" s="122"/>
      <c r="HV794" s="203">
        <f>ROUNDUP((HO794+HT794),2)</f>
        <v>0.03</v>
      </c>
      <c r="HW794" s="203"/>
      <c r="HX794" s="122">
        <v>4200</v>
      </c>
      <c r="HY794" s="122">
        <v>1900</v>
      </c>
      <c r="HZ794" s="122">
        <v>1975</v>
      </c>
      <c r="IA794" s="122">
        <f t="shared" ref="IA794:IA805" si="753">ROUNDDOWN(HX794/HA794,0)</f>
        <v>6</v>
      </c>
      <c r="IB794" s="122">
        <f t="shared" ref="IB794:IB805" si="754">ROUNDDOWN(HY794/HB794,0)</f>
        <v>4</v>
      </c>
      <c r="IC794" s="122">
        <f t="shared" ref="IC794:IC805" si="755">ROUNDDOWN(HZ794/HC794,0)</f>
        <v>5</v>
      </c>
      <c r="ID794" s="207">
        <v>1</v>
      </c>
      <c r="IE794" s="203">
        <f>ROUND(PRODUCT(IA794:ID794),0)</f>
        <v>120</v>
      </c>
      <c r="IF794" s="122">
        <v>2000</v>
      </c>
      <c r="IG794" s="203">
        <f t="shared" ref="IG794:IG799" si="756">ROUNDUP(IF794/(IE794*HD794),2)</f>
        <v>0.09</v>
      </c>
      <c r="IH794" s="203"/>
      <c r="II794" s="210">
        <v>0.01</v>
      </c>
      <c r="IJ794" s="203">
        <f>II794*(BA794+EU794)</f>
        <v>7.0606172839506182E-2</v>
      </c>
    </row>
    <row r="795" spans="1:244">
      <c r="A795">
        <v>780</v>
      </c>
      <c r="B795" t="s">
        <v>468</v>
      </c>
      <c r="C795" s="121" t="s">
        <v>2964</v>
      </c>
      <c r="D795" s="28" t="s">
        <v>1607</v>
      </c>
      <c r="E795" s="28" t="s">
        <v>1608</v>
      </c>
      <c r="F795" s="28" t="s">
        <v>2182</v>
      </c>
      <c r="G795" s="27" t="s">
        <v>102</v>
      </c>
      <c r="I795" s="27" t="s">
        <v>226</v>
      </c>
      <c r="J795" s="28">
        <v>21590</v>
      </c>
      <c r="K795" s="27" t="s">
        <v>397</v>
      </c>
      <c r="L795" s="121"/>
      <c r="M795" s="121"/>
      <c r="N795" s="115"/>
      <c r="O795" s="115"/>
      <c r="P795" s="115"/>
      <c r="Q795" s="115" t="s">
        <v>2484</v>
      </c>
      <c r="R795" s="121" t="s">
        <v>2779</v>
      </c>
      <c r="S795" s="121" t="s">
        <v>2965</v>
      </c>
      <c r="T795" s="121" t="s">
        <v>2762</v>
      </c>
      <c r="U795" s="326">
        <v>44123</v>
      </c>
      <c r="V795" s="121" t="s">
        <v>2748</v>
      </c>
      <c r="W795" s="218"/>
      <c r="X795" s="121"/>
      <c r="Y795" s="121"/>
      <c r="Z795" s="121"/>
      <c r="AA795" s="140" t="s">
        <v>2966</v>
      </c>
      <c r="AB795" s="121">
        <v>190.5</v>
      </c>
      <c r="AC795" s="121">
        <v>20</v>
      </c>
      <c r="AD795" s="122" t="s">
        <v>2967</v>
      </c>
      <c r="AE795" s="204">
        <f t="shared" si="738"/>
        <v>0.82725000000000004</v>
      </c>
      <c r="AF795" s="204"/>
      <c r="AG795" s="204">
        <f>EU795+EM795</f>
        <v>0.33950617283950618</v>
      </c>
      <c r="AH795" s="204">
        <f t="shared" si="739"/>
        <v>0</v>
      </c>
      <c r="AI795" s="204">
        <f t="shared" si="740"/>
        <v>0</v>
      </c>
      <c r="AJ795" s="204">
        <f t="shared" si="741"/>
        <v>0.01</v>
      </c>
      <c r="AK795" s="204">
        <f t="shared" si="742"/>
        <v>1.4584452160493828E-2</v>
      </c>
      <c r="AL795" s="204">
        <f t="shared" si="743"/>
        <v>0.13</v>
      </c>
      <c r="AM795" s="204">
        <f t="shared" si="744"/>
        <v>5.4166666666666669E-2</v>
      </c>
      <c r="AN795" s="204">
        <f t="shared" si="745"/>
        <v>0.01</v>
      </c>
      <c r="AO795" s="205">
        <v>0</v>
      </c>
      <c r="AP795" s="205"/>
      <c r="AQ795" s="204">
        <f>SUM(AE795:AP795)</f>
        <v>1.3855072916666666</v>
      </c>
      <c r="AR795" s="203">
        <f>IJ795</f>
        <v>0</v>
      </c>
      <c r="AS795" s="103"/>
      <c r="AT795" s="103"/>
      <c r="AU795" s="103"/>
      <c r="AV795" s="204">
        <f>SUM(AQ795:AU795)</f>
        <v>1.3855072916666666</v>
      </c>
      <c r="AW795" s="122">
        <v>4.5000000000000005E-3</v>
      </c>
      <c r="AX795" s="122">
        <v>3.0000000000000001E-3</v>
      </c>
      <c r="AY795" s="210">
        <v>1</v>
      </c>
      <c r="AZ795" s="122">
        <f t="shared" si="746"/>
        <v>1.5000000000000005E-3</v>
      </c>
      <c r="BA795" s="202">
        <f>AW795*AB795-AZ795*AC795</f>
        <v>0.82725000000000004</v>
      </c>
      <c r="BB795" s="202"/>
      <c r="BC795" s="202"/>
      <c r="BD795" s="202"/>
      <c r="BE795" s="202"/>
      <c r="BF795" s="202"/>
      <c r="BG795" s="202"/>
      <c r="BH795" s="202"/>
      <c r="BI795" s="202"/>
      <c r="BJ795" s="202"/>
      <c r="BK795" s="202"/>
      <c r="BL795" s="202"/>
      <c r="BM795" s="202"/>
      <c r="BN795" s="202"/>
      <c r="BO795" s="202"/>
      <c r="BP795" s="202"/>
      <c r="BQ795" s="202"/>
      <c r="BR795" s="202"/>
      <c r="BS795" s="202"/>
      <c r="BT795" s="202"/>
      <c r="BU795" s="202"/>
      <c r="BV795" s="202"/>
      <c r="BW795" s="202"/>
      <c r="BX795" s="202"/>
      <c r="BY795" s="202"/>
      <c r="BZ795" s="202"/>
      <c r="CA795" s="202"/>
      <c r="CB795" s="202"/>
      <c r="CC795" s="202"/>
      <c r="CD795" s="122"/>
      <c r="CE795" s="122">
        <v>0</v>
      </c>
      <c r="CF795" s="122">
        <v>0</v>
      </c>
      <c r="CG795" s="122">
        <v>0</v>
      </c>
      <c r="CH795" s="122">
        <v>0</v>
      </c>
      <c r="CI795" s="121"/>
      <c r="CJ795" s="121"/>
      <c r="CK795" s="122"/>
      <c r="CL795" s="122"/>
      <c r="CM795" s="122"/>
      <c r="CN795" s="122"/>
      <c r="CO795" s="122"/>
      <c r="CP795" s="122"/>
      <c r="CQ795" s="122"/>
      <c r="CR795" s="122"/>
      <c r="CS795" s="122"/>
      <c r="CT795" s="122"/>
      <c r="CU795" s="122"/>
      <c r="CV795" s="122"/>
      <c r="CW795" s="122"/>
      <c r="CX795" s="122"/>
      <c r="CY795" s="122"/>
      <c r="CZ795" s="122"/>
      <c r="DA795" s="122"/>
      <c r="DB795" s="122"/>
      <c r="DC795" s="122"/>
      <c r="DD795" s="122"/>
      <c r="DE795" s="122"/>
      <c r="DF795" s="122"/>
      <c r="DG795" s="122"/>
      <c r="DH795" s="122"/>
      <c r="DI795" s="122"/>
      <c r="DJ795" s="122"/>
      <c r="DK795" s="122"/>
      <c r="DL795" s="122"/>
      <c r="DM795" s="103">
        <f>CM795+CR795+CW795+DB795+DG795+DL795+CH795</f>
        <v>0</v>
      </c>
      <c r="DN795" s="208">
        <v>1.2500000000000001E-2</v>
      </c>
      <c r="DO795" s="203">
        <f>DM795*DN795</f>
        <v>0</v>
      </c>
      <c r="DP795" s="203">
        <f t="shared" si="747"/>
        <v>0</v>
      </c>
      <c r="DQ795" s="122"/>
      <c r="DR795" s="122"/>
      <c r="DS795" s="122"/>
      <c r="DT795" s="122"/>
      <c r="DU795" s="122"/>
      <c r="DV795" s="122"/>
      <c r="DW795" s="122"/>
      <c r="DX795" s="122"/>
      <c r="DY795" s="122"/>
      <c r="DZ795" s="122"/>
      <c r="EA795" s="122"/>
      <c r="EB795" s="122"/>
      <c r="EC795" s="122"/>
      <c r="ED795" s="122"/>
      <c r="EE795" s="122"/>
      <c r="EF795" s="122">
        <v>60</v>
      </c>
      <c r="EG795" s="122">
        <v>600</v>
      </c>
      <c r="EH795" s="122">
        <v>7.5</v>
      </c>
      <c r="EI795" s="210">
        <v>0.9</v>
      </c>
      <c r="EJ795" s="122">
        <v>4</v>
      </c>
      <c r="EK795" s="122">
        <v>55</v>
      </c>
      <c r="EL795" s="221">
        <f>(3600/EK795*EH795*EJ795*EI795)</f>
        <v>1767.2727272727273</v>
      </c>
      <c r="EM795" s="122"/>
      <c r="EN795" s="122"/>
      <c r="EO795" s="122"/>
      <c r="EP795" s="122"/>
      <c r="EQ795" s="122"/>
      <c r="ER795" s="122"/>
      <c r="ES795" s="122"/>
      <c r="ET795" s="122"/>
      <c r="EU795" s="203">
        <f>EG795/EL795+EV795+EW795+FA795+ER795</f>
        <v>0.33950617283950618</v>
      </c>
      <c r="EV795" s="122"/>
      <c r="EW795" s="122"/>
      <c r="EX795" s="122"/>
      <c r="EY795" s="122"/>
      <c r="EZ795" s="122"/>
      <c r="FA795" s="122"/>
      <c r="FB795" s="122"/>
      <c r="FC795" s="122"/>
      <c r="FD795" s="122"/>
      <c r="FE795" s="122"/>
      <c r="FF795" s="122"/>
      <c r="FG795" s="122"/>
      <c r="FH795" s="122"/>
      <c r="FI795" s="122"/>
      <c r="FJ795" s="122"/>
      <c r="FK795" s="122"/>
      <c r="FL795" s="122"/>
      <c r="FM795" s="122"/>
      <c r="FN795" s="122"/>
      <c r="FO795" s="122"/>
      <c r="FP795" s="122"/>
      <c r="FQ795" s="122"/>
      <c r="FR795" s="122"/>
      <c r="FS795" s="122"/>
      <c r="FT795" s="122"/>
      <c r="FU795" s="122"/>
      <c r="FV795" s="122"/>
      <c r="FW795" s="122"/>
      <c r="FX795" s="122"/>
      <c r="FY795" s="122"/>
      <c r="FZ795" s="122"/>
      <c r="GA795" s="122"/>
      <c r="GB795" s="122"/>
      <c r="GC795" s="122"/>
      <c r="GD795" s="122"/>
      <c r="GE795" s="122"/>
      <c r="GF795" s="122"/>
      <c r="GG795" s="122"/>
      <c r="GH795" s="122"/>
      <c r="GI795" s="122"/>
      <c r="GJ795" s="122"/>
      <c r="GK795" s="122"/>
      <c r="GL795" s="122"/>
      <c r="GM795" s="122"/>
      <c r="GN795" s="122"/>
      <c r="GO795" s="122"/>
      <c r="GP795" s="122"/>
      <c r="GQ795" s="122"/>
      <c r="GR795" s="210">
        <v>0.11</v>
      </c>
      <c r="GS795" s="202">
        <f>ROUNDUP((GR795*(BA795+EU795)),2)</f>
        <v>0.13</v>
      </c>
      <c r="GT795" s="208">
        <v>1.2500000000000001E-2</v>
      </c>
      <c r="GU795" s="203">
        <f>(GT795*(BA795+EU795))</f>
        <v>1.4584452160493828E-2</v>
      </c>
      <c r="GV795" s="207">
        <v>0.02</v>
      </c>
      <c r="GW795" s="203">
        <f>ROUNDUP((GV795*EU795),2)</f>
        <v>0.01</v>
      </c>
      <c r="GX795" s="203">
        <f t="shared" si="748"/>
        <v>0.15458445216049385</v>
      </c>
      <c r="GY795" s="122" t="s">
        <v>43</v>
      </c>
      <c r="GZ795" s="122" t="s">
        <v>87</v>
      </c>
      <c r="HA795" s="122">
        <v>650</v>
      </c>
      <c r="HB795" s="122">
        <v>450</v>
      </c>
      <c r="HC795" s="122">
        <v>330</v>
      </c>
      <c r="HD795" s="122">
        <v>5000</v>
      </c>
      <c r="HE795" s="122">
        <v>100</v>
      </c>
      <c r="HF795" s="122">
        <f>ROUNDUP(HE795/HD795,0)</f>
        <v>1</v>
      </c>
      <c r="HG795" s="122">
        <v>5</v>
      </c>
      <c r="HH795" s="122">
        <f>HF795*HG795</f>
        <v>5</v>
      </c>
      <c r="HI795" s="122">
        <v>650</v>
      </c>
      <c r="HJ795" s="122">
        <f t="shared" si="750"/>
        <v>3250</v>
      </c>
      <c r="HK795" s="122"/>
      <c r="HL795" s="122"/>
      <c r="HM795" s="122">
        <v>2</v>
      </c>
      <c r="HN795" s="122">
        <f t="shared" si="751"/>
        <v>60000</v>
      </c>
      <c r="HO795" s="202">
        <f t="shared" si="752"/>
        <v>5.4166666666666669E-2</v>
      </c>
      <c r="HP795" s="122">
        <v>160</v>
      </c>
      <c r="HQ795" s="122">
        <v>0</v>
      </c>
      <c r="HR795" s="122">
        <v>0</v>
      </c>
      <c r="HS795" s="122">
        <v>0</v>
      </c>
      <c r="HT795" s="122">
        <v>0</v>
      </c>
      <c r="HU795" s="122"/>
      <c r="HV795" s="202">
        <f>HO795+HT795</f>
        <v>5.4166666666666669E-2</v>
      </c>
      <c r="HW795" s="202"/>
      <c r="HX795" s="122">
        <v>4200</v>
      </c>
      <c r="HY795" s="122">
        <v>1900</v>
      </c>
      <c r="HZ795" s="122">
        <v>1975</v>
      </c>
      <c r="IA795" s="122">
        <f t="shared" si="753"/>
        <v>6</v>
      </c>
      <c r="IB795" s="122">
        <f t="shared" si="754"/>
        <v>4</v>
      </c>
      <c r="IC795" s="122">
        <f t="shared" si="755"/>
        <v>5</v>
      </c>
      <c r="ID795" s="207">
        <v>1</v>
      </c>
      <c r="IE795" s="203">
        <f>ROUND(PRODUCT(IA795:ID795),0)</f>
        <v>120</v>
      </c>
      <c r="IF795" s="122">
        <v>500</v>
      </c>
      <c r="IG795" s="203">
        <f t="shared" si="756"/>
        <v>0.01</v>
      </c>
      <c r="IH795" s="368"/>
    </row>
    <row r="796" spans="1:244" ht="30">
      <c r="A796">
        <v>781</v>
      </c>
      <c r="B796" t="s">
        <v>468</v>
      </c>
      <c r="C796" t="s">
        <v>2483</v>
      </c>
      <c r="D796" s="28" t="s">
        <v>1609</v>
      </c>
      <c r="E796" s="28" t="s">
        <v>1606</v>
      </c>
      <c r="F796" s="28" t="s">
        <v>2182</v>
      </c>
      <c r="G796" s="27" t="s">
        <v>108</v>
      </c>
      <c r="I796" s="27" t="s">
        <v>226</v>
      </c>
      <c r="J796" s="28">
        <v>21590</v>
      </c>
      <c r="K796" s="27" t="s">
        <v>397</v>
      </c>
      <c r="Q796" s="13" t="s">
        <v>2484</v>
      </c>
      <c r="R796" s="13" t="s">
        <v>1194</v>
      </c>
      <c r="S796" s="13" t="s">
        <v>2485</v>
      </c>
      <c r="T796" s="13"/>
      <c r="U796" s="13"/>
      <c r="V796" s="72" t="s">
        <v>2486</v>
      </c>
      <c r="W796" s="53"/>
      <c r="AA796" t="s">
        <v>500</v>
      </c>
      <c r="AB796" s="66">
        <v>122.49</v>
      </c>
      <c r="AC796">
        <v>20</v>
      </c>
      <c r="AD796"/>
      <c r="AE796" s="7">
        <f t="shared" si="738"/>
        <v>5.3808050000000005</v>
      </c>
      <c r="AF796" s="7">
        <f t="shared" ref="AF796:AF802" si="757">DT796</f>
        <v>0</v>
      </c>
      <c r="AG796" s="7">
        <f t="shared" ref="AG796:AG802" si="758">EU796+FA796</f>
        <v>1.98</v>
      </c>
      <c r="AH796" s="7">
        <f t="shared" si="739"/>
        <v>0</v>
      </c>
      <c r="AI796" s="7">
        <f t="shared" si="740"/>
        <v>0</v>
      </c>
      <c r="AJ796" s="7">
        <f t="shared" si="741"/>
        <v>3.9600000000000003E-2</v>
      </c>
      <c r="AK796" s="7">
        <f t="shared" si="742"/>
        <v>9.9999999999999992E-2</v>
      </c>
      <c r="AL796" s="7">
        <f t="shared" si="743"/>
        <v>0.80968855000000006</v>
      </c>
      <c r="AM796" s="7">
        <f t="shared" si="744"/>
        <v>3.7916666666666668E-2</v>
      </c>
      <c r="AN796" s="7">
        <f t="shared" si="745"/>
        <v>0.03</v>
      </c>
      <c r="AO796" s="7"/>
      <c r="AP796" s="7"/>
      <c r="AQ796" s="7">
        <f>SUM(AE796:AO796)+EZ796</f>
        <v>8.3780102166666666</v>
      </c>
      <c r="AR796" s="7"/>
      <c r="AS796" s="7"/>
      <c r="AT796" s="7"/>
      <c r="AU796" s="7"/>
      <c r="AV796" s="7">
        <f>AQ796+AU796</f>
        <v>8.3780102166666666</v>
      </c>
      <c r="AW796" s="69">
        <v>4.4500000000000005E-2</v>
      </c>
      <c r="AX796" s="59">
        <v>4.1000000000000002E-2</v>
      </c>
      <c r="AY796" s="61">
        <v>1</v>
      </c>
      <c r="AZ796" s="59">
        <f t="shared" si="746"/>
        <v>3.5000000000000031E-3</v>
      </c>
      <c r="BA796" s="62">
        <f t="shared" ref="BA796:BA805" si="759">AW796*AB796-(AZ796*AC796)*AY796</f>
        <v>5.3808050000000005</v>
      </c>
      <c r="BB796" s="62"/>
      <c r="BC796" s="62"/>
      <c r="BD796" s="62"/>
      <c r="BE796" s="62"/>
      <c r="BF796" s="62"/>
      <c r="BG796" s="62"/>
      <c r="BH796" s="62"/>
      <c r="BI796" s="62"/>
      <c r="BJ796" s="62"/>
      <c r="BK796" s="62"/>
      <c r="BL796" s="62"/>
      <c r="BM796" s="62"/>
      <c r="BN796" s="62"/>
      <c r="BO796" s="62"/>
      <c r="BP796" s="62"/>
      <c r="BQ796" s="62"/>
      <c r="BR796" s="62"/>
      <c r="BS796" s="62"/>
      <c r="BT796" s="62"/>
      <c r="BU796" s="62"/>
      <c r="BV796" s="62"/>
      <c r="BW796" s="62"/>
      <c r="BX796" s="62"/>
      <c r="BY796" s="62"/>
      <c r="BZ796" s="62"/>
      <c r="CA796" s="62"/>
      <c r="CB796" s="62"/>
      <c r="CC796" s="62"/>
      <c r="CD796" s="59"/>
      <c r="CE796" s="62">
        <v>0</v>
      </c>
      <c r="CF796" s="62">
        <v>0</v>
      </c>
      <c r="CG796" s="62">
        <v>0</v>
      </c>
      <c r="CH796" s="62">
        <v>0</v>
      </c>
      <c r="CI796" s="62"/>
      <c r="CJ796" s="62"/>
      <c r="CK796" s="62"/>
      <c r="CL796" s="62"/>
      <c r="CM796" s="62"/>
      <c r="CN796" s="62"/>
      <c r="CO796" s="62"/>
      <c r="CP796" s="62"/>
      <c r="CQ796" s="62"/>
      <c r="CR796" s="62"/>
      <c r="CS796" s="62"/>
      <c r="CT796" s="62"/>
      <c r="CU796" s="62"/>
      <c r="CV796" s="62"/>
      <c r="CW796" s="62"/>
      <c r="CX796" s="62"/>
      <c r="CY796" s="62"/>
      <c r="CZ796" s="62"/>
      <c r="DA796" s="62"/>
      <c r="DB796" s="62"/>
      <c r="DC796" s="62"/>
      <c r="DD796" s="62"/>
      <c r="DE796" s="62"/>
      <c r="DF796" s="62"/>
      <c r="DG796" s="62"/>
      <c r="DH796" s="62"/>
      <c r="DI796" s="62"/>
      <c r="DJ796" s="62"/>
      <c r="DK796" s="62"/>
      <c r="DL796" s="62"/>
      <c r="DM796" s="62">
        <f t="shared" ref="DM796:DM805" si="760">CH796+CM796+CR796+CW796+DB796+DG796+DK796</f>
        <v>0</v>
      </c>
      <c r="DN796" s="309">
        <v>1.2500000000000001E-2</v>
      </c>
      <c r="DO796" s="62">
        <v>0</v>
      </c>
      <c r="DP796" s="62">
        <f t="shared" si="747"/>
        <v>0</v>
      </c>
      <c r="DQ796" s="62"/>
      <c r="DR796" s="62"/>
      <c r="DS796" s="62"/>
      <c r="DT796" s="62"/>
      <c r="DU796" s="62"/>
      <c r="DV796" s="62"/>
      <c r="DW796" s="62"/>
      <c r="DX796" s="62"/>
      <c r="DY796" s="62"/>
      <c r="DZ796" s="62"/>
      <c r="EA796" s="62"/>
      <c r="EB796" s="62"/>
      <c r="EC796" s="62"/>
      <c r="ED796" s="62"/>
      <c r="EE796" s="62"/>
      <c r="EF796" s="62">
        <v>160</v>
      </c>
      <c r="EG796" s="62">
        <v>1600</v>
      </c>
      <c r="EH796" s="62">
        <v>7.5</v>
      </c>
      <c r="EI796" s="310">
        <v>0.9</v>
      </c>
      <c r="EJ796" s="62">
        <v>2</v>
      </c>
      <c r="EK796" s="65">
        <v>60</v>
      </c>
      <c r="EL796" s="65">
        <f t="shared" ref="EL796:EL805" si="761">ROUND(3600/EK796*EH796*EJ796*EI796,0)</f>
        <v>810</v>
      </c>
      <c r="EM796" s="65"/>
      <c r="EN796" s="65"/>
      <c r="EO796" s="65"/>
      <c r="EP796" s="65"/>
      <c r="EQ796" s="65"/>
      <c r="ER796" s="65"/>
      <c r="ES796" s="65"/>
      <c r="ET796" s="65"/>
      <c r="EU796" s="62">
        <f>ROUNDUP(EG796/EL796,2)</f>
        <v>1.98</v>
      </c>
      <c r="EV796" s="62"/>
      <c r="EW796" s="62"/>
      <c r="EX796" s="59"/>
      <c r="EY796" s="59"/>
      <c r="EZ796" s="59"/>
      <c r="FA796" s="59"/>
      <c r="FB796" s="59"/>
      <c r="FC796" s="59"/>
      <c r="FD796" s="59"/>
      <c r="FE796" s="59"/>
      <c r="FF796" s="59"/>
      <c r="FG796" s="59"/>
      <c r="FH796" s="59"/>
      <c r="FI796" s="59"/>
      <c r="FJ796" s="59"/>
      <c r="FK796" s="59"/>
      <c r="FL796" s="59"/>
      <c r="FM796" s="59"/>
      <c r="FN796" s="59"/>
      <c r="FO796" s="59"/>
      <c r="FP796" s="59"/>
      <c r="FQ796" s="59"/>
      <c r="FR796" s="59"/>
      <c r="FS796" s="59"/>
      <c r="FT796" s="59"/>
      <c r="FU796" s="59"/>
      <c r="FV796" s="59"/>
      <c r="FW796" s="59"/>
      <c r="FX796" s="59"/>
      <c r="FY796" s="59"/>
      <c r="FZ796" s="59"/>
      <c r="GA796" s="59"/>
      <c r="GB796" s="59"/>
      <c r="GC796" s="59"/>
      <c r="GD796" s="59"/>
      <c r="GE796" s="59"/>
      <c r="GF796" s="59"/>
      <c r="GG796" s="59"/>
      <c r="GH796" s="59"/>
      <c r="GI796" s="59"/>
      <c r="GJ796" s="59"/>
      <c r="GK796" s="59"/>
      <c r="GL796" s="59"/>
      <c r="GM796" s="59"/>
      <c r="GN796" s="59"/>
      <c r="GO796" s="59"/>
      <c r="GP796" s="59"/>
      <c r="GQ796" s="59"/>
      <c r="GR796" s="310">
        <v>0.11</v>
      </c>
      <c r="GS796" s="62">
        <f>GR796*(BA796+EU796)</f>
        <v>0.80968855000000006</v>
      </c>
      <c r="GT796" s="309">
        <v>1.2500000000000001E-2</v>
      </c>
      <c r="GU796" s="62">
        <f>ROUNDUP(GT796*(BA796+EU796),2)</f>
        <v>9.9999999999999992E-2</v>
      </c>
      <c r="GV796" s="61">
        <v>0.02</v>
      </c>
      <c r="GW796" s="62">
        <f>GV796*EU796</f>
        <v>3.9600000000000003E-2</v>
      </c>
      <c r="GX796" s="62">
        <f t="shared" si="748"/>
        <v>0.94928855000000001</v>
      </c>
      <c r="GY796" s="62" t="s">
        <v>43</v>
      </c>
      <c r="GZ796" s="62" t="s">
        <v>551</v>
      </c>
      <c r="HA796" s="59">
        <v>650</v>
      </c>
      <c r="HB796" s="59">
        <v>450</v>
      </c>
      <c r="HC796" s="59">
        <v>320</v>
      </c>
      <c r="HD796" s="59">
        <v>200</v>
      </c>
      <c r="HE796" s="59">
        <v>200</v>
      </c>
      <c r="HF796" s="62">
        <f>HE796/HD796</f>
        <v>1</v>
      </c>
      <c r="HG796" s="59">
        <v>7</v>
      </c>
      <c r="HH796" s="62">
        <f>HF796*HG796</f>
        <v>7</v>
      </c>
      <c r="HI796" s="59">
        <v>650</v>
      </c>
      <c r="HJ796" s="62">
        <f t="shared" si="750"/>
        <v>4550</v>
      </c>
      <c r="HK796" s="59"/>
      <c r="HL796" s="59"/>
      <c r="HM796" s="59">
        <v>2</v>
      </c>
      <c r="HN796" s="62">
        <f t="shared" si="751"/>
        <v>120000</v>
      </c>
      <c r="HO796" s="62">
        <f t="shared" si="752"/>
        <v>3.7916666666666668E-2</v>
      </c>
      <c r="HP796" s="59">
        <v>160</v>
      </c>
      <c r="HQ796" s="59">
        <v>0</v>
      </c>
      <c r="HR796" s="59">
        <v>0</v>
      </c>
      <c r="HS796" s="59">
        <v>0</v>
      </c>
      <c r="HT796" s="59">
        <v>0</v>
      </c>
      <c r="HU796" s="59"/>
      <c r="HV796" s="62">
        <f>HO796+HT796</f>
        <v>3.7916666666666668E-2</v>
      </c>
      <c r="HW796" s="62"/>
      <c r="HX796" s="59">
        <v>4200</v>
      </c>
      <c r="HY796" s="59">
        <v>1900</v>
      </c>
      <c r="HZ796" s="59">
        <v>1975</v>
      </c>
      <c r="IA796" s="62">
        <f t="shared" si="753"/>
        <v>6</v>
      </c>
      <c r="IB796" s="62">
        <f t="shared" si="754"/>
        <v>4</v>
      </c>
      <c r="IC796" s="62">
        <f t="shared" si="755"/>
        <v>6</v>
      </c>
      <c r="ID796" s="61">
        <v>0.9</v>
      </c>
      <c r="IE796" s="62">
        <f>PRODUCT(IA796:ID796)-9.6</f>
        <v>120</v>
      </c>
      <c r="IF796" s="59">
        <v>500</v>
      </c>
      <c r="IG796" s="62">
        <f t="shared" si="756"/>
        <v>0.03</v>
      </c>
      <c r="IH796" s="62"/>
    </row>
    <row r="797" spans="1:244" ht="30">
      <c r="A797">
        <v>782</v>
      </c>
      <c r="B797" t="s">
        <v>468</v>
      </c>
      <c r="C797" t="s">
        <v>2487</v>
      </c>
      <c r="D797" s="28" t="s">
        <v>1610</v>
      </c>
      <c r="E797" s="28" t="s">
        <v>1611</v>
      </c>
      <c r="F797" s="28" t="s">
        <v>2182</v>
      </c>
      <c r="G797" s="27" t="s">
        <v>108</v>
      </c>
      <c r="I797" s="27" t="s">
        <v>226</v>
      </c>
      <c r="J797" s="28">
        <v>21590</v>
      </c>
      <c r="K797" s="27" t="s">
        <v>397</v>
      </c>
      <c r="Q797" s="13" t="s">
        <v>2484</v>
      </c>
      <c r="R797" s="13" t="s">
        <v>1194</v>
      </c>
      <c r="S797" s="13" t="s">
        <v>2485</v>
      </c>
      <c r="T797" s="13"/>
      <c r="U797" s="13"/>
      <c r="V797" s="72" t="s">
        <v>2486</v>
      </c>
      <c r="W797" s="53"/>
      <c r="AA797" t="s">
        <v>2488</v>
      </c>
      <c r="AB797" s="66">
        <v>238.5</v>
      </c>
      <c r="AC797">
        <v>20</v>
      </c>
      <c r="AD797"/>
      <c r="AE797" s="7">
        <f t="shared" si="738"/>
        <v>1.1525000000000001</v>
      </c>
      <c r="AF797" s="7">
        <f t="shared" si="757"/>
        <v>0</v>
      </c>
      <c r="AG797" s="7">
        <f t="shared" si="758"/>
        <v>0.34</v>
      </c>
      <c r="AH797" s="7">
        <f t="shared" si="739"/>
        <v>0</v>
      </c>
      <c r="AI797" s="7">
        <f t="shared" si="740"/>
        <v>0</v>
      </c>
      <c r="AJ797" s="7">
        <f t="shared" si="741"/>
        <v>6.8000000000000005E-3</v>
      </c>
      <c r="AK797" s="7">
        <f t="shared" si="742"/>
        <v>0.02</v>
      </c>
      <c r="AL797" s="7">
        <f t="shared" si="743"/>
        <v>0.16417500000000002</v>
      </c>
      <c r="AM797" s="7">
        <f t="shared" si="744"/>
        <v>0.04</v>
      </c>
      <c r="AN797" s="7">
        <f t="shared" si="745"/>
        <v>0.01</v>
      </c>
      <c r="AO797" s="7"/>
      <c r="AP797" s="7"/>
      <c r="AQ797" s="7">
        <f>SUM(AE797:AO797)+EZ797</f>
        <v>1.7334750000000001</v>
      </c>
      <c r="AR797" s="7"/>
      <c r="AS797" s="7"/>
      <c r="AT797" s="7"/>
      <c r="AU797" s="7"/>
      <c r="AV797" s="7">
        <f>AQ797+AU797</f>
        <v>1.7334750000000001</v>
      </c>
      <c r="AW797" s="59">
        <v>5.0000000000000001E-3</v>
      </c>
      <c r="AX797" s="59">
        <v>3.0000000000000001E-3</v>
      </c>
      <c r="AY797" s="61">
        <v>1</v>
      </c>
      <c r="AZ797" s="59">
        <f t="shared" si="746"/>
        <v>2E-3</v>
      </c>
      <c r="BA797" s="62">
        <f t="shared" si="759"/>
        <v>1.1525000000000001</v>
      </c>
      <c r="BB797" s="62"/>
      <c r="BC797" s="62"/>
      <c r="BD797" s="62"/>
      <c r="BE797" s="62"/>
      <c r="BF797" s="62"/>
      <c r="BG797" s="62"/>
      <c r="BH797" s="62"/>
      <c r="BI797" s="62"/>
      <c r="BJ797" s="62"/>
      <c r="BK797" s="62"/>
      <c r="BL797" s="62"/>
      <c r="BM797" s="62"/>
      <c r="BN797" s="62"/>
      <c r="BO797" s="62"/>
      <c r="BP797" s="62"/>
      <c r="BQ797" s="62"/>
      <c r="BR797" s="62"/>
      <c r="BS797" s="62"/>
      <c r="BT797" s="62"/>
      <c r="BU797" s="62"/>
      <c r="BV797" s="62"/>
      <c r="BW797" s="62"/>
      <c r="BX797" s="62"/>
      <c r="BY797" s="62"/>
      <c r="BZ797" s="62"/>
      <c r="CA797" s="62"/>
      <c r="CB797" s="62"/>
      <c r="CC797" s="62"/>
      <c r="CD797" s="59">
        <v>0</v>
      </c>
      <c r="CE797" s="62">
        <v>0</v>
      </c>
      <c r="CF797" s="62">
        <v>0</v>
      </c>
      <c r="CG797" s="62">
        <v>0</v>
      </c>
      <c r="CH797" s="62">
        <v>0</v>
      </c>
      <c r="CI797" s="62"/>
      <c r="CJ797" s="62"/>
      <c r="CK797" s="62"/>
      <c r="CL797" s="62"/>
      <c r="CM797" s="62"/>
      <c r="CN797" s="62"/>
      <c r="CO797" s="62"/>
      <c r="CP797" s="62"/>
      <c r="CQ797" s="62"/>
      <c r="CR797" s="62"/>
      <c r="CS797" s="62"/>
      <c r="CT797" s="62"/>
      <c r="CU797" s="62"/>
      <c r="CV797" s="62"/>
      <c r="CW797" s="62"/>
      <c r="CX797" s="62"/>
      <c r="CY797" s="62"/>
      <c r="CZ797" s="62"/>
      <c r="DA797" s="62"/>
      <c r="DB797" s="62"/>
      <c r="DC797" s="62"/>
      <c r="DD797" s="62"/>
      <c r="DE797" s="62"/>
      <c r="DF797" s="62"/>
      <c r="DG797" s="62"/>
      <c r="DH797" s="62"/>
      <c r="DI797" s="62"/>
      <c r="DJ797" s="62"/>
      <c r="DK797" s="62"/>
      <c r="DL797" s="62"/>
      <c r="DM797" s="62">
        <f t="shared" si="760"/>
        <v>0</v>
      </c>
      <c r="DN797" s="309">
        <v>1.2500000000000001E-2</v>
      </c>
      <c r="DO797" s="62">
        <v>0</v>
      </c>
      <c r="DP797" s="62">
        <f t="shared" si="747"/>
        <v>0</v>
      </c>
      <c r="DQ797" s="62"/>
      <c r="DR797" s="62"/>
      <c r="DS797" s="62"/>
      <c r="DT797" s="62"/>
      <c r="DU797" s="62"/>
      <c r="DV797" s="62"/>
      <c r="DW797" s="62"/>
      <c r="DX797" s="62"/>
      <c r="DY797" s="62"/>
      <c r="DZ797" s="62"/>
      <c r="EA797" s="62"/>
      <c r="EB797" s="62"/>
      <c r="EC797" s="62"/>
      <c r="ED797" s="62"/>
      <c r="EE797" s="62"/>
      <c r="EF797" s="62">
        <v>60</v>
      </c>
      <c r="EG797" s="62">
        <v>600</v>
      </c>
      <c r="EH797" s="62">
        <v>7.5</v>
      </c>
      <c r="EI797" s="310">
        <v>0.9</v>
      </c>
      <c r="EJ797" s="65">
        <v>4</v>
      </c>
      <c r="EK797" s="65">
        <v>55</v>
      </c>
      <c r="EL797" s="65">
        <f t="shared" si="761"/>
        <v>1767</v>
      </c>
      <c r="EM797" s="65"/>
      <c r="EN797" s="65"/>
      <c r="EO797" s="65"/>
      <c r="EP797" s="65"/>
      <c r="EQ797" s="65"/>
      <c r="ER797" s="65"/>
      <c r="ES797" s="65"/>
      <c r="ET797" s="65"/>
      <c r="EU797" s="62">
        <f>ROUNDUP(EG797/EL797,2)</f>
        <v>0.34</v>
      </c>
      <c r="EV797" s="62"/>
      <c r="EW797" s="62"/>
      <c r="EX797" s="59"/>
      <c r="EY797" s="59"/>
      <c r="EZ797" s="59"/>
      <c r="FA797" s="59"/>
      <c r="FB797" s="59"/>
      <c r="FC797" s="59"/>
      <c r="FD797" s="59"/>
      <c r="FE797" s="59"/>
      <c r="FF797" s="59"/>
      <c r="FG797" s="59"/>
      <c r="FH797" s="59"/>
      <c r="FI797" s="59"/>
      <c r="FJ797" s="59"/>
      <c r="FK797" s="59"/>
      <c r="FL797" s="59"/>
      <c r="FM797" s="59"/>
      <c r="FN797" s="59"/>
      <c r="FO797" s="59"/>
      <c r="FP797" s="59"/>
      <c r="FQ797" s="59"/>
      <c r="FR797" s="59"/>
      <c r="FS797" s="59"/>
      <c r="FT797" s="59"/>
      <c r="FU797" s="59"/>
      <c r="FV797" s="59"/>
      <c r="FW797" s="59"/>
      <c r="FX797" s="59"/>
      <c r="FY797" s="59"/>
      <c r="FZ797" s="59"/>
      <c r="GA797" s="59"/>
      <c r="GB797" s="59"/>
      <c r="GC797" s="59"/>
      <c r="GD797" s="59"/>
      <c r="GE797" s="59"/>
      <c r="GF797" s="59"/>
      <c r="GG797" s="59"/>
      <c r="GH797" s="59"/>
      <c r="GI797" s="59"/>
      <c r="GJ797" s="59"/>
      <c r="GK797" s="59"/>
      <c r="GL797" s="59"/>
      <c r="GM797" s="59"/>
      <c r="GN797" s="59"/>
      <c r="GO797" s="59"/>
      <c r="GP797" s="59"/>
      <c r="GQ797" s="59"/>
      <c r="GR797" s="310">
        <v>0.11</v>
      </c>
      <c r="GS797" s="62">
        <f>GR797*(BA797+EU797)</f>
        <v>0.16417500000000002</v>
      </c>
      <c r="GT797" s="309">
        <v>1.2500000000000001E-2</v>
      </c>
      <c r="GU797" s="62">
        <f>ROUNDUP(GT797*(BA797+EU797),2)</f>
        <v>0.02</v>
      </c>
      <c r="GV797" s="61">
        <v>0.02</v>
      </c>
      <c r="GW797" s="62">
        <f>GV797*EU797</f>
        <v>6.8000000000000005E-3</v>
      </c>
      <c r="GX797" s="62">
        <f t="shared" si="748"/>
        <v>0.19097500000000001</v>
      </c>
      <c r="GY797" s="62" t="s">
        <v>43</v>
      </c>
      <c r="GZ797" s="62" t="s">
        <v>551</v>
      </c>
      <c r="HA797" s="59">
        <v>650</v>
      </c>
      <c r="HB797" s="59">
        <v>450</v>
      </c>
      <c r="HC797" s="59">
        <v>320</v>
      </c>
      <c r="HD797" s="59">
        <v>650</v>
      </c>
      <c r="HE797" s="59">
        <v>200</v>
      </c>
      <c r="HF797" s="62">
        <f t="shared" ref="HF797:HF805" si="762">ROUNDUP(HE797/HD797,0)</f>
        <v>1</v>
      </c>
      <c r="HG797" s="59">
        <v>7</v>
      </c>
      <c r="HH797" s="62">
        <f>HF797*HG797</f>
        <v>7</v>
      </c>
      <c r="HI797" s="59">
        <v>650</v>
      </c>
      <c r="HJ797" s="62">
        <f t="shared" si="750"/>
        <v>4550</v>
      </c>
      <c r="HK797" s="59"/>
      <c r="HL797" s="59"/>
      <c r="HM797" s="59">
        <v>2</v>
      </c>
      <c r="HN797" s="62">
        <f t="shared" si="751"/>
        <v>120000</v>
      </c>
      <c r="HO797" s="62">
        <f t="shared" si="752"/>
        <v>3.7916666666666668E-2</v>
      </c>
      <c r="HP797" s="59">
        <v>160</v>
      </c>
      <c r="HQ797" s="59">
        <v>0</v>
      </c>
      <c r="HR797" s="59">
        <v>0</v>
      </c>
      <c r="HS797" s="59">
        <v>0</v>
      </c>
      <c r="HT797" s="59">
        <v>0</v>
      </c>
      <c r="HU797" s="59"/>
      <c r="HV797" s="62">
        <f>ROUNDUP(HO797+HT797,2)</f>
        <v>0.04</v>
      </c>
      <c r="HW797" s="62"/>
      <c r="HX797" s="59">
        <v>4200</v>
      </c>
      <c r="HY797" s="59">
        <v>1900</v>
      </c>
      <c r="HZ797" s="59">
        <v>1975</v>
      </c>
      <c r="IA797" s="62">
        <f t="shared" si="753"/>
        <v>6</v>
      </c>
      <c r="IB797" s="62">
        <f t="shared" si="754"/>
        <v>4</v>
      </c>
      <c r="IC797" s="62">
        <f t="shared" si="755"/>
        <v>6</v>
      </c>
      <c r="ID797" s="61">
        <v>0.95</v>
      </c>
      <c r="IE797" s="62">
        <f>PRODUCT(IA797:ID797)-16.8</f>
        <v>119.99999999999999</v>
      </c>
      <c r="IF797" s="59">
        <v>500</v>
      </c>
      <c r="IG797" s="62">
        <f t="shared" si="756"/>
        <v>0.01</v>
      </c>
      <c r="IH797" s="62"/>
    </row>
    <row r="798" spans="1:244" ht="30">
      <c r="A798">
        <v>783</v>
      </c>
      <c r="B798" t="s">
        <v>468</v>
      </c>
      <c r="C798" t="s">
        <v>2489</v>
      </c>
      <c r="D798" s="28" t="s">
        <v>1612</v>
      </c>
      <c r="E798" s="28" t="s">
        <v>773</v>
      </c>
      <c r="F798" s="28" t="s">
        <v>2182</v>
      </c>
      <c r="G798" s="27" t="s">
        <v>108</v>
      </c>
      <c r="I798" s="27" t="s">
        <v>226</v>
      </c>
      <c r="J798" s="28">
        <v>21590</v>
      </c>
      <c r="K798" s="27" t="s">
        <v>397</v>
      </c>
      <c r="Q798" s="13" t="s">
        <v>2484</v>
      </c>
      <c r="R798" s="13" t="s">
        <v>1194</v>
      </c>
      <c r="S798" s="13" t="s">
        <v>2485</v>
      </c>
      <c r="T798" s="13"/>
      <c r="U798" s="13"/>
      <c r="V798" s="72" t="s">
        <v>2486</v>
      </c>
      <c r="W798" s="53"/>
      <c r="AA798" t="s">
        <v>2490</v>
      </c>
      <c r="AB798" s="66">
        <v>129.33000000000001</v>
      </c>
      <c r="AC798">
        <v>20</v>
      </c>
      <c r="AD798"/>
      <c r="AE798" s="7">
        <f t="shared" si="738"/>
        <v>24.363370000000003</v>
      </c>
      <c r="AF798" s="7">
        <f t="shared" si="757"/>
        <v>0</v>
      </c>
      <c r="AG798" s="7">
        <f t="shared" si="758"/>
        <v>3.4299999999999997</v>
      </c>
      <c r="AH798" s="7">
        <f t="shared" si="739"/>
        <v>0</v>
      </c>
      <c r="AI798" s="7">
        <f t="shared" si="740"/>
        <v>0</v>
      </c>
      <c r="AJ798" s="7">
        <f t="shared" si="741"/>
        <v>6.9999999999999993E-2</v>
      </c>
      <c r="AK798" s="7">
        <f t="shared" si="742"/>
        <v>0.34741712500000005</v>
      </c>
      <c r="AL798" s="7">
        <f t="shared" si="743"/>
        <v>3.0572707000000006</v>
      </c>
      <c r="AM798" s="7">
        <f t="shared" si="744"/>
        <v>0.35000000000000003</v>
      </c>
      <c r="AN798" s="7">
        <f t="shared" si="745"/>
        <v>0.18000000000000002</v>
      </c>
      <c r="AO798" s="7"/>
      <c r="AP798" s="7">
        <f t="shared" ref="AP798:AP805" si="763">EZ798</f>
        <v>0</v>
      </c>
      <c r="AQ798" s="7">
        <f t="shared" ref="AQ798:AQ805" si="764">SUM(AE798:AP798)</f>
        <v>31.798057825000004</v>
      </c>
      <c r="AR798" s="7"/>
      <c r="AS798" s="7"/>
      <c r="AT798" s="7"/>
      <c r="AU798" s="7"/>
      <c r="AV798" s="7">
        <f t="shared" ref="AV798:AV805" si="765">AQ798+AU798+AT798</f>
        <v>31.798057825000004</v>
      </c>
      <c r="AW798" s="59">
        <v>0.189</v>
      </c>
      <c r="AX798" s="59">
        <v>0.185</v>
      </c>
      <c r="AY798" s="61">
        <v>1</v>
      </c>
      <c r="AZ798" s="59">
        <f t="shared" si="746"/>
        <v>4.0000000000000036E-3</v>
      </c>
      <c r="BA798" s="69">
        <f t="shared" si="759"/>
        <v>24.363370000000003</v>
      </c>
      <c r="BB798" s="69"/>
      <c r="BC798" s="69"/>
      <c r="BD798" s="69"/>
      <c r="BE798" s="69"/>
      <c r="BF798" s="69"/>
      <c r="BG798" s="69"/>
      <c r="BH798" s="69"/>
      <c r="BI798" s="69"/>
      <c r="BJ798" s="69"/>
      <c r="BK798" s="69"/>
      <c r="BL798" s="69"/>
      <c r="BM798" s="69"/>
      <c r="BN798" s="69"/>
      <c r="BO798" s="69"/>
      <c r="BP798" s="69"/>
      <c r="BQ798" s="69"/>
      <c r="BR798" s="69"/>
      <c r="BS798" s="69"/>
      <c r="BT798" s="69"/>
      <c r="BU798" s="69"/>
      <c r="BV798" s="69"/>
      <c r="BW798" s="69"/>
      <c r="BX798" s="69"/>
      <c r="BY798" s="69"/>
      <c r="BZ798" s="69"/>
      <c r="CA798" s="69"/>
      <c r="CB798" s="69"/>
      <c r="CC798" s="69"/>
      <c r="CD798" s="59">
        <v>0</v>
      </c>
      <c r="CE798" s="62">
        <v>0</v>
      </c>
      <c r="CF798" s="62">
        <v>0</v>
      </c>
      <c r="CG798" s="62">
        <v>0</v>
      </c>
      <c r="CH798" s="62">
        <f t="shared" ref="CH798:CH805" si="766">CF798*CG798</f>
        <v>0</v>
      </c>
      <c r="CI798" s="59"/>
      <c r="CJ798" s="59"/>
      <c r="CK798" s="59"/>
      <c r="CL798" s="59"/>
      <c r="CM798" s="59"/>
      <c r="CN798" s="59"/>
      <c r="CO798" s="59"/>
      <c r="CP798" s="59"/>
      <c r="CQ798" s="59"/>
      <c r="CR798" s="59"/>
      <c r="CS798" s="59"/>
      <c r="CT798" s="59"/>
      <c r="CU798" s="59"/>
      <c r="CV798" s="59"/>
      <c r="CW798" s="59"/>
      <c r="CX798" s="59"/>
      <c r="CY798" s="59"/>
      <c r="CZ798" s="59"/>
      <c r="DA798" s="59"/>
      <c r="DB798" s="59"/>
      <c r="DC798" s="59"/>
      <c r="DD798" s="59"/>
      <c r="DE798" s="59"/>
      <c r="DF798" s="59"/>
      <c r="DG798" s="59"/>
      <c r="DH798" s="59"/>
      <c r="DI798" s="59"/>
      <c r="DJ798" s="59"/>
      <c r="DK798" s="59"/>
      <c r="DL798" s="59"/>
      <c r="DM798" s="62">
        <f t="shared" si="760"/>
        <v>0</v>
      </c>
      <c r="DN798" s="64">
        <v>1.2500000000000001E-2</v>
      </c>
      <c r="DO798" s="62">
        <f t="shared" ref="DO798:DO805" si="767">DN798*CG798*CF798</f>
        <v>0</v>
      </c>
      <c r="DP798" s="62">
        <f t="shared" si="747"/>
        <v>0</v>
      </c>
      <c r="DQ798" s="59"/>
      <c r="DR798" s="59"/>
      <c r="DS798" s="59"/>
      <c r="DT798" s="59"/>
      <c r="DU798" s="59"/>
      <c r="DV798" s="59"/>
      <c r="DW798" s="59"/>
      <c r="DX798" s="59"/>
      <c r="DY798" s="59"/>
      <c r="DZ798" s="59"/>
      <c r="EA798" s="59"/>
      <c r="EB798" s="59"/>
      <c r="EC798" s="59"/>
      <c r="ED798" s="59"/>
      <c r="EE798" s="59"/>
      <c r="EF798" s="59">
        <v>260</v>
      </c>
      <c r="EG798" s="62">
        <v>2600</v>
      </c>
      <c r="EH798" s="62">
        <v>7.5</v>
      </c>
      <c r="EI798" s="61">
        <v>0.9</v>
      </c>
      <c r="EJ798" s="65">
        <v>2</v>
      </c>
      <c r="EK798" s="65">
        <v>64</v>
      </c>
      <c r="EL798" s="65">
        <f t="shared" si="761"/>
        <v>759</v>
      </c>
      <c r="EM798" s="59"/>
      <c r="EN798" s="59"/>
      <c r="EO798" s="59"/>
      <c r="EP798" s="59"/>
      <c r="EQ798" s="59"/>
      <c r="ER798" s="59"/>
      <c r="ES798" s="59"/>
      <c r="ET798" s="59"/>
      <c r="EU798" s="62">
        <f>ROUNDUP(EG798/EL798,2)</f>
        <v>3.4299999999999997</v>
      </c>
      <c r="EV798" s="59"/>
      <c r="EW798" s="59"/>
      <c r="EX798" s="59"/>
      <c r="EY798" s="59"/>
      <c r="EZ798" s="59"/>
      <c r="FA798" s="59"/>
      <c r="FB798" s="59"/>
      <c r="FC798" s="59"/>
      <c r="FD798" s="59"/>
      <c r="FE798" s="59"/>
      <c r="FF798" s="59"/>
      <c r="FG798" s="59"/>
      <c r="FH798" s="59"/>
      <c r="FI798" s="59"/>
      <c r="FJ798" s="59"/>
      <c r="FK798" s="59"/>
      <c r="FL798" s="59"/>
      <c r="FM798" s="59"/>
      <c r="FN798" s="59"/>
      <c r="FO798" s="59"/>
      <c r="FP798" s="59"/>
      <c r="FQ798" s="59"/>
      <c r="FR798" s="59"/>
      <c r="FS798" s="59"/>
      <c r="FT798" s="59"/>
      <c r="FU798" s="59"/>
      <c r="FV798" s="59"/>
      <c r="FW798" s="59"/>
      <c r="FX798" s="59"/>
      <c r="FY798" s="59"/>
      <c r="FZ798" s="59"/>
      <c r="GA798" s="59"/>
      <c r="GB798" s="59"/>
      <c r="GC798" s="59"/>
      <c r="GD798" s="59"/>
      <c r="GE798" s="59"/>
      <c r="GF798" s="59"/>
      <c r="GG798" s="59"/>
      <c r="GH798" s="59"/>
      <c r="GI798" s="59"/>
      <c r="GJ798" s="59"/>
      <c r="GK798" s="59"/>
      <c r="GL798" s="59"/>
      <c r="GM798" s="59"/>
      <c r="GN798" s="59"/>
      <c r="GO798" s="59"/>
      <c r="GP798" s="59"/>
      <c r="GQ798" s="59"/>
      <c r="GR798" s="61">
        <v>0.11</v>
      </c>
      <c r="GS798" s="69">
        <f>GR798*(BA798+EU798)</f>
        <v>3.0572707000000006</v>
      </c>
      <c r="GT798" s="64">
        <v>1.2500000000000001E-2</v>
      </c>
      <c r="GU798" s="69">
        <f>GT798*(BA798+EU798)</f>
        <v>0.34741712500000005</v>
      </c>
      <c r="GV798" s="61">
        <v>0.02</v>
      </c>
      <c r="GW798" s="62">
        <f>ROUNDUP(GV798*EU798,2)</f>
        <v>6.9999999999999993E-2</v>
      </c>
      <c r="GX798" s="69">
        <f t="shared" si="748"/>
        <v>3.4746878250000006</v>
      </c>
      <c r="GY798" s="62" t="s">
        <v>43</v>
      </c>
      <c r="GZ798" s="62" t="s">
        <v>551</v>
      </c>
      <c r="HA798" s="59">
        <v>810</v>
      </c>
      <c r="HB798" s="59">
        <v>568</v>
      </c>
      <c r="HC798" s="59">
        <v>425</v>
      </c>
      <c r="HD798" s="59">
        <v>50</v>
      </c>
      <c r="HE798" s="59">
        <v>200</v>
      </c>
      <c r="HF798" s="62">
        <f t="shared" si="762"/>
        <v>4</v>
      </c>
      <c r="HG798" s="59">
        <v>5</v>
      </c>
      <c r="HH798" s="62">
        <f>HF798*HG798+8</f>
        <v>28</v>
      </c>
      <c r="HI798" s="59">
        <v>1100</v>
      </c>
      <c r="HJ798" s="62">
        <f t="shared" si="750"/>
        <v>30800</v>
      </c>
      <c r="HK798" s="59"/>
      <c r="HL798" s="59"/>
      <c r="HM798" s="59">
        <v>2</v>
      </c>
      <c r="HN798" s="62">
        <f t="shared" si="751"/>
        <v>120000</v>
      </c>
      <c r="HO798" s="62">
        <f t="shared" si="752"/>
        <v>0.25666666666666665</v>
      </c>
      <c r="HP798" s="59">
        <v>160</v>
      </c>
      <c r="HQ798" s="59">
        <v>0</v>
      </c>
      <c r="HR798" s="59">
        <v>0.09</v>
      </c>
      <c r="HS798" s="59">
        <v>1</v>
      </c>
      <c r="HT798" s="62">
        <f>HR798/HS798</f>
        <v>0.09</v>
      </c>
      <c r="HU798" s="62"/>
      <c r="HV798" s="62">
        <f>ROUNDUP(HO798+HT798,2)</f>
        <v>0.35000000000000003</v>
      </c>
      <c r="HW798" s="62"/>
      <c r="HX798" s="311">
        <v>4200</v>
      </c>
      <c r="HY798" s="311">
        <v>1900</v>
      </c>
      <c r="HZ798" s="311">
        <v>1975</v>
      </c>
      <c r="IA798" s="62">
        <f t="shared" si="753"/>
        <v>5</v>
      </c>
      <c r="IB798" s="62">
        <f t="shared" si="754"/>
        <v>3</v>
      </c>
      <c r="IC798" s="62">
        <f t="shared" si="755"/>
        <v>4</v>
      </c>
      <c r="ID798" s="61">
        <v>0.95</v>
      </c>
      <c r="IE798" s="62">
        <f>PRODUCT(IA798:ID798)</f>
        <v>57</v>
      </c>
      <c r="IF798" s="59">
        <v>500</v>
      </c>
      <c r="IG798" s="62">
        <f t="shared" si="756"/>
        <v>0.18000000000000002</v>
      </c>
      <c r="IH798" s="62"/>
    </row>
    <row r="799" spans="1:244" ht="30">
      <c r="A799">
        <v>784</v>
      </c>
      <c r="B799" t="s">
        <v>468</v>
      </c>
      <c r="C799" t="s">
        <v>2491</v>
      </c>
      <c r="D799" s="28" t="s">
        <v>1613</v>
      </c>
      <c r="E799" s="28" t="s">
        <v>158</v>
      </c>
      <c r="F799" s="28" t="s">
        <v>2182</v>
      </c>
      <c r="G799" s="27" t="s">
        <v>108</v>
      </c>
      <c r="I799" s="27" t="s">
        <v>226</v>
      </c>
      <c r="J799" s="28">
        <v>21590</v>
      </c>
      <c r="K799" s="27" t="s">
        <v>397</v>
      </c>
      <c r="Q799" s="13" t="s">
        <v>2484</v>
      </c>
      <c r="R799" s="13" t="s">
        <v>1194</v>
      </c>
      <c r="S799" s="13" t="s">
        <v>2485</v>
      </c>
      <c r="T799" s="13"/>
      <c r="U799" s="13"/>
      <c r="V799" s="72" t="s">
        <v>2486</v>
      </c>
      <c r="W799" s="53"/>
      <c r="AA799" t="s">
        <v>2490</v>
      </c>
      <c r="AB799" s="66">
        <v>129.33000000000001</v>
      </c>
      <c r="AC799">
        <v>20</v>
      </c>
      <c r="AD799"/>
      <c r="AE799" s="7">
        <f t="shared" si="738"/>
        <v>4.4027522500000007</v>
      </c>
      <c r="AF799" s="7">
        <f t="shared" si="757"/>
        <v>0</v>
      </c>
      <c r="AG799" s="7">
        <f t="shared" si="758"/>
        <v>2.0499999999999998</v>
      </c>
      <c r="AH799" s="7">
        <f t="shared" si="739"/>
        <v>0</v>
      </c>
      <c r="AI799" s="7">
        <f t="shared" si="740"/>
        <v>0</v>
      </c>
      <c r="AJ799" s="7">
        <f t="shared" si="741"/>
        <v>0.05</v>
      </c>
      <c r="AK799" s="7">
        <f t="shared" si="742"/>
        <v>0.09</v>
      </c>
      <c r="AL799" s="7">
        <f t="shared" si="743"/>
        <v>0.71</v>
      </c>
      <c r="AM799" s="7">
        <f t="shared" si="744"/>
        <v>0.17</v>
      </c>
      <c r="AN799" s="7">
        <f t="shared" si="745"/>
        <v>0.03</v>
      </c>
      <c r="AO799" s="7"/>
      <c r="AP799" s="7">
        <f t="shared" si="763"/>
        <v>0</v>
      </c>
      <c r="AQ799" s="7">
        <f t="shared" si="764"/>
        <v>7.5027522500000003</v>
      </c>
      <c r="AR799" s="7"/>
      <c r="AS799" s="7"/>
      <c r="AT799" s="7"/>
      <c r="AU799" s="7"/>
      <c r="AV799" s="7">
        <f t="shared" si="765"/>
        <v>7.5027522500000003</v>
      </c>
      <c r="AW799" s="69">
        <v>3.4325000000000001E-2</v>
      </c>
      <c r="AX799" s="59">
        <v>3.2500000000000001E-2</v>
      </c>
      <c r="AY799" s="61">
        <v>1</v>
      </c>
      <c r="AZ799" s="69">
        <f t="shared" si="746"/>
        <v>1.8250000000000002E-3</v>
      </c>
      <c r="BA799" s="62">
        <f t="shared" si="759"/>
        <v>4.4027522500000007</v>
      </c>
      <c r="BB799" s="62"/>
      <c r="BC799" s="62"/>
      <c r="BD799" s="62"/>
      <c r="BE799" s="62"/>
      <c r="BF799" s="62"/>
      <c r="BG799" s="62"/>
      <c r="BH799" s="62"/>
      <c r="BI799" s="62"/>
      <c r="BJ799" s="62"/>
      <c r="BK799" s="62"/>
      <c r="BL799" s="62"/>
      <c r="BM799" s="62"/>
      <c r="BN799" s="62"/>
      <c r="BO799" s="62"/>
      <c r="BP799" s="62"/>
      <c r="BQ799" s="62"/>
      <c r="BR799" s="62"/>
      <c r="BS799" s="62"/>
      <c r="BT799" s="62"/>
      <c r="BU799" s="62"/>
      <c r="BV799" s="62"/>
      <c r="BW799" s="62"/>
      <c r="BX799" s="62"/>
      <c r="BY799" s="62"/>
      <c r="BZ799" s="62"/>
      <c r="CA799" s="62"/>
      <c r="CB799" s="62"/>
      <c r="CC799" s="62"/>
      <c r="CD799" s="59">
        <v>0</v>
      </c>
      <c r="CE799" s="62">
        <v>0</v>
      </c>
      <c r="CF799" s="62">
        <v>0</v>
      </c>
      <c r="CG799" s="62">
        <v>0</v>
      </c>
      <c r="CH799" s="62">
        <f t="shared" si="766"/>
        <v>0</v>
      </c>
      <c r="CI799" s="59"/>
      <c r="CJ799" s="59"/>
      <c r="CK799" s="59"/>
      <c r="CL799" s="59"/>
      <c r="CM799" s="59"/>
      <c r="CN799" s="59"/>
      <c r="CO799" s="59"/>
      <c r="CP799" s="59"/>
      <c r="CQ799" s="59"/>
      <c r="CR799" s="59"/>
      <c r="CS799" s="59"/>
      <c r="CT799" s="59"/>
      <c r="CU799" s="59"/>
      <c r="CV799" s="59"/>
      <c r="CW799" s="59"/>
      <c r="CX799" s="59"/>
      <c r="CY799" s="59"/>
      <c r="CZ799" s="59"/>
      <c r="DA799" s="59"/>
      <c r="DB799" s="59"/>
      <c r="DC799" s="59"/>
      <c r="DD799" s="59"/>
      <c r="DE799" s="59"/>
      <c r="DF799" s="59"/>
      <c r="DG799" s="59"/>
      <c r="DH799" s="59"/>
      <c r="DI799" s="59"/>
      <c r="DJ799" s="59"/>
      <c r="DK799" s="59"/>
      <c r="DL799" s="59"/>
      <c r="DM799" s="62">
        <f t="shared" si="760"/>
        <v>0</v>
      </c>
      <c r="DN799" s="64">
        <v>1.2500000000000001E-2</v>
      </c>
      <c r="DO799" s="62">
        <f t="shared" si="767"/>
        <v>0</v>
      </c>
      <c r="DP799" s="62">
        <f t="shared" si="747"/>
        <v>0</v>
      </c>
      <c r="DQ799" s="59"/>
      <c r="DR799" s="59"/>
      <c r="DS799" s="59"/>
      <c r="DT799" s="59"/>
      <c r="DU799" s="59"/>
      <c r="DV799" s="59"/>
      <c r="DW799" s="59"/>
      <c r="DX799" s="59"/>
      <c r="DY799" s="59"/>
      <c r="DZ799" s="59"/>
      <c r="EA799" s="59"/>
      <c r="EB799" s="59"/>
      <c r="EC799" s="59"/>
      <c r="ED799" s="59"/>
      <c r="EE799" s="59"/>
      <c r="EF799" s="59">
        <v>160</v>
      </c>
      <c r="EG799" s="62">
        <v>1600</v>
      </c>
      <c r="EH799" s="62">
        <v>7.5</v>
      </c>
      <c r="EI799" s="61">
        <v>0.9</v>
      </c>
      <c r="EJ799" s="65">
        <v>2</v>
      </c>
      <c r="EK799" s="65">
        <v>62</v>
      </c>
      <c r="EL799" s="65">
        <f t="shared" si="761"/>
        <v>784</v>
      </c>
      <c r="EM799" s="59"/>
      <c r="EN799" s="59"/>
      <c r="EO799" s="59"/>
      <c r="EP799" s="59"/>
      <c r="EQ799" s="59"/>
      <c r="ER799" s="59"/>
      <c r="ES799" s="59"/>
      <c r="ET799" s="59"/>
      <c r="EU799" s="62">
        <f>ROUNDUP(EG799/EL799,2)</f>
        <v>2.0499999999999998</v>
      </c>
      <c r="EV799" s="59"/>
      <c r="EW799" s="59"/>
      <c r="EX799" s="59"/>
      <c r="EY799" s="59"/>
      <c r="EZ799" s="59"/>
      <c r="FA799" s="59"/>
      <c r="FB799" s="59"/>
      <c r="FC799" s="59"/>
      <c r="FD799" s="59"/>
      <c r="FE799" s="59"/>
      <c r="FF799" s="59"/>
      <c r="FG799" s="59"/>
      <c r="FH799" s="59"/>
      <c r="FI799" s="59"/>
      <c r="FJ799" s="59"/>
      <c r="FK799" s="59"/>
      <c r="FL799" s="59"/>
      <c r="FM799" s="59"/>
      <c r="FN799" s="59"/>
      <c r="FO799" s="59"/>
      <c r="FP799" s="59"/>
      <c r="FQ799" s="59"/>
      <c r="FR799" s="59"/>
      <c r="FS799" s="59"/>
      <c r="FT799" s="59"/>
      <c r="FU799" s="59"/>
      <c r="FV799" s="59"/>
      <c r="FW799" s="59"/>
      <c r="FX799" s="59"/>
      <c r="FY799" s="59"/>
      <c r="FZ799" s="59"/>
      <c r="GA799" s="59"/>
      <c r="GB799" s="59"/>
      <c r="GC799" s="59"/>
      <c r="GD799" s="59"/>
      <c r="GE799" s="59"/>
      <c r="GF799" s="59"/>
      <c r="GG799" s="59"/>
      <c r="GH799" s="59"/>
      <c r="GI799" s="59"/>
      <c r="GJ799" s="59"/>
      <c r="GK799" s="59"/>
      <c r="GL799" s="59"/>
      <c r="GM799" s="59"/>
      <c r="GN799" s="59"/>
      <c r="GO799" s="59"/>
      <c r="GP799" s="59"/>
      <c r="GQ799" s="59"/>
      <c r="GR799" s="61">
        <v>0.11</v>
      </c>
      <c r="GS799" s="69">
        <f>ROUNDUP(GR799*(BA799+EU799),2)</f>
        <v>0.71</v>
      </c>
      <c r="GT799" s="64">
        <v>1.2500000000000001E-2</v>
      </c>
      <c r="GU799" s="62">
        <f>ROUNDUP(GT799*(BA799+EU799),2)</f>
        <v>0.09</v>
      </c>
      <c r="GV799" s="61">
        <v>0.02</v>
      </c>
      <c r="GW799" s="62">
        <f>ROUNDUP(GV799*EU799,2)</f>
        <v>0.05</v>
      </c>
      <c r="GX799" s="62">
        <f t="shared" si="748"/>
        <v>0.85</v>
      </c>
      <c r="GY799" s="62" t="s">
        <v>43</v>
      </c>
      <c r="GZ799" s="62" t="s">
        <v>551</v>
      </c>
      <c r="HA799" s="59">
        <v>650</v>
      </c>
      <c r="HB799" s="59">
        <v>450</v>
      </c>
      <c r="HC799" s="59">
        <v>330</v>
      </c>
      <c r="HD799" s="59">
        <v>150</v>
      </c>
      <c r="HE799" s="59">
        <v>200</v>
      </c>
      <c r="HF799" s="62">
        <f t="shared" si="762"/>
        <v>2</v>
      </c>
      <c r="HG799" s="59">
        <v>5</v>
      </c>
      <c r="HH799" s="62">
        <f>HF799*HG799+4</f>
        <v>14</v>
      </c>
      <c r="HI799" s="59">
        <v>650</v>
      </c>
      <c r="HJ799" s="62">
        <f t="shared" si="750"/>
        <v>9100</v>
      </c>
      <c r="HK799" s="59"/>
      <c r="HL799" s="59"/>
      <c r="HM799" s="59">
        <v>2</v>
      </c>
      <c r="HN799" s="62">
        <f t="shared" si="751"/>
        <v>120000</v>
      </c>
      <c r="HO799" s="62">
        <f t="shared" si="752"/>
        <v>7.5833333333333336E-2</v>
      </c>
      <c r="HP799" s="59">
        <v>160</v>
      </c>
      <c r="HQ799" s="59">
        <v>0</v>
      </c>
      <c r="HR799" s="59">
        <v>0.09</v>
      </c>
      <c r="HS799" s="59">
        <v>1</v>
      </c>
      <c r="HT799" s="62">
        <f>HR799/HS799</f>
        <v>0.09</v>
      </c>
      <c r="HU799" s="62"/>
      <c r="HV799" s="62">
        <f>ROUNDUP(HO799+HT799,2)</f>
        <v>0.17</v>
      </c>
      <c r="HW799" s="62"/>
      <c r="HX799" s="59">
        <v>4200</v>
      </c>
      <c r="HY799" s="59">
        <v>1900</v>
      </c>
      <c r="HZ799" s="59">
        <v>1975</v>
      </c>
      <c r="IA799" s="62">
        <f t="shared" si="753"/>
        <v>6</v>
      </c>
      <c r="IB799" s="62">
        <f t="shared" si="754"/>
        <v>4</v>
      </c>
      <c r="IC799" s="62">
        <f t="shared" si="755"/>
        <v>5</v>
      </c>
      <c r="ID799" s="61">
        <v>0.95</v>
      </c>
      <c r="IE799" s="62">
        <f>PRODUCT(IA799:ID799)</f>
        <v>114</v>
      </c>
      <c r="IF799" s="59">
        <v>500</v>
      </c>
      <c r="IG799" s="62">
        <f t="shared" si="756"/>
        <v>0.03</v>
      </c>
      <c r="IH799" s="62"/>
    </row>
    <row r="800" spans="1:244" ht="30">
      <c r="A800">
        <v>785</v>
      </c>
      <c r="B800" t="s">
        <v>468</v>
      </c>
      <c r="C800" t="s">
        <v>2495</v>
      </c>
      <c r="D800" s="28" t="s">
        <v>1614</v>
      </c>
      <c r="E800" s="28" t="s">
        <v>1615</v>
      </c>
      <c r="F800" s="28" t="s">
        <v>2182</v>
      </c>
      <c r="G800" s="27" t="s">
        <v>108</v>
      </c>
      <c r="I800" s="27" t="s">
        <v>226</v>
      </c>
      <c r="J800" s="28">
        <v>21691</v>
      </c>
      <c r="K800" s="27" t="s">
        <v>404</v>
      </c>
      <c r="L800">
        <v>21401</v>
      </c>
      <c r="M800" t="s">
        <v>226</v>
      </c>
      <c r="Q800" s="13" t="s">
        <v>1786</v>
      </c>
      <c r="R800" s="13" t="s">
        <v>1769</v>
      </c>
      <c r="S800" s="13" t="s">
        <v>2492</v>
      </c>
      <c r="T800" s="13"/>
      <c r="U800" s="13"/>
      <c r="V800" s="72" t="s">
        <v>2486</v>
      </c>
      <c r="W800" s="53" t="s">
        <v>2493</v>
      </c>
      <c r="AA800" t="s">
        <v>2494</v>
      </c>
      <c r="AB800" s="66">
        <v>84.6</v>
      </c>
      <c r="AC800">
        <f>AB800-5</f>
        <v>79.599999999999994</v>
      </c>
      <c r="AD800"/>
      <c r="AE800" s="7">
        <f t="shared" si="738"/>
        <v>7.5436680000000003</v>
      </c>
      <c r="AF800" s="7">
        <f t="shared" si="757"/>
        <v>0</v>
      </c>
      <c r="AG800" s="7">
        <f t="shared" si="758"/>
        <v>2.2851919561243146</v>
      </c>
      <c r="AH800" s="7">
        <f t="shared" si="739"/>
        <v>0</v>
      </c>
      <c r="AI800" s="7">
        <f t="shared" si="740"/>
        <v>0</v>
      </c>
      <c r="AJ800" s="7">
        <f t="shared" si="741"/>
        <v>4.5703839122486295E-2</v>
      </c>
      <c r="AK800" s="7">
        <f t="shared" si="742"/>
        <v>0.12286074945155395</v>
      </c>
      <c r="AL800" s="7">
        <f t="shared" si="743"/>
        <v>1.0811745951736746</v>
      </c>
      <c r="AM800" s="7">
        <f t="shared" si="744"/>
        <v>8.1250000000000003E-2</v>
      </c>
      <c r="AN800" s="7">
        <f t="shared" si="745"/>
        <v>5.4945054945054944E-2</v>
      </c>
      <c r="AO800" s="7"/>
      <c r="AP800" s="7">
        <f t="shared" si="763"/>
        <v>0</v>
      </c>
      <c r="AQ800" s="7">
        <f t="shared" si="764"/>
        <v>11.214794194817086</v>
      </c>
      <c r="AR800" s="7"/>
      <c r="AS800" s="7"/>
      <c r="AT800" s="7"/>
      <c r="AU800" s="7"/>
      <c r="AV800" s="7">
        <f t="shared" si="765"/>
        <v>11.214794194817086</v>
      </c>
      <c r="AW800" s="69">
        <v>9.0580000000000008E-2</v>
      </c>
      <c r="AX800" s="59">
        <v>8.9080000000000006E-2</v>
      </c>
      <c r="AY800" s="61">
        <v>1</v>
      </c>
      <c r="AZ800" s="69">
        <f t="shared" si="746"/>
        <v>1.5000000000000013E-3</v>
      </c>
      <c r="BA800" s="62">
        <f t="shared" si="759"/>
        <v>7.5436680000000003</v>
      </c>
      <c r="BB800" s="62"/>
      <c r="BC800" s="62"/>
      <c r="BD800" s="62"/>
      <c r="BE800" s="62"/>
      <c r="BF800" s="62"/>
      <c r="BG800" s="62"/>
      <c r="BH800" s="62"/>
      <c r="BI800" s="62"/>
      <c r="BJ800" s="62"/>
      <c r="BK800" s="62"/>
      <c r="BL800" s="62"/>
      <c r="BM800" s="62"/>
      <c r="BN800" s="62"/>
      <c r="BO800" s="62"/>
      <c r="BP800" s="62"/>
      <c r="BQ800" s="62"/>
      <c r="BR800" s="62"/>
      <c r="BS800" s="62"/>
      <c r="BT800" s="62"/>
      <c r="BU800" s="62"/>
      <c r="BV800" s="62"/>
      <c r="BW800" s="62"/>
      <c r="BX800" s="62"/>
      <c r="BY800" s="62"/>
      <c r="BZ800" s="62"/>
      <c r="CA800" s="62"/>
      <c r="CB800" s="62"/>
      <c r="CC800" s="62"/>
      <c r="CD800" s="59">
        <v>0</v>
      </c>
      <c r="CE800" s="62">
        <v>0</v>
      </c>
      <c r="CF800" s="62">
        <v>0</v>
      </c>
      <c r="CG800" s="62">
        <v>0</v>
      </c>
      <c r="CH800" s="62">
        <f t="shared" si="766"/>
        <v>0</v>
      </c>
      <c r="CI800" s="59"/>
      <c r="CJ800" s="59"/>
      <c r="CK800" s="59"/>
      <c r="CL800" s="59"/>
      <c r="CM800" s="59"/>
      <c r="CN800" s="59"/>
      <c r="CO800" s="59"/>
      <c r="CP800" s="59"/>
      <c r="CQ800" s="59"/>
      <c r="CR800" s="59"/>
      <c r="CS800" s="59"/>
      <c r="CT800" s="59"/>
      <c r="CU800" s="59"/>
      <c r="CV800" s="59"/>
      <c r="CW800" s="59"/>
      <c r="CX800" s="59"/>
      <c r="CY800" s="59"/>
      <c r="CZ800" s="59"/>
      <c r="DA800" s="59"/>
      <c r="DB800" s="59"/>
      <c r="DC800" s="59"/>
      <c r="DD800" s="59"/>
      <c r="DE800" s="59"/>
      <c r="DF800" s="59"/>
      <c r="DG800" s="59"/>
      <c r="DH800" s="59"/>
      <c r="DI800" s="59"/>
      <c r="DJ800" s="59"/>
      <c r="DK800" s="59"/>
      <c r="DL800" s="59"/>
      <c r="DM800" s="62">
        <f t="shared" si="760"/>
        <v>0</v>
      </c>
      <c r="DN800" s="64">
        <v>1.2500000000000001E-2</v>
      </c>
      <c r="DO800" s="62">
        <f t="shared" si="767"/>
        <v>0</v>
      </c>
      <c r="DP800" s="62">
        <f t="shared" si="747"/>
        <v>0</v>
      </c>
      <c r="DQ800" s="59"/>
      <c r="DR800" s="59"/>
      <c r="DS800" s="59"/>
      <c r="DT800" s="59"/>
      <c r="DU800" s="59"/>
      <c r="DV800" s="59"/>
      <c r="DW800" s="59"/>
      <c r="DX800" s="59"/>
      <c r="DY800" s="59"/>
      <c r="DZ800" s="59"/>
      <c r="EA800" s="59"/>
      <c r="EB800" s="59"/>
      <c r="EC800" s="59"/>
      <c r="ED800" s="59"/>
      <c r="EE800" s="59"/>
      <c r="EF800" s="59">
        <v>250</v>
      </c>
      <c r="EG800" s="62">
        <v>2500</v>
      </c>
      <c r="EH800" s="62">
        <v>8</v>
      </c>
      <c r="EI800" s="61">
        <v>0.95</v>
      </c>
      <c r="EJ800" s="65">
        <v>2</v>
      </c>
      <c r="EK800" s="65">
        <v>50</v>
      </c>
      <c r="EL800" s="65">
        <f t="shared" si="761"/>
        <v>1094</v>
      </c>
      <c r="EM800" s="59"/>
      <c r="EN800" s="59"/>
      <c r="EO800" s="59"/>
      <c r="EP800" s="59"/>
      <c r="EQ800" s="59"/>
      <c r="ER800" s="59"/>
      <c r="ES800" s="59"/>
      <c r="ET800" s="59"/>
      <c r="EU800" s="62">
        <f>EG800/EL800</f>
        <v>2.2851919561243146</v>
      </c>
      <c r="EV800" s="59"/>
      <c r="EW800" s="59"/>
      <c r="EX800" s="59"/>
      <c r="EY800" s="59"/>
      <c r="EZ800" s="59"/>
      <c r="FA800" s="59"/>
      <c r="FB800" s="59"/>
      <c r="FC800" s="59"/>
      <c r="FD800" s="59"/>
      <c r="FE800" s="59"/>
      <c r="FF800" s="59"/>
      <c r="FG800" s="59"/>
      <c r="FH800" s="59"/>
      <c r="FI800" s="59"/>
      <c r="FJ800" s="59"/>
      <c r="FK800" s="59"/>
      <c r="FL800" s="59"/>
      <c r="FM800" s="59"/>
      <c r="FN800" s="59"/>
      <c r="FO800" s="59"/>
      <c r="FP800" s="59"/>
      <c r="FQ800" s="59"/>
      <c r="FR800" s="59"/>
      <c r="FS800" s="59"/>
      <c r="FT800" s="59"/>
      <c r="FU800" s="59"/>
      <c r="FV800" s="59"/>
      <c r="FW800" s="59"/>
      <c r="FX800" s="59"/>
      <c r="FY800" s="59"/>
      <c r="FZ800" s="59"/>
      <c r="GA800" s="59"/>
      <c r="GB800" s="59"/>
      <c r="GC800" s="59"/>
      <c r="GD800" s="59"/>
      <c r="GE800" s="59"/>
      <c r="GF800" s="59"/>
      <c r="GG800" s="59"/>
      <c r="GH800" s="59"/>
      <c r="GI800" s="59"/>
      <c r="GJ800" s="59"/>
      <c r="GK800" s="59"/>
      <c r="GL800" s="59"/>
      <c r="GM800" s="59"/>
      <c r="GN800" s="59"/>
      <c r="GO800" s="59"/>
      <c r="GP800" s="59"/>
      <c r="GQ800" s="59"/>
      <c r="GR800" s="61">
        <v>0.11</v>
      </c>
      <c r="GS800" s="69">
        <f>GR800*(BA800+EU800)</f>
        <v>1.0811745951736746</v>
      </c>
      <c r="GT800" s="64">
        <v>1.2500000000000001E-2</v>
      </c>
      <c r="GU800" s="62">
        <f>GT800*(BA800+EU800)</f>
        <v>0.12286074945155395</v>
      </c>
      <c r="GV800" s="61">
        <v>0.02</v>
      </c>
      <c r="GW800" s="62">
        <f>GV800*EU800</f>
        <v>4.5703839122486295E-2</v>
      </c>
      <c r="GX800" s="62">
        <f t="shared" si="748"/>
        <v>1.2497391837477148</v>
      </c>
      <c r="GY800" s="62" t="s">
        <v>43</v>
      </c>
      <c r="GZ800" s="62" t="s">
        <v>551</v>
      </c>
      <c r="HA800" s="59">
        <v>650</v>
      </c>
      <c r="HB800" s="59">
        <v>450</v>
      </c>
      <c r="HC800" s="59">
        <v>300</v>
      </c>
      <c r="HD800" s="59">
        <v>70</v>
      </c>
      <c r="HE800" s="59">
        <v>800</v>
      </c>
      <c r="HF800" s="62">
        <f t="shared" si="762"/>
        <v>12</v>
      </c>
      <c r="HG800" s="59">
        <v>5</v>
      </c>
      <c r="HH800" s="62">
        <f t="shared" ref="HH800:HH805" si="768">HF800*HG800</f>
        <v>60</v>
      </c>
      <c r="HI800" s="59">
        <v>650</v>
      </c>
      <c r="HJ800" s="62">
        <f t="shared" si="750"/>
        <v>39000</v>
      </c>
      <c r="HK800" s="59"/>
      <c r="HL800" s="59"/>
      <c r="HM800" s="59">
        <v>2</v>
      </c>
      <c r="HN800" s="62">
        <f t="shared" si="751"/>
        <v>480000</v>
      </c>
      <c r="HO800" s="62">
        <f t="shared" si="752"/>
        <v>8.1250000000000003E-2</v>
      </c>
      <c r="HP800" s="59">
        <v>160</v>
      </c>
      <c r="HQ800" s="59">
        <v>0</v>
      </c>
      <c r="HR800" s="59">
        <v>0</v>
      </c>
      <c r="HS800" s="59">
        <v>0</v>
      </c>
      <c r="HT800" s="62">
        <v>0</v>
      </c>
      <c r="HU800" s="62"/>
      <c r="HV800" s="62">
        <f t="shared" ref="HV800:HV805" si="769">HO800+HT800</f>
        <v>8.1250000000000003E-2</v>
      </c>
      <c r="HW800" s="62"/>
      <c r="HX800" s="59">
        <v>5016</v>
      </c>
      <c r="HY800" s="59">
        <v>1976</v>
      </c>
      <c r="HZ800" s="59">
        <v>2280</v>
      </c>
      <c r="IA800" s="62">
        <f t="shared" si="753"/>
        <v>7</v>
      </c>
      <c r="IB800" s="62">
        <f t="shared" si="754"/>
        <v>4</v>
      </c>
      <c r="IC800" s="62">
        <f t="shared" si="755"/>
        <v>7</v>
      </c>
      <c r="ID800" s="61">
        <v>1</v>
      </c>
      <c r="IE800" s="62">
        <f>PRODUCT(IA800:ID800)-66</f>
        <v>130</v>
      </c>
      <c r="IF800" s="59">
        <v>500</v>
      </c>
      <c r="IG800" s="62">
        <f>IF800/(IE800*HD800)</f>
        <v>5.4945054945054944E-2</v>
      </c>
      <c r="IH800" s="62"/>
    </row>
    <row r="801" spans="1:242" ht="30">
      <c r="A801">
        <v>786</v>
      </c>
      <c r="B801" t="s">
        <v>468</v>
      </c>
      <c r="C801" t="s">
        <v>2496</v>
      </c>
      <c r="D801" s="28" t="s">
        <v>1616</v>
      </c>
      <c r="E801" s="28" t="s">
        <v>1617</v>
      </c>
      <c r="F801" s="28" t="s">
        <v>2182</v>
      </c>
      <c r="G801" s="27" t="s">
        <v>108</v>
      </c>
      <c r="I801" s="27" t="s">
        <v>226</v>
      </c>
      <c r="J801" s="28">
        <v>21590</v>
      </c>
      <c r="K801" s="27" t="s">
        <v>397</v>
      </c>
      <c r="L801">
        <v>20089</v>
      </c>
      <c r="M801" t="s">
        <v>226</v>
      </c>
      <c r="Q801" s="13" t="s">
        <v>2497</v>
      </c>
      <c r="R801" s="13" t="s">
        <v>1769</v>
      </c>
      <c r="S801" s="13" t="s">
        <v>2498</v>
      </c>
      <c r="T801" s="13"/>
      <c r="U801" s="13"/>
      <c r="V801" s="72" t="s">
        <v>2486</v>
      </c>
      <c r="W801" s="53" t="s">
        <v>2499</v>
      </c>
      <c r="AA801" t="s">
        <v>2490</v>
      </c>
      <c r="AB801" s="66">
        <v>93.44</v>
      </c>
      <c r="AC801">
        <v>20</v>
      </c>
      <c r="AD801"/>
      <c r="AE801" s="7">
        <f t="shared" si="738"/>
        <v>1.1373439999999999</v>
      </c>
      <c r="AF801" s="7">
        <f t="shared" si="757"/>
        <v>0</v>
      </c>
      <c r="AG801" s="7">
        <f t="shared" si="758"/>
        <v>2.21</v>
      </c>
      <c r="AH801" s="7">
        <f t="shared" si="739"/>
        <v>0</v>
      </c>
      <c r="AI801" s="7">
        <f t="shared" si="740"/>
        <v>0</v>
      </c>
      <c r="AJ801" s="7">
        <f t="shared" si="741"/>
        <v>4.4200000000000003E-2</v>
      </c>
      <c r="AK801" s="7">
        <f t="shared" si="742"/>
        <v>6.0000000000000005E-2</v>
      </c>
      <c r="AL801" s="7">
        <f t="shared" si="743"/>
        <v>0.42</v>
      </c>
      <c r="AM801" s="7">
        <f t="shared" si="744"/>
        <v>5.4166666666666669E-2</v>
      </c>
      <c r="AN801" s="7">
        <f t="shared" si="745"/>
        <v>0.18000000000000002</v>
      </c>
      <c r="AO801" s="7"/>
      <c r="AP801" s="7">
        <f t="shared" si="763"/>
        <v>0</v>
      </c>
      <c r="AQ801" s="7">
        <f t="shared" si="764"/>
        <v>4.1057106666666661</v>
      </c>
      <c r="AR801" s="7"/>
      <c r="AS801" s="7"/>
      <c r="AT801" s="7"/>
      <c r="AU801" s="7"/>
      <c r="AV801" s="7">
        <f t="shared" si="765"/>
        <v>4.1057106666666661</v>
      </c>
      <c r="AW801" s="69">
        <v>1.26E-2</v>
      </c>
      <c r="AX801" s="59">
        <v>1.06E-2</v>
      </c>
      <c r="AY801" s="61">
        <v>1</v>
      </c>
      <c r="AZ801" s="69">
        <f t="shared" si="746"/>
        <v>2E-3</v>
      </c>
      <c r="BA801" s="62">
        <f t="shared" si="759"/>
        <v>1.1373439999999999</v>
      </c>
      <c r="BB801" s="62"/>
      <c r="BC801" s="62"/>
      <c r="BD801" s="62"/>
      <c r="BE801" s="62"/>
      <c r="BF801" s="62"/>
      <c r="BG801" s="62"/>
      <c r="BH801" s="62"/>
      <c r="BI801" s="62"/>
      <c r="BJ801" s="62"/>
      <c r="BK801" s="62"/>
      <c r="BL801" s="62"/>
      <c r="BM801" s="62"/>
      <c r="BN801" s="62"/>
      <c r="BO801" s="62"/>
      <c r="BP801" s="62"/>
      <c r="BQ801" s="62"/>
      <c r="BR801" s="62"/>
      <c r="BS801" s="62"/>
      <c r="BT801" s="62"/>
      <c r="BU801" s="62"/>
      <c r="BV801" s="62"/>
      <c r="BW801" s="62"/>
      <c r="BX801" s="62"/>
      <c r="BY801" s="62"/>
      <c r="BZ801" s="62"/>
      <c r="CA801" s="62"/>
      <c r="CB801" s="62"/>
      <c r="CC801" s="62"/>
      <c r="CD801" s="59">
        <v>0</v>
      </c>
      <c r="CE801" s="62">
        <v>0</v>
      </c>
      <c r="CF801" s="62">
        <v>0</v>
      </c>
      <c r="CG801" s="62">
        <v>0</v>
      </c>
      <c r="CH801" s="62">
        <f t="shared" si="766"/>
        <v>0</v>
      </c>
      <c r="CI801" s="59"/>
      <c r="CJ801" s="59"/>
      <c r="CK801" s="59"/>
      <c r="CL801" s="59"/>
      <c r="CM801" s="59"/>
      <c r="CN801" s="59"/>
      <c r="CO801" s="59"/>
      <c r="CP801" s="59"/>
      <c r="CQ801" s="59"/>
      <c r="CR801" s="59"/>
      <c r="CS801" s="59"/>
      <c r="CT801" s="59"/>
      <c r="CU801" s="59"/>
      <c r="CV801" s="59"/>
      <c r="CW801" s="59"/>
      <c r="CX801" s="59"/>
      <c r="CY801" s="59"/>
      <c r="CZ801" s="59"/>
      <c r="DA801" s="59"/>
      <c r="DB801" s="59"/>
      <c r="DC801" s="59"/>
      <c r="DD801" s="59"/>
      <c r="DE801" s="59"/>
      <c r="DF801" s="59"/>
      <c r="DG801" s="59"/>
      <c r="DH801" s="59"/>
      <c r="DI801" s="59"/>
      <c r="DJ801" s="59"/>
      <c r="DK801" s="59"/>
      <c r="DL801" s="59"/>
      <c r="DM801" s="62">
        <f t="shared" si="760"/>
        <v>0</v>
      </c>
      <c r="DN801" s="64">
        <v>1.2500000000000001E-2</v>
      </c>
      <c r="DO801" s="62">
        <f t="shared" si="767"/>
        <v>0</v>
      </c>
      <c r="DP801" s="62">
        <f t="shared" si="747"/>
        <v>0</v>
      </c>
      <c r="DQ801" s="59"/>
      <c r="DR801" s="59"/>
      <c r="DS801" s="59"/>
      <c r="DT801" s="59"/>
      <c r="DU801" s="59"/>
      <c r="DV801" s="59"/>
      <c r="DW801" s="59"/>
      <c r="DX801" s="59"/>
      <c r="DY801" s="59"/>
      <c r="DZ801" s="59"/>
      <c r="EA801" s="59"/>
      <c r="EB801" s="59"/>
      <c r="EC801" s="59"/>
      <c r="ED801" s="59"/>
      <c r="EE801" s="59"/>
      <c r="EF801" s="59">
        <v>150</v>
      </c>
      <c r="EG801" s="62">
        <v>1950</v>
      </c>
      <c r="EH801" s="62">
        <v>7.5</v>
      </c>
      <c r="EI801" s="61">
        <v>0.9</v>
      </c>
      <c r="EJ801" s="65">
        <v>2</v>
      </c>
      <c r="EK801" s="65">
        <v>55</v>
      </c>
      <c r="EL801" s="65">
        <f t="shared" si="761"/>
        <v>884</v>
      </c>
      <c r="EM801" s="59"/>
      <c r="EN801" s="59"/>
      <c r="EO801" s="59"/>
      <c r="EP801" s="59"/>
      <c r="EQ801" s="59"/>
      <c r="ER801" s="59"/>
      <c r="ES801" s="59"/>
      <c r="ET801" s="59"/>
      <c r="EU801" s="62">
        <f>ROUNDUP(EG801/EL801,2)</f>
        <v>2.21</v>
      </c>
      <c r="EV801" s="59"/>
      <c r="EW801" s="59"/>
      <c r="EX801" s="59"/>
      <c r="EY801" s="59"/>
      <c r="EZ801" s="59"/>
      <c r="FA801" s="59"/>
      <c r="FB801" s="59"/>
      <c r="FC801" s="59"/>
      <c r="FD801" s="59"/>
      <c r="FE801" s="59"/>
      <c r="FF801" s="59"/>
      <c r="FG801" s="59"/>
      <c r="FH801" s="59"/>
      <c r="FI801" s="59"/>
      <c r="FJ801" s="59"/>
      <c r="FK801" s="59"/>
      <c r="FL801" s="59"/>
      <c r="FM801" s="59"/>
      <c r="FN801" s="59"/>
      <c r="FO801" s="59"/>
      <c r="FP801" s="59"/>
      <c r="FQ801" s="59"/>
      <c r="FR801" s="59"/>
      <c r="FS801" s="59"/>
      <c r="FT801" s="59"/>
      <c r="FU801" s="59"/>
      <c r="FV801" s="59"/>
      <c r="FW801" s="59"/>
      <c r="FX801" s="59"/>
      <c r="FY801" s="59"/>
      <c r="FZ801" s="59"/>
      <c r="GA801" s="59"/>
      <c r="GB801" s="59"/>
      <c r="GC801" s="59"/>
      <c r="GD801" s="59"/>
      <c r="GE801" s="59"/>
      <c r="GF801" s="59"/>
      <c r="GG801" s="59"/>
      <c r="GH801" s="59"/>
      <c r="GI801" s="59"/>
      <c r="GJ801" s="59"/>
      <c r="GK801" s="59"/>
      <c r="GL801" s="59"/>
      <c r="GM801" s="59"/>
      <c r="GN801" s="59"/>
      <c r="GO801" s="59"/>
      <c r="GP801" s="59"/>
      <c r="GQ801" s="59"/>
      <c r="GR801" s="61">
        <v>0.125</v>
      </c>
      <c r="GS801" s="69">
        <f>ROUNDUP(GR801*(BA801+EU801),2)</f>
        <v>0.42</v>
      </c>
      <c r="GT801" s="64">
        <v>1.4999999999999999E-2</v>
      </c>
      <c r="GU801" s="62">
        <f>ROUNDUP(GT801*(BA801+EU801),2)</f>
        <v>6.0000000000000005E-2</v>
      </c>
      <c r="GV801" s="61">
        <v>0.02</v>
      </c>
      <c r="GW801" s="62">
        <f>GV801*EU801</f>
        <v>4.4200000000000003E-2</v>
      </c>
      <c r="GX801" s="62">
        <f t="shared" si="748"/>
        <v>0.5242</v>
      </c>
      <c r="GY801" s="62" t="s">
        <v>43</v>
      </c>
      <c r="GZ801" s="62" t="s">
        <v>551</v>
      </c>
      <c r="HA801" s="59">
        <v>650</v>
      </c>
      <c r="HB801" s="59">
        <v>450</v>
      </c>
      <c r="HC801" s="59">
        <v>330</v>
      </c>
      <c r="HD801" s="59">
        <v>100</v>
      </c>
      <c r="HE801" s="59">
        <v>200</v>
      </c>
      <c r="HF801" s="62">
        <f t="shared" si="762"/>
        <v>2</v>
      </c>
      <c r="HG801" s="59">
        <v>5</v>
      </c>
      <c r="HH801" s="62">
        <f t="shared" si="768"/>
        <v>10</v>
      </c>
      <c r="HI801" s="59">
        <v>650</v>
      </c>
      <c r="HJ801" s="62">
        <f t="shared" si="750"/>
        <v>6500</v>
      </c>
      <c r="HK801" s="59"/>
      <c r="HL801" s="59"/>
      <c r="HM801" s="59">
        <v>2</v>
      </c>
      <c r="HN801" s="62">
        <f t="shared" si="751"/>
        <v>120000</v>
      </c>
      <c r="HO801" s="62">
        <f t="shared" si="752"/>
        <v>5.4166666666666669E-2</v>
      </c>
      <c r="HP801" s="59">
        <v>160</v>
      </c>
      <c r="HQ801" s="59">
        <v>0</v>
      </c>
      <c r="HR801" s="59">
        <v>0</v>
      </c>
      <c r="HS801" s="59">
        <v>0</v>
      </c>
      <c r="HT801" s="62">
        <v>0</v>
      </c>
      <c r="HU801" s="62"/>
      <c r="HV801" s="62">
        <f t="shared" si="769"/>
        <v>5.4166666666666669E-2</v>
      </c>
      <c r="HW801" s="62"/>
      <c r="HX801" s="59">
        <v>4200</v>
      </c>
      <c r="HY801" s="59">
        <v>1900</v>
      </c>
      <c r="HZ801" s="59">
        <v>1975</v>
      </c>
      <c r="IA801" s="62">
        <f t="shared" si="753"/>
        <v>6</v>
      </c>
      <c r="IB801" s="62">
        <f t="shared" si="754"/>
        <v>4</v>
      </c>
      <c r="IC801" s="62">
        <f t="shared" si="755"/>
        <v>5</v>
      </c>
      <c r="ID801" s="61">
        <v>0.95</v>
      </c>
      <c r="IE801" s="62">
        <f>PRODUCT(IA801:ID801)</f>
        <v>114</v>
      </c>
      <c r="IF801" s="59">
        <v>2000</v>
      </c>
      <c r="IG801" s="62">
        <f>ROUNDUP(IF801/(IE801*HD801),2)</f>
        <v>0.18000000000000002</v>
      </c>
      <c r="IH801" s="62"/>
    </row>
    <row r="802" spans="1:242" ht="30">
      <c r="A802">
        <v>787</v>
      </c>
      <c r="B802" t="s">
        <v>468</v>
      </c>
      <c r="C802" t="s">
        <v>2500</v>
      </c>
      <c r="D802" s="28" t="s">
        <v>1618</v>
      </c>
      <c r="E802" s="28" t="s">
        <v>172</v>
      </c>
      <c r="F802" s="28" t="s">
        <v>2182</v>
      </c>
      <c r="G802" s="27" t="s">
        <v>108</v>
      </c>
      <c r="I802" s="27" t="s">
        <v>226</v>
      </c>
      <c r="J802" s="28">
        <v>21691</v>
      </c>
      <c r="K802" s="27" t="s">
        <v>404</v>
      </c>
      <c r="L802">
        <v>21401</v>
      </c>
      <c r="M802" t="s">
        <v>226</v>
      </c>
      <c r="Q802" s="13" t="s">
        <v>2497</v>
      </c>
      <c r="R802" s="13" t="s">
        <v>1769</v>
      </c>
      <c r="S802" s="13" t="s">
        <v>2501</v>
      </c>
      <c r="T802" s="13"/>
      <c r="U802" s="13"/>
      <c r="V802" s="72" t="s">
        <v>2486</v>
      </c>
      <c r="W802" s="53" t="s">
        <v>2493</v>
      </c>
      <c r="AA802" t="s">
        <v>2502</v>
      </c>
      <c r="AB802" s="66">
        <v>99.55</v>
      </c>
      <c r="AC802">
        <v>20</v>
      </c>
      <c r="AD802"/>
      <c r="AE802" s="7">
        <f t="shared" si="738"/>
        <v>8.5213000000000001</v>
      </c>
      <c r="AF802" s="7">
        <f t="shared" si="757"/>
        <v>0</v>
      </c>
      <c r="AG802" s="7">
        <f t="shared" si="758"/>
        <v>1.75</v>
      </c>
      <c r="AH802" s="7">
        <f t="shared" si="739"/>
        <v>0</v>
      </c>
      <c r="AI802" s="7">
        <f t="shared" si="740"/>
        <v>0</v>
      </c>
      <c r="AJ802" s="7">
        <f t="shared" si="741"/>
        <v>3.5000000000000003E-2</v>
      </c>
      <c r="AK802" s="7">
        <f t="shared" si="742"/>
        <v>0.13</v>
      </c>
      <c r="AL802" s="7">
        <f t="shared" si="743"/>
        <v>1.1300000000000001</v>
      </c>
      <c r="AM802" s="7">
        <f t="shared" si="744"/>
        <v>0.11</v>
      </c>
      <c r="AN802" s="7">
        <f t="shared" si="745"/>
        <v>8.3612040133779264E-2</v>
      </c>
      <c r="AO802" s="7"/>
      <c r="AP802" s="7">
        <f t="shared" si="763"/>
        <v>0</v>
      </c>
      <c r="AQ802" s="7">
        <f t="shared" si="764"/>
        <v>11.759912040133781</v>
      </c>
      <c r="AR802" s="7"/>
      <c r="AS802" s="7"/>
      <c r="AT802" s="7"/>
      <c r="AU802" s="7"/>
      <c r="AV802" s="7">
        <f t="shared" si="765"/>
        <v>11.759912040133781</v>
      </c>
      <c r="AW802" s="59">
        <v>8.5999999999999993E-2</v>
      </c>
      <c r="AX802" s="59">
        <v>8.4000000000000005E-2</v>
      </c>
      <c r="AY802" s="61">
        <v>1</v>
      </c>
      <c r="AZ802" s="69">
        <f t="shared" si="746"/>
        <v>1.9999999999999879E-3</v>
      </c>
      <c r="BA802" s="62">
        <f t="shared" si="759"/>
        <v>8.5213000000000001</v>
      </c>
      <c r="BB802" s="62"/>
      <c r="BC802" s="62"/>
      <c r="BD802" s="62"/>
      <c r="BE802" s="62"/>
      <c r="BF802" s="62"/>
      <c r="BG802" s="62"/>
      <c r="BH802" s="62"/>
      <c r="BI802" s="62"/>
      <c r="BJ802" s="62"/>
      <c r="BK802" s="62"/>
      <c r="BL802" s="62"/>
      <c r="BM802" s="62"/>
      <c r="BN802" s="62"/>
      <c r="BO802" s="62"/>
      <c r="BP802" s="62"/>
      <c r="BQ802" s="62"/>
      <c r="BR802" s="62"/>
      <c r="BS802" s="62"/>
      <c r="BT802" s="62"/>
      <c r="BU802" s="62"/>
      <c r="BV802" s="62"/>
      <c r="BW802" s="62"/>
      <c r="BX802" s="62"/>
      <c r="BY802" s="62"/>
      <c r="BZ802" s="62"/>
      <c r="CA802" s="62"/>
      <c r="CB802" s="62"/>
      <c r="CC802" s="62"/>
      <c r="CD802" s="59">
        <v>0</v>
      </c>
      <c r="CE802" s="62">
        <v>0</v>
      </c>
      <c r="CF802" s="62">
        <v>0</v>
      </c>
      <c r="CG802" s="62">
        <v>0</v>
      </c>
      <c r="CH802" s="62">
        <f t="shared" si="766"/>
        <v>0</v>
      </c>
      <c r="CI802" s="59"/>
      <c r="CJ802" s="59"/>
      <c r="CK802" s="59"/>
      <c r="CL802" s="59"/>
      <c r="CM802" s="59"/>
      <c r="CN802" s="59"/>
      <c r="CO802" s="59"/>
      <c r="CP802" s="59"/>
      <c r="CQ802" s="59"/>
      <c r="CR802" s="59"/>
      <c r="CS802" s="59"/>
      <c r="CT802" s="59"/>
      <c r="CU802" s="59"/>
      <c r="CV802" s="59"/>
      <c r="CW802" s="59"/>
      <c r="CX802" s="59"/>
      <c r="CY802" s="59"/>
      <c r="CZ802" s="59"/>
      <c r="DA802" s="59"/>
      <c r="DB802" s="59"/>
      <c r="DC802" s="59"/>
      <c r="DD802" s="59"/>
      <c r="DE802" s="59"/>
      <c r="DF802" s="59"/>
      <c r="DG802" s="59"/>
      <c r="DH802" s="59"/>
      <c r="DI802" s="59"/>
      <c r="DJ802" s="59"/>
      <c r="DK802" s="59"/>
      <c r="DL802" s="59"/>
      <c r="DM802" s="62">
        <f t="shared" si="760"/>
        <v>0</v>
      </c>
      <c r="DN802" s="64">
        <v>1.2500000000000001E-2</v>
      </c>
      <c r="DO802" s="62">
        <f t="shared" si="767"/>
        <v>0</v>
      </c>
      <c r="DP802" s="62">
        <f t="shared" si="747"/>
        <v>0</v>
      </c>
      <c r="DQ802" s="59"/>
      <c r="DR802" s="59"/>
      <c r="DS802" s="59"/>
      <c r="DT802" s="59"/>
      <c r="DU802" s="59"/>
      <c r="DV802" s="59"/>
      <c r="DW802" s="59"/>
      <c r="DX802" s="59"/>
      <c r="DY802" s="59"/>
      <c r="DZ802" s="59"/>
      <c r="EA802" s="59"/>
      <c r="EB802" s="59"/>
      <c r="EC802" s="59"/>
      <c r="ED802" s="59"/>
      <c r="EE802" s="59"/>
      <c r="EF802" s="59">
        <v>200</v>
      </c>
      <c r="EG802" s="62">
        <v>2000</v>
      </c>
      <c r="EH802" s="62">
        <v>8</v>
      </c>
      <c r="EI802" s="61">
        <v>0.95</v>
      </c>
      <c r="EJ802" s="65">
        <v>2</v>
      </c>
      <c r="EK802" s="65">
        <v>45</v>
      </c>
      <c r="EL802" s="65">
        <f t="shared" si="761"/>
        <v>1216</v>
      </c>
      <c r="EM802" s="62">
        <v>0.1</v>
      </c>
      <c r="EN802" s="62"/>
      <c r="EO802" s="62"/>
      <c r="EP802" s="59"/>
      <c r="EQ802" s="59"/>
      <c r="ER802" s="59"/>
      <c r="ES802" s="59"/>
      <c r="ET802" s="59"/>
      <c r="EU802" s="62">
        <f>ROUNDUP(EG802/EL802,2)+EM802</f>
        <v>1.75</v>
      </c>
      <c r="EV802" s="59"/>
      <c r="EW802" s="59"/>
      <c r="EX802" s="59"/>
      <c r="EY802" s="59"/>
      <c r="EZ802" s="59"/>
      <c r="FA802" s="59"/>
      <c r="FB802" s="59"/>
      <c r="FC802" s="59"/>
      <c r="FD802" s="59"/>
      <c r="FE802" s="59"/>
      <c r="FF802" s="59"/>
      <c r="FG802" s="59"/>
      <c r="FH802" s="59"/>
      <c r="FI802" s="59"/>
      <c r="FJ802" s="59"/>
      <c r="FK802" s="59"/>
      <c r="FL802" s="59"/>
      <c r="FM802" s="59"/>
      <c r="FN802" s="59"/>
      <c r="FO802" s="59"/>
      <c r="FP802" s="59"/>
      <c r="FQ802" s="59"/>
      <c r="FR802" s="59"/>
      <c r="FS802" s="59"/>
      <c r="FT802" s="59"/>
      <c r="FU802" s="59"/>
      <c r="FV802" s="59"/>
      <c r="FW802" s="59"/>
      <c r="FX802" s="59"/>
      <c r="FY802" s="59"/>
      <c r="FZ802" s="59"/>
      <c r="GA802" s="59"/>
      <c r="GB802" s="59"/>
      <c r="GC802" s="59"/>
      <c r="GD802" s="59"/>
      <c r="GE802" s="59"/>
      <c r="GF802" s="59"/>
      <c r="GG802" s="59"/>
      <c r="GH802" s="59"/>
      <c r="GI802" s="59"/>
      <c r="GJ802" s="59"/>
      <c r="GK802" s="59"/>
      <c r="GL802" s="59"/>
      <c r="GM802" s="59"/>
      <c r="GN802" s="59"/>
      <c r="GO802" s="59"/>
      <c r="GP802" s="59"/>
      <c r="GQ802" s="59"/>
      <c r="GR802" s="61">
        <v>0.11</v>
      </c>
      <c r="GS802" s="69">
        <f>ROUNDUP(GR802*(BA802+EU802),2)</f>
        <v>1.1300000000000001</v>
      </c>
      <c r="GT802" s="64">
        <v>1.2500000000000001E-2</v>
      </c>
      <c r="GU802" s="62">
        <f>ROUNDUP(GT802*(BA802+EU802),2)</f>
        <v>0.13</v>
      </c>
      <c r="GV802" s="61">
        <v>0.02</v>
      </c>
      <c r="GW802" s="62">
        <f>GV802*EU802</f>
        <v>3.5000000000000003E-2</v>
      </c>
      <c r="GX802" s="62">
        <f t="shared" si="748"/>
        <v>1.2950000000000002</v>
      </c>
      <c r="GY802" s="62" t="s">
        <v>43</v>
      </c>
      <c r="GZ802" s="62" t="s">
        <v>551</v>
      </c>
      <c r="HA802" s="59">
        <v>650</v>
      </c>
      <c r="HB802" s="59">
        <v>450</v>
      </c>
      <c r="HC802" s="59">
        <v>330</v>
      </c>
      <c r="HD802" s="59">
        <v>46</v>
      </c>
      <c r="HE802" s="59">
        <v>1000</v>
      </c>
      <c r="HF802" s="62">
        <f t="shared" si="762"/>
        <v>22</v>
      </c>
      <c r="HG802" s="59">
        <v>5</v>
      </c>
      <c r="HH802" s="62">
        <f t="shared" si="768"/>
        <v>110</v>
      </c>
      <c r="HI802" s="59">
        <v>600</v>
      </c>
      <c r="HJ802" s="62">
        <f t="shared" si="750"/>
        <v>66000</v>
      </c>
      <c r="HK802" s="59"/>
      <c r="HL802" s="59"/>
      <c r="HM802" s="59">
        <v>2</v>
      </c>
      <c r="HN802" s="62">
        <f t="shared" si="751"/>
        <v>600000</v>
      </c>
      <c r="HO802" s="62">
        <f t="shared" si="752"/>
        <v>0.11</v>
      </c>
      <c r="HP802" s="59">
        <v>160</v>
      </c>
      <c r="HQ802" s="59">
        <v>0</v>
      </c>
      <c r="HR802" s="59">
        <v>0</v>
      </c>
      <c r="HS802" s="59">
        <v>0</v>
      </c>
      <c r="HT802" s="62">
        <v>0</v>
      </c>
      <c r="HU802" s="62"/>
      <c r="HV802" s="62">
        <f t="shared" si="769"/>
        <v>0.11</v>
      </c>
      <c r="HW802" s="62"/>
      <c r="HX802" s="59">
        <v>5016</v>
      </c>
      <c r="HY802" s="59">
        <v>1976</v>
      </c>
      <c r="HZ802" s="59">
        <v>2280</v>
      </c>
      <c r="IA802" s="62">
        <f t="shared" si="753"/>
        <v>7</v>
      </c>
      <c r="IB802" s="62">
        <f t="shared" si="754"/>
        <v>4</v>
      </c>
      <c r="IC802" s="62">
        <f t="shared" si="755"/>
        <v>6</v>
      </c>
      <c r="ID802" s="61">
        <v>1</v>
      </c>
      <c r="IE802" s="62">
        <f>PRODUCT(IA802:ID802)-38</f>
        <v>130</v>
      </c>
      <c r="IF802" s="59">
        <v>500</v>
      </c>
      <c r="IG802" s="62">
        <f>IF802/(IE802*HD802)</f>
        <v>8.3612040133779264E-2</v>
      </c>
      <c r="IH802" s="62"/>
    </row>
    <row r="803" spans="1:242" ht="60">
      <c r="A803">
        <v>788</v>
      </c>
      <c r="B803" t="s">
        <v>468</v>
      </c>
      <c r="C803" s="187" t="s">
        <v>2503</v>
      </c>
      <c r="D803" s="28" t="s">
        <v>1619</v>
      </c>
      <c r="E803" s="28" t="s">
        <v>1620</v>
      </c>
      <c r="F803" s="28" t="s">
        <v>2182</v>
      </c>
      <c r="G803" s="27" t="s">
        <v>108</v>
      </c>
      <c r="I803" s="27" t="s">
        <v>226</v>
      </c>
      <c r="J803" s="28">
        <v>21691</v>
      </c>
      <c r="K803" s="27" t="s">
        <v>404</v>
      </c>
      <c r="L803">
        <v>21401</v>
      </c>
      <c r="M803" t="s">
        <v>226</v>
      </c>
      <c r="Q803" s="13" t="s">
        <v>2497</v>
      </c>
      <c r="R803" s="13" t="s">
        <v>1769</v>
      </c>
      <c r="S803" s="13" t="s">
        <v>2501</v>
      </c>
      <c r="T803" s="13"/>
      <c r="U803" s="13"/>
      <c r="V803" s="72" t="s">
        <v>2486</v>
      </c>
      <c r="W803" s="53" t="s">
        <v>2504</v>
      </c>
      <c r="AA803" t="s">
        <v>2502</v>
      </c>
      <c r="AB803" s="66">
        <v>99.55</v>
      </c>
      <c r="AC803">
        <v>20</v>
      </c>
      <c r="AD803"/>
      <c r="AE803" s="7">
        <f t="shared" si="738"/>
        <v>1.8714499999999998</v>
      </c>
      <c r="AF803" s="7">
        <f>DT749</f>
        <v>0</v>
      </c>
      <c r="AG803" s="7">
        <f>EU803+FA803+EM803</f>
        <v>1.1268921389396709</v>
      </c>
      <c r="AH803" s="7">
        <f t="shared" si="739"/>
        <v>3.6</v>
      </c>
      <c r="AI803" s="7">
        <f t="shared" si="740"/>
        <v>4.5000000000000005E-2</v>
      </c>
      <c r="AJ803" s="7">
        <f t="shared" si="741"/>
        <v>0.03</v>
      </c>
      <c r="AK803" s="7">
        <f t="shared" si="742"/>
        <v>0.04</v>
      </c>
      <c r="AL803" s="7">
        <f t="shared" si="743"/>
        <v>0.33</v>
      </c>
      <c r="AM803" s="7">
        <f t="shared" si="744"/>
        <v>2.5000000000000001E-2</v>
      </c>
      <c r="AN803" s="7">
        <f t="shared" si="745"/>
        <v>1.5384615384615385E-2</v>
      </c>
      <c r="AO803" s="7"/>
      <c r="AP803" s="7">
        <f t="shared" si="763"/>
        <v>0</v>
      </c>
      <c r="AQ803" s="7">
        <f t="shared" si="764"/>
        <v>7.083726754324287</v>
      </c>
      <c r="AR803" s="7"/>
      <c r="AS803" s="7"/>
      <c r="AT803" s="7"/>
      <c r="AU803" s="7">
        <f>1.8+0.05</f>
        <v>1.85</v>
      </c>
      <c r="AV803" s="7">
        <f t="shared" si="765"/>
        <v>8.9337267543242866</v>
      </c>
      <c r="AW803" s="59">
        <v>1.9E-2</v>
      </c>
      <c r="AX803" s="59">
        <v>1.7999999999999999E-2</v>
      </c>
      <c r="AY803" s="61">
        <v>1</v>
      </c>
      <c r="AZ803" s="69">
        <f t="shared" si="746"/>
        <v>1.0000000000000009E-3</v>
      </c>
      <c r="BA803" s="62">
        <f t="shared" si="759"/>
        <v>1.8714499999999998</v>
      </c>
      <c r="BB803" s="62"/>
      <c r="BC803" s="62"/>
      <c r="BD803" s="62"/>
      <c r="BE803" s="62"/>
      <c r="BF803" s="62"/>
      <c r="BG803" s="62"/>
      <c r="BH803" s="62"/>
      <c r="BI803" s="62"/>
      <c r="BJ803" s="62"/>
      <c r="BK803" s="62"/>
      <c r="BL803" s="62"/>
      <c r="BM803" s="62"/>
      <c r="BN803" s="62"/>
      <c r="BO803" s="62"/>
      <c r="BP803" s="62"/>
      <c r="BQ803" s="62"/>
      <c r="BR803" s="62"/>
      <c r="BS803" s="62"/>
      <c r="BT803" s="62"/>
      <c r="BU803" s="62"/>
      <c r="BV803" s="62"/>
      <c r="BW803" s="62"/>
      <c r="BX803" s="62"/>
      <c r="BY803" s="62"/>
      <c r="BZ803" s="62"/>
      <c r="CA803" s="62"/>
      <c r="CB803" s="62"/>
      <c r="CC803" s="62"/>
      <c r="CD803" s="59">
        <v>0</v>
      </c>
      <c r="CE803" s="62">
        <v>0</v>
      </c>
      <c r="CF803" s="62">
        <v>2</v>
      </c>
      <c r="CG803" s="62">
        <v>1.8</v>
      </c>
      <c r="CH803" s="62">
        <f t="shared" si="766"/>
        <v>3.6</v>
      </c>
      <c r="CI803" s="59"/>
      <c r="CJ803" s="59"/>
      <c r="CK803" s="59"/>
      <c r="CL803" s="59"/>
      <c r="CM803" s="59"/>
      <c r="CN803" s="59"/>
      <c r="CO803" s="59"/>
      <c r="CP803" s="59"/>
      <c r="CQ803" s="59"/>
      <c r="CR803" s="59"/>
      <c r="CS803" s="59"/>
      <c r="CT803" s="59"/>
      <c r="CU803" s="59"/>
      <c r="CV803" s="59"/>
      <c r="CW803" s="59"/>
      <c r="CX803" s="59"/>
      <c r="CY803" s="59"/>
      <c r="CZ803" s="59"/>
      <c r="DA803" s="59"/>
      <c r="DB803" s="59"/>
      <c r="DC803" s="59"/>
      <c r="DD803" s="59"/>
      <c r="DE803" s="59"/>
      <c r="DF803" s="59"/>
      <c r="DG803" s="59"/>
      <c r="DH803" s="59"/>
      <c r="DI803" s="59"/>
      <c r="DJ803" s="59"/>
      <c r="DK803" s="59"/>
      <c r="DL803" s="59"/>
      <c r="DM803" s="62">
        <f t="shared" si="760"/>
        <v>3.6</v>
      </c>
      <c r="DN803" s="64">
        <v>1.2500000000000001E-2</v>
      </c>
      <c r="DO803" s="62">
        <f t="shared" si="767"/>
        <v>4.5000000000000005E-2</v>
      </c>
      <c r="DP803" s="62">
        <f t="shared" si="747"/>
        <v>3.645</v>
      </c>
      <c r="DQ803" s="59"/>
      <c r="DR803" s="59"/>
      <c r="DS803" s="59"/>
      <c r="DT803" s="59"/>
      <c r="DU803" s="59"/>
      <c r="DV803" s="59"/>
      <c r="DW803" s="59"/>
      <c r="DX803" s="59"/>
      <c r="DY803" s="59"/>
      <c r="DZ803" s="59"/>
      <c r="EA803" s="59"/>
      <c r="EB803" s="59"/>
      <c r="EC803" s="59"/>
      <c r="ED803" s="59"/>
      <c r="EE803" s="59"/>
      <c r="EF803" s="59">
        <v>120</v>
      </c>
      <c r="EG803" s="62">
        <v>1200</v>
      </c>
      <c r="EH803" s="62">
        <v>8</v>
      </c>
      <c r="EI803" s="61">
        <v>0.95</v>
      </c>
      <c r="EJ803" s="65">
        <v>2</v>
      </c>
      <c r="EK803" s="65">
        <v>50</v>
      </c>
      <c r="EL803" s="65">
        <f t="shared" si="761"/>
        <v>1094</v>
      </c>
      <c r="EM803" s="62">
        <v>0.03</v>
      </c>
      <c r="EN803" s="62"/>
      <c r="EO803" s="62"/>
      <c r="EP803" s="59"/>
      <c r="EQ803" s="59"/>
      <c r="ER803" s="59"/>
      <c r="ES803" s="59"/>
      <c r="ET803" s="59"/>
      <c r="EU803" s="62">
        <f>EG803/EL803</f>
        <v>1.0968921389396709</v>
      </c>
      <c r="EV803" s="59"/>
      <c r="EW803" s="59"/>
      <c r="EX803" s="59"/>
      <c r="EY803" s="59"/>
      <c r="EZ803" s="59"/>
      <c r="FA803" s="59"/>
      <c r="FB803" s="59"/>
      <c r="FC803" s="59"/>
      <c r="FD803" s="59"/>
      <c r="FE803" s="59"/>
      <c r="FF803" s="59"/>
      <c r="FG803" s="59"/>
      <c r="FH803" s="59"/>
      <c r="FI803" s="59"/>
      <c r="FJ803" s="59"/>
      <c r="FK803" s="59"/>
      <c r="FL803" s="59"/>
      <c r="FM803" s="59"/>
      <c r="FN803" s="59"/>
      <c r="FO803" s="59"/>
      <c r="FP803" s="59"/>
      <c r="FQ803" s="59"/>
      <c r="FR803" s="59"/>
      <c r="FS803" s="59"/>
      <c r="FT803" s="59"/>
      <c r="FU803" s="59"/>
      <c r="FV803" s="59"/>
      <c r="FW803" s="59"/>
      <c r="FX803" s="59"/>
      <c r="FY803" s="59"/>
      <c r="FZ803" s="59"/>
      <c r="GA803" s="59"/>
      <c r="GB803" s="59"/>
      <c r="GC803" s="59"/>
      <c r="GD803" s="59"/>
      <c r="GE803" s="59"/>
      <c r="GF803" s="59"/>
      <c r="GG803" s="59"/>
      <c r="GH803" s="59"/>
      <c r="GI803" s="59"/>
      <c r="GJ803" s="59"/>
      <c r="GK803" s="59"/>
      <c r="GL803" s="59"/>
      <c r="GM803" s="59"/>
      <c r="GN803" s="59"/>
      <c r="GO803" s="59"/>
      <c r="GP803" s="59"/>
      <c r="GQ803" s="59"/>
      <c r="GR803" s="61">
        <v>0.11</v>
      </c>
      <c r="GS803" s="62">
        <f>ROUNDUP(GR803*(BA803+EU803),2)</f>
        <v>0.33</v>
      </c>
      <c r="GT803" s="64">
        <v>1.2500000000000001E-2</v>
      </c>
      <c r="GU803" s="62">
        <f>ROUNDUP(GT803*(BA803+EU803),2)</f>
        <v>0.04</v>
      </c>
      <c r="GV803" s="61">
        <v>0.02</v>
      </c>
      <c r="GW803" s="62">
        <f>ROUNDUP(GV803*EU803,2)</f>
        <v>0.03</v>
      </c>
      <c r="GX803" s="62">
        <f t="shared" si="748"/>
        <v>0.4</v>
      </c>
      <c r="GY803" s="62" t="s">
        <v>43</v>
      </c>
      <c r="GZ803" s="62" t="s">
        <v>551</v>
      </c>
      <c r="HA803" s="59">
        <v>650</v>
      </c>
      <c r="HB803" s="59">
        <v>450</v>
      </c>
      <c r="HC803" s="59">
        <v>330</v>
      </c>
      <c r="HD803" s="59">
        <v>250</v>
      </c>
      <c r="HE803" s="59">
        <v>800</v>
      </c>
      <c r="HF803" s="62">
        <f t="shared" si="762"/>
        <v>4</v>
      </c>
      <c r="HG803" s="59">
        <v>5</v>
      </c>
      <c r="HH803" s="62">
        <f t="shared" si="768"/>
        <v>20</v>
      </c>
      <c r="HI803" s="59">
        <v>600</v>
      </c>
      <c r="HJ803" s="62">
        <f t="shared" si="750"/>
        <v>12000</v>
      </c>
      <c r="HK803" s="59"/>
      <c r="HL803" s="59"/>
      <c r="HM803" s="59">
        <v>2</v>
      </c>
      <c r="HN803" s="62">
        <f t="shared" si="751"/>
        <v>480000</v>
      </c>
      <c r="HO803" s="62">
        <f t="shared" si="752"/>
        <v>2.5000000000000001E-2</v>
      </c>
      <c r="HP803" s="59">
        <v>160</v>
      </c>
      <c r="HQ803" s="59">
        <v>0</v>
      </c>
      <c r="HR803" s="59">
        <v>0</v>
      </c>
      <c r="HS803" s="59">
        <v>0</v>
      </c>
      <c r="HT803" s="62">
        <v>0</v>
      </c>
      <c r="HU803" s="62"/>
      <c r="HV803" s="62">
        <f t="shared" si="769"/>
        <v>2.5000000000000001E-2</v>
      </c>
      <c r="HW803" s="62"/>
      <c r="HX803" s="59">
        <v>5016</v>
      </c>
      <c r="HY803" s="59">
        <v>1976</v>
      </c>
      <c r="HZ803" s="59">
        <v>2280</v>
      </c>
      <c r="IA803" s="62">
        <f t="shared" si="753"/>
        <v>7</v>
      </c>
      <c r="IB803" s="62">
        <f t="shared" si="754"/>
        <v>4</v>
      </c>
      <c r="IC803" s="62">
        <f t="shared" si="755"/>
        <v>6</v>
      </c>
      <c r="ID803" s="61">
        <v>1</v>
      </c>
      <c r="IE803" s="62">
        <f>PRODUCT(IA803:ID803)-38</f>
        <v>130</v>
      </c>
      <c r="IF803" s="59">
        <v>500</v>
      </c>
      <c r="IG803" s="62">
        <f>IF803/(IE803*HD803)</f>
        <v>1.5384615384615385E-2</v>
      </c>
      <c r="IH803" s="62"/>
    </row>
    <row r="804" spans="1:242" ht="30">
      <c r="A804">
        <v>789</v>
      </c>
      <c r="B804" t="s">
        <v>468</v>
      </c>
      <c r="C804" t="s">
        <v>2505</v>
      </c>
      <c r="D804" s="28" t="s">
        <v>1621</v>
      </c>
      <c r="E804" s="28" t="s">
        <v>1622</v>
      </c>
      <c r="F804" s="28" t="s">
        <v>2182</v>
      </c>
      <c r="G804" s="27" t="s">
        <v>108</v>
      </c>
      <c r="I804" s="27" t="s">
        <v>226</v>
      </c>
      <c r="J804" s="28">
        <v>21691</v>
      </c>
      <c r="K804" s="27" t="s">
        <v>404</v>
      </c>
      <c r="Q804" s="13" t="s">
        <v>1768</v>
      </c>
      <c r="R804" s="13" t="s">
        <v>1778</v>
      </c>
      <c r="S804" s="13" t="s">
        <v>2506</v>
      </c>
      <c r="T804" s="13"/>
      <c r="U804" s="13"/>
      <c r="V804" s="72" t="s">
        <v>2486</v>
      </c>
      <c r="W804" s="53"/>
      <c r="AA804" t="s">
        <v>2507</v>
      </c>
      <c r="AB804" s="66">
        <v>240</v>
      </c>
      <c r="AC804">
        <v>20</v>
      </c>
      <c r="AD804"/>
      <c r="AE804" s="7">
        <f t="shared" si="738"/>
        <v>58.8</v>
      </c>
      <c r="AF804" s="7">
        <f>DT750</f>
        <v>0</v>
      </c>
      <c r="AG804" s="7">
        <f>EU804+FA804+EM804</f>
        <v>5.8114035087719298</v>
      </c>
      <c r="AH804" s="7">
        <f t="shared" si="739"/>
        <v>0</v>
      </c>
      <c r="AI804" s="7">
        <f t="shared" si="740"/>
        <v>0</v>
      </c>
      <c r="AJ804" s="7">
        <f t="shared" si="741"/>
        <v>0.12</v>
      </c>
      <c r="AK804" s="7">
        <f t="shared" si="742"/>
        <v>0.81</v>
      </c>
      <c r="AL804" s="7">
        <f t="shared" si="743"/>
        <v>7.1099999999999994</v>
      </c>
      <c r="AM804" s="7">
        <f t="shared" si="744"/>
        <v>0.18333333333333332</v>
      </c>
      <c r="AN804" s="7">
        <f t="shared" si="745"/>
        <v>0.2</v>
      </c>
      <c r="AO804" s="7"/>
      <c r="AP804" s="7">
        <f t="shared" si="763"/>
        <v>0</v>
      </c>
      <c r="AQ804" s="7">
        <f t="shared" si="764"/>
        <v>73.034736842105275</v>
      </c>
      <c r="AR804" s="7"/>
      <c r="AS804" s="7"/>
      <c r="AT804" s="7"/>
      <c r="AU804" s="7"/>
      <c r="AV804" s="7">
        <f t="shared" si="765"/>
        <v>73.034736842105275</v>
      </c>
      <c r="AW804" s="312">
        <v>0.245</v>
      </c>
      <c r="AX804" s="313">
        <v>0.245</v>
      </c>
      <c r="AY804" s="61">
        <v>1</v>
      </c>
      <c r="AZ804" s="69">
        <f t="shared" si="746"/>
        <v>0</v>
      </c>
      <c r="BA804" s="62">
        <f t="shared" si="759"/>
        <v>58.8</v>
      </c>
      <c r="BB804" s="62"/>
      <c r="BC804" s="62"/>
      <c r="BD804" s="62"/>
      <c r="BE804" s="62"/>
      <c r="BF804" s="62"/>
      <c r="BG804" s="62"/>
      <c r="BH804" s="62"/>
      <c r="BI804" s="62"/>
      <c r="BJ804" s="62"/>
      <c r="BK804" s="62"/>
      <c r="BL804" s="62"/>
      <c r="BM804" s="62"/>
      <c r="BN804" s="62"/>
      <c r="BO804" s="62"/>
      <c r="BP804" s="62"/>
      <c r="BQ804" s="62"/>
      <c r="BR804" s="62"/>
      <c r="BS804" s="62"/>
      <c r="BT804" s="62"/>
      <c r="BU804" s="62"/>
      <c r="BV804" s="62"/>
      <c r="BW804" s="62"/>
      <c r="BX804" s="62"/>
      <c r="BY804" s="62"/>
      <c r="BZ804" s="62"/>
      <c r="CA804" s="62"/>
      <c r="CB804" s="62"/>
      <c r="CC804" s="62"/>
      <c r="CD804" s="59">
        <v>0</v>
      </c>
      <c r="CE804" s="62">
        <v>0</v>
      </c>
      <c r="CF804" s="62">
        <v>0</v>
      </c>
      <c r="CG804" s="62">
        <v>0</v>
      </c>
      <c r="CH804" s="62">
        <f t="shared" si="766"/>
        <v>0</v>
      </c>
      <c r="CI804" s="59"/>
      <c r="CJ804" s="59"/>
      <c r="CK804" s="59"/>
      <c r="CL804" s="59"/>
      <c r="CM804" s="59"/>
      <c r="CN804" s="59"/>
      <c r="CO804" s="59"/>
      <c r="CP804" s="59"/>
      <c r="CQ804" s="59"/>
      <c r="CR804" s="59"/>
      <c r="CS804" s="59"/>
      <c r="CT804" s="59"/>
      <c r="CU804" s="59"/>
      <c r="CV804" s="59"/>
      <c r="CW804" s="59"/>
      <c r="CX804" s="59"/>
      <c r="CY804" s="59"/>
      <c r="CZ804" s="59"/>
      <c r="DA804" s="59"/>
      <c r="DB804" s="59"/>
      <c r="DC804" s="59"/>
      <c r="DD804" s="59"/>
      <c r="DE804" s="59"/>
      <c r="DF804" s="59"/>
      <c r="DG804" s="59"/>
      <c r="DH804" s="59"/>
      <c r="DI804" s="59"/>
      <c r="DJ804" s="59"/>
      <c r="DK804" s="59"/>
      <c r="DL804" s="59"/>
      <c r="DM804" s="62">
        <f t="shared" si="760"/>
        <v>0</v>
      </c>
      <c r="DN804" s="64">
        <v>1.2500000000000001E-2</v>
      </c>
      <c r="DO804" s="62">
        <f t="shared" si="767"/>
        <v>0</v>
      </c>
      <c r="DP804" s="62">
        <f t="shared" si="747"/>
        <v>0</v>
      </c>
      <c r="DQ804" s="59"/>
      <c r="DR804" s="59"/>
      <c r="DS804" s="59"/>
      <c r="DT804" s="59"/>
      <c r="DU804" s="59"/>
      <c r="DV804" s="59"/>
      <c r="DW804" s="59"/>
      <c r="DX804" s="59"/>
      <c r="DY804" s="59"/>
      <c r="DZ804" s="59"/>
      <c r="EA804" s="59"/>
      <c r="EB804" s="59"/>
      <c r="EC804" s="59"/>
      <c r="ED804" s="59"/>
      <c r="EE804" s="59"/>
      <c r="EF804" s="59">
        <v>530</v>
      </c>
      <c r="EG804" s="62">
        <v>5300</v>
      </c>
      <c r="EH804" s="62">
        <v>8</v>
      </c>
      <c r="EI804" s="61">
        <v>0.95</v>
      </c>
      <c r="EJ804" s="65">
        <v>2</v>
      </c>
      <c r="EK804" s="65">
        <v>60</v>
      </c>
      <c r="EL804" s="65">
        <f t="shared" si="761"/>
        <v>912</v>
      </c>
      <c r="EM804" s="62"/>
      <c r="EN804" s="62"/>
      <c r="EO804" s="62"/>
      <c r="EP804" s="59"/>
      <c r="EQ804" s="59"/>
      <c r="ER804" s="59"/>
      <c r="ES804" s="59"/>
      <c r="ET804" s="59"/>
      <c r="EU804" s="62">
        <f>EG804/EL804</f>
        <v>5.8114035087719298</v>
      </c>
      <c r="EV804" s="59"/>
      <c r="EW804" s="59"/>
      <c r="EX804" s="59"/>
      <c r="EY804" s="59"/>
      <c r="EZ804" s="59"/>
      <c r="FA804" s="59"/>
      <c r="FB804" s="59"/>
      <c r="FC804" s="59"/>
      <c r="FD804" s="59"/>
      <c r="FE804" s="59"/>
      <c r="FF804" s="59"/>
      <c r="FG804" s="59"/>
      <c r="FH804" s="59"/>
      <c r="FI804" s="59"/>
      <c r="FJ804" s="59"/>
      <c r="FK804" s="59"/>
      <c r="FL804" s="59"/>
      <c r="FM804" s="59"/>
      <c r="FN804" s="59"/>
      <c r="FO804" s="59"/>
      <c r="FP804" s="59"/>
      <c r="FQ804" s="59"/>
      <c r="FR804" s="59"/>
      <c r="FS804" s="59"/>
      <c r="FT804" s="59"/>
      <c r="FU804" s="59"/>
      <c r="FV804" s="59"/>
      <c r="FW804" s="59"/>
      <c r="FX804" s="59"/>
      <c r="FY804" s="59"/>
      <c r="FZ804" s="59"/>
      <c r="GA804" s="59"/>
      <c r="GB804" s="59"/>
      <c r="GC804" s="59"/>
      <c r="GD804" s="59"/>
      <c r="GE804" s="59"/>
      <c r="GF804" s="59"/>
      <c r="GG804" s="59"/>
      <c r="GH804" s="59"/>
      <c r="GI804" s="59"/>
      <c r="GJ804" s="59"/>
      <c r="GK804" s="59"/>
      <c r="GL804" s="59"/>
      <c r="GM804" s="59"/>
      <c r="GN804" s="59"/>
      <c r="GO804" s="59"/>
      <c r="GP804" s="59"/>
      <c r="GQ804" s="59"/>
      <c r="GR804" s="61">
        <v>0.11</v>
      </c>
      <c r="GS804" s="62">
        <f>ROUNDUP(GR804*(BA804+EU804),2)</f>
        <v>7.1099999999999994</v>
      </c>
      <c r="GT804" s="64">
        <v>1.2500000000000001E-2</v>
      </c>
      <c r="GU804" s="62">
        <f>ROUNDUP(GT804*(BA804+EU804),2)</f>
        <v>0.81</v>
      </c>
      <c r="GV804" s="61">
        <v>0.02</v>
      </c>
      <c r="GW804" s="62">
        <f>ROUNDUP(GV804*EU804,2)</f>
        <v>0.12</v>
      </c>
      <c r="GX804" s="62">
        <f t="shared" si="748"/>
        <v>8.0399999999999991</v>
      </c>
      <c r="GY804" s="62" t="s">
        <v>43</v>
      </c>
      <c r="GZ804" s="62" t="s">
        <v>551</v>
      </c>
      <c r="HA804" s="59">
        <v>650</v>
      </c>
      <c r="HB804" s="59">
        <v>450</v>
      </c>
      <c r="HC804" s="59">
        <v>315</v>
      </c>
      <c r="HD804" s="59">
        <v>50</v>
      </c>
      <c r="HE804" s="59">
        <v>200</v>
      </c>
      <c r="HF804" s="62">
        <f t="shared" si="762"/>
        <v>4</v>
      </c>
      <c r="HG804" s="59">
        <v>5</v>
      </c>
      <c r="HH804" s="62">
        <f t="shared" si="768"/>
        <v>20</v>
      </c>
      <c r="HI804" s="59">
        <v>1100</v>
      </c>
      <c r="HJ804" s="62">
        <f t="shared" si="750"/>
        <v>22000</v>
      </c>
      <c r="HK804" s="59"/>
      <c r="HL804" s="59"/>
      <c r="HM804" s="59">
        <v>2</v>
      </c>
      <c r="HN804" s="62">
        <f t="shared" si="751"/>
        <v>120000</v>
      </c>
      <c r="HO804" s="62">
        <f t="shared" si="752"/>
        <v>0.18333333333333332</v>
      </c>
      <c r="HP804" s="59">
        <v>160</v>
      </c>
      <c r="HQ804" s="59">
        <v>0</v>
      </c>
      <c r="HR804" s="59">
        <v>0</v>
      </c>
      <c r="HS804" s="59">
        <v>0</v>
      </c>
      <c r="HT804" s="62">
        <v>0</v>
      </c>
      <c r="HU804" s="62"/>
      <c r="HV804" s="62">
        <f t="shared" si="769"/>
        <v>0.18333333333333332</v>
      </c>
      <c r="HW804" s="62"/>
      <c r="HX804" s="59">
        <v>5016</v>
      </c>
      <c r="HY804" s="59">
        <v>1976</v>
      </c>
      <c r="HZ804" s="59">
        <v>2280</v>
      </c>
      <c r="IA804" s="62">
        <f t="shared" si="753"/>
        <v>7</v>
      </c>
      <c r="IB804" s="62">
        <f t="shared" si="754"/>
        <v>4</v>
      </c>
      <c r="IC804" s="62">
        <f t="shared" si="755"/>
        <v>7</v>
      </c>
      <c r="ID804" s="61">
        <v>0.95</v>
      </c>
      <c r="IE804" s="62">
        <f>PRODUCT(IA804:ID804)-136.2</f>
        <v>50</v>
      </c>
      <c r="IF804" s="59">
        <v>500</v>
      </c>
      <c r="IG804" s="62">
        <f>IF804/(IE804*HD804)</f>
        <v>0.2</v>
      </c>
      <c r="IH804" s="62"/>
    </row>
    <row r="805" spans="1:242" ht="60">
      <c r="A805">
        <v>790</v>
      </c>
      <c r="B805" t="s">
        <v>468</v>
      </c>
      <c r="C805" t="s">
        <v>2508</v>
      </c>
      <c r="D805" s="28" t="s">
        <v>1623</v>
      </c>
      <c r="E805" s="28" t="s">
        <v>1624</v>
      </c>
      <c r="F805" s="28" t="s">
        <v>2182</v>
      </c>
      <c r="G805" s="27" t="s">
        <v>108</v>
      </c>
      <c r="I805" s="27" t="s">
        <v>226</v>
      </c>
      <c r="J805" s="28">
        <v>21691</v>
      </c>
      <c r="K805" s="27" t="s">
        <v>404</v>
      </c>
      <c r="L805">
        <v>21401</v>
      </c>
      <c r="M805" t="s">
        <v>226</v>
      </c>
      <c r="Q805" s="13" t="s">
        <v>1039</v>
      </c>
      <c r="R805" s="13" t="s">
        <v>1769</v>
      </c>
      <c r="S805" s="13" t="s">
        <v>2509</v>
      </c>
      <c r="T805" s="13"/>
      <c r="U805" s="13"/>
      <c r="V805" s="72" t="s">
        <v>2486</v>
      </c>
      <c r="W805" s="53" t="s">
        <v>2510</v>
      </c>
      <c r="AA805" t="s">
        <v>583</v>
      </c>
      <c r="AB805" s="66">
        <v>139.55000000000001</v>
      </c>
      <c r="AC805">
        <f>AB805-5</f>
        <v>134.55000000000001</v>
      </c>
      <c r="AD805"/>
      <c r="AE805" s="7">
        <f t="shared" si="738"/>
        <v>18.719700000000003</v>
      </c>
      <c r="AF805" s="7">
        <f>DT805</f>
        <v>0</v>
      </c>
      <c r="AG805" s="7">
        <f>EU805+FA805</f>
        <v>5.0301810865191143</v>
      </c>
      <c r="AH805" s="7">
        <f t="shared" si="739"/>
        <v>0</v>
      </c>
      <c r="AI805" s="7">
        <f t="shared" si="740"/>
        <v>0</v>
      </c>
      <c r="AJ805" s="7">
        <f t="shared" si="741"/>
        <v>0.10060362173038229</v>
      </c>
      <c r="AK805" s="7">
        <f t="shared" si="742"/>
        <v>0.3</v>
      </c>
      <c r="AL805" s="7">
        <f t="shared" si="743"/>
        <v>2.612486919517103</v>
      </c>
      <c r="AM805" s="7">
        <f t="shared" si="744"/>
        <v>1.3591666666666666</v>
      </c>
      <c r="AN805" s="7">
        <f t="shared" si="745"/>
        <v>6.9444444444444448E-2</v>
      </c>
      <c r="AO805" s="7"/>
      <c r="AP805" s="7">
        <f t="shared" si="763"/>
        <v>0</v>
      </c>
      <c r="AQ805" s="7">
        <f t="shared" si="764"/>
        <v>28.191582738877713</v>
      </c>
      <c r="AR805" s="7"/>
      <c r="AS805" s="7"/>
      <c r="AT805" s="7"/>
      <c r="AU805" s="7">
        <f>28.13-28.19</f>
        <v>-6.0000000000002274E-2</v>
      </c>
      <c r="AV805" s="7">
        <f t="shared" si="765"/>
        <v>28.131582738877711</v>
      </c>
      <c r="AW805" s="59">
        <v>0.13800000000000001</v>
      </c>
      <c r="AX805" s="59">
        <v>0.13400000000000001</v>
      </c>
      <c r="AY805" s="61">
        <v>1</v>
      </c>
      <c r="AZ805" s="69">
        <f t="shared" si="746"/>
        <v>4.0000000000000036E-3</v>
      </c>
      <c r="BA805" s="62">
        <f t="shared" si="759"/>
        <v>18.719700000000003</v>
      </c>
      <c r="BB805" s="62"/>
      <c r="BC805" s="62"/>
      <c r="BD805" s="62"/>
      <c r="BE805" s="62"/>
      <c r="BF805" s="62"/>
      <c r="BG805" s="62"/>
      <c r="BH805" s="62"/>
      <c r="BI805" s="62"/>
      <c r="BJ805" s="62"/>
      <c r="BK805" s="62"/>
      <c r="BL805" s="62"/>
      <c r="BM805" s="62"/>
      <c r="BN805" s="62"/>
      <c r="BO805" s="62"/>
      <c r="BP805" s="62"/>
      <c r="BQ805" s="62"/>
      <c r="BR805" s="62"/>
      <c r="BS805" s="62"/>
      <c r="BT805" s="62"/>
      <c r="BU805" s="62"/>
      <c r="BV805" s="62"/>
      <c r="BW805" s="62"/>
      <c r="BX805" s="62"/>
      <c r="BY805" s="62"/>
      <c r="BZ805" s="62"/>
      <c r="CA805" s="62"/>
      <c r="CB805" s="62"/>
      <c r="CC805" s="62"/>
      <c r="CD805" s="59">
        <v>0</v>
      </c>
      <c r="CE805" s="62">
        <v>0</v>
      </c>
      <c r="CF805" s="62">
        <v>0</v>
      </c>
      <c r="CG805" s="62">
        <v>0</v>
      </c>
      <c r="CH805" s="62">
        <f t="shared" si="766"/>
        <v>0</v>
      </c>
      <c r="CI805" s="59"/>
      <c r="CJ805" s="59"/>
      <c r="CK805" s="59"/>
      <c r="CL805" s="59"/>
      <c r="CM805" s="59"/>
      <c r="CN805" s="59"/>
      <c r="CO805" s="59"/>
      <c r="CP805" s="59"/>
      <c r="CQ805" s="59"/>
      <c r="CR805" s="59"/>
      <c r="CS805" s="59"/>
      <c r="CT805" s="59"/>
      <c r="CU805" s="59"/>
      <c r="CV805" s="59"/>
      <c r="CW805" s="59"/>
      <c r="CX805" s="59"/>
      <c r="CY805" s="59"/>
      <c r="CZ805" s="59"/>
      <c r="DA805" s="59"/>
      <c r="DB805" s="59"/>
      <c r="DC805" s="59"/>
      <c r="DD805" s="59"/>
      <c r="DE805" s="59"/>
      <c r="DF805" s="59"/>
      <c r="DG805" s="59"/>
      <c r="DH805" s="59"/>
      <c r="DI805" s="59"/>
      <c r="DJ805" s="59"/>
      <c r="DK805" s="59"/>
      <c r="DL805" s="59"/>
      <c r="DM805" s="62">
        <f t="shared" si="760"/>
        <v>0</v>
      </c>
      <c r="DN805" s="64">
        <v>1.2500000000000001E-2</v>
      </c>
      <c r="DO805" s="62">
        <f t="shared" si="767"/>
        <v>0</v>
      </c>
      <c r="DP805" s="62">
        <f t="shared" si="747"/>
        <v>0</v>
      </c>
      <c r="DQ805" s="59"/>
      <c r="DR805" s="59"/>
      <c r="DS805" s="59"/>
      <c r="DT805" s="59"/>
      <c r="DU805" s="59"/>
      <c r="DV805" s="59"/>
      <c r="DW805" s="59"/>
      <c r="DX805" s="59"/>
      <c r="DY805" s="59"/>
      <c r="DZ805" s="59"/>
      <c r="EA805" s="59"/>
      <c r="EB805" s="59"/>
      <c r="EC805" s="59"/>
      <c r="ED805" s="59"/>
      <c r="EE805" s="59"/>
      <c r="EF805" s="59">
        <v>250</v>
      </c>
      <c r="EG805" s="62">
        <v>2500</v>
      </c>
      <c r="EH805" s="62">
        <v>8</v>
      </c>
      <c r="EI805" s="61">
        <v>0.95</v>
      </c>
      <c r="EJ805" s="65">
        <v>1</v>
      </c>
      <c r="EK805" s="65">
        <v>55</v>
      </c>
      <c r="EL805" s="65">
        <f t="shared" si="761"/>
        <v>497</v>
      </c>
      <c r="EM805" s="59"/>
      <c r="EN805" s="59"/>
      <c r="EO805" s="59"/>
      <c r="EP805" s="59"/>
      <c r="EQ805" s="59"/>
      <c r="ER805" s="59"/>
      <c r="ES805" s="59"/>
      <c r="ET805" s="59"/>
      <c r="EU805" s="62">
        <f>EG805/EL805</f>
        <v>5.0301810865191143</v>
      </c>
      <c r="EV805" s="59"/>
      <c r="EW805" s="59"/>
      <c r="EX805" s="59"/>
      <c r="EY805" s="59"/>
      <c r="EZ805" s="59"/>
      <c r="FA805" s="59"/>
      <c r="FB805" s="59"/>
      <c r="FC805" s="59"/>
      <c r="FD805" s="59"/>
      <c r="FE805" s="59"/>
      <c r="FF805" s="59"/>
      <c r="FG805" s="59"/>
      <c r="FH805" s="59"/>
      <c r="FI805" s="59"/>
      <c r="FJ805" s="59"/>
      <c r="FK805" s="59"/>
      <c r="FL805" s="59"/>
      <c r="FM805" s="59"/>
      <c r="FN805" s="59"/>
      <c r="FO805" s="59"/>
      <c r="FP805" s="59"/>
      <c r="FQ805" s="59"/>
      <c r="FR805" s="59"/>
      <c r="FS805" s="59"/>
      <c r="FT805" s="59"/>
      <c r="FU805" s="59"/>
      <c r="FV805" s="59"/>
      <c r="FW805" s="59"/>
      <c r="FX805" s="59"/>
      <c r="FY805" s="59"/>
      <c r="FZ805" s="59"/>
      <c r="GA805" s="59"/>
      <c r="GB805" s="59"/>
      <c r="GC805" s="59"/>
      <c r="GD805" s="59"/>
      <c r="GE805" s="59"/>
      <c r="GF805" s="59"/>
      <c r="GG805" s="59"/>
      <c r="GH805" s="59"/>
      <c r="GI805" s="59"/>
      <c r="GJ805" s="59"/>
      <c r="GK805" s="59"/>
      <c r="GL805" s="59"/>
      <c r="GM805" s="59"/>
      <c r="GN805" s="59"/>
      <c r="GO805" s="59"/>
      <c r="GP805" s="59"/>
      <c r="GQ805" s="59"/>
      <c r="GR805" s="61">
        <v>0.11</v>
      </c>
      <c r="GS805" s="69">
        <f>GR805*(BA805+EU805)</f>
        <v>2.612486919517103</v>
      </c>
      <c r="GT805" s="64">
        <v>1.2500000000000001E-2</v>
      </c>
      <c r="GU805" s="62">
        <f>ROUNDUP(GT805*(BA805+EU805),2)</f>
        <v>0.3</v>
      </c>
      <c r="GV805" s="61">
        <v>0.02</v>
      </c>
      <c r="GW805" s="62">
        <f>GV805*EU805</f>
        <v>0.10060362173038229</v>
      </c>
      <c r="GX805" s="62">
        <f t="shared" si="748"/>
        <v>3.0130905412474851</v>
      </c>
      <c r="GY805" s="62" t="s">
        <v>43</v>
      </c>
      <c r="GZ805" s="62" t="s">
        <v>551</v>
      </c>
      <c r="HA805" s="59">
        <v>810</v>
      </c>
      <c r="HB805" s="59">
        <v>568</v>
      </c>
      <c r="HC805" s="59">
        <v>425</v>
      </c>
      <c r="HD805" s="59">
        <v>80</v>
      </c>
      <c r="HE805" s="59">
        <v>1000</v>
      </c>
      <c r="HF805" s="62">
        <f t="shared" si="762"/>
        <v>13</v>
      </c>
      <c r="HG805" s="59">
        <v>5</v>
      </c>
      <c r="HH805" s="62">
        <f t="shared" si="768"/>
        <v>65</v>
      </c>
      <c r="HI805" s="59">
        <v>1100</v>
      </c>
      <c r="HJ805" s="62">
        <f t="shared" si="750"/>
        <v>71500</v>
      </c>
      <c r="HK805" s="59"/>
      <c r="HL805" s="59"/>
      <c r="HM805" s="59">
        <v>2</v>
      </c>
      <c r="HN805" s="62">
        <f t="shared" si="751"/>
        <v>600000</v>
      </c>
      <c r="HO805" s="62">
        <f t="shared" si="752"/>
        <v>0.11916666666666667</v>
      </c>
      <c r="HP805" s="59">
        <v>160</v>
      </c>
      <c r="HQ805" s="59">
        <v>0</v>
      </c>
      <c r="HR805" s="59">
        <v>124</v>
      </c>
      <c r="HS805" s="59">
        <v>100</v>
      </c>
      <c r="HT805" s="161">
        <f>HR805/HS805</f>
        <v>1.24</v>
      </c>
      <c r="HU805" s="161"/>
      <c r="HV805" s="62">
        <f t="shared" si="769"/>
        <v>1.3591666666666666</v>
      </c>
      <c r="HW805" s="62"/>
      <c r="HX805" s="59">
        <v>5016</v>
      </c>
      <c r="HY805" s="59">
        <v>1976</v>
      </c>
      <c r="HZ805" s="59">
        <v>2280</v>
      </c>
      <c r="IA805" s="62">
        <f t="shared" si="753"/>
        <v>6</v>
      </c>
      <c r="IB805" s="62">
        <f t="shared" si="754"/>
        <v>3</v>
      </c>
      <c r="IC805" s="62">
        <f t="shared" si="755"/>
        <v>5</v>
      </c>
      <c r="ID805" s="61">
        <v>1</v>
      </c>
      <c r="IE805" s="62">
        <f>PRODUCT(IA805:ID805)</f>
        <v>90</v>
      </c>
      <c r="IF805" s="59">
        <v>500</v>
      </c>
      <c r="IG805" s="62">
        <f>IF805/(IE805*HD805)</f>
        <v>6.9444444444444448E-2</v>
      </c>
      <c r="IH805" s="62"/>
    </row>
    <row r="806" spans="1:242">
      <c r="A806">
        <v>791</v>
      </c>
      <c r="B806" s="301" t="s">
        <v>1947</v>
      </c>
      <c r="D806" s="28" t="s">
        <v>1623</v>
      </c>
      <c r="E806" s="28" t="s">
        <v>1624</v>
      </c>
      <c r="F806" s="28" t="s">
        <v>1947</v>
      </c>
      <c r="G806" s="27" t="s">
        <v>108</v>
      </c>
      <c r="I806" s="27" t="s">
        <v>226</v>
      </c>
      <c r="J806" s="28">
        <v>21405</v>
      </c>
      <c r="K806" s="27" t="s">
        <v>1239</v>
      </c>
    </row>
    <row r="807" spans="1:242" ht="30">
      <c r="A807">
        <v>792</v>
      </c>
      <c r="B807" t="s">
        <v>468</v>
      </c>
      <c r="C807" t="s">
        <v>2511</v>
      </c>
      <c r="D807" s="28" t="s">
        <v>1625</v>
      </c>
      <c r="E807" s="28" t="s">
        <v>172</v>
      </c>
      <c r="F807" s="28" t="s">
        <v>2182</v>
      </c>
      <c r="G807" s="27" t="s">
        <v>108</v>
      </c>
      <c r="I807" s="27" t="s">
        <v>226</v>
      </c>
      <c r="J807" s="28">
        <v>21691</v>
      </c>
      <c r="K807" s="27" t="s">
        <v>404</v>
      </c>
      <c r="L807">
        <v>21401</v>
      </c>
      <c r="M807" t="s">
        <v>226</v>
      </c>
      <c r="Q807" s="13" t="s">
        <v>2497</v>
      </c>
      <c r="R807" s="13" t="s">
        <v>1769</v>
      </c>
      <c r="S807" s="13" t="s">
        <v>2512</v>
      </c>
      <c r="T807" s="13"/>
      <c r="U807" s="13"/>
      <c r="V807" s="72" t="s">
        <v>2486</v>
      </c>
      <c r="W807" s="53" t="s">
        <v>2493</v>
      </c>
      <c r="AA807" t="s">
        <v>2502</v>
      </c>
      <c r="AB807" s="66">
        <v>99.55</v>
      </c>
      <c r="AC807">
        <v>20</v>
      </c>
      <c r="AD807"/>
      <c r="AE807" s="7">
        <f t="shared" ref="AE807:AE838" si="770">BA807</f>
        <v>8.129999999999999</v>
      </c>
      <c r="AF807" s="7">
        <f t="shared" ref="AF807:AF819" si="771">DT807</f>
        <v>0</v>
      </c>
      <c r="AG807" s="7">
        <f t="shared" ref="AG807:AG838" si="772">EU807+EM807</f>
        <v>1.7447368421052631</v>
      </c>
      <c r="AH807" s="7">
        <f t="shared" ref="AH807:AH838" si="773">DM807</f>
        <v>0</v>
      </c>
      <c r="AI807" s="7">
        <f t="shared" ref="AI807:AI838" si="774">DO807</f>
        <v>0</v>
      </c>
      <c r="AJ807" s="7">
        <f t="shared" ref="AJ807:AJ838" si="775">GW807</f>
        <v>3.2894736842105261E-2</v>
      </c>
      <c r="AK807" s="7">
        <f t="shared" ref="AK807:AK838" si="776">GU807</f>
        <v>0.12218421052631578</v>
      </c>
      <c r="AL807" s="7">
        <f t="shared" ref="AL807:AL838" si="777">GS807</f>
        <v>1.08</v>
      </c>
      <c r="AM807" s="7">
        <f t="shared" ref="AM807:AM838" si="778">HV807</f>
        <v>0.11</v>
      </c>
      <c r="AN807" s="7">
        <f t="shared" ref="AN807:AN838" si="779">IG807</f>
        <v>8.3612040133779264E-2</v>
      </c>
      <c r="AO807" s="7"/>
      <c r="AP807" s="7">
        <f t="shared" ref="AP807:AP838" si="780">EZ807</f>
        <v>0</v>
      </c>
      <c r="AQ807" s="7">
        <f t="shared" ref="AQ807:AQ838" si="781">SUM(AE807:AP807)</f>
        <v>11.303427829607461</v>
      </c>
      <c r="AR807" s="7"/>
      <c r="AS807" s="7"/>
      <c r="AT807" s="7"/>
      <c r="AU807" s="7"/>
      <c r="AV807" s="7">
        <f t="shared" ref="AV807:AV821" si="782">AQ807+AU807+AT807</f>
        <v>11.303427829607461</v>
      </c>
      <c r="AW807" s="59">
        <v>8.2000000000000003E-2</v>
      </c>
      <c r="AX807" s="69">
        <v>0.08</v>
      </c>
      <c r="AY807" s="61">
        <v>1</v>
      </c>
      <c r="AZ807" s="69">
        <f t="shared" ref="AZ807:AZ836" si="783">AW807-AX807</f>
        <v>2.0000000000000018E-3</v>
      </c>
      <c r="BA807" s="62">
        <f>ROUNDUP(AW807*AB807-(AZ807*AC807)*AY807,2)</f>
        <v>8.129999999999999</v>
      </c>
      <c r="BB807" s="62"/>
      <c r="BC807" s="62"/>
      <c r="BD807" s="62"/>
      <c r="BE807" s="62"/>
      <c r="BF807" s="62"/>
      <c r="BG807" s="62"/>
      <c r="BH807" s="62"/>
      <c r="BI807" s="62"/>
      <c r="BJ807" s="62"/>
      <c r="BK807" s="62"/>
      <c r="BL807" s="62"/>
      <c r="BM807" s="62"/>
      <c r="BN807" s="62"/>
      <c r="BO807" s="62"/>
      <c r="BP807" s="62"/>
      <c r="BQ807" s="62"/>
      <c r="BR807" s="62"/>
      <c r="BS807" s="62"/>
      <c r="BT807" s="62"/>
      <c r="BU807" s="62"/>
      <c r="BV807" s="62"/>
      <c r="BW807" s="62"/>
      <c r="BX807" s="62"/>
      <c r="BY807" s="62"/>
      <c r="BZ807" s="62"/>
      <c r="CA807" s="62"/>
      <c r="CB807" s="62"/>
      <c r="CC807" s="62"/>
      <c r="CD807" s="59">
        <v>0</v>
      </c>
      <c r="CE807" s="62">
        <v>0</v>
      </c>
      <c r="CF807" s="62">
        <v>0</v>
      </c>
      <c r="CG807" s="62">
        <v>0</v>
      </c>
      <c r="CH807" s="62">
        <f t="shared" ref="CH807:CH814" si="784">CF807*CG807</f>
        <v>0</v>
      </c>
      <c r="CI807" s="59"/>
      <c r="CJ807" s="59"/>
      <c r="CK807" s="59"/>
      <c r="CL807" s="59"/>
      <c r="CM807" s="59"/>
      <c r="CN807" s="59"/>
      <c r="CO807" s="59"/>
      <c r="CP807" s="59"/>
      <c r="CQ807" s="59"/>
      <c r="CR807" s="59"/>
      <c r="CS807" s="59"/>
      <c r="CT807" s="59"/>
      <c r="CU807" s="59"/>
      <c r="CV807" s="59"/>
      <c r="CW807" s="59"/>
      <c r="CX807" s="59"/>
      <c r="CY807" s="59"/>
      <c r="CZ807" s="59"/>
      <c r="DA807" s="59"/>
      <c r="DB807" s="59"/>
      <c r="DC807" s="59"/>
      <c r="DD807" s="59"/>
      <c r="DE807" s="59"/>
      <c r="DF807" s="59"/>
      <c r="DG807" s="59"/>
      <c r="DH807" s="59"/>
      <c r="DI807" s="59"/>
      <c r="DJ807" s="59"/>
      <c r="DK807" s="59"/>
      <c r="DL807" s="59"/>
      <c r="DM807" s="62">
        <f t="shared" ref="DM807:DM836" si="785">CH807+CM807+CR807+CW807+DB807+DG807+DK807</f>
        <v>0</v>
      </c>
      <c r="DN807" s="64">
        <v>1.2500000000000001E-2</v>
      </c>
      <c r="DO807" s="62">
        <f>DN807*CG807*CF807</f>
        <v>0</v>
      </c>
      <c r="DP807" s="62">
        <f t="shared" ref="DP807:DP836" si="786">DM807+DO807</f>
        <v>0</v>
      </c>
      <c r="DQ807" s="59"/>
      <c r="DR807" s="59"/>
      <c r="DS807" s="59"/>
      <c r="DT807" s="59"/>
      <c r="DU807" s="59"/>
      <c r="DV807" s="59"/>
      <c r="DW807" s="59"/>
      <c r="DX807" s="59"/>
      <c r="DY807" s="59"/>
      <c r="DZ807" s="59"/>
      <c r="EA807" s="59"/>
      <c r="EB807" s="59"/>
      <c r="EC807" s="59"/>
      <c r="ED807" s="59"/>
      <c r="EE807" s="59"/>
      <c r="EF807" s="59">
        <v>200</v>
      </c>
      <c r="EG807" s="62">
        <v>2000</v>
      </c>
      <c r="EH807" s="62">
        <v>8</v>
      </c>
      <c r="EI807" s="61">
        <v>0.95</v>
      </c>
      <c r="EJ807" s="65">
        <v>2</v>
      </c>
      <c r="EK807" s="65">
        <v>45</v>
      </c>
      <c r="EL807" s="65">
        <f t="shared" ref="EL807:EL818" si="787">ROUND(3600/EK807*EH807*EJ807*EI807,0)</f>
        <v>1216</v>
      </c>
      <c r="EM807" s="62">
        <v>0.1</v>
      </c>
      <c r="EN807" s="62"/>
      <c r="EO807" s="62"/>
      <c r="EP807" s="59"/>
      <c r="EQ807" s="59"/>
      <c r="ER807" s="59"/>
      <c r="ES807" s="59"/>
      <c r="ET807" s="59"/>
      <c r="EU807" s="62">
        <f>EG807/EL807</f>
        <v>1.6447368421052631</v>
      </c>
      <c r="EV807" s="59"/>
      <c r="EW807" s="59"/>
      <c r="EX807" s="59"/>
      <c r="EY807" s="59"/>
      <c r="EZ807" s="59"/>
      <c r="FA807" s="59"/>
      <c r="FB807" s="59"/>
      <c r="FC807" s="59"/>
      <c r="FD807" s="59"/>
      <c r="FE807" s="59"/>
      <c r="FF807" s="59"/>
      <c r="FG807" s="59"/>
      <c r="FH807" s="59"/>
      <c r="FI807" s="59"/>
      <c r="FJ807" s="59"/>
      <c r="FK807" s="59"/>
      <c r="FL807" s="59"/>
      <c r="FM807" s="59"/>
      <c r="FN807" s="59"/>
      <c r="FO807" s="59"/>
      <c r="FP807" s="59"/>
      <c r="FQ807" s="59"/>
      <c r="FR807" s="59"/>
      <c r="FS807" s="59"/>
      <c r="FT807" s="59"/>
      <c r="FU807" s="59"/>
      <c r="FV807" s="59"/>
      <c r="FW807" s="59"/>
      <c r="FX807" s="59"/>
      <c r="FY807" s="59"/>
      <c r="FZ807" s="59"/>
      <c r="GA807" s="59"/>
      <c r="GB807" s="59"/>
      <c r="GC807" s="59"/>
      <c r="GD807" s="59"/>
      <c r="GE807" s="59"/>
      <c r="GF807" s="59"/>
      <c r="GG807" s="59"/>
      <c r="GH807" s="59"/>
      <c r="GI807" s="59"/>
      <c r="GJ807" s="59"/>
      <c r="GK807" s="59"/>
      <c r="GL807" s="59"/>
      <c r="GM807" s="59"/>
      <c r="GN807" s="59"/>
      <c r="GO807" s="59"/>
      <c r="GP807" s="59"/>
      <c r="GQ807" s="59"/>
      <c r="GR807" s="61">
        <v>0.11</v>
      </c>
      <c r="GS807" s="69">
        <f t="shared" ref="GS807:GS823" si="788">ROUNDUP(GR807*(BA807+EU807),2)</f>
        <v>1.08</v>
      </c>
      <c r="GT807" s="64">
        <v>1.2500000000000001E-2</v>
      </c>
      <c r="GU807" s="62">
        <f t="shared" ref="GU807:GU818" si="789">GT807*(BA807+EU807)</f>
        <v>0.12218421052631578</v>
      </c>
      <c r="GV807" s="61">
        <v>0.02</v>
      </c>
      <c r="GW807" s="62">
        <f t="shared" ref="GW807:GW820" si="790">GV807*EU807</f>
        <v>3.2894736842105261E-2</v>
      </c>
      <c r="GX807" s="62">
        <f t="shared" ref="GX807:GX836" si="791">GS807+GU807+GW807</f>
        <v>1.2350789473684212</v>
      </c>
      <c r="GY807" s="62" t="s">
        <v>43</v>
      </c>
      <c r="GZ807" s="62" t="s">
        <v>551</v>
      </c>
      <c r="HA807" s="59">
        <v>650</v>
      </c>
      <c r="HB807" s="59">
        <v>450</v>
      </c>
      <c r="HC807" s="59">
        <v>330</v>
      </c>
      <c r="HD807" s="59">
        <v>46</v>
      </c>
      <c r="HE807" s="59">
        <v>1000</v>
      </c>
      <c r="HF807" s="62">
        <f t="shared" ref="HF807:HF836" si="792">ROUNDUP(HE807/HD807,0)</f>
        <v>22</v>
      </c>
      <c r="HG807" s="59">
        <v>5</v>
      </c>
      <c r="HH807" s="62">
        <f>HF807*HG807</f>
        <v>110</v>
      </c>
      <c r="HI807" s="59">
        <v>600</v>
      </c>
      <c r="HJ807" s="62">
        <f t="shared" ref="HJ807:HJ838" si="793">HH807*HI807</f>
        <v>66000</v>
      </c>
      <c r="HK807" s="59"/>
      <c r="HL807" s="59"/>
      <c r="HM807" s="59">
        <v>2</v>
      </c>
      <c r="HN807" s="62">
        <f t="shared" ref="HN807:HN836" si="794">HM807*12*25*HE807</f>
        <v>600000</v>
      </c>
      <c r="HO807" s="62">
        <f t="shared" ref="HO807:HO821" si="795">IF(GY807="carton box",HI807/HD807,HJ807/HN807)</f>
        <v>0.11</v>
      </c>
      <c r="HP807" s="59">
        <v>160</v>
      </c>
      <c r="HQ807" s="59">
        <v>0</v>
      </c>
      <c r="HR807" s="59">
        <v>0</v>
      </c>
      <c r="HS807" s="59">
        <v>0</v>
      </c>
      <c r="HT807" s="62">
        <v>0</v>
      </c>
      <c r="HU807" s="62"/>
      <c r="HV807" s="62">
        <f>HO807+HT807</f>
        <v>0.11</v>
      </c>
      <c r="HW807" s="62"/>
      <c r="HX807" s="59">
        <v>5016</v>
      </c>
      <c r="HY807" s="59">
        <v>1976</v>
      </c>
      <c r="HZ807" s="59">
        <v>2280</v>
      </c>
      <c r="IA807" s="62">
        <f t="shared" ref="IA807:IA838" si="796">ROUNDDOWN(HX807/HA807,0)</f>
        <v>7</v>
      </c>
      <c r="IB807" s="62">
        <f t="shared" ref="IB807:IB838" si="797">ROUNDDOWN(HY807/HB807,0)</f>
        <v>4</v>
      </c>
      <c r="IC807" s="62">
        <f t="shared" ref="IC807:IC838" si="798">ROUNDDOWN(HZ807/HC807,0)</f>
        <v>6</v>
      </c>
      <c r="ID807" s="61">
        <v>1</v>
      </c>
      <c r="IE807" s="62">
        <f>PRODUCT(IA807:ID807)-38</f>
        <v>130</v>
      </c>
      <c r="IF807" s="59">
        <v>500</v>
      </c>
      <c r="IG807" s="62">
        <f>IF807/(IE807*HD807)</f>
        <v>8.3612040133779264E-2</v>
      </c>
      <c r="IH807" s="62"/>
    </row>
    <row r="808" spans="1:242" ht="30">
      <c r="A808">
        <v>793</v>
      </c>
      <c r="B808" t="s">
        <v>468</v>
      </c>
      <c r="C808" s="187" t="s">
        <v>2513</v>
      </c>
      <c r="D808" s="28" t="s">
        <v>1626</v>
      </c>
      <c r="E808" s="28" t="s">
        <v>1627</v>
      </c>
      <c r="F808" s="28" t="s">
        <v>2182</v>
      </c>
      <c r="G808" s="27" t="s">
        <v>108</v>
      </c>
      <c r="I808" s="27" t="s">
        <v>226</v>
      </c>
      <c r="J808" s="28">
        <v>21590</v>
      </c>
      <c r="K808" s="27" t="s">
        <v>397</v>
      </c>
      <c r="Q808" s="13" t="s">
        <v>2484</v>
      </c>
      <c r="R808" s="13" t="s">
        <v>2514</v>
      </c>
      <c r="S808" s="13" t="s">
        <v>2485</v>
      </c>
      <c r="T808" s="13"/>
      <c r="U808" s="13"/>
      <c r="V808" s="72" t="s">
        <v>2486</v>
      </c>
      <c r="W808" s="53" t="s">
        <v>2555</v>
      </c>
      <c r="AA808" t="s">
        <v>425</v>
      </c>
      <c r="AB808" s="66">
        <v>127.49</v>
      </c>
      <c r="AC808">
        <v>20</v>
      </c>
      <c r="AD808" t="s">
        <v>2515</v>
      </c>
      <c r="AE808" s="7">
        <f t="shared" si="770"/>
        <v>39.299999999999997</v>
      </c>
      <c r="AF808" s="7">
        <f t="shared" si="771"/>
        <v>0</v>
      </c>
      <c r="AG808" s="7">
        <f t="shared" si="772"/>
        <v>14.932126696832579</v>
      </c>
      <c r="AH808" s="7">
        <f t="shared" si="773"/>
        <v>6.16</v>
      </c>
      <c r="AI808" s="7">
        <f t="shared" si="774"/>
        <v>7.7000000000000013E-2</v>
      </c>
      <c r="AJ808" s="7">
        <f t="shared" si="775"/>
        <v>0.29864253393665158</v>
      </c>
      <c r="AK808" s="7">
        <f t="shared" si="776"/>
        <v>0.67790158371040732</v>
      </c>
      <c r="AL808" s="7">
        <f t="shared" si="777"/>
        <v>5.97</v>
      </c>
      <c r="AM808" s="7">
        <f t="shared" si="778"/>
        <v>4.5199999999999996</v>
      </c>
      <c r="AN808" s="7">
        <f t="shared" si="779"/>
        <v>0.33</v>
      </c>
      <c r="AO808" s="7"/>
      <c r="AP808" s="7">
        <f t="shared" si="780"/>
        <v>0</v>
      </c>
      <c r="AQ808" s="7">
        <f t="shared" si="781"/>
        <v>72.265670814479634</v>
      </c>
      <c r="AR808" s="7"/>
      <c r="AS808" s="7"/>
      <c r="AT808" s="7"/>
      <c r="AU808" s="7">
        <f>72.37-72.27</f>
        <v>0.10000000000000853</v>
      </c>
      <c r="AV808" s="7">
        <f t="shared" si="782"/>
        <v>72.365670814479643</v>
      </c>
      <c r="AW808" s="69">
        <v>0.30874999999999997</v>
      </c>
      <c r="AX808" s="69">
        <v>0.30549999999999999</v>
      </c>
      <c r="AY808" s="61">
        <v>1</v>
      </c>
      <c r="AZ808" s="69">
        <f t="shared" si="783"/>
        <v>3.2499999999999751E-3</v>
      </c>
      <c r="BA808" s="62">
        <f>ROUNDUP(AW808*AB808-(AZ808*AC808)*AY808,2)</f>
        <v>39.299999999999997</v>
      </c>
      <c r="BB808" s="62"/>
      <c r="BC808" s="62"/>
      <c r="BD808" s="62"/>
      <c r="BE808" s="62"/>
      <c r="BF808" s="62"/>
      <c r="BG808" s="62"/>
      <c r="BH808" s="62"/>
      <c r="BI808" s="62"/>
      <c r="BJ808" s="62"/>
      <c r="BK808" s="62"/>
      <c r="BL808" s="62"/>
      <c r="BM808" s="62"/>
      <c r="BN808" s="62"/>
      <c r="BO808" s="62"/>
      <c r="BP808" s="62"/>
      <c r="BQ808" s="62"/>
      <c r="BR808" s="62"/>
      <c r="BS808" s="62"/>
      <c r="BT808" s="62"/>
      <c r="BU808" s="62"/>
      <c r="BV808" s="62"/>
      <c r="BW808" s="62"/>
      <c r="BX808" s="62"/>
      <c r="BY808" s="62"/>
      <c r="BZ808" s="62"/>
      <c r="CA808" s="62"/>
      <c r="CB808" s="62"/>
      <c r="CC808" s="62"/>
      <c r="CD808" s="59">
        <v>0</v>
      </c>
      <c r="CE808" s="62">
        <v>0</v>
      </c>
      <c r="CF808" s="62">
        <v>2</v>
      </c>
      <c r="CG808" s="59">
        <v>3.08</v>
      </c>
      <c r="CH808" s="62">
        <f t="shared" si="784"/>
        <v>6.16</v>
      </c>
      <c r="CI808" s="59"/>
      <c r="CJ808" s="59"/>
      <c r="CK808" s="59"/>
      <c r="CL808" s="59"/>
      <c r="CM808" s="59"/>
      <c r="CN808" s="59"/>
      <c r="CO808" s="59"/>
      <c r="CP808" s="59"/>
      <c r="CQ808" s="59"/>
      <c r="CR808" s="59"/>
      <c r="CS808" s="59"/>
      <c r="CT808" s="59"/>
      <c r="CU808" s="59"/>
      <c r="CV808" s="59"/>
      <c r="CW808" s="59"/>
      <c r="CX808" s="59"/>
      <c r="CY808" s="59"/>
      <c r="CZ808" s="59"/>
      <c r="DA808" s="59"/>
      <c r="DB808" s="59"/>
      <c r="DC808" s="59"/>
      <c r="DD808" s="59"/>
      <c r="DE808" s="59"/>
      <c r="DF808" s="59"/>
      <c r="DG808" s="59"/>
      <c r="DH808" s="59"/>
      <c r="DI808" s="59"/>
      <c r="DJ808" s="59"/>
      <c r="DK808" s="59"/>
      <c r="DL808" s="59"/>
      <c r="DM808" s="62">
        <f t="shared" si="785"/>
        <v>6.16</v>
      </c>
      <c r="DN808" s="64">
        <v>1.2500000000000001E-2</v>
      </c>
      <c r="DO808" s="62">
        <f>DN808*CG808*CF808</f>
        <v>7.7000000000000013E-2</v>
      </c>
      <c r="DP808" s="62">
        <f t="shared" si="786"/>
        <v>6.2370000000000001</v>
      </c>
      <c r="DQ808" s="59"/>
      <c r="DR808" s="59"/>
      <c r="DS808" s="59"/>
      <c r="DT808" s="59"/>
      <c r="DU808" s="59"/>
      <c r="DV808" s="59"/>
      <c r="DW808" s="59"/>
      <c r="DX808" s="59"/>
      <c r="DY808" s="59"/>
      <c r="DZ808" s="59"/>
      <c r="EA808" s="59"/>
      <c r="EB808" s="59"/>
      <c r="EC808" s="59"/>
      <c r="ED808" s="59"/>
      <c r="EE808" s="59"/>
      <c r="EF808" s="59">
        <v>660</v>
      </c>
      <c r="EG808" s="62">
        <v>6600</v>
      </c>
      <c r="EH808" s="62">
        <v>7.5</v>
      </c>
      <c r="EI808" s="61">
        <v>0.9</v>
      </c>
      <c r="EJ808" s="65">
        <v>2</v>
      </c>
      <c r="EK808" s="65">
        <v>110</v>
      </c>
      <c r="EL808" s="65">
        <f t="shared" si="787"/>
        <v>442</v>
      </c>
      <c r="EM808" s="59"/>
      <c r="EN808" s="59"/>
      <c r="EO808" s="59"/>
      <c r="EP808" s="59"/>
      <c r="EQ808" s="59"/>
      <c r="ER808" s="59"/>
      <c r="ES808" s="59"/>
      <c r="ET808" s="59"/>
      <c r="EU808" s="62">
        <f>EG808/EL808</f>
        <v>14.932126696832579</v>
      </c>
      <c r="EV808" s="59"/>
      <c r="EW808" s="59"/>
      <c r="EX808" s="59"/>
      <c r="EY808" s="59"/>
      <c r="EZ808" s="59"/>
      <c r="FA808" s="59"/>
      <c r="FB808" s="59"/>
      <c r="FC808" s="59"/>
      <c r="FD808" s="59"/>
      <c r="FE808" s="59"/>
      <c r="FF808" s="59"/>
      <c r="FG808" s="59"/>
      <c r="FH808" s="59"/>
      <c r="FI808" s="59"/>
      <c r="FJ808" s="59"/>
      <c r="FK808" s="59"/>
      <c r="FL808" s="59"/>
      <c r="FM808" s="59"/>
      <c r="FN808" s="59"/>
      <c r="FO808" s="59"/>
      <c r="FP808" s="59"/>
      <c r="FQ808" s="59"/>
      <c r="FR808" s="59"/>
      <c r="FS808" s="59"/>
      <c r="FT808" s="59"/>
      <c r="FU808" s="59"/>
      <c r="FV808" s="59"/>
      <c r="FW808" s="59"/>
      <c r="FX808" s="59"/>
      <c r="FY808" s="59"/>
      <c r="FZ808" s="59"/>
      <c r="GA808" s="59"/>
      <c r="GB808" s="59"/>
      <c r="GC808" s="59"/>
      <c r="GD808" s="59"/>
      <c r="GE808" s="59"/>
      <c r="GF808" s="59"/>
      <c r="GG808" s="59"/>
      <c r="GH808" s="59"/>
      <c r="GI808" s="59"/>
      <c r="GJ808" s="59"/>
      <c r="GK808" s="59"/>
      <c r="GL808" s="59"/>
      <c r="GM808" s="59"/>
      <c r="GN808" s="59"/>
      <c r="GO808" s="59"/>
      <c r="GP808" s="59"/>
      <c r="GQ808" s="59"/>
      <c r="GR808" s="61">
        <v>0.11</v>
      </c>
      <c r="GS808" s="69">
        <f t="shared" si="788"/>
        <v>5.97</v>
      </c>
      <c r="GT808" s="64">
        <v>1.2500000000000001E-2</v>
      </c>
      <c r="GU808" s="62">
        <f t="shared" si="789"/>
        <v>0.67790158371040732</v>
      </c>
      <c r="GV808" s="61">
        <v>0.02</v>
      </c>
      <c r="GW808" s="62">
        <f t="shared" si="790"/>
        <v>0.29864253393665158</v>
      </c>
      <c r="GX808" s="62">
        <f t="shared" si="791"/>
        <v>6.9465441176470586</v>
      </c>
      <c r="GY808" s="62" t="s">
        <v>43</v>
      </c>
      <c r="GZ808" s="62" t="s">
        <v>551</v>
      </c>
      <c r="HA808" s="59">
        <v>810</v>
      </c>
      <c r="HB808" s="59">
        <v>568</v>
      </c>
      <c r="HC808" s="59">
        <v>425</v>
      </c>
      <c r="HD808" s="59">
        <v>26</v>
      </c>
      <c r="HE808" s="59">
        <v>200</v>
      </c>
      <c r="HF808" s="62">
        <f t="shared" si="792"/>
        <v>8</v>
      </c>
      <c r="HG808" s="59">
        <v>5</v>
      </c>
      <c r="HH808" s="62">
        <f>HF808*HG808+16</f>
        <v>56</v>
      </c>
      <c r="HI808" s="59">
        <v>1100</v>
      </c>
      <c r="HJ808" s="62">
        <f t="shared" si="793"/>
        <v>61600</v>
      </c>
      <c r="HK808" s="59"/>
      <c r="HL808" s="59"/>
      <c r="HM808" s="59">
        <v>2</v>
      </c>
      <c r="HN808" s="62">
        <f t="shared" si="794"/>
        <v>120000</v>
      </c>
      <c r="HO808" s="62">
        <f t="shared" si="795"/>
        <v>0.51333333333333331</v>
      </c>
      <c r="HP808" s="59">
        <v>160</v>
      </c>
      <c r="HQ808" s="59">
        <v>0</v>
      </c>
      <c r="HR808" s="59">
        <v>4</v>
      </c>
      <c r="HS808" s="59">
        <v>1</v>
      </c>
      <c r="HT808" s="161">
        <f>HR808/HS808</f>
        <v>4</v>
      </c>
      <c r="HU808" s="161"/>
      <c r="HV808" s="62">
        <f>ROUNDUP(HO808+HT808,2)</f>
        <v>4.5199999999999996</v>
      </c>
      <c r="HW808" s="62"/>
      <c r="HX808" s="59">
        <v>4200</v>
      </c>
      <c r="HY808" s="59">
        <v>1900</v>
      </c>
      <c r="HZ808" s="59">
        <v>1975</v>
      </c>
      <c r="IA808" s="62">
        <f t="shared" si="796"/>
        <v>5</v>
      </c>
      <c r="IB808" s="62">
        <f t="shared" si="797"/>
        <v>3</v>
      </c>
      <c r="IC808" s="62">
        <f t="shared" si="798"/>
        <v>4</v>
      </c>
      <c r="ID808" s="61">
        <v>0.95</v>
      </c>
      <c r="IE808" s="62">
        <f>PRODUCT(IA808:ID808)+3</f>
        <v>60</v>
      </c>
      <c r="IF808" s="59">
        <v>500</v>
      </c>
      <c r="IG808" s="62">
        <f>ROUNDUP(IF808/(IE808*HD808),2)</f>
        <v>0.33</v>
      </c>
      <c r="IH808" s="62"/>
    </row>
    <row r="809" spans="1:242" ht="30">
      <c r="A809">
        <v>794</v>
      </c>
      <c r="B809" t="s">
        <v>468</v>
      </c>
      <c r="C809" s="187" t="s">
        <v>2516</v>
      </c>
      <c r="D809" s="28" t="s">
        <v>1628</v>
      </c>
      <c r="E809" s="28" t="s">
        <v>1629</v>
      </c>
      <c r="F809" s="28" t="s">
        <v>2182</v>
      </c>
      <c r="G809" s="27" t="s">
        <v>108</v>
      </c>
      <c r="I809" s="27" t="s">
        <v>226</v>
      </c>
      <c r="J809" s="28">
        <v>21590</v>
      </c>
      <c r="K809" s="27" t="s">
        <v>397</v>
      </c>
      <c r="Q809" s="13" t="s">
        <v>2484</v>
      </c>
      <c r="R809" s="13" t="s">
        <v>2514</v>
      </c>
      <c r="S809" s="13" t="s">
        <v>2485</v>
      </c>
      <c r="T809" s="13"/>
      <c r="U809" s="13"/>
      <c r="V809" s="72" t="s">
        <v>2486</v>
      </c>
      <c r="W809" s="53" t="s">
        <v>2517</v>
      </c>
      <c r="AA809" t="s">
        <v>425</v>
      </c>
      <c r="AB809" s="66">
        <v>127.49</v>
      </c>
      <c r="AC809">
        <v>20</v>
      </c>
      <c r="AD809"/>
      <c r="AE809" s="7">
        <f t="shared" si="770"/>
        <v>42.421042499999999</v>
      </c>
      <c r="AF809" s="7">
        <f t="shared" si="771"/>
        <v>0</v>
      </c>
      <c r="AG809" s="7">
        <f t="shared" si="772"/>
        <v>14.94</v>
      </c>
      <c r="AH809" s="7">
        <f t="shared" si="773"/>
        <v>0</v>
      </c>
      <c r="AI809" s="7">
        <f t="shared" si="774"/>
        <v>0</v>
      </c>
      <c r="AJ809" s="7">
        <f t="shared" si="775"/>
        <v>0.29880000000000001</v>
      </c>
      <c r="AK809" s="7">
        <f t="shared" si="776"/>
        <v>0.71701303125000004</v>
      </c>
      <c r="AL809" s="7">
        <f t="shared" si="777"/>
        <v>6.31</v>
      </c>
      <c r="AM809" s="7">
        <f t="shared" si="778"/>
        <v>4.42</v>
      </c>
      <c r="AN809" s="7">
        <f t="shared" si="779"/>
        <v>0.36549707602339182</v>
      </c>
      <c r="AO809" s="7"/>
      <c r="AP809" s="7">
        <f t="shared" si="780"/>
        <v>0</v>
      </c>
      <c r="AQ809" s="7">
        <f t="shared" si="781"/>
        <v>69.472352607273379</v>
      </c>
      <c r="AR809" s="7"/>
      <c r="AS809" s="7"/>
      <c r="AT809" s="7"/>
      <c r="AU809" s="7">
        <f>69.64-69.47</f>
        <v>0.17000000000000171</v>
      </c>
      <c r="AV809" s="7">
        <f t="shared" si="782"/>
        <v>69.642352607273381</v>
      </c>
      <c r="AW809" s="59">
        <v>0.33324999999999999</v>
      </c>
      <c r="AX809" s="59">
        <v>0.33</v>
      </c>
      <c r="AY809" s="61">
        <v>1</v>
      </c>
      <c r="AZ809" s="69">
        <f t="shared" si="783"/>
        <v>3.2499999999999751E-3</v>
      </c>
      <c r="BA809" s="62">
        <f t="shared" ref="BA809:BA836" si="799">AW809*AB809-(AZ809*AC809)*AY809</f>
        <v>42.421042499999999</v>
      </c>
      <c r="BB809" s="62"/>
      <c r="BC809" s="62"/>
      <c r="BD809" s="62"/>
      <c r="BE809" s="62"/>
      <c r="BF809" s="62"/>
      <c r="BG809" s="62"/>
      <c r="BH809" s="62"/>
      <c r="BI809" s="62"/>
      <c r="BJ809" s="62"/>
      <c r="BK809" s="62"/>
      <c r="BL809" s="62"/>
      <c r="BM809" s="62"/>
      <c r="BN809" s="62"/>
      <c r="BO809" s="62"/>
      <c r="BP809" s="62"/>
      <c r="BQ809" s="62"/>
      <c r="BR809" s="62"/>
      <c r="BS809" s="62"/>
      <c r="BT809" s="62"/>
      <c r="BU809" s="62"/>
      <c r="BV809" s="62"/>
      <c r="BW809" s="62"/>
      <c r="BX809" s="62"/>
      <c r="BY809" s="62"/>
      <c r="BZ809" s="62"/>
      <c r="CA809" s="62"/>
      <c r="CB809" s="62"/>
      <c r="CC809" s="62"/>
      <c r="CD809" s="59">
        <v>0</v>
      </c>
      <c r="CE809" s="62">
        <v>0</v>
      </c>
      <c r="CF809" s="62">
        <v>0</v>
      </c>
      <c r="CG809" s="62">
        <v>0</v>
      </c>
      <c r="CH809" s="62">
        <f t="shared" si="784"/>
        <v>0</v>
      </c>
      <c r="CI809" s="59"/>
      <c r="CJ809" s="59"/>
      <c r="CK809" s="59"/>
      <c r="CL809" s="59"/>
      <c r="CM809" s="59"/>
      <c r="CN809" s="59"/>
      <c r="CO809" s="59"/>
      <c r="CP809" s="59"/>
      <c r="CQ809" s="59"/>
      <c r="CR809" s="59"/>
      <c r="CS809" s="59"/>
      <c r="CT809" s="59"/>
      <c r="CU809" s="59"/>
      <c r="CV809" s="59"/>
      <c r="CW809" s="59"/>
      <c r="CX809" s="59"/>
      <c r="CY809" s="59"/>
      <c r="CZ809" s="59"/>
      <c r="DA809" s="59"/>
      <c r="DB809" s="59"/>
      <c r="DC809" s="59"/>
      <c r="DD809" s="59"/>
      <c r="DE809" s="59"/>
      <c r="DF809" s="59"/>
      <c r="DG809" s="59"/>
      <c r="DH809" s="59"/>
      <c r="DI809" s="59"/>
      <c r="DJ809" s="59"/>
      <c r="DK809" s="59"/>
      <c r="DL809" s="59"/>
      <c r="DM809" s="62">
        <f t="shared" si="785"/>
        <v>0</v>
      </c>
      <c r="DN809" s="64">
        <v>1.2500000000000001E-2</v>
      </c>
      <c r="DO809" s="62">
        <f>DN809*CG809*CF809</f>
        <v>0</v>
      </c>
      <c r="DP809" s="62">
        <f t="shared" si="786"/>
        <v>0</v>
      </c>
      <c r="DQ809" s="59"/>
      <c r="DR809" s="59"/>
      <c r="DS809" s="59"/>
      <c r="DT809" s="59"/>
      <c r="DU809" s="59"/>
      <c r="DV809" s="59"/>
      <c r="DW809" s="59"/>
      <c r="DX809" s="59"/>
      <c r="DY809" s="59"/>
      <c r="DZ809" s="59"/>
      <c r="EA809" s="59"/>
      <c r="EB809" s="59"/>
      <c r="EC809" s="59"/>
      <c r="ED809" s="59"/>
      <c r="EE809" s="59"/>
      <c r="EF809" s="59">
        <v>660</v>
      </c>
      <c r="EG809" s="62">
        <v>6600</v>
      </c>
      <c r="EH809" s="62">
        <v>7.5</v>
      </c>
      <c r="EI809" s="61">
        <v>0.9</v>
      </c>
      <c r="EJ809" s="65">
        <v>2</v>
      </c>
      <c r="EK809" s="65">
        <v>110</v>
      </c>
      <c r="EL809" s="65">
        <f t="shared" si="787"/>
        <v>442</v>
      </c>
      <c r="EM809" s="59"/>
      <c r="EN809" s="59"/>
      <c r="EO809" s="59"/>
      <c r="EP809" s="59"/>
      <c r="EQ809" s="59"/>
      <c r="ER809" s="59"/>
      <c r="ES809" s="59"/>
      <c r="ET809" s="59"/>
      <c r="EU809" s="62">
        <f>ROUNDUP(EG809/EL809,2)</f>
        <v>14.94</v>
      </c>
      <c r="EV809" s="59"/>
      <c r="EW809" s="59"/>
      <c r="EX809" s="59"/>
      <c r="EY809" s="59"/>
      <c r="EZ809" s="59"/>
      <c r="FA809" s="59"/>
      <c r="FB809" s="59"/>
      <c r="FC809" s="59"/>
      <c r="FD809" s="59"/>
      <c r="FE809" s="59"/>
      <c r="FF809" s="59"/>
      <c r="FG809" s="59"/>
      <c r="FH809" s="59"/>
      <c r="FI809" s="59"/>
      <c r="FJ809" s="59"/>
      <c r="FK809" s="59"/>
      <c r="FL809" s="59"/>
      <c r="FM809" s="59"/>
      <c r="FN809" s="59"/>
      <c r="FO809" s="59"/>
      <c r="FP809" s="59"/>
      <c r="FQ809" s="59"/>
      <c r="FR809" s="59"/>
      <c r="FS809" s="59"/>
      <c r="FT809" s="59"/>
      <c r="FU809" s="59"/>
      <c r="FV809" s="59"/>
      <c r="FW809" s="59"/>
      <c r="FX809" s="59"/>
      <c r="FY809" s="59"/>
      <c r="FZ809" s="59"/>
      <c r="GA809" s="59"/>
      <c r="GB809" s="59"/>
      <c r="GC809" s="59"/>
      <c r="GD809" s="59"/>
      <c r="GE809" s="59"/>
      <c r="GF809" s="59"/>
      <c r="GG809" s="59"/>
      <c r="GH809" s="59"/>
      <c r="GI809" s="59"/>
      <c r="GJ809" s="59"/>
      <c r="GK809" s="59"/>
      <c r="GL809" s="59"/>
      <c r="GM809" s="59"/>
      <c r="GN809" s="59"/>
      <c r="GO809" s="59"/>
      <c r="GP809" s="59"/>
      <c r="GQ809" s="59"/>
      <c r="GR809" s="61">
        <v>0.11</v>
      </c>
      <c r="GS809" s="69">
        <f t="shared" si="788"/>
        <v>6.31</v>
      </c>
      <c r="GT809" s="64">
        <v>1.2500000000000001E-2</v>
      </c>
      <c r="GU809" s="62">
        <f t="shared" si="789"/>
        <v>0.71701303125000004</v>
      </c>
      <c r="GV809" s="61">
        <v>0.02</v>
      </c>
      <c r="GW809" s="62">
        <f t="shared" si="790"/>
        <v>0.29880000000000001</v>
      </c>
      <c r="GX809" s="62">
        <f t="shared" si="791"/>
        <v>7.3258130312500001</v>
      </c>
      <c r="GY809" s="62" t="s">
        <v>43</v>
      </c>
      <c r="GZ809" s="62" t="s">
        <v>551</v>
      </c>
      <c r="HA809" s="59">
        <v>810</v>
      </c>
      <c r="HB809" s="59">
        <v>568</v>
      </c>
      <c r="HC809" s="59">
        <v>425</v>
      </c>
      <c r="HD809" s="59">
        <v>24</v>
      </c>
      <c r="HE809" s="59">
        <v>200</v>
      </c>
      <c r="HF809" s="62">
        <f t="shared" si="792"/>
        <v>9</v>
      </c>
      <c r="HG809" s="59">
        <v>5</v>
      </c>
      <c r="HH809" s="62">
        <f t="shared" ref="HH809:HH838" si="800">HF809*HG809</f>
        <v>45</v>
      </c>
      <c r="HI809" s="59">
        <v>1100</v>
      </c>
      <c r="HJ809" s="62">
        <f t="shared" si="793"/>
        <v>49500</v>
      </c>
      <c r="HK809" s="59"/>
      <c r="HL809" s="59"/>
      <c r="HM809" s="59">
        <v>2</v>
      </c>
      <c r="HN809" s="62">
        <f t="shared" si="794"/>
        <v>120000</v>
      </c>
      <c r="HO809" s="62">
        <f t="shared" si="795"/>
        <v>0.41249999999999998</v>
      </c>
      <c r="HP809" s="59">
        <v>160</v>
      </c>
      <c r="HQ809" s="59">
        <v>0</v>
      </c>
      <c r="HR809" s="59">
        <v>4</v>
      </c>
      <c r="HS809" s="59">
        <v>1</v>
      </c>
      <c r="HT809" s="161">
        <f>HR809/HS809</f>
        <v>4</v>
      </c>
      <c r="HU809" s="161"/>
      <c r="HV809" s="62">
        <f>ROUNDUP(HO809+HT809,2)</f>
        <v>4.42</v>
      </c>
      <c r="HW809" s="62"/>
      <c r="HX809" s="59">
        <v>4200</v>
      </c>
      <c r="HY809" s="59">
        <v>1900</v>
      </c>
      <c r="HZ809" s="59">
        <v>1975</v>
      </c>
      <c r="IA809" s="62">
        <f t="shared" si="796"/>
        <v>5</v>
      </c>
      <c r="IB809" s="62">
        <f t="shared" si="797"/>
        <v>3</v>
      </c>
      <c r="IC809" s="62">
        <f t="shared" si="798"/>
        <v>4</v>
      </c>
      <c r="ID809" s="61">
        <v>0.95</v>
      </c>
      <c r="IE809" s="62">
        <f>PRODUCT(IA809:ID809)</f>
        <v>57</v>
      </c>
      <c r="IF809" s="59">
        <v>500</v>
      </c>
      <c r="IG809" s="62">
        <f t="shared" ref="IG809:IG814" si="801">IF809/(IE809*HD809)</f>
        <v>0.36549707602339182</v>
      </c>
      <c r="IH809" s="62"/>
    </row>
    <row r="810" spans="1:242" ht="30">
      <c r="A810">
        <v>795</v>
      </c>
      <c r="B810" t="s">
        <v>468</v>
      </c>
      <c r="C810" t="s">
        <v>2518</v>
      </c>
      <c r="D810" s="28" t="s">
        <v>1630</v>
      </c>
      <c r="E810" s="28" t="s">
        <v>1631</v>
      </c>
      <c r="F810" s="28" t="s">
        <v>2182</v>
      </c>
      <c r="G810" s="27" t="s">
        <v>108</v>
      </c>
      <c r="I810" s="27" t="s">
        <v>226</v>
      </c>
      <c r="J810" s="28">
        <v>21691</v>
      </c>
      <c r="K810" s="27" t="s">
        <v>404</v>
      </c>
      <c r="Q810" s="13" t="s">
        <v>2484</v>
      </c>
      <c r="R810" s="13" t="s">
        <v>1778</v>
      </c>
      <c r="S810" s="13" t="s">
        <v>2519</v>
      </c>
      <c r="T810" s="13"/>
      <c r="U810" s="13"/>
      <c r="V810" s="72" t="s">
        <v>2486</v>
      </c>
      <c r="W810" s="53"/>
      <c r="AA810" t="s">
        <v>508</v>
      </c>
      <c r="AB810" s="66">
        <v>126.68</v>
      </c>
      <c r="AC810">
        <v>20</v>
      </c>
      <c r="AD810" t="s">
        <v>2520</v>
      </c>
      <c r="AE810" s="7">
        <f t="shared" si="770"/>
        <v>12.651340000000001</v>
      </c>
      <c r="AF810" s="7">
        <f t="shared" si="771"/>
        <v>0</v>
      </c>
      <c r="AG810" s="7">
        <f t="shared" si="772"/>
        <v>2.9699999999999998</v>
      </c>
      <c r="AH810" s="7">
        <f t="shared" si="773"/>
        <v>0</v>
      </c>
      <c r="AI810" s="7">
        <f t="shared" si="774"/>
        <v>0</v>
      </c>
      <c r="AJ810" s="7">
        <f t="shared" si="775"/>
        <v>5.9399999999999994E-2</v>
      </c>
      <c r="AK810" s="7">
        <f t="shared" si="776"/>
        <v>0.19526675000000002</v>
      </c>
      <c r="AL810" s="7">
        <f t="shared" si="777"/>
        <v>1.72</v>
      </c>
      <c r="AM810" s="7">
        <f t="shared" si="778"/>
        <v>1.74</v>
      </c>
      <c r="AN810" s="7">
        <f t="shared" si="779"/>
        <v>0.4</v>
      </c>
      <c r="AO810" s="7"/>
      <c r="AP810" s="7">
        <f t="shared" si="780"/>
        <v>0</v>
      </c>
      <c r="AQ810" s="7">
        <f t="shared" si="781"/>
        <v>19.736006749999998</v>
      </c>
      <c r="AR810" s="7"/>
      <c r="AS810" s="7"/>
      <c r="AT810" s="7"/>
      <c r="AU810" s="7"/>
      <c r="AV810" s="7">
        <f t="shared" si="782"/>
        <v>19.736006749999998</v>
      </c>
      <c r="AW810" s="59">
        <v>0.10050000000000001</v>
      </c>
      <c r="AX810" s="59">
        <v>9.6500000000000002E-2</v>
      </c>
      <c r="AY810" s="61">
        <v>1</v>
      </c>
      <c r="AZ810" s="69">
        <f t="shared" si="783"/>
        <v>4.0000000000000036E-3</v>
      </c>
      <c r="BA810" s="62">
        <f t="shared" si="799"/>
        <v>12.651340000000001</v>
      </c>
      <c r="BB810" s="62"/>
      <c r="BC810" s="62"/>
      <c r="BD810" s="62"/>
      <c r="BE810" s="62"/>
      <c r="BF810" s="62"/>
      <c r="BG810" s="62"/>
      <c r="BH810" s="62"/>
      <c r="BI810" s="62"/>
      <c r="BJ810" s="62"/>
      <c r="BK810" s="62"/>
      <c r="BL810" s="62"/>
      <c r="BM810" s="62"/>
      <c r="BN810" s="62"/>
      <c r="BO810" s="62"/>
      <c r="BP810" s="62"/>
      <c r="BQ810" s="62"/>
      <c r="BR810" s="62"/>
      <c r="BS810" s="62"/>
      <c r="BT810" s="62"/>
      <c r="BU810" s="62"/>
      <c r="BV810" s="62"/>
      <c r="BW810" s="62"/>
      <c r="BX810" s="62"/>
      <c r="BY810" s="62"/>
      <c r="BZ810" s="62"/>
      <c r="CA810" s="62"/>
      <c r="CB810" s="62"/>
      <c r="CC810" s="62"/>
      <c r="CD810" s="59">
        <v>0</v>
      </c>
      <c r="CE810" s="62">
        <v>0</v>
      </c>
      <c r="CF810" s="62">
        <v>0</v>
      </c>
      <c r="CG810" s="62">
        <v>0</v>
      </c>
      <c r="CH810" s="62">
        <f t="shared" si="784"/>
        <v>0</v>
      </c>
      <c r="CI810" s="59"/>
      <c r="CJ810" s="59"/>
      <c r="CK810" s="59"/>
      <c r="CL810" s="59"/>
      <c r="CM810" s="59"/>
      <c r="CN810" s="59"/>
      <c r="CO810" s="59"/>
      <c r="CP810" s="59"/>
      <c r="CQ810" s="59"/>
      <c r="CR810" s="59"/>
      <c r="CS810" s="59"/>
      <c r="CT810" s="59"/>
      <c r="CU810" s="59"/>
      <c r="CV810" s="59"/>
      <c r="CW810" s="59"/>
      <c r="CX810" s="59"/>
      <c r="CY810" s="59"/>
      <c r="CZ810" s="59"/>
      <c r="DA810" s="59"/>
      <c r="DB810" s="59"/>
      <c r="DC810" s="59"/>
      <c r="DD810" s="59"/>
      <c r="DE810" s="59"/>
      <c r="DF810" s="59"/>
      <c r="DG810" s="59"/>
      <c r="DH810" s="59"/>
      <c r="DI810" s="59"/>
      <c r="DJ810" s="59"/>
      <c r="DK810" s="59"/>
      <c r="DL810" s="59"/>
      <c r="DM810" s="62">
        <f t="shared" si="785"/>
        <v>0</v>
      </c>
      <c r="DN810" s="64">
        <v>1.2500000000000001E-2</v>
      </c>
      <c r="DO810" s="62">
        <f>DN810*CG810*CF810</f>
        <v>0</v>
      </c>
      <c r="DP810" s="62">
        <f t="shared" si="786"/>
        <v>0</v>
      </c>
      <c r="DQ810" s="59"/>
      <c r="DR810" s="59"/>
      <c r="DS810" s="59"/>
      <c r="DT810" s="59"/>
      <c r="DU810" s="59"/>
      <c r="DV810" s="59"/>
      <c r="DW810" s="59"/>
      <c r="DX810" s="59"/>
      <c r="DY810" s="59"/>
      <c r="DZ810" s="59"/>
      <c r="EA810" s="59"/>
      <c r="EB810" s="59"/>
      <c r="EC810" s="59"/>
      <c r="ED810" s="59"/>
      <c r="EE810" s="59"/>
      <c r="EF810" s="59">
        <v>250</v>
      </c>
      <c r="EG810" s="62">
        <v>2500</v>
      </c>
      <c r="EH810" s="62">
        <v>8</v>
      </c>
      <c r="EI810" s="61">
        <v>0.95</v>
      </c>
      <c r="EJ810" s="65">
        <v>2</v>
      </c>
      <c r="EK810" s="65">
        <v>65</v>
      </c>
      <c r="EL810" s="65">
        <f t="shared" si="787"/>
        <v>842</v>
      </c>
      <c r="EM810" s="59"/>
      <c r="EN810" s="59"/>
      <c r="EO810" s="59"/>
      <c r="EP810" s="59"/>
      <c r="EQ810" s="59"/>
      <c r="ER810" s="59"/>
      <c r="ES810" s="59"/>
      <c r="ET810" s="59"/>
      <c r="EU810" s="62">
        <f>ROUNDUP(EG810/EL810,2)</f>
        <v>2.9699999999999998</v>
      </c>
      <c r="EV810" s="59"/>
      <c r="EW810" s="59"/>
      <c r="EX810" s="59"/>
      <c r="EY810" s="59"/>
      <c r="EZ810" s="59"/>
      <c r="FA810" s="59"/>
      <c r="FB810" s="59"/>
      <c r="FC810" s="59"/>
      <c r="FD810" s="59"/>
      <c r="FE810" s="59"/>
      <c r="FF810" s="59"/>
      <c r="FG810" s="59"/>
      <c r="FH810" s="59"/>
      <c r="FI810" s="59"/>
      <c r="FJ810" s="59"/>
      <c r="FK810" s="59"/>
      <c r="FL810" s="59"/>
      <c r="FM810" s="59"/>
      <c r="FN810" s="59"/>
      <c r="FO810" s="59"/>
      <c r="FP810" s="59"/>
      <c r="FQ810" s="59"/>
      <c r="FR810" s="59"/>
      <c r="FS810" s="59"/>
      <c r="FT810" s="59"/>
      <c r="FU810" s="59"/>
      <c r="FV810" s="59"/>
      <c r="FW810" s="59"/>
      <c r="FX810" s="59"/>
      <c r="FY810" s="59"/>
      <c r="FZ810" s="59"/>
      <c r="GA810" s="59"/>
      <c r="GB810" s="59"/>
      <c r="GC810" s="59"/>
      <c r="GD810" s="59"/>
      <c r="GE810" s="59"/>
      <c r="GF810" s="59"/>
      <c r="GG810" s="59"/>
      <c r="GH810" s="59"/>
      <c r="GI810" s="59"/>
      <c r="GJ810" s="59"/>
      <c r="GK810" s="59"/>
      <c r="GL810" s="59"/>
      <c r="GM810" s="59"/>
      <c r="GN810" s="59"/>
      <c r="GO810" s="59"/>
      <c r="GP810" s="59"/>
      <c r="GQ810" s="59"/>
      <c r="GR810" s="61">
        <v>0.11</v>
      </c>
      <c r="GS810" s="69">
        <f t="shared" si="788"/>
        <v>1.72</v>
      </c>
      <c r="GT810" s="64">
        <v>1.2500000000000001E-2</v>
      </c>
      <c r="GU810" s="62">
        <f t="shared" si="789"/>
        <v>0.19526675000000002</v>
      </c>
      <c r="GV810" s="61">
        <v>0.02</v>
      </c>
      <c r="GW810" s="62">
        <f t="shared" si="790"/>
        <v>5.9399999999999994E-2</v>
      </c>
      <c r="GX810" s="62">
        <f t="shared" si="791"/>
        <v>1.9746667499999999</v>
      </c>
      <c r="GY810" s="62" t="s">
        <v>43</v>
      </c>
      <c r="GZ810" s="62" t="s">
        <v>551</v>
      </c>
      <c r="HA810" s="59">
        <v>805</v>
      </c>
      <c r="HB810" s="59">
        <v>675</v>
      </c>
      <c r="HC810" s="59">
        <v>405</v>
      </c>
      <c r="HD810" s="59">
        <v>25</v>
      </c>
      <c r="HE810" s="59">
        <v>400</v>
      </c>
      <c r="HF810" s="62">
        <f t="shared" si="792"/>
        <v>16</v>
      </c>
      <c r="HG810" s="59">
        <v>5</v>
      </c>
      <c r="HH810" s="62">
        <f t="shared" si="800"/>
        <v>80</v>
      </c>
      <c r="HI810" s="59">
        <v>1100</v>
      </c>
      <c r="HJ810" s="62">
        <f t="shared" si="793"/>
        <v>88000</v>
      </c>
      <c r="HK810" s="59"/>
      <c r="HL810" s="59"/>
      <c r="HM810" s="59">
        <v>2</v>
      </c>
      <c r="HN810" s="62">
        <f t="shared" si="794"/>
        <v>240000</v>
      </c>
      <c r="HO810" s="62">
        <f t="shared" si="795"/>
        <v>0.36666666666666664</v>
      </c>
      <c r="HP810" s="59">
        <v>160</v>
      </c>
      <c r="HQ810" s="59">
        <v>10.53</v>
      </c>
      <c r="HR810" s="59">
        <v>130</v>
      </c>
      <c r="HS810" s="59">
        <v>95</v>
      </c>
      <c r="HT810" s="62">
        <f>HR810/HS810</f>
        <v>1.368421052631579</v>
      </c>
      <c r="HU810" s="62"/>
      <c r="HV810" s="62">
        <f>ROUNDUP(HO810+HT810,2)</f>
        <v>1.74</v>
      </c>
      <c r="HW810" s="62"/>
      <c r="HX810" s="59">
        <v>5016</v>
      </c>
      <c r="HY810" s="59">
        <v>1976</v>
      </c>
      <c r="HZ810" s="59">
        <v>2280</v>
      </c>
      <c r="IA810" s="62">
        <f t="shared" si="796"/>
        <v>6</v>
      </c>
      <c r="IB810" s="62">
        <f t="shared" si="797"/>
        <v>2</v>
      </c>
      <c r="IC810" s="62">
        <f t="shared" si="798"/>
        <v>5</v>
      </c>
      <c r="ID810" s="61">
        <v>0.95</v>
      </c>
      <c r="IE810" s="62">
        <f>PRODUCT(IA810:ID810)-7</f>
        <v>50</v>
      </c>
      <c r="IF810" s="59">
        <v>500</v>
      </c>
      <c r="IG810" s="62">
        <f t="shared" si="801"/>
        <v>0.4</v>
      </c>
      <c r="IH810" s="62"/>
    </row>
    <row r="811" spans="1:242" ht="30">
      <c r="A811">
        <v>796</v>
      </c>
      <c r="B811" t="s">
        <v>468</v>
      </c>
      <c r="C811" t="s">
        <v>2521</v>
      </c>
      <c r="D811" s="28" t="s">
        <v>1632</v>
      </c>
      <c r="E811" s="28" t="s">
        <v>1633</v>
      </c>
      <c r="F811" s="28" t="s">
        <v>2182</v>
      </c>
      <c r="G811" s="27" t="s">
        <v>108</v>
      </c>
      <c r="I811" s="27" t="s">
        <v>226</v>
      </c>
      <c r="J811" s="28">
        <v>21691</v>
      </c>
      <c r="K811" s="27" t="s">
        <v>404</v>
      </c>
      <c r="Q811" s="13" t="s">
        <v>2484</v>
      </c>
      <c r="R811" s="13" t="s">
        <v>1778</v>
      </c>
      <c r="S811" s="13" t="s">
        <v>2522</v>
      </c>
      <c r="T811" s="13"/>
      <c r="U811" s="13"/>
      <c r="V811" s="72" t="s">
        <v>2486</v>
      </c>
      <c r="W811" s="53"/>
      <c r="AA811" t="s">
        <v>2523</v>
      </c>
      <c r="AB811" s="66">
        <v>85.45</v>
      </c>
      <c r="AC811">
        <v>20</v>
      </c>
      <c r="AD811"/>
      <c r="AE811" s="7">
        <f t="shared" si="770"/>
        <v>7.5650500000000003</v>
      </c>
      <c r="AF811" s="7">
        <f t="shared" si="771"/>
        <v>0</v>
      </c>
      <c r="AG811" s="7">
        <f t="shared" si="772"/>
        <v>3.9499999999999997</v>
      </c>
      <c r="AH811" s="7">
        <f t="shared" si="773"/>
        <v>0</v>
      </c>
      <c r="AI811" s="7">
        <f t="shared" si="774"/>
        <v>0</v>
      </c>
      <c r="AJ811" s="7">
        <f t="shared" si="775"/>
        <v>7.9000000000000001E-2</v>
      </c>
      <c r="AK811" s="7">
        <f t="shared" si="776"/>
        <v>0.143938125</v>
      </c>
      <c r="AL811" s="7">
        <f t="shared" si="777"/>
        <v>1.27</v>
      </c>
      <c r="AM811" s="7">
        <f t="shared" si="778"/>
        <v>0.46041666666666664</v>
      </c>
      <c r="AN811" s="7">
        <f t="shared" si="779"/>
        <v>0.83333333333333337</v>
      </c>
      <c r="AO811" s="7"/>
      <c r="AP811" s="7">
        <f t="shared" si="780"/>
        <v>0</v>
      </c>
      <c r="AQ811" s="7">
        <f t="shared" si="781"/>
        <v>14.301738125000002</v>
      </c>
      <c r="AR811" s="7"/>
      <c r="AS811" s="7"/>
      <c r="AT811" s="7"/>
      <c r="AU811" s="7"/>
      <c r="AV811" s="7">
        <f t="shared" si="782"/>
        <v>14.301738125000002</v>
      </c>
      <c r="AW811" s="59">
        <v>8.8999999999999996E-2</v>
      </c>
      <c r="AX811" s="59">
        <v>8.6999999999999994E-2</v>
      </c>
      <c r="AY811" s="61">
        <v>1</v>
      </c>
      <c r="AZ811" s="69">
        <f t="shared" si="783"/>
        <v>2.0000000000000018E-3</v>
      </c>
      <c r="BA811" s="62">
        <f t="shared" si="799"/>
        <v>7.5650500000000003</v>
      </c>
      <c r="BB811" s="62"/>
      <c r="BC811" s="62"/>
      <c r="BD811" s="62"/>
      <c r="BE811" s="62"/>
      <c r="BF811" s="62"/>
      <c r="BG811" s="62"/>
      <c r="BH811" s="62"/>
      <c r="BI811" s="62"/>
      <c r="BJ811" s="62"/>
      <c r="BK811" s="62"/>
      <c r="BL811" s="62"/>
      <c r="BM811" s="62"/>
      <c r="BN811" s="62"/>
      <c r="BO811" s="62"/>
      <c r="BP811" s="62"/>
      <c r="BQ811" s="62"/>
      <c r="BR811" s="62"/>
      <c r="BS811" s="62"/>
      <c r="BT811" s="62"/>
      <c r="BU811" s="62"/>
      <c r="BV811" s="62"/>
      <c r="BW811" s="62"/>
      <c r="BX811" s="62"/>
      <c r="BY811" s="62"/>
      <c r="BZ811" s="62"/>
      <c r="CA811" s="62"/>
      <c r="CB811" s="62"/>
      <c r="CC811" s="62"/>
      <c r="CD811" s="59">
        <v>0</v>
      </c>
      <c r="CE811" s="62">
        <v>0</v>
      </c>
      <c r="CF811" s="62">
        <v>0</v>
      </c>
      <c r="CG811" s="62">
        <v>0</v>
      </c>
      <c r="CH811" s="62">
        <f t="shared" si="784"/>
        <v>0</v>
      </c>
      <c r="CI811" s="59"/>
      <c r="CJ811" s="59"/>
      <c r="CK811" s="59"/>
      <c r="CL811" s="59"/>
      <c r="CM811" s="59"/>
      <c r="CN811" s="59"/>
      <c r="CO811" s="59"/>
      <c r="CP811" s="59"/>
      <c r="CQ811" s="59"/>
      <c r="CR811" s="59"/>
      <c r="CS811" s="59"/>
      <c r="CT811" s="59"/>
      <c r="CU811" s="59"/>
      <c r="CV811" s="59"/>
      <c r="CW811" s="59"/>
      <c r="CX811" s="59"/>
      <c r="CY811" s="59"/>
      <c r="CZ811" s="59"/>
      <c r="DA811" s="59"/>
      <c r="DB811" s="59"/>
      <c r="DC811" s="59"/>
      <c r="DD811" s="59"/>
      <c r="DE811" s="59"/>
      <c r="DF811" s="59"/>
      <c r="DG811" s="59"/>
      <c r="DH811" s="59"/>
      <c r="DI811" s="59"/>
      <c r="DJ811" s="59"/>
      <c r="DK811" s="59"/>
      <c r="DL811" s="59"/>
      <c r="DM811" s="62">
        <f t="shared" si="785"/>
        <v>0</v>
      </c>
      <c r="DN811" s="64">
        <v>1.2500000000000001E-2</v>
      </c>
      <c r="DO811" s="62">
        <f>DN811*CG811*CF811</f>
        <v>0</v>
      </c>
      <c r="DP811" s="62">
        <f t="shared" si="786"/>
        <v>0</v>
      </c>
      <c r="DQ811" s="59"/>
      <c r="DR811" s="59"/>
      <c r="DS811" s="59"/>
      <c r="DT811" s="59"/>
      <c r="DU811" s="59"/>
      <c r="DV811" s="59"/>
      <c r="DW811" s="59"/>
      <c r="DX811" s="59"/>
      <c r="DY811" s="59"/>
      <c r="DZ811" s="59"/>
      <c r="EA811" s="59"/>
      <c r="EB811" s="59"/>
      <c r="EC811" s="59"/>
      <c r="ED811" s="59"/>
      <c r="EE811" s="59"/>
      <c r="EF811" s="59">
        <v>300</v>
      </c>
      <c r="EG811" s="62">
        <v>3000</v>
      </c>
      <c r="EH811" s="62">
        <v>8</v>
      </c>
      <c r="EI811" s="61">
        <v>0.95</v>
      </c>
      <c r="EJ811" s="65">
        <v>2</v>
      </c>
      <c r="EK811" s="65">
        <v>72</v>
      </c>
      <c r="EL811" s="65">
        <f t="shared" si="787"/>
        <v>760</v>
      </c>
      <c r="EM811" s="59"/>
      <c r="EN811" s="59"/>
      <c r="EO811" s="59"/>
      <c r="EP811" s="59"/>
      <c r="EQ811" s="59"/>
      <c r="ER811" s="59"/>
      <c r="ES811" s="59"/>
      <c r="ET811" s="59"/>
      <c r="EU811" s="62">
        <f>ROUNDUP(EG811/EL811,2)</f>
        <v>3.9499999999999997</v>
      </c>
      <c r="EV811" s="59"/>
      <c r="EW811" s="59"/>
      <c r="EX811" s="59"/>
      <c r="EY811" s="59"/>
      <c r="EZ811" s="59"/>
      <c r="FA811" s="62"/>
      <c r="FB811" s="62"/>
      <c r="FC811" s="62"/>
      <c r="FD811" s="62"/>
      <c r="FE811" s="62"/>
      <c r="FF811" s="62"/>
      <c r="FG811" s="62"/>
      <c r="FH811" s="62"/>
      <c r="FI811" s="62"/>
      <c r="FJ811" s="62"/>
      <c r="FK811" s="62"/>
      <c r="FL811" s="62"/>
      <c r="FM811" s="62"/>
      <c r="FN811" s="62"/>
      <c r="FO811" s="62"/>
      <c r="FP811" s="62"/>
      <c r="FQ811" s="62"/>
      <c r="FR811" s="62"/>
      <c r="FS811" s="62"/>
      <c r="FT811" s="62"/>
      <c r="FU811" s="62"/>
      <c r="FV811" s="62"/>
      <c r="FW811" s="62"/>
      <c r="FX811" s="62"/>
      <c r="FY811" s="62"/>
      <c r="FZ811" s="62"/>
      <c r="GA811" s="62"/>
      <c r="GB811" s="62"/>
      <c r="GC811" s="62"/>
      <c r="GD811" s="62"/>
      <c r="GE811" s="62"/>
      <c r="GF811" s="62"/>
      <c r="GG811" s="62"/>
      <c r="GH811" s="62"/>
      <c r="GI811" s="62"/>
      <c r="GJ811" s="62"/>
      <c r="GK811" s="62"/>
      <c r="GL811" s="62"/>
      <c r="GM811" s="62"/>
      <c r="GN811" s="62"/>
      <c r="GO811" s="62"/>
      <c r="GP811" s="62"/>
      <c r="GQ811" s="62"/>
      <c r="GR811" s="61">
        <v>0.11</v>
      </c>
      <c r="GS811" s="69">
        <f t="shared" si="788"/>
        <v>1.27</v>
      </c>
      <c r="GT811" s="64">
        <v>1.2500000000000001E-2</v>
      </c>
      <c r="GU811" s="62">
        <f t="shared" si="789"/>
        <v>0.143938125</v>
      </c>
      <c r="GV811" s="61">
        <v>0.02</v>
      </c>
      <c r="GW811" s="62">
        <f t="shared" si="790"/>
        <v>7.9000000000000001E-2</v>
      </c>
      <c r="GX811" s="62">
        <f t="shared" si="791"/>
        <v>1.492938125</v>
      </c>
      <c r="GY811" s="62" t="s">
        <v>43</v>
      </c>
      <c r="GZ811" s="62" t="s">
        <v>551</v>
      </c>
      <c r="HA811" s="59">
        <v>650</v>
      </c>
      <c r="HB811" s="59">
        <v>450</v>
      </c>
      <c r="HC811" s="59">
        <v>300</v>
      </c>
      <c r="HD811" s="59">
        <v>12</v>
      </c>
      <c r="HE811" s="59">
        <v>400</v>
      </c>
      <c r="HF811" s="62">
        <f t="shared" si="792"/>
        <v>34</v>
      </c>
      <c r="HG811" s="59">
        <v>5</v>
      </c>
      <c r="HH811" s="62">
        <f t="shared" si="800"/>
        <v>170</v>
      </c>
      <c r="HI811" s="59">
        <v>650</v>
      </c>
      <c r="HJ811" s="62">
        <f t="shared" si="793"/>
        <v>110500</v>
      </c>
      <c r="HK811" s="59"/>
      <c r="HL811" s="59"/>
      <c r="HM811" s="59">
        <v>2</v>
      </c>
      <c r="HN811" s="62">
        <f t="shared" si="794"/>
        <v>240000</v>
      </c>
      <c r="HO811" s="62">
        <f t="shared" si="795"/>
        <v>0.46041666666666664</v>
      </c>
      <c r="HP811" s="59">
        <v>160</v>
      </c>
      <c r="HQ811" s="59">
        <v>0</v>
      </c>
      <c r="HR811" s="59">
        <v>0</v>
      </c>
      <c r="HS811" s="59">
        <v>0</v>
      </c>
      <c r="HT811" s="161">
        <v>0</v>
      </c>
      <c r="HU811" s="161"/>
      <c r="HV811" s="62">
        <f>HO811+HT811</f>
        <v>0.46041666666666664</v>
      </c>
      <c r="HW811" s="62"/>
      <c r="HX811" s="59">
        <v>5016</v>
      </c>
      <c r="HY811" s="59">
        <v>1976</v>
      </c>
      <c r="HZ811" s="59">
        <v>2280</v>
      </c>
      <c r="IA811" s="62">
        <f t="shared" si="796"/>
        <v>7</v>
      </c>
      <c r="IB811" s="62">
        <f t="shared" si="797"/>
        <v>4</v>
      </c>
      <c r="IC811" s="62">
        <f t="shared" si="798"/>
        <v>7</v>
      </c>
      <c r="ID811" s="61">
        <v>0.95</v>
      </c>
      <c r="IE811" s="62">
        <f>PRODUCT(IA811:ID811)-136.2</f>
        <v>50</v>
      </c>
      <c r="IF811" s="59">
        <v>500</v>
      </c>
      <c r="IG811" s="62">
        <f t="shared" si="801"/>
        <v>0.83333333333333337</v>
      </c>
      <c r="IH811" s="62"/>
    </row>
    <row r="812" spans="1:242" ht="45">
      <c r="A812">
        <v>797</v>
      </c>
      <c r="B812" t="s">
        <v>468</v>
      </c>
      <c r="C812" s="187" t="s">
        <v>2524</v>
      </c>
      <c r="D812" s="28" t="s">
        <v>1634</v>
      </c>
      <c r="E812" s="28" t="s">
        <v>1635</v>
      </c>
      <c r="F812" s="28" t="s">
        <v>2182</v>
      </c>
      <c r="G812" s="27" t="s">
        <v>108</v>
      </c>
      <c r="I812" s="27" t="s">
        <v>226</v>
      </c>
      <c r="J812" s="28">
        <v>21590</v>
      </c>
      <c r="K812" s="27" t="s">
        <v>397</v>
      </c>
      <c r="Q812" s="13" t="s">
        <v>2484</v>
      </c>
      <c r="R812" s="13" t="s">
        <v>1194</v>
      </c>
      <c r="S812" s="13" t="s">
        <v>2485</v>
      </c>
      <c r="T812" s="13"/>
      <c r="U812" s="13"/>
      <c r="V812" s="72" t="s">
        <v>2486</v>
      </c>
      <c r="W812" s="53" t="s">
        <v>2525</v>
      </c>
      <c r="AA812" t="s">
        <v>2490</v>
      </c>
      <c r="AB812" s="66">
        <v>129.33000000000001</v>
      </c>
      <c r="AC812">
        <v>20</v>
      </c>
      <c r="AD812" t="s">
        <v>2515</v>
      </c>
      <c r="AE812" s="7">
        <f t="shared" si="770"/>
        <v>6.7652915000000009</v>
      </c>
      <c r="AF812" s="7">
        <f t="shared" si="771"/>
        <v>0</v>
      </c>
      <c r="AG812" s="7">
        <f t="shared" si="772"/>
        <v>2.806122448979592</v>
      </c>
      <c r="AH812" s="7">
        <f t="shared" si="773"/>
        <v>4.26</v>
      </c>
      <c r="AI812" s="7">
        <f t="shared" si="774"/>
        <v>6.0000000000000005E-2</v>
      </c>
      <c r="AJ812" s="7">
        <f t="shared" si="775"/>
        <v>5.6122448979591844E-2</v>
      </c>
      <c r="AK812" s="7">
        <f t="shared" si="776"/>
        <v>0.11964267436224492</v>
      </c>
      <c r="AL812" s="7">
        <f t="shared" si="777"/>
        <v>1.06</v>
      </c>
      <c r="AM812" s="7">
        <f t="shared" si="778"/>
        <v>0.09</v>
      </c>
      <c r="AN812" s="7">
        <f t="shared" si="779"/>
        <v>4.7673531655225018E-2</v>
      </c>
      <c r="AO812" s="7"/>
      <c r="AP812" s="7">
        <f t="shared" si="780"/>
        <v>0</v>
      </c>
      <c r="AQ812" s="7">
        <f t="shared" si="781"/>
        <v>15.264852603976655</v>
      </c>
      <c r="AR812" s="7"/>
      <c r="AS812" s="7"/>
      <c r="AT812" s="7"/>
      <c r="AU812" s="7">
        <f>15.37-15.26</f>
        <v>0.10999999999999943</v>
      </c>
      <c r="AV812" s="7">
        <f t="shared" si="782"/>
        <v>15.374852603976654</v>
      </c>
      <c r="AW812" s="69">
        <v>5.2549999999999999E-2</v>
      </c>
      <c r="AX812" s="59">
        <v>5.0999999999999997E-2</v>
      </c>
      <c r="AY812" s="61">
        <v>1</v>
      </c>
      <c r="AZ812" s="69">
        <f t="shared" si="783"/>
        <v>1.5500000000000028E-3</v>
      </c>
      <c r="BA812" s="62">
        <f t="shared" si="799"/>
        <v>6.7652915000000009</v>
      </c>
      <c r="BB812" s="62"/>
      <c r="BC812" s="62"/>
      <c r="BD812" s="62"/>
      <c r="BE812" s="62"/>
      <c r="BF812" s="62"/>
      <c r="BG812" s="62"/>
      <c r="BH812" s="62"/>
      <c r="BI812" s="62"/>
      <c r="BJ812" s="62"/>
      <c r="BK812" s="62"/>
      <c r="BL812" s="62"/>
      <c r="BM812" s="62"/>
      <c r="BN812" s="62"/>
      <c r="BO812" s="62"/>
      <c r="BP812" s="62"/>
      <c r="BQ812" s="62"/>
      <c r="BR812" s="62"/>
      <c r="BS812" s="62"/>
      <c r="BT812" s="62"/>
      <c r="BU812" s="62"/>
      <c r="BV812" s="62"/>
      <c r="BW812" s="62"/>
      <c r="BX812" s="62"/>
      <c r="BY812" s="62"/>
      <c r="BZ812" s="62"/>
      <c r="CA812" s="62"/>
      <c r="CB812" s="62"/>
      <c r="CC812" s="62"/>
      <c r="CD812" s="59">
        <v>0</v>
      </c>
      <c r="CE812" s="62">
        <v>0</v>
      </c>
      <c r="CF812" s="62">
        <v>3</v>
      </c>
      <c r="CG812" s="62">
        <v>1.42</v>
      </c>
      <c r="CH812" s="62">
        <f t="shared" si="784"/>
        <v>4.26</v>
      </c>
      <c r="CI812" s="59"/>
      <c r="CJ812" s="59"/>
      <c r="CK812" s="59"/>
      <c r="CL812" s="59"/>
      <c r="CM812" s="59"/>
      <c r="CN812" s="59"/>
      <c r="CO812" s="59"/>
      <c r="CP812" s="59"/>
      <c r="CQ812" s="59"/>
      <c r="CR812" s="59"/>
      <c r="CS812" s="59"/>
      <c r="CT812" s="59"/>
      <c r="CU812" s="59"/>
      <c r="CV812" s="59"/>
      <c r="CW812" s="59"/>
      <c r="CX812" s="59"/>
      <c r="CY812" s="59"/>
      <c r="CZ812" s="59"/>
      <c r="DA812" s="59"/>
      <c r="DB812" s="59"/>
      <c r="DC812" s="59"/>
      <c r="DD812" s="59"/>
      <c r="DE812" s="59"/>
      <c r="DF812" s="59"/>
      <c r="DG812" s="59"/>
      <c r="DH812" s="59"/>
      <c r="DI812" s="59"/>
      <c r="DJ812" s="59"/>
      <c r="DK812" s="59"/>
      <c r="DL812" s="59"/>
      <c r="DM812" s="62">
        <f t="shared" si="785"/>
        <v>4.26</v>
      </c>
      <c r="DN812" s="64">
        <v>1.2500000000000001E-2</v>
      </c>
      <c r="DO812" s="62">
        <f t="shared" ref="DO812:DO819" si="802">ROUNDUP(DN812*CG812*CF812,2)</f>
        <v>6.0000000000000005E-2</v>
      </c>
      <c r="DP812" s="62">
        <f t="shared" si="786"/>
        <v>4.3199999999999994</v>
      </c>
      <c r="DQ812" s="59"/>
      <c r="DR812" s="59"/>
      <c r="DS812" s="59"/>
      <c r="DT812" s="59"/>
      <c r="DU812" s="59"/>
      <c r="DV812" s="59"/>
      <c r="DW812" s="59"/>
      <c r="DX812" s="59"/>
      <c r="DY812" s="59"/>
      <c r="DZ812" s="59"/>
      <c r="EA812" s="59"/>
      <c r="EB812" s="59"/>
      <c r="EC812" s="59"/>
      <c r="ED812" s="59"/>
      <c r="EE812" s="59"/>
      <c r="EF812" s="59">
        <v>160</v>
      </c>
      <c r="EG812" s="62">
        <v>1600</v>
      </c>
      <c r="EH812" s="62">
        <v>7.5</v>
      </c>
      <c r="EI812" s="61">
        <v>0.9</v>
      </c>
      <c r="EJ812" s="65">
        <v>2</v>
      </c>
      <c r="EK812" s="65">
        <v>62</v>
      </c>
      <c r="EL812" s="65">
        <f t="shared" si="787"/>
        <v>784</v>
      </c>
      <c r="EM812" s="59"/>
      <c r="EN812" s="59"/>
      <c r="EO812" s="59"/>
      <c r="EP812" s="59"/>
      <c r="EQ812" s="59"/>
      <c r="ER812" s="59"/>
      <c r="ES812" s="59"/>
      <c r="ET812" s="59"/>
      <c r="EU812" s="62">
        <f>EG812/EL812+FA812</f>
        <v>2.806122448979592</v>
      </c>
      <c r="EV812" s="59"/>
      <c r="EW812" s="59"/>
      <c r="EX812" s="59"/>
      <c r="EY812" s="59"/>
      <c r="EZ812" s="59"/>
      <c r="FA812" s="62">
        <f>600/784</f>
        <v>0.76530612244897955</v>
      </c>
      <c r="FB812" s="62"/>
      <c r="FC812" s="62"/>
      <c r="FD812" s="62"/>
      <c r="FE812" s="62"/>
      <c r="FF812" s="62"/>
      <c r="FG812" s="62"/>
      <c r="FH812" s="62"/>
      <c r="FI812" s="62"/>
      <c r="FJ812" s="62"/>
      <c r="FK812" s="62"/>
      <c r="FL812" s="62"/>
      <c r="FM812" s="62"/>
      <c r="FN812" s="62"/>
      <c r="FO812" s="62"/>
      <c r="FP812" s="62"/>
      <c r="FQ812" s="62"/>
      <c r="FR812" s="62"/>
      <c r="FS812" s="62"/>
      <c r="FT812" s="62"/>
      <c r="FU812" s="62"/>
      <c r="FV812" s="62"/>
      <c r="FW812" s="62"/>
      <c r="FX812" s="62"/>
      <c r="FY812" s="62"/>
      <c r="FZ812" s="62"/>
      <c r="GA812" s="62"/>
      <c r="GB812" s="62"/>
      <c r="GC812" s="62"/>
      <c r="GD812" s="62"/>
      <c r="GE812" s="62"/>
      <c r="GF812" s="62"/>
      <c r="GG812" s="62"/>
      <c r="GH812" s="62"/>
      <c r="GI812" s="62"/>
      <c r="GJ812" s="62"/>
      <c r="GK812" s="62"/>
      <c r="GL812" s="62"/>
      <c r="GM812" s="62"/>
      <c r="GN812" s="62"/>
      <c r="GO812" s="62"/>
      <c r="GP812" s="62"/>
      <c r="GQ812" s="62"/>
      <c r="GR812" s="61">
        <v>0.11</v>
      </c>
      <c r="GS812" s="62">
        <f t="shared" si="788"/>
        <v>1.06</v>
      </c>
      <c r="GT812" s="64">
        <v>1.2500000000000001E-2</v>
      </c>
      <c r="GU812" s="62">
        <f t="shared" si="789"/>
        <v>0.11964267436224492</v>
      </c>
      <c r="GV812" s="61">
        <v>0.02</v>
      </c>
      <c r="GW812" s="62">
        <f t="shared" si="790"/>
        <v>5.6122448979591844E-2</v>
      </c>
      <c r="GX812" s="62">
        <f t="shared" si="791"/>
        <v>1.235765123341837</v>
      </c>
      <c r="GY812" s="62" t="s">
        <v>43</v>
      </c>
      <c r="GZ812" s="62" t="s">
        <v>551</v>
      </c>
      <c r="HA812" s="59">
        <v>650</v>
      </c>
      <c r="HB812" s="59">
        <v>450</v>
      </c>
      <c r="HC812" s="59">
        <v>330</v>
      </c>
      <c r="HD812" s="59">
        <v>92</v>
      </c>
      <c r="HE812" s="59">
        <v>200</v>
      </c>
      <c r="HF812" s="62">
        <f t="shared" si="792"/>
        <v>3</v>
      </c>
      <c r="HG812" s="59">
        <v>5</v>
      </c>
      <c r="HH812" s="62">
        <f t="shared" si="800"/>
        <v>15</v>
      </c>
      <c r="HI812" s="59">
        <v>650</v>
      </c>
      <c r="HJ812" s="62">
        <f t="shared" si="793"/>
        <v>9750</v>
      </c>
      <c r="HK812" s="59"/>
      <c r="HL812" s="59"/>
      <c r="HM812" s="59">
        <v>2</v>
      </c>
      <c r="HN812" s="62">
        <f t="shared" si="794"/>
        <v>120000</v>
      </c>
      <c r="HO812" s="62">
        <f t="shared" si="795"/>
        <v>8.1250000000000003E-2</v>
      </c>
      <c r="HP812" s="59">
        <v>160</v>
      </c>
      <c r="HQ812" s="59">
        <v>0</v>
      </c>
      <c r="HR812" s="59">
        <v>0</v>
      </c>
      <c r="HS812" s="59">
        <v>0</v>
      </c>
      <c r="HT812" s="62">
        <v>0</v>
      </c>
      <c r="HU812" s="62"/>
      <c r="HV812" s="62">
        <f t="shared" ref="HV812:HV819" si="803">ROUNDUP(HO812+HT812,2)</f>
        <v>0.09</v>
      </c>
      <c r="HW812" s="62"/>
      <c r="HX812" s="59">
        <v>4200</v>
      </c>
      <c r="HY812" s="59">
        <v>1900</v>
      </c>
      <c r="HZ812" s="59">
        <v>1975</v>
      </c>
      <c r="IA812" s="62">
        <f t="shared" si="796"/>
        <v>6</v>
      </c>
      <c r="IB812" s="62">
        <f t="shared" si="797"/>
        <v>4</v>
      </c>
      <c r="IC812" s="62">
        <f t="shared" si="798"/>
        <v>5</v>
      </c>
      <c r="ID812" s="61">
        <v>0.95</v>
      </c>
      <c r="IE812" s="62">
        <f>PRODUCT(IA812:ID812)</f>
        <v>114</v>
      </c>
      <c r="IF812" s="59">
        <v>500</v>
      </c>
      <c r="IG812" s="62">
        <f t="shared" si="801"/>
        <v>4.7673531655225018E-2</v>
      </c>
      <c r="IH812" s="62"/>
    </row>
    <row r="813" spans="1:242" ht="45">
      <c r="A813">
        <v>798</v>
      </c>
      <c r="B813" t="s">
        <v>468</v>
      </c>
      <c r="C813" s="187" t="s">
        <v>2526</v>
      </c>
      <c r="D813" s="28" t="s">
        <v>1636</v>
      </c>
      <c r="E813" s="28" t="s">
        <v>1637</v>
      </c>
      <c r="F813" s="28" t="s">
        <v>2182</v>
      </c>
      <c r="G813" s="27" t="s">
        <v>108</v>
      </c>
      <c r="I813" s="27" t="s">
        <v>226</v>
      </c>
      <c r="J813" s="28">
        <v>21590</v>
      </c>
      <c r="K813" s="27" t="s">
        <v>397</v>
      </c>
      <c r="Q813" s="13" t="s">
        <v>2484</v>
      </c>
      <c r="R813" s="13" t="s">
        <v>1194</v>
      </c>
      <c r="S813" s="13" t="s">
        <v>2485</v>
      </c>
      <c r="T813" s="13"/>
      <c r="U813" s="13"/>
      <c r="V813" s="72" t="s">
        <v>2486</v>
      </c>
      <c r="W813" s="53" t="s">
        <v>2527</v>
      </c>
      <c r="AA813" t="s">
        <v>2490</v>
      </c>
      <c r="AB813" s="66">
        <v>129.33000000000001</v>
      </c>
      <c r="AC813">
        <v>20</v>
      </c>
      <c r="AD813" t="s">
        <v>2515</v>
      </c>
      <c r="AE813" s="7">
        <f t="shared" si="770"/>
        <v>6.0243760000000011</v>
      </c>
      <c r="AF813" s="7">
        <f t="shared" si="771"/>
        <v>0</v>
      </c>
      <c r="AG813" s="7">
        <f t="shared" si="772"/>
        <v>2.806122448979592</v>
      </c>
      <c r="AH813" s="7">
        <f t="shared" si="773"/>
        <v>4.26</v>
      </c>
      <c r="AI813" s="7">
        <f t="shared" si="774"/>
        <v>6.0000000000000005E-2</v>
      </c>
      <c r="AJ813" s="7">
        <f t="shared" si="775"/>
        <v>5.6122448979591844E-2</v>
      </c>
      <c r="AK813" s="7">
        <f t="shared" si="776"/>
        <v>0.11038123061224492</v>
      </c>
      <c r="AL813" s="7">
        <f t="shared" si="777"/>
        <v>0.98</v>
      </c>
      <c r="AM813" s="7">
        <f t="shared" si="778"/>
        <v>0.09</v>
      </c>
      <c r="AN813" s="7">
        <f t="shared" si="779"/>
        <v>4.7673531655225018E-2</v>
      </c>
      <c r="AO813" s="7"/>
      <c r="AP813" s="7">
        <f t="shared" si="780"/>
        <v>0</v>
      </c>
      <c r="AQ813" s="7">
        <f t="shared" si="781"/>
        <v>14.434675660226654</v>
      </c>
      <c r="AR813" s="7"/>
      <c r="AS813" s="7"/>
      <c r="AT813" s="7"/>
      <c r="AU813" s="7">
        <f>14.53-14.43</f>
        <v>9.9999999999999645E-2</v>
      </c>
      <c r="AV813" s="7">
        <f t="shared" si="782"/>
        <v>14.534675660226654</v>
      </c>
      <c r="AW813" s="14">
        <v>4.7200000000000006E-2</v>
      </c>
      <c r="AX813">
        <v>4.3200000000000002E-2</v>
      </c>
      <c r="AY813" s="8">
        <v>1</v>
      </c>
      <c r="AZ813" s="69">
        <f t="shared" si="783"/>
        <v>4.0000000000000036E-3</v>
      </c>
      <c r="BA813" s="62">
        <f t="shared" si="799"/>
        <v>6.0243760000000011</v>
      </c>
      <c r="BB813" s="62"/>
      <c r="BC813" s="62"/>
      <c r="BD813" s="62"/>
      <c r="BE813" s="62"/>
      <c r="BF813" s="62"/>
      <c r="BG813" s="62"/>
      <c r="BH813" s="62"/>
      <c r="BI813" s="62"/>
      <c r="BJ813" s="62"/>
      <c r="BK813" s="62"/>
      <c r="BL813" s="62"/>
      <c r="BM813" s="62"/>
      <c r="BN813" s="62"/>
      <c r="BO813" s="62"/>
      <c r="BP813" s="62"/>
      <c r="BQ813" s="62"/>
      <c r="BR813" s="62"/>
      <c r="BS813" s="62"/>
      <c r="BT813" s="62"/>
      <c r="BU813" s="62"/>
      <c r="BV813" s="62"/>
      <c r="BW813" s="62"/>
      <c r="BX813" s="62"/>
      <c r="BY813" s="62"/>
      <c r="BZ813" s="62"/>
      <c r="CA813" s="62"/>
      <c r="CB813" s="62"/>
      <c r="CC813" s="62"/>
      <c r="CD813" s="59">
        <v>0</v>
      </c>
      <c r="CE813" s="62">
        <v>0</v>
      </c>
      <c r="CF813" s="62">
        <v>3</v>
      </c>
      <c r="CG813" s="62">
        <v>1.42</v>
      </c>
      <c r="CH813" s="62">
        <f t="shared" si="784"/>
        <v>4.26</v>
      </c>
      <c r="DM813" s="62">
        <f t="shared" si="785"/>
        <v>4.26</v>
      </c>
      <c r="DN813" s="9">
        <v>1.2500000000000001E-2</v>
      </c>
      <c r="DO813" s="62">
        <f t="shared" si="802"/>
        <v>6.0000000000000005E-2</v>
      </c>
      <c r="DP813" s="62">
        <f t="shared" si="786"/>
        <v>4.3199999999999994</v>
      </c>
      <c r="EF813" s="59">
        <v>160</v>
      </c>
      <c r="EG813" s="62">
        <v>1600</v>
      </c>
      <c r="EH813" s="62">
        <v>7.5</v>
      </c>
      <c r="EI813" s="8">
        <v>0.9</v>
      </c>
      <c r="EJ813" s="65">
        <v>2</v>
      </c>
      <c r="EK813" s="65">
        <v>62</v>
      </c>
      <c r="EL813" s="65">
        <f t="shared" si="787"/>
        <v>784</v>
      </c>
      <c r="EU813" s="62">
        <f>EG813/EL813+FA813</f>
        <v>2.806122448979592</v>
      </c>
      <c r="FA813" s="4">
        <f>600/784</f>
        <v>0.76530612244897955</v>
      </c>
      <c r="FB813" s="4"/>
      <c r="FC813" s="4"/>
      <c r="FD813" s="4"/>
      <c r="FE813" s="4"/>
      <c r="FF813" s="4"/>
      <c r="FG813" s="4"/>
      <c r="FH813" s="4"/>
      <c r="FI813" s="4"/>
      <c r="FJ813" s="4"/>
      <c r="FK813" s="4"/>
      <c r="FL813" s="4"/>
      <c r="FM813" s="4"/>
      <c r="FN813" s="4"/>
      <c r="FO813" s="4"/>
      <c r="FP813" s="4"/>
      <c r="FQ813" s="4"/>
      <c r="FR813" s="4"/>
      <c r="FS813" s="4"/>
      <c r="FT813" s="4"/>
      <c r="FU813" s="4"/>
      <c r="FV813" s="4"/>
      <c r="FW813" s="4"/>
      <c r="FX813" s="4"/>
      <c r="FY813" s="4"/>
      <c r="FZ813" s="4"/>
      <c r="GA813" s="4"/>
      <c r="GB813" s="4"/>
      <c r="GC813" s="4"/>
      <c r="GD813" s="4"/>
      <c r="GE813" s="4"/>
      <c r="GF813" s="4"/>
      <c r="GG813" s="4"/>
      <c r="GH813" s="4"/>
      <c r="GI813" s="4"/>
      <c r="GJ813" s="4"/>
      <c r="GK813" s="4"/>
      <c r="GL813" s="4"/>
      <c r="GM813" s="4"/>
      <c r="GN813" s="4"/>
      <c r="GO813" s="4"/>
      <c r="GP813" s="4"/>
      <c r="GQ813" s="4"/>
      <c r="GR813" s="8">
        <v>0.11</v>
      </c>
      <c r="GS813" s="69">
        <f t="shared" si="788"/>
        <v>0.98</v>
      </c>
      <c r="GT813" s="9">
        <v>1.2500000000000001E-2</v>
      </c>
      <c r="GU813" s="62">
        <f t="shared" si="789"/>
        <v>0.11038123061224492</v>
      </c>
      <c r="GV813" s="8">
        <v>0.02</v>
      </c>
      <c r="GW813" s="62">
        <f t="shared" si="790"/>
        <v>5.6122448979591844E-2</v>
      </c>
      <c r="GX813" s="62">
        <f t="shared" si="791"/>
        <v>1.1465036795918366</v>
      </c>
      <c r="GY813" s="62" t="s">
        <v>43</v>
      </c>
      <c r="GZ813" s="62" t="s">
        <v>551</v>
      </c>
      <c r="HA813" s="59">
        <v>650</v>
      </c>
      <c r="HB813" s="59">
        <v>450</v>
      </c>
      <c r="HC813" s="59">
        <v>330</v>
      </c>
      <c r="HD813" s="59">
        <v>92</v>
      </c>
      <c r="HE813" s="59">
        <v>200</v>
      </c>
      <c r="HF813" s="62">
        <f t="shared" si="792"/>
        <v>3</v>
      </c>
      <c r="HG813" s="59">
        <v>5</v>
      </c>
      <c r="HH813" s="62">
        <f t="shared" si="800"/>
        <v>15</v>
      </c>
      <c r="HI813" s="59">
        <v>650</v>
      </c>
      <c r="HJ813" s="62">
        <f t="shared" si="793"/>
        <v>9750</v>
      </c>
      <c r="HM813" s="59">
        <v>2</v>
      </c>
      <c r="HN813" s="62">
        <f t="shared" si="794"/>
        <v>120000</v>
      </c>
      <c r="HO813" s="62">
        <f t="shared" si="795"/>
        <v>8.1250000000000003E-2</v>
      </c>
      <c r="HP813" s="59">
        <v>160</v>
      </c>
      <c r="HQ813" s="59">
        <v>0</v>
      </c>
      <c r="HR813" s="59">
        <v>0</v>
      </c>
      <c r="HS813" s="59">
        <v>0</v>
      </c>
      <c r="HT813" s="59">
        <v>0</v>
      </c>
      <c r="HU813" s="59"/>
      <c r="HV813" s="62">
        <f t="shared" si="803"/>
        <v>0.09</v>
      </c>
      <c r="HW813" s="62"/>
      <c r="HX813" s="59">
        <v>4200</v>
      </c>
      <c r="HY813" s="59">
        <v>1900</v>
      </c>
      <c r="HZ813" s="59">
        <v>1975</v>
      </c>
      <c r="IA813" s="62">
        <f t="shared" si="796"/>
        <v>6</v>
      </c>
      <c r="IB813" s="62">
        <f t="shared" si="797"/>
        <v>4</v>
      </c>
      <c r="IC813" s="62">
        <f t="shared" si="798"/>
        <v>5</v>
      </c>
      <c r="ID813" s="8">
        <v>0.95</v>
      </c>
      <c r="IE813" s="62">
        <f>PRODUCT(IA813:ID813)</f>
        <v>114</v>
      </c>
      <c r="IF813" s="59">
        <v>500</v>
      </c>
      <c r="IG813" s="62">
        <f t="shared" si="801"/>
        <v>4.7673531655225018E-2</v>
      </c>
      <c r="IH813" s="62"/>
    </row>
    <row r="814" spans="1:242" ht="30">
      <c r="A814">
        <v>799</v>
      </c>
      <c r="B814" t="s">
        <v>468</v>
      </c>
      <c r="C814" t="s">
        <v>2528</v>
      </c>
      <c r="D814" s="28" t="s">
        <v>1638</v>
      </c>
      <c r="E814" s="28" t="s">
        <v>1639</v>
      </c>
      <c r="F814" s="28" t="s">
        <v>2182</v>
      </c>
      <c r="G814" s="27" t="s">
        <v>108</v>
      </c>
      <c r="I814" s="27" t="s">
        <v>226</v>
      </c>
      <c r="J814" s="28">
        <v>21691</v>
      </c>
      <c r="K814" s="27" t="s">
        <v>404</v>
      </c>
      <c r="Q814" s="13" t="s">
        <v>2484</v>
      </c>
      <c r="R814" s="13" t="s">
        <v>1778</v>
      </c>
      <c r="S814" s="13" t="s">
        <v>2529</v>
      </c>
      <c r="T814" s="13"/>
      <c r="U814" s="13"/>
      <c r="V814" s="72" t="s">
        <v>2486</v>
      </c>
      <c r="W814" s="53"/>
      <c r="AA814" t="s">
        <v>2530</v>
      </c>
      <c r="AB814" s="66">
        <v>85.45</v>
      </c>
      <c r="AC814">
        <v>20</v>
      </c>
      <c r="AD814"/>
      <c r="AE814" s="7">
        <f t="shared" si="770"/>
        <v>22.755150000000004</v>
      </c>
      <c r="AF814" s="7">
        <f t="shared" si="771"/>
        <v>0</v>
      </c>
      <c r="AG814" s="7">
        <f t="shared" si="772"/>
        <v>11.842105263157896</v>
      </c>
      <c r="AH814" s="7">
        <f t="shared" si="773"/>
        <v>0</v>
      </c>
      <c r="AI814" s="7">
        <f t="shared" si="774"/>
        <v>0</v>
      </c>
      <c r="AJ814" s="7">
        <f t="shared" si="775"/>
        <v>0.23684210526315791</v>
      </c>
      <c r="AK814" s="7">
        <f t="shared" si="776"/>
        <v>0.43246569078947372</v>
      </c>
      <c r="AL814" s="7">
        <f t="shared" si="777"/>
        <v>3.8099999999999996</v>
      </c>
      <c r="AM814" s="7">
        <f t="shared" si="778"/>
        <v>1.75</v>
      </c>
      <c r="AN814" s="7">
        <f t="shared" si="779"/>
        <v>1</v>
      </c>
      <c r="AO814" s="7"/>
      <c r="AP814" s="7">
        <f t="shared" si="780"/>
        <v>0</v>
      </c>
      <c r="AQ814" s="7">
        <f t="shared" si="781"/>
        <v>41.826563059210528</v>
      </c>
      <c r="AR814" s="7"/>
      <c r="AS814" s="7"/>
      <c r="AT814" s="7"/>
      <c r="AU814" s="7"/>
      <c r="AV814" s="7">
        <f t="shared" si="782"/>
        <v>41.826563059210528</v>
      </c>
      <c r="AW814" s="59">
        <v>0.26700000000000002</v>
      </c>
      <c r="AX814" s="59">
        <v>0.26400000000000001</v>
      </c>
      <c r="AY814" s="61">
        <v>1</v>
      </c>
      <c r="AZ814" s="69">
        <f t="shared" si="783"/>
        <v>3.0000000000000027E-3</v>
      </c>
      <c r="BA814" s="62">
        <f t="shared" si="799"/>
        <v>22.755150000000004</v>
      </c>
      <c r="BB814" s="62"/>
      <c r="BC814" s="62"/>
      <c r="BD814" s="62"/>
      <c r="BE814" s="62"/>
      <c r="BF814" s="62"/>
      <c r="BG814" s="62"/>
      <c r="BH814" s="62"/>
      <c r="BI814" s="62"/>
      <c r="BJ814" s="62"/>
      <c r="BK814" s="62"/>
      <c r="BL814" s="62"/>
      <c r="BM814" s="62"/>
      <c r="BN814" s="62"/>
      <c r="BO814" s="62"/>
      <c r="BP814" s="62"/>
      <c r="BQ814" s="62"/>
      <c r="BR814" s="62"/>
      <c r="BS814" s="62"/>
      <c r="BT814" s="62"/>
      <c r="BU814" s="62"/>
      <c r="BV814" s="62"/>
      <c r="BW814" s="62"/>
      <c r="BX814" s="62"/>
      <c r="BY814" s="62"/>
      <c r="BZ814" s="62"/>
      <c r="CA814" s="62"/>
      <c r="CB814" s="62"/>
      <c r="CC814" s="62"/>
      <c r="CD814" s="59">
        <v>0</v>
      </c>
      <c r="CE814" s="62">
        <v>0</v>
      </c>
      <c r="CF814" s="62">
        <v>0</v>
      </c>
      <c r="CG814" s="62">
        <v>0</v>
      </c>
      <c r="CH814" s="62">
        <f t="shared" si="784"/>
        <v>0</v>
      </c>
      <c r="CI814" s="59"/>
      <c r="CJ814" s="59"/>
      <c r="CK814" s="59"/>
      <c r="CL814" s="59"/>
      <c r="CM814" s="59"/>
      <c r="CN814" s="59"/>
      <c r="CO814" s="59"/>
      <c r="CP814" s="59"/>
      <c r="CQ814" s="59"/>
      <c r="CR814" s="59"/>
      <c r="CS814" s="59"/>
      <c r="CT814" s="59"/>
      <c r="CU814" s="59"/>
      <c r="CV814" s="59"/>
      <c r="CW814" s="59"/>
      <c r="CX814" s="59"/>
      <c r="CY814" s="59"/>
      <c r="CZ814" s="59"/>
      <c r="DA814" s="59"/>
      <c r="DB814" s="59"/>
      <c r="DC814" s="59"/>
      <c r="DD814" s="59"/>
      <c r="DE814" s="59"/>
      <c r="DF814" s="59"/>
      <c r="DG814" s="59"/>
      <c r="DH814" s="59"/>
      <c r="DI814" s="59"/>
      <c r="DJ814" s="59"/>
      <c r="DK814" s="59"/>
      <c r="DL814" s="59"/>
      <c r="DM814" s="62">
        <f t="shared" si="785"/>
        <v>0</v>
      </c>
      <c r="DN814" s="64">
        <v>1.2500000000000001E-2</v>
      </c>
      <c r="DO814" s="62">
        <f t="shared" si="802"/>
        <v>0</v>
      </c>
      <c r="DP814" s="62">
        <f t="shared" si="786"/>
        <v>0</v>
      </c>
      <c r="DQ814" s="59"/>
      <c r="DR814" s="59"/>
      <c r="DS814" s="59"/>
      <c r="DT814" s="59"/>
      <c r="DU814" s="59"/>
      <c r="DV814" s="59"/>
      <c r="DW814" s="59"/>
      <c r="DX814" s="59"/>
      <c r="DY814" s="59"/>
      <c r="DZ814" s="59"/>
      <c r="EA814" s="59"/>
      <c r="EB814" s="59"/>
      <c r="EC814" s="59"/>
      <c r="ED814" s="59"/>
      <c r="EE814" s="59"/>
      <c r="EF814" s="59">
        <v>450</v>
      </c>
      <c r="EG814" s="62">
        <v>4500</v>
      </c>
      <c r="EH814" s="62">
        <v>8</v>
      </c>
      <c r="EI814" s="61">
        <v>0.95</v>
      </c>
      <c r="EJ814" s="65">
        <v>1</v>
      </c>
      <c r="EK814" s="65">
        <v>72</v>
      </c>
      <c r="EL814" s="65">
        <f t="shared" si="787"/>
        <v>380</v>
      </c>
      <c r="EM814" s="59"/>
      <c r="EN814" s="59"/>
      <c r="EO814" s="59"/>
      <c r="EP814" s="59"/>
      <c r="EQ814" s="59"/>
      <c r="ER814" s="59"/>
      <c r="ES814" s="59"/>
      <c r="ET814" s="59"/>
      <c r="EU814" s="62">
        <f>EG814/EL814+FA814</f>
        <v>11.842105263157896</v>
      </c>
      <c r="EV814" s="59"/>
      <c r="EW814" s="59"/>
      <c r="EX814" s="59"/>
      <c r="EY814" s="59"/>
      <c r="EZ814" s="59"/>
      <c r="FA814" s="59"/>
      <c r="FB814" s="59"/>
      <c r="FC814" s="59"/>
      <c r="FD814" s="59"/>
      <c r="FE814" s="59"/>
      <c r="FF814" s="59"/>
      <c r="FG814" s="59"/>
      <c r="FH814" s="59"/>
      <c r="FI814" s="59"/>
      <c r="FJ814" s="59"/>
      <c r="FK814" s="59"/>
      <c r="FL814" s="59"/>
      <c r="FM814" s="59"/>
      <c r="FN814" s="59"/>
      <c r="FO814" s="59"/>
      <c r="FP814" s="59"/>
      <c r="FQ814" s="59"/>
      <c r="FR814" s="59"/>
      <c r="FS814" s="59"/>
      <c r="FT814" s="59"/>
      <c r="FU814" s="59"/>
      <c r="FV814" s="59"/>
      <c r="FW814" s="59"/>
      <c r="FX814" s="59"/>
      <c r="FY814" s="59"/>
      <c r="FZ814" s="59"/>
      <c r="GA814" s="59"/>
      <c r="GB814" s="59"/>
      <c r="GC814" s="59"/>
      <c r="GD814" s="59"/>
      <c r="GE814" s="59"/>
      <c r="GF814" s="59"/>
      <c r="GG814" s="59"/>
      <c r="GH814" s="59"/>
      <c r="GI814" s="59"/>
      <c r="GJ814" s="59"/>
      <c r="GK814" s="59"/>
      <c r="GL814" s="59"/>
      <c r="GM814" s="59"/>
      <c r="GN814" s="59"/>
      <c r="GO814" s="59"/>
      <c r="GP814" s="59"/>
      <c r="GQ814" s="59"/>
      <c r="GR814" s="61">
        <v>0.11</v>
      </c>
      <c r="GS814" s="62">
        <f t="shared" si="788"/>
        <v>3.8099999999999996</v>
      </c>
      <c r="GT814" s="64">
        <v>1.2500000000000001E-2</v>
      </c>
      <c r="GU814" s="62">
        <f t="shared" si="789"/>
        <v>0.43246569078947372</v>
      </c>
      <c r="GV814" s="61">
        <v>0.02</v>
      </c>
      <c r="GW814" s="62">
        <f t="shared" si="790"/>
        <v>0.23684210526315791</v>
      </c>
      <c r="GX814" s="62">
        <f t="shared" si="791"/>
        <v>4.4793077960526304</v>
      </c>
      <c r="GY814" s="62" t="s">
        <v>130</v>
      </c>
      <c r="GZ814" s="62" t="s">
        <v>551</v>
      </c>
      <c r="HA814" s="314">
        <v>1350</v>
      </c>
      <c r="HB814" s="59">
        <v>950</v>
      </c>
      <c r="HC814" s="59">
        <v>2400</v>
      </c>
      <c r="HD814" s="59">
        <v>100</v>
      </c>
      <c r="HE814" s="59">
        <v>400</v>
      </c>
      <c r="HF814" s="62">
        <f t="shared" si="792"/>
        <v>4</v>
      </c>
      <c r="HG814" s="59">
        <v>5</v>
      </c>
      <c r="HH814" s="62">
        <f t="shared" si="800"/>
        <v>20</v>
      </c>
      <c r="HI814" s="59">
        <v>21000</v>
      </c>
      <c r="HJ814" s="62">
        <f t="shared" si="793"/>
        <v>420000</v>
      </c>
      <c r="HK814" s="59"/>
      <c r="HL814" s="59"/>
      <c r="HM814" s="59">
        <v>2</v>
      </c>
      <c r="HN814" s="62">
        <f t="shared" si="794"/>
        <v>240000</v>
      </c>
      <c r="HO814" s="62">
        <f t="shared" si="795"/>
        <v>1.75</v>
      </c>
      <c r="HP814" s="59">
        <v>160</v>
      </c>
      <c r="HQ814" s="59">
        <v>0</v>
      </c>
      <c r="HR814" s="59">
        <v>0</v>
      </c>
      <c r="HS814" s="59">
        <v>0</v>
      </c>
      <c r="HT814" s="59">
        <v>0</v>
      </c>
      <c r="HU814" s="59"/>
      <c r="HV814" s="62">
        <f t="shared" si="803"/>
        <v>1.75</v>
      </c>
      <c r="HW814" s="62"/>
      <c r="HX814" s="59">
        <v>5016</v>
      </c>
      <c r="HY814" s="59">
        <v>1976</v>
      </c>
      <c r="HZ814" s="59">
        <v>2280</v>
      </c>
      <c r="IA814" s="62">
        <f t="shared" si="796"/>
        <v>3</v>
      </c>
      <c r="IB814" s="62">
        <f t="shared" si="797"/>
        <v>2</v>
      </c>
      <c r="IC814" s="62">
        <f t="shared" si="798"/>
        <v>0</v>
      </c>
      <c r="ID814" s="61">
        <v>0.95</v>
      </c>
      <c r="IE814" s="62">
        <f>PRODUCT(IA814:ID814)+5</f>
        <v>5</v>
      </c>
      <c r="IF814" s="59">
        <v>500</v>
      </c>
      <c r="IG814" s="62">
        <f t="shared" si="801"/>
        <v>1</v>
      </c>
      <c r="IH814" s="62"/>
    </row>
    <row r="815" spans="1:242" ht="30">
      <c r="A815">
        <v>800</v>
      </c>
      <c r="B815" t="s">
        <v>468</v>
      </c>
      <c r="C815" s="187" t="s">
        <v>2531</v>
      </c>
      <c r="D815" s="28" t="s">
        <v>1640</v>
      </c>
      <c r="E815" s="28" t="s">
        <v>1641</v>
      </c>
      <c r="F815" s="28" t="s">
        <v>2182</v>
      </c>
      <c r="G815" s="27" t="s">
        <v>108</v>
      </c>
      <c r="I815" s="27" t="s">
        <v>226</v>
      </c>
      <c r="J815" s="28">
        <v>21590</v>
      </c>
      <c r="K815" s="27" t="s">
        <v>397</v>
      </c>
      <c r="Q815" s="13" t="s">
        <v>2484</v>
      </c>
      <c r="R815" s="13" t="s">
        <v>1194</v>
      </c>
      <c r="S815" s="13" t="s">
        <v>2532</v>
      </c>
      <c r="T815" s="13"/>
      <c r="U815" s="13"/>
      <c r="V815" s="72" t="s">
        <v>2486</v>
      </c>
      <c r="W815" s="53" t="s">
        <v>2533</v>
      </c>
      <c r="AA815" t="s">
        <v>2534</v>
      </c>
      <c r="AB815" s="66">
        <v>238.5</v>
      </c>
      <c r="AC815">
        <v>20</v>
      </c>
      <c r="AD815" t="s">
        <v>2515</v>
      </c>
      <c r="AE815" s="7">
        <f t="shared" si="770"/>
        <v>1.8199125</v>
      </c>
      <c r="AF815" s="7">
        <f t="shared" si="771"/>
        <v>0</v>
      </c>
      <c r="AG815" s="7">
        <f t="shared" si="772"/>
        <v>0.47000000000000003</v>
      </c>
      <c r="AH815" s="7">
        <f t="shared" si="773"/>
        <v>0</v>
      </c>
      <c r="AI815" s="7">
        <f t="shared" si="774"/>
        <v>0</v>
      </c>
      <c r="AJ815" s="7">
        <f t="shared" si="775"/>
        <v>9.4000000000000004E-3</v>
      </c>
      <c r="AK815" s="7">
        <f t="shared" si="776"/>
        <v>2.8623906250000004E-2</v>
      </c>
      <c r="AL815" s="7">
        <f t="shared" si="777"/>
        <v>0.26</v>
      </c>
      <c r="AM815" s="7">
        <f t="shared" si="778"/>
        <v>0.03</v>
      </c>
      <c r="AN815" s="7">
        <f t="shared" si="779"/>
        <v>0.01</v>
      </c>
      <c r="AO815" s="7"/>
      <c r="AP815" s="7">
        <f t="shared" si="780"/>
        <v>0</v>
      </c>
      <c r="AQ815" s="7">
        <f t="shared" si="781"/>
        <v>2.6279364062499995</v>
      </c>
      <c r="AR815" s="7"/>
      <c r="AS815" s="7"/>
      <c r="AT815" s="7"/>
      <c r="AU815" s="7">
        <f>2.64-2.63</f>
        <v>1.0000000000000231E-2</v>
      </c>
      <c r="AV815" s="7">
        <f t="shared" si="782"/>
        <v>2.6379364062499997</v>
      </c>
      <c r="AW815" s="69">
        <v>7.7250000000000001E-3</v>
      </c>
      <c r="AX815" s="59">
        <v>6.6E-3</v>
      </c>
      <c r="AY815" s="61">
        <v>1</v>
      </c>
      <c r="AZ815" s="69">
        <f t="shared" si="783"/>
        <v>1.1250000000000001E-3</v>
      </c>
      <c r="BA815" s="62">
        <f t="shared" si="799"/>
        <v>1.8199125</v>
      </c>
      <c r="BB815" s="62"/>
      <c r="BC815" s="62"/>
      <c r="BD815" s="62"/>
      <c r="BE815" s="62"/>
      <c r="BF815" s="62"/>
      <c r="BG815" s="62"/>
      <c r="BH815" s="62"/>
      <c r="BI815" s="62"/>
      <c r="BJ815" s="62"/>
      <c r="BK815" s="62"/>
      <c r="BL815" s="62"/>
      <c r="BM815" s="62"/>
      <c r="BN815" s="62"/>
      <c r="BO815" s="62"/>
      <c r="BP815" s="62"/>
      <c r="BQ815" s="62"/>
      <c r="BR815" s="62"/>
      <c r="BS815" s="62"/>
      <c r="BT815" s="62"/>
      <c r="BU815" s="62"/>
      <c r="BV815" s="62"/>
      <c r="BW815" s="62"/>
      <c r="BX815" s="62"/>
      <c r="BY815" s="62"/>
      <c r="BZ815" s="62"/>
      <c r="CA815" s="62"/>
      <c r="CB815" s="62"/>
      <c r="CC815" s="62"/>
      <c r="CD815" s="59">
        <v>0</v>
      </c>
      <c r="CE815" s="62">
        <v>0</v>
      </c>
      <c r="CF815" s="62">
        <v>0</v>
      </c>
      <c r="CG815" s="62">
        <v>0</v>
      </c>
      <c r="CH815" s="62">
        <v>0</v>
      </c>
      <c r="CI815" s="59"/>
      <c r="CJ815" s="59"/>
      <c r="CK815" s="59"/>
      <c r="CL815" s="59"/>
      <c r="CM815" s="59"/>
      <c r="CN815" s="59"/>
      <c r="CO815" s="59"/>
      <c r="CP815" s="59"/>
      <c r="CQ815" s="59"/>
      <c r="CR815" s="59"/>
      <c r="CS815" s="59"/>
      <c r="CT815" s="59"/>
      <c r="CU815" s="59"/>
      <c r="CV815" s="59"/>
      <c r="CW815" s="59"/>
      <c r="CX815" s="59"/>
      <c r="CY815" s="59"/>
      <c r="CZ815" s="59"/>
      <c r="DA815" s="59"/>
      <c r="DB815" s="59"/>
      <c r="DC815" s="59"/>
      <c r="DD815" s="59"/>
      <c r="DE815" s="59"/>
      <c r="DF815" s="59"/>
      <c r="DG815" s="59"/>
      <c r="DH815" s="59"/>
      <c r="DI815" s="59"/>
      <c r="DJ815" s="59"/>
      <c r="DK815" s="59"/>
      <c r="DL815" s="59"/>
      <c r="DM815" s="62">
        <f t="shared" si="785"/>
        <v>0</v>
      </c>
      <c r="DN815" s="64">
        <v>1.2500000000000001E-2</v>
      </c>
      <c r="DO815" s="62">
        <f t="shared" si="802"/>
        <v>0</v>
      </c>
      <c r="DP815" s="62">
        <f t="shared" si="786"/>
        <v>0</v>
      </c>
      <c r="DQ815" s="59"/>
      <c r="DR815" s="59"/>
      <c r="DS815" s="59"/>
      <c r="DT815" s="59"/>
      <c r="DU815" s="59"/>
      <c r="DV815" s="59"/>
      <c r="DW815" s="59"/>
      <c r="DX815" s="59"/>
      <c r="DY815" s="59"/>
      <c r="DZ815" s="59"/>
      <c r="EA815" s="59"/>
      <c r="EB815" s="59"/>
      <c r="EC815" s="59"/>
      <c r="ED815" s="59"/>
      <c r="EE815" s="59"/>
      <c r="EF815" s="59">
        <v>90</v>
      </c>
      <c r="EG815" s="62">
        <v>900</v>
      </c>
      <c r="EH815" s="62">
        <v>7.5</v>
      </c>
      <c r="EI815" s="61">
        <v>0.9</v>
      </c>
      <c r="EJ815" s="65">
        <v>4</v>
      </c>
      <c r="EK815" s="65">
        <v>50</v>
      </c>
      <c r="EL815" s="65">
        <f t="shared" si="787"/>
        <v>1944</v>
      </c>
      <c r="EM815" s="59"/>
      <c r="EN815" s="59"/>
      <c r="EO815" s="59"/>
      <c r="EP815" s="59"/>
      <c r="EQ815" s="59"/>
      <c r="ER815" s="59"/>
      <c r="ES815" s="59"/>
      <c r="ET815" s="59"/>
      <c r="EU815" s="62">
        <f>ROUNDUP(EG815/EL815,2)</f>
        <v>0.47000000000000003</v>
      </c>
      <c r="EV815" s="59"/>
      <c r="EW815" s="59"/>
      <c r="EX815" s="59"/>
      <c r="EY815" s="59"/>
      <c r="EZ815" s="59"/>
      <c r="FA815" s="59"/>
      <c r="FB815" s="59"/>
      <c r="FC815" s="59"/>
      <c r="FD815" s="59"/>
      <c r="FE815" s="59"/>
      <c r="FF815" s="59"/>
      <c r="FG815" s="59"/>
      <c r="FH815" s="59"/>
      <c r="FI815" s="59"/>
      <c r="FJ815" s="59"/>
      <c r="FK815" s="59"/>
      <c r="FL815" s="59"/>
      <c r="FM815" s="59"/>
      <c r="FN815" s="59"/>
      <c r="FO815" s="59"/>
      <c r="FP815" s="59"/>
      <c r="FQ815" s="59"/>
      <c r="FR815" s="59"/>
      <c r="FS815" s="59"/>
      <c r="FT815" s="59"/>
      <c r="FU815" s="59"/>
      <c r="FV815" s="59"/>
      <c r="FW815" s="59"/>
      <c r="FX815" s="59"/>
      <c r="FY815" s="59"/>
      <c r="FZ815" s="59"/>
      <c r="GA815" s="59"/>
      <c r="GB815" s="59"/>
      <c r="GC815" s="59"/>
      <c r="GD815" s="59"/>
      <c r="GE815" s="59"/>
      <c r="GF815" s="59"/>
      <c r="GG815" s="59"/>
      <c r="GH815" s="59"/>
      <c r="GI815" s="59"/>
      <c r="GJ815" s="59"/>
      <c r="GK815" s="59"/>
      <c r="GL815" s="59"/>
      <c r="GM815" s="59"/>
      <c r="GN815" s="59"/>
      <c r="GO815" s="59"/>
      <c r="GP815" s="59"/>
      <c r="GQ815" s="59"/>
      <c r="GR815" s="61">
        <v>0.11</v>
      </c>
      <c r="GS815" s="69">
        <f t="shared" si="788"/>
        <v>0.26</v>
      </c>
      <c r="GT815" s="64">
        <v>1.2500000000000001E-2</v>
      </c>
      <c r="GU815" s="62">
        <f t="shared" si="789"/>
        <v>2.8623906250000004E-2</v>
      </c>
      <c r="GV815" s="61">
        <v>0.02</v>
      </c>
      <c r="GW815" s="62">
        <f t="shared" si="790"/>
        <v>9.4000000000000004E-3</v>
      </c>
      <c r="GX815" s="62">
        <f t="shared" si="791"/>
        <v>0.29802390625000003</v>
      </c>
      <c r="GY815" s="62" t="s">
        <v>43</v>
      </c>
      <c r="GZ815" s="62" t="s">
        <v>551</v>
      </c>
      <c r="HA815" s="59">
        <v>650</v>
      </c>
      <c r="HB815" s="59">
        <v>450</v>
      </c>
      <c r="HC815" s="59">
        <v>330</v>
      </c>
      <c r="HD815" s="59">
        <v>1400</v>
      </c>
      <c r="HE815" s="59">
        <v>200</v>
      </c>
      <c r="HF815" s="62">
        <f t="shared" si="792"/>
        <v>1</v>
      </c>
      <c r="HG815" s="59">
        <v>5</v>
      </c>
      <c r="HH815" s="62">
        <f t="shared" si="800"/>
        <v>5</v>
      </c>
      <c r="HI815" s="59">
        <v>650</v>
      </c>
      <c r="HJ815" s="62">
        <f t="shared" si="793"/>
        <v>3250</v>
      </c>
      <c r="HK815" s="59"/>
      <c r="HL815" s="59"/>
      <c r="HM815" s="59">
        <v>2</v>
      </c>
      <c r="HN815" s="62">
        <f t="shared" si="794"/>
        <v>120000</v>
      </c>
      <c r="HO815" s="62">
        <f t="shared" si="795"/>
        <v>2.7083333333333334E-2</v>
      </c>
      <c r="HP815" s="59">
        <v>160</v>
      </c>
      <c r="HQ815" s="59">
        <v>0</v>
      </c>
      <c r="HR815" s="59">
        <v>0</v>
      </c>
      <c r="HS815" s="59">
        <v>0</v>
      </c>
      <c r="HT815" s="59">
        <v>0</v>
      </c>
      <c r="HU815" s="59"/>
      <c r="HV815" s="62">
        <f t="shared" si="803"/>
        <v>0.03</v>
      </c>
      <c r="HW815" s="62"/>
      <c r="HX815" s="59">
        <v>4200</v>
      </c>
      <c r="HY815" s="59">
        <v>1900</v>
      </c>
      <c r="HZ815" s="59">
        <v>1975</v>
      </c>
      <c r="IA815" s="62">
        <f t="shared" si="796"/>
        <v>6</v>
      </c>
      <c r="IB815" s="62">
        <f t="shared" si="797"/>
        <v>4</v>
      </c>
      <c r="IC815" s="62">
        <f t="shared" si="798"/>
        <v>5</v>
      </c>
      <c r="ID815" s="61">
        <v>0.95</v>
      </c>
      <c r="IE815" s="62">
        <f>PRODUCT(IA815:ID815)</f>
        <v>114</v>
      </c>
      <c r="IF815" s="59">
        <v>500</v>
      </c>
      <c r="IG815" s="62">
        <f t="shared" ref="IG815:IG826" si="804">ROUNDUP(IF815/(IE815*HD815),2)</f>
        <v>0.01</v>
      </c>
      <c r="IH815" s="62"/>
    </row>
    <row r="816" spans="1:242" ht="30">
      <c r="A816">
        <v>801</v>
      </c>
      <c r="B816" t="s">
        <v>468</v>
      </c>
      <c r="C816" s="187" t="s">
        <v>2535</v>
      </c>
      <c r="D816" s="28" t="s">
        <v>1642</v>
      </c>
      <c r="E816" s="28" t="s">
        <v>1643</v>
      </c>
      <c r="F816" s="28" t="s">
        <v>2182</v>
      </c>
      <c r="G816" s="27" t="s">
        <v>108</v>
      </c>
      <c r="I816" s="27" t="s">
        <v>226</v>
      </c>
      <c r="J816" s="28">
        <v>21590</v>
      </c>
      <c r="K816" s="27" t="s">
        <v>397</v>
      </c>
      <c r="Q816" s="13" t="s">
        <v>2484</v>
      </c>
      <c r="R816" s="13" t="s">
        <v>1194</v>
      </c>
      <c r="S816" s="13" t="s">
        <v>2485</v>
      </c>
      <c r="T816" s="13"/>
      <c r="U816" s="13"/>
      <c r="V816" s="72" t="s">
        <v>2486</v>
      </c>
      <c r="W816" s="53" t="s">
        <v>2536</v>
      </c>
      <c r="AA816" t="s">
        <v>440</v>
      </c>
      <c r="AB816" s="66">
        <v>126.31</v>
      </c>
      <c r="AC816">
        <v>20</v>
      </c>
      <c r="AD816" t="s">
        <v>2537</v>
      </c>
      <c r="AE816" s="7">
        <f t="shared" si="770"/>
        <v>7.6912200000000004</v>
      </c>
      <c r="AF816" s="7">
        <f t="shared" si="771"/>
        <v>0</v>
      </c>
      <c r="AG816" s="7">
        <f t="shared" si="772"/>
        <v>4.0199999999999996</v>
      </c>
      <c r="AH816" s="7">
        <f t="shared" si="773"/>
        <v>0</v>
      </c>
      <c r="AI816" s="7">
        <f t="shared" si="774"/>
        <v>0</v>
      </c>
      <c r="AJ816" s="7">
        <f t="shared" si="775"/>
        <v>8.0399999999999999E-2</v>
      </c>
      <c r="AK816" s="7">
        <f t="shared" si="776"/>
        <v>0.14639025000000003</v>
      </c>
      <c r="AL816" s="7">
        <f t="shared" si="777"/>
        <v>1.29</v>
      </c>
      <c r="AM816" s="7">
        <f t="shared" si="778"/>
        <v>0.15000000000000002</v>
      </c>
      <c r="AN816" s="7">
        <f t="shared" si="779"/>
        <v>0.05</v>
      </c>
      <c r="AO816" s="7"/>
      <c r="AP816" s="7">
        <f t="shared" si="780"/>
        <v>0</v>
      </c>
      <c r="AQ816" s="7">
        <f t="shared" si="781"/>
        <v>13.428010250000002</v>
      </c>
      <c r="AR816" s="7"/>
      <c r="AS816" s="7"/>
      <c r="AT816" s="7"/>
      <c r="AU816" s="7">
        <f>13.46-13.43</f>
        <v>3.0000000000001137E-2</v>
      </c>
      <c r="AV816" s="7">
        <f t="shared" si="782"/>
        <v>13.458010250000003</v>
      </c>
      <c r="AW816" s="59">
        <v>6.2E-2</v>
      </c>
      <c r="AX816" s="59">
        <v>5.5E-2</v>
      </c>
      <c r="AY816" s="61">
        <v>1</v>
      </c>
      <c r="AZ816" s="69">
        <f t="shared" si="783"/>
        <v>6.9999999999999993E-3</v>
      </c>
      <c r="BA816" s="62">
        <f t="shared" si="799"/>
        <v>7.6912200000000004</v>
      </c>
      <c r="BB816" s="62"/>
      <c r="BC816" s="62"/>
      <c r="BD816" s="62"/>
      <c r="BE816" s="62"/>
      <c r="BF816" s="62"/>
      <c r="BG816" s="62"/>
      <c r="BH816" s="62"/>
      <c r="BI816" s="62"/>
      <c r="BJ816" s="62"/>
      <c r="BK816" s="62"/>
      <c r="BL816" s="62"/>
      <c r="BM816" s="62"/>
      <c r="BN816" s="62"/>
      <c r="BO816" s="62"/>
      <c r="BP816" s="62"/>
      <c r="BQ816" s="62"/>
      <c r="BR816" s="62"/>
      <c r="BS816" s="62"/>
      <c r="BT816" s="62"/>
      <c r="BU816" s="62"/>
      <c r="BV816" s="62"/>
      <c r="BW816" s="62"/>
      <c r="BX816" s="62"/>
      <c r="BY816" s="62"/>
      <c r="BZ816" s="62"/>
      <c r="CA816" s="62"/>
      <c r="CB816" s="62"/>
      <c r="CC816" s="62"/>
      <c r="CD816" s="59">
        <v>0</v>
      </c>
      <c r="CE816" s="62">
        <v>0</v>
      </c>
      <c r="CF816" s="62">
        <v>0</v>
      </c>
      <c r="CG816" s="62">
        <v>0</v>
      </c>
      <c r="CH816" s="62">
        <v>0</v>
      </c>
      <c r="CI816" s="59"/>
      <c r="CJ816" s="59"/>
      <c r="CK816" s="59"/>
      <c r="CL816" s="59"/>
      <c r="CM816" s="59"/>
      <c r="CN816" s="59"/>
      <c r="CO816" s="59"/>
      <c r="CP816" s="59"/>
      <c r="CQ816" s="59"/>
      <c r="CR816" s="59"/>
      <c r="CS816" s="59"/>
      <c r="CT816" s="59"/>
      <c r="CU816" s="59"/>
      <c r="CV816" s="59"/>
      <c r="CW816" s="59"/>
      <c r="CX816" s="59"/>
      <c r="CY816" s="59"/>
      <c r="CZ816" s="59"/>
      <c r="DA816" s="59"/>
      <c r="DB816" s="59"/>
      <c r="DC816" s="59"/>
      <c r="DD816" s="59"/>
      <c r="DE816" s="59"/>
      <c r="DF816" s="59"/>
      <c r="DG816" s="59"/>
      <c r="DH816" s="59"/>
      <c r="DI816" s="59"/>
      <c r="DJ816" s="59"/>
      <c r="DK816" s="59"/>
      <c r="DL816" s="59"/>
      <c r="DM816" s="62">
        <f t="shared" si="785"/>
        <v>0</v>
      </c>
      <c r="DN816" s="64">
        <v>1.2500000000000001E-2</v>
      </c>
      <c r="DO816" s="62">
        <f t="shared" si="802"/>
        <v>0</v>
      </c>
      <c r="DP816" s="62">
        <f t="shared" si="786"/>
        <v>0</v>
      </c>
      <c r="DQ816" s="59"/>
      <c r="DR816" s="59"/>
      <c r="DS816" s="59"/>
      <c r="DT816" s="59"/>
      <c r="DU816" s="59"/>
      <c r="DV816" s="59"/>
      <c r="DW816" s="59"/>
      <c r="DX816" s="59"/>
      <c r="DY816" s="59"/>
      <c r="DZ816" s="59"/>
      <c r="EA816" s="59"/>
      <c r="EB816" s="59"/>
      <c r="EC816" s="59"/>
      <c r="ED816" s="59"/>
      <c r="EE816" s="59"/>
      <c r="EF816" s="59">
        <v>260</v>
      </c>
      <c r="EG816" s="62">
        <v>2600</v>
      </c>
      <c r="EH816" s="62">
        <v>7.5</v>
      </c>
      <c r="EI816" s="61">
        <v>0.9</v>
      </c>
      <c r="EJ816" s="65">
        <v>2</v>
      </c>
      <c r="EK816" s="65">
        <v>75</v>
      </c>
      <c r="EL816" s="65">
        <f t="shared" si="787"/>
        <v>648</v>
      </c>
      <c r="EM816" s="59"/>
      <c r="EN816" s="59"/>
      <c r="EO816" s="59"/>
      <c r="EP816" s="59"/>
      <c r="EQ816" s="59"/>
      <c r="ER816" s="59"/>
      <c r="ES816" s="59"/>
      <c r="ET816" s="59"/>
      <c r="EU816" s="62">
        <f>ROUNDUP(EG816/EL816,2)</f>
        <v>4.0199999999999996</v>
      </c>
      <c r="EV816" s="59"/>
      <c r="EW816" s="59"/>
      <c r="EX816" s="59"/>
      <c r="EY816" s="59"/>
      <c r="EZ816" s="59"/>
      <c r="FA816" s="59"/>
      <c r="FB816" s="59"/>
      <c r="FC816" s="59"/>
      <c r="FD816" s="59"/>
      <c r="FE816" s="59"/>
      <c r="FF816" s="59"/>
      <c r="FG816" s="59"/>
      <c r="FH816" s="59"/>
      <c r="FI816" s="59"/>
      <c r="FJ816" s="59"/>
      <c r="FK816" s="59"/>
      <c r="FL816" s="59"/>
      <c r="FM816" s="59"/>
      <c r="FN816" s="59"/>
      <c r="FO816" s="59"/>
      <c r="FP816" s="59"/>
      <c r="FQ816" s="59"/>
      <c r="FR816" s="59"/>
      <c r="FS816" s="59"/>
      <c r="FT816" s="59"/>
      <c r="FU816" s="59"/>
      <c r="FV816" s="59"/>
      <c r="FW816" s="59"/>
      <c r="FX816" s="59"/>
      <c r="FY816" s="59"/>
      <c r="FZ816" s="59"/>
      <c r="GA816" s="59"/>
      <c r="GB816" s="59"/>
      <c r="GC816" s="59"/>
      <c r="GD816" s="59"/>
      <c r="GE816" s="59"/>
      <c r="GF816" s="59"/>
      <c r="GG816" s="59"/>
      <c r="GH816" s="59"/>
      <c r="GI816" s="59"/>
      <c r="GJ816" s="59"/>
      <c r="GK816" s="59"/>
      <c r="GL816" s="59"/>
      <c r="GM816" s="59"/>
      <c r="GN816" s="59"/>
      <c r="GO816" s="59"/>
      <c r="GP816" s="59"/>
      <c r="GQ816" s="59"/>
      <c r="GR816" s="61">
        <v>0.11</v>
      </c>
      <c r="GS816" s="69">
        <f t="shared" si="788"/>
        <v>1.29</v>
      </c>
      <c r="GT816" s="64">
        <v>1.2500000000000001E-2</v>
      </c>
      <c r="GU816" s="62">
        <f t="shared" si="789"/>
        <v>0.14639025000000003</v>
      </c>
      <c r="GV816" s="61">
        <v>0.02</v>
      </c>
      <c r="GW816" s="62">
        <f t="shared" si="790"/>
        <v>8.0399999999999999E-2</v>
      </c>
      <c r="GX816" s="62">
        <f t="shared" si="791"/>
        <v>1.5167902500000001</v>
      </c>
      <c r="GY816" s="62" t="s">
        <v>43</v>
      </c>
      <c r="GZ816" s="62" t="s">
        <v>551</v>
      </c>
      <c r="HA816" s="59">
        <v>650</v>
      </c>
      <c r="HB816" s="59">
        <v>450</v>
      </c>
      <c r="HC816" s="59">
        <v>330</v>
      </c>
      <c r="HD816" s="59">
        <v>108</v>
      </c>
      <c r="HE816" s="59">
        <v>200</v>
      </c>
      <c r="HF816" s="62">
        <f t="shared" si="792"/>
        <v>2</v>
      </c>
      <c r="HG816" s="59">
        <v>5</v>
      </c>
      <c r="HH816" s="62">
        <f t="shared" si="800"/>
        <v>10</v>
      </c>
      <c r="HI816" s="59">
        <v>650</v>
      </c>
      <c r="HJ816" s="62">
        <f t="shared" si="793"/>
        <v>6500</v>
      </c>
      <c r="HK816" s="59"/>
      <c r="HL816" s="59"/>
      <c r="HM816" s="59">
        <v>2</v>
      </c>
      <c r="HN816" s="62">
        <f t="shared" si="794"/>
        <v>120000</v>
      </c>
      <c r="HO816" s="62">
        <f t="shared" si="795"/>
        <v>5.4166666666666669E-2</v>
      </c>
      <c r="HP816" s="59">
        <v>160</v>
      </c>
      <c r="HQ816" s="59">
        <v>0</v>
      </c>
      <c r="HR816" s="59">
        <v>0.09</v>
      </c>
      <c r="HS816" s="59">
        <v>1</v>
      </c>
      <c r="HT816" s="62">
        <f>HR816/HS816</f>
        <v>0.09</v>
      </c>
      <c r="HU816" s="62"/>
      <c r="HV816" s="62">
        <f t="shared" si="803"/>
        <v>0.15000000000000002</v>
      </c>
      <c r="HW816" s="62"/>
      <c r="HX816" s="59">
        <v>4200</v>
      </c>
      <c r="HY816" s="59">
        <v>1900</v>
      </c>
      <c r="HZ816" s="59">
        <v>1975</v>
      </c>
      <c r="IA816" s="62">
        <f t="shared" si="796"/>
        <v>6</v>
      </c>
      <c r="IB816" s="62">
        <f t="shared" si="797"/>
        <v>4</v>
      </c>
      <c r="IC816" s="62">
        <f t="shared" si="798"/>
        <v>5</v>
      </c>
      <c r="ID816" s="61">
        <v>0.95</v>
      </c>
      <c r="IE816" s="62">
        <f>PRODUCT(IA816:ID816)</f>
        <v>114</v>
      </c>
      <c r="IF816" s="59">
        <v>500</v>
      </c>
      <c r="IG816" s="62">
        <f t="shared" si="804"/>
        <v>0.05</v>
      </c>
      <c r="IH816" s="62"/>
    </row>
    <row r="817" spans="1:242" ht="30">
      <c r="A817">
        <v>802</v>
      </c>
      <c r="B817" t="s">
        <v>468</v>
      </c>
      <c r="C817" s="187" t="s">
        <v>2538</v>
      </c>
      <c r="D817" s="28" t="s">
        <v>1644</v>
      </c>
      <c r="E817" s="28" t="s">
        <v>1645</v>
      </c>
      <c r="F817" s="28" t="s">
        <v>2182</v>
      </c>
      <c r="G817" s="27" t="s">
        <v>108</v>
      </c>
      <c r="I817" s="27" t="s">
        <v>226</v>
      </c>
      <c r="J817" s="28">
        <v>21590</v>
      </c>
      <c r="K817" s="27" t="s">
        <v>397</v>
      </c>
      <c r="Q817" s="13" t="s">
        <v>2484</v>
      </c>
      <c r="R817" s="13" t="s">
        <v>1194</v>
      </c>
      <c r="S817" s="13" t="s">
        <v>2485</v>
      </c>
      <c r="T817" s="13"/>
      <c r="U817" s="13"/>
      <c r="V817" s="72" t="s">
        <v>2486</v>
      </c>
      <c r="W817" s="53" t="s">
        <v>2539</v>
      </c>
      <c r="AA817" t="s">
        <v>2392</v>
      </c>
      <c r="AB817" s="66">
        <v>238.5</v>
      </c>
      <c r="AC817">
        <v>20</v>
      </c>
      <c r="AD817" t="s">
        <v>2537</v>
      </c>
      <c r="AE817" s="7">
        <f t="shared" si="770"/>
        <v>18.781500000000001</v>
      </c>
      <c r="AF817" s="7">
        <f t="shared" si="771"/>
        <v>0</v>
      </c>
      <c r="AG817" s="7">
        <f t="shared" si="772"/>
        <v>2.4699999999999998</v>
      </c>
      <c r="AH817" s="7">
        <f t="shared" si="773"/>
        <v>0</v>
      </c>
      <c r="AI817" s="7">
        <f t="shared" si="774"/>
        <v>0</v>
      </c>
      <c r="AJ817" s="7">
        <f t="shared" si="775"/>
        <v>4.9399999999999999E-2</v>
      </c>
      <c r="AK817" s="7">
        <f t="shared" si="776"/>
        <v>0.26564375000000001</v>
      </c>
      <c r="AL817" s="7">
        <f t="shared" si="777"/>
        <v>2.34</v>
      </c>
      <c r="AM817" s="7">
        <f t="shared" si="778"/>
        <v>6.0000000000000005E-2</v>
      </c>
      <c r="AN817" s="7">
        <f t="shared" si="779"/>
        <v>0.04</v>
      </c>
      <c r="AO817" s="7"/>
      <c r="AP817" s="7">
        <f t="shared" si="780"/>
        <v>0</v>
      </c>
      <c r="AQ817" s="7">
        <f t="shared" si="781"/>
        <v>24.006543749999995</v>
      </c>
      <c r="AR817" s="7"/>
      <c r="AS817" s="7"/>
      <c r="AT817" s="7"/>
      <c r="AU817" s="7">
        <f>24.03-24.01</f>
        <v>1.9999999999999574E-2</v>
      </c>
      <c r="AV817" s="7">
        <f t="shared" si="782"/>
        <v>24.026543749999995</v>
      </c>
      <c r="AW817" s="59">
        <v>7.9000000000000001E-2</v>
      </c>
      <c r="AX817" s="59">
        <v>7.5999999999999998E-2</v>
      </c>
      <c r="AY817" s="61">
        <v>1</v>
      </c>
      <c r="AZ817" s="69">
        <f t="shared" si="783"/>
        <v>3.0000000000000027E-3</v>
      </c>
      <c r="BA817" s="62">
        <f t="shared" si="799"/>
        <v>18.781500000000001</v>
      </c>
      <c r="BB817" s="62"/>
      <c r="BC817" s="62"/>
      <c r="BD817" s="62"/>
      <c r="BE817" s="62"/>
      <c r="BF817" s="62"/>
      <c r="BG817" s="62"/>
      <c r="BH817" s="62"/>
      <c r="BI817" s="62"/>
      <c r="BJ817" s="62"/>
      <c r="BK817" s="62"/>
      <c r="BL817" s="62"/>
      <c r="BM817" s="62"/>
      <c r="BN817" s="62"/>
      <c r="BO817" s="62"/>
      <c r="BP817" s="62"/>
      <c r="BQ817" s="62"/>
      <c r="BR817" s="62"/>
      <c r="BS817" s="62"/>
      <c r="BT817" s="62"/>
      <c r="BU817" s="62"/>
      <c r="BV817" s="62"/>
      <c r="BW817" s="62"/>
      <c r="BX817" s="62"/>
      <c r="BY817" s="62"/>
      <c r="BZ817" s="62"/>
      <c r="CA817" s="62"/>
      <c r="CB817" s="62"/>
      <c r="CC817" s="62"/>
      <c r="CD817" s="59">
        <v>0</v>
      </c>
      <c r="CE817" s="62">
        <v>0</v>
      </c>
      <c r="CF817" s="62">
        <v>0</v>
      </c>
      <c r="CG817" s="62">
        <v>0</v>
      </c>
      <c r="CH817" s="62">
        <v>0</v>
      </c>
      <c r="CI817" s="59"/>
      <c r="CJ817" s="59"/>
      <c r="CK817" s="59"/>
      <c r="CL817" s="59"/>
      <c r="CM817" s="59"/>
      <c r="CN817" s="59"/>
      <c r="CO817" s="59"/>
      <c r="CP817" s="59"/>
      <c r="CQ817" s="59"/>
      <c r="CR817" s="59"/>
      <c r="CS817" s="59"/>
      <c r="CT817" s="59"/>
      <c r="CU817" s="59"/>
      <c r="CV817" s="59"/>
      <c r="CW817" s="59"/>
      <c r="CX817" s="59"/>
      <c r="CY817" s="59"/>
      <c r="CZ817" s="59"/>
      <c r="DA817" s="59"/>
      <c r="DB817" s="59"/>
      <c r="DC817" s="59"/>
      <c r="DD817" s="59"/>
      <c r="DE817" s="59"/>
      <c r="DF817" s="59"/>
      <c r="DG817" s="59"/>
      <c r="DH817" s="59"/>
      <c r="DI817" s="59"/>
      <c r="DJ817" s="59"/>
      <c r="DK817" s="59"/>
      <c r="DL817" s="59"/>
      <c r="DM817" s="62">
        <f t="shared" si="785"/>
        <v>0</v>
      </c>
      <c r="DN817" s="64">
        <v>1.2500000000000001E-2</v>
      </c>
      <c r="DO817" s="62">
        <f t="shared" si="802"/>
        <v>0</v>
      </c>
      <c r="DP817" s="62">
        <f t="shared" si="786"/>
        <v>0</v>
      </c>
      <c r="DQ817" s="59"/>
      <c r="DR817" s="59"/>
      <c r="DS817" s="59"/>
      <c r="DT817" s="59"/>
      <c r="DU817" s="59"/>
      <c r="DV817" s="59"/>
      <c r="DW817" s="59"/>
      <c r="DX817" s="59"/>
      <c r="DY817" s="59"/>
      <c r="DZ817" s="59"/>
      <c r="EA817" s="59"/>
      <c r="EB817" s="59"/>
      <c r="EC817" s="59"/>
      <c r="ED817" s="59"/>
      <c r="EE817" s="59"/>
      <c r="EF817" s="59">
        <v>200</v>
      </c>
      <c r="EG817" s="62">
        <v>2000</v>
      </c>
      <c r="EH817" s="62">
        <v>7.5</v>
      </c>
      <c r="EI817" s="61">
        <v>0.9</v>
      </c>
      <c r="EJ817" s="65">
        <v>2</v>
      </c>
      <c r="EK817" s="65">
        <v>60</v>
      </c>
      <c r="EL817" s="65">
        <f t="shared" si="787"/>
        <v>810</v>
      </c>
      <c r="EM817" s="59"/>
      <c r="EN817" s="59"/>
      <c r="EO817" s="59"/>
      <c r="EP817" s="59"/>
      <c r="EQ817" s="59"/>
      <c r="ER817" s="59"/>
      <c r="ES817" s="59"/>
      <c r="ET817" s="59"/>
      <c r="EU817" s="62">
        <f>ROUNDUP(EG817/EL817,2)</f>
        <v>2.4699999999999998</v>
      </c>
      <c r="EV817" s="59"/>
      <c r="EW817" s="59"/>
      <c r="EX817" s="59"/>
      <c r="EY817" s="59"/>
      <c r="EZ817" s="59"/>
      <c r="FA817" s="59"/>
      <c r="FB817" s="59"/>
      <c r="FC817" s="59"/>
      <c r="FD817" s="59"/>
      <c r="FE817" s="59"/>
      <c r="FF817" s="59"/>
      <c r="FG817" s="59"/>
      <c r="FH817" s="59"/>
      <c r="FI817" s="59"/>
      <c r="FJ817" s="59"/>
      <c r="FK817" s="59"/>
      <c r="FL817" s="59"/>
      <c r="FM817" s="59"/>
      <c r="FN817" s="59"/>
      <c r="FO817" s="59"/>
      <c r="FP817" s="59"/>
      <c r="FQ817" s="59"/>
      <c r="FR817" s="59"/>
      <c r="FS817" s="59"/>
      <c r="FT817" s="59"/>
      <c r="FU817" s="59"/>
      <c r="FV817" s="59"/>
      <c r="FW817" s="59"/>
      <c r="FX817" s="59"/>
      <c r="FY817" s="59"/>
      <c r="FZ817" s="59"/>
      <c r="GA817" s="59"/>
      <c r="GB817" s="59"/>
      <c r="GC817" s="59"/>
      <c r="GD817" s="59"/>
      <c r="GE817" s="59"/>
      <c r="GF817" s="59"/>
      <c r="GG817" s="59"/>
      <c r="GH817" s="59"/>
      <c r="GI817" s="59"/>
      <c r="GJ817" s="59"/>
      <c r="GK817" s="59"/>
      <c r="GL817" s="59"/>
      <c r="GM817" s="59"/>
      <c r="GN817" s="59"/>
      <c r="GO817" s="59"/>
      <c r="GP817" s="59"/>
      <c r="GQ817" s="59"/>
      <c r="GR817" s="61">
        <v>0.11</v>
      </c>
      <c r="GS817" s="69">
        <f t="shared" si="788"/>
        <v>2.34</v>
      </c>
      <c r="GT817" s="64">
        <v>1.2500000000000001E-2</v>
      </c>
      <c r="GU817" s="62">
        <f t="shared" si="789"/>
        <v>0.26564375000000001</v>
      </c>
      <c r="GV817" s="61">
        <v>0.02</v>
      </c>
      <c r="GW817" s="62">
        <f t="shared" si="790"/>
        <v>4.9399999999999999E-2</v>
      </c>
      <c r="GX817" s="62">
        <f t="shared" si="791"/>
        <v>2.6550437499999999</v>
      </c>
      <c r="GY817" s="62" t="s">
        <v>43</v>
      </c>
      <c r="GZ817" s="62" t="s">
        <v>551</v>
      </c>
      <c r="HA817" s="59">
        <v>650</v>
      </c>
      <c r="HB817" s="59">
        <v>450</v>
      </c>
      <c r="HC817" s="59">
        <v>330</v>
      </c>
      <c r="HD817" s="59">
        <v>120</v>
      </c>
      <c r="HE817" s="59">
        <v>400</v>
      </c>
      <c r="HF817" s="62">
        <f t="shared" si="792"/>
        <v>4</v>
      </c>
      <c r="HG817" s="59">
        <v>5</v>
      </c>
      <c r="HH817" s="62">
        <f t="shared" si="800"/>
        <v>20</v>
      </c>
      <c r="HI817" s="59">
        <v>650</v>
      </c>
      <c r="HJ817" s="62">
        <f t="shared" si="793"/>
        <v>13000</v>
      </c>
      <c r="HK817" s="59"/>
      <c r="HL817" s="59"/>
      <c r="HM817" s="59">
        <v>2</v>
      </c>
      <c r="HN817" s="62">
        <f t="shared" si="794"/>
        <v>240000</v>
      </c>
      <c r="HO817" s="62">
        <f t="shared" si="795"/>
        <v>5.4166666666666669E-2</v>
      </c>
      <c r="HP817" s="59">
        <v>160</v>
      </c>
      <c r="HQ817" s="59">
        <v>0</v>
      </c>
      <c r="HR817" s="59">
        <v>0</v>
      </c>
      <c r="HS817" s="59">
        <v>0</v>
      </c>
      <c r="HT817" s="62">
        <v>0</v>
      </c>
      <c r="HU817" s="62"/>
      <c r="HV817" s="62">
        <f t="shared" si="803"/>
        <v>6.0000000000000005E-2</v>
      </c>
      <c r="HW817" s="62"/>
      <c r="HX817" s="59">
        <v>4200</v>
      </c>
      <c r="HY817" s="59">
        <v>1900</v>
      </c>
      <c r="HZ817" s="59">
        <v>1975</v>
      </c>
      <c r="IA817" s="62">
        <f t="shared" si="796"/>
        <v>6</v>
      </c>
      <c r="IB817" s="62">
        <f t="shared" si="797"/>
        <v>4</v>
      </c>
      <c r="IC817" s="62">
        <f t="shared" si="798"/>
        <v>5</v>
      </c>
      <c r="ID817" s="61">
        <v>0.95</v>
      </c>
      <c r="IE817" s="62">
        <f>PRODUCT(IA817:ID817)</f>
        <v>114</v>
      </c>
      <c r="IF817" s="59">
        <v>500</v>
      </c>
      <c r="IG817" s="62">
        <f t="shared" si="804"/>
        <v>0.04</v>
      </c>
      <c r="IH817" s="62"/>
    </row>
    <row r="818" spans="1:242" ht="30">
      <c r="A818">
        <v>803</v>
      </c>
      <c r="B818" t="s">
        <v>468</v>
      </c>
      <c r="C818" s="187" t="s">
        <v>2540</v>
      </c>
      <c r="D818" s="28" t="s">
        <v>1646</v>
      </c>
      <c r="E818" s="28" t="s">
        <v>1647</v>
      </c>
      <c r="F818" s="28" t="s">
        <v>2182</v>
      </c>
      <c r="G818" s="27" t="s">
        <v>108</v>
      </c>
      <c r="I818" s="27" t="s">
        <v>226</v>
      </c>
      <c r="J818" s="28">
        <v>21590</v>
      </c>
      <c r="K818" s="27" t="s">
        <v>397</v>
      </c>
      <c r="Q818" s="13" t="s">
        <v>2484</v>
      </c>
      <c r="R818" s="13" t="s">
        <v>1194</v>
      </c>
      <c r="S818" s="13" t="s">
        <v>2485</v>
      </c>
      <c r="T818" s="13"/>
      <c r="U818" s="13"/>
      <c r="V818" s="72" t="s">
        <v>2486</v>
      </c>
      <c r="W818" s="53" t="s">
        <v>2539</v>
      </c>
      <c r="AA818" t="s">
        <v>2392</v>
      </c>
      <c r="AB818" s="66">
        <v>238.5</v>
      </c>
      <c r="AC818">
        <v>20</v>
      </c>
      <c r="AD818" t="s">
        <v>2537</v>
      </c>
      <c r="AE818" s="7">
        <f t="shared" si="770"/>
        <v>14.917799999999998</v>
      </c>
      <c r="AF818" s="7">
        <f t="shared" si="771"/>
        <v>0</v>
      </c>
      <c r="AG818" s="7">
        <f t="shared" si="772"/>
        <v>2.4699999999999998</v>
      </c>
      <c r="AH818" s="7">
        <f t="shared" si="773"/>
        <v>0</v>
      </c>
      <c r="AI818" s="7">
        <f t="shared" si="774"/>
        <v>0</v>
      </c>
      <c r="AJ818" s="7">
        <f t="shared" si="775"/>
        <v>4.9399999999999999E-2</v>
      </c>
      <c r="AK818" s="7">
        <f t="shared" si="776"/>
        <v>0.2173475</v>
      </c>
      <c r="AL818" s="7">
        <f t="shared" si="777"/>
        <v>1.92</v>
      </c>
      <c r="AM818" s="7">
        <f t="shared" si="778"/>
        <v>0.03</v>
      </c>
      <c r="AN818" s="7">
        <f t="shared" si="779"/>
        <v>0.03</v>
      </c>
      <c r="AO818" s="7"/>
      <c r="AP818" s="7">
        <f t="shared" si="780"/>
        <v>0</v>
      </c>
      <c r="AQ818" s="7">
        <f t="shared" si="781"/>
        <v>19.634547499999996</v>
      </c>
      <c r="AR818" s="7"/>
      <c r="AS818" s="7"/>
      <c r="AT818" s="7"/>
      <c r="AU818" s="7">
        <f>19.65-19.63</f>
        <v>1.9999999999999574E-2</v>
      </c>
      <c r="AV818" s="7">
        <f t="shared" si="782"/>
        <v>19.654547499999996</v>
      </c>
      <c r="AW818" s="59">
        <v>6.2799999999999995E-2</v>
      </c>
      <c r="AX818" s="59">
        <v>5.9799999999999999E-2</v>
      </c>
      <c r="AY818" s="61">
        <v>1</v>
      </c>
      <c r="AZ818" s="69">
        <f t="shared" si="783"/>
        <v>2.9999999999999957E-3</v>
      </c>
      <c r="BA818" s="62">
        <f t="shared" si="799"/>
        <v>14.917799999999998</v>
      </c>
      <c r="BB818" s="62"/>
      <c r="BC818" s="62"/>
      <c r="BD818" s="62"/>
      <c r="BE818" s="62"/>
      <c r="BF818" s="62"/>
      <c r="BG818" s="62"/>
      <c r="BH818" s="62"/>
      <c r="BI818" s="62"/>
      <c r="BJ818" s="62"/>
      <c r="BK818" s="62"/>
      <c r="BL818" s="62"/>
      <c r="BM818" s="62"/>
      <c r="BN818" s="62"/>
      <c r="BO818" s="62"/>
      <c r="BP818" s="62"/>
      <c r="BQ818" s="62"/>
      <c r="BR818" s="62"/>
      <c r="BS818" s="62"/>
      <c r="BT818" s="62"/>
      <c r="BU818" s="62"/>
      <c r="BV818" s="62"/>
      <c r="BW818" s="62"/>
      <c r="BX818" s="62"/>
      <c r="BY818" s="62"/>
      <c r="BZ818" s="62"/>
      <c r="CA818" s="62"/>
      <c r="CB818" s="62"/>
      <c r="CC818" s="62"/>
      <c r="CD818" s="59">
        <v>0</v>
      </c>
      <c r="CE818" s="62">
        <v>0</v>
      </c>
      <c r="CF818" s="62">
        <v>0</v>
      </c>
      <c r="CG818" s="62">
        <v>0</v>
      </c>
      <c r="CH818" s="62">
        <v>0</v>
      </c>
      <c r="CI818" s="59"/>
      <c r="CJ818" s="59"/>
      <c r="CK818" s="59"/>
      <c r="CL818" s="59"/>
      <c r="CM818" s="59"/>
      <c r="CN818" s="59"/>
      <c r="CO818" s="59"/>
      <c r="CP818" s="59"/>
      <c r="CQ818" s="59"/>
      <c r="CR818" s="59"/>
      <c r="CS818" s="59"/>
      <c r="CT818" s="59"/>
      <c r="CU818" s="59"/>
      <c r="CV818" s="59"/>
      <c r="CW818" s="59"/>
      <c r="CX818" s="59"/>
      <c r="CY818" s="59"/>
      <c r="CZ818" s="59"/>
      <c r="DA818" s="59"/>
      <c r="DB818" s="59"/>
      <c r="DC818" s="59"/>
      <c r="DD818" s="59"/>
      <c r="DE818" s="59"/>
      <c r="DF818" s="59"/>
      <c r="DG818" s="59"/>
      <c r="DH818" s="59"/>
      <c r="DI818" s="59"/>
      <c r="DJ818" s="59"/>
      <c r="DK818" s="59"/>
      <c r="DL818" s="59"/>
      <c r="DM818" s="62">
        <f t="shared" si="785"/>
        <v>0</v>
      </c>
      <c r="DN818" s="64">
        <v>1.2500000000000001E-2</v>
      </c>
      <c r="DO818" s="62">
        <f t="shared" si="802"/>
        <v>0</v>
      </c>
      <c r="DP818" s="62">
        <f t="shared" si="786"/>
        <v>0</v>
      </c>
      <c r="DQ818" s="59"/>
      <c r="DR818" s="59"/>
      <c r="DS818" s="59"/>
      <c r="DT818" s="59"/>
      <c r="DU818" s="59"/>
      <c r="DV818" s="59"/>
      <c r="DW818" s="59"/>
      <c r="DX818" s="59"/>
      <c r="DY818" s="59"/>
      <c r="DZ818" s="59"/>
      <c r="EA818" s="59"/>
      <c r="EB818" s="59"/>
      <c r="EC818" s="59"/>
      <c r="ED818" s="59"/>
      <c r="EE818" s="59"/>
      <c r="EF818" s="59">
        <v>200</v>
      </c>
      <c r="EG818" s="62">
        <v>2000</v>
      </c>
      <c r="EH818" s="62">
        <v>7.5</v>
      </c>
      <c r="EI818" s="61">
        <v>0.9</v>
      </c>
      <c r="EJ818" s="65">
        <v>2</v>
      </c>
      <c r="EK818" s="65">
        <v>60</v>
      </c>
      <c r="EL818" s="65">
        <f t="shared" si="787"/>
        <v>810</v>
      </c>
      <c r="EM818" s="59"/>
      <c r="EN818" s="59"/>
      <c r="EO818" s="59"/>
      <c r="EP818" s="59"/>
      <c r="EQ818" s="59"/>
      <c r="ER818" s="59"/>
      <c r="ES818" s="59"/>
      <c r="ET818" s="59"/>
      <c r="EU818" s="62">
        <f>ROUNDUP(EG818/EL818,2)</f>
        <v>2.4699999999999998</v>
      </c>
      <c r="EV818" s="59"/>
      <c r="EW818" s="59"/>
      <c r="EX818" s="59"/>
      <c r="EY818" s="59"/>
      <c r="EZ818" s="59"/>
      <c r="FA818" s="59"/>
      <c r="FB818" s="59"/>
      <c r="FC818" s="59"/>
      <c r="FD818" s="59"/>
      <c r="FE818" s="59"/>
      <c r="FF818" s="59"/>
      <c r="FG818" s="59"/>
      <c r="FH818" s="59"/>
      <c r="FI818" s="59"/>
      <c r="FJ818" s="59"/>
      <c r="FK818" s="59"/>
      <c r="FL818" s="59"/>
      <c r="FM818" s="59"/>
      <c r="FN818" s="59"/>
      <c r="FO818" s="59"/>
      <c r="FP818" s="59"/>
      <c r="FQ818" s="59"/>
      <c r="FR818" s="59"/>
      <c r="FS818" s="59"/>
      <c r="FT818" s="59"/>
      <c r="FU818" s="59"/>
      <c r="FV818" s="59"/>
      <c r="FW818" s="59"/>
      <c r="FX818" s="59"/>
      <c r="FY818" s="59"/>
      <c r="FZ818" s="59"/>
      <c r="GA818" s="59"/>
      <c r="GB818" s="59"/>
      <c r="GC818" s="59"/>
      <c r="GD818" s="59"/>
      <c r="GE818" s="59"/>
      <c r="GF818" s="59"/>
      <c r="GG818" s="59"/>
      <c r="GH818" s="59"/>
      <c r="GI818" s="59"/>
      <c r="GJ818" s="59"/>
      <c r="GK818" s="59"/>
      <c r="GL818" s="59"/>
      <c r="GM818" s="59"/>
      <c r="GN818" s="59"/>
      <c r="GO818" s="59"/>
      <c r="GP818" s="59"/>
      <c r="GQ818" s="59"/>
      <c r="GR818" s="61">
        <v>0.11</v>
      </c>
      <c r="GS818" s="69">
        <f t="shared" si="788"/>
        <v>1.92</v>
      </c>
      <c r="GT818" s="64">
        <v>1.2500000000000001E-2</v>
      </c>
      <c r="GU818" s="62">
        <f t="shared" si="789"/>
        <v>0.2173475</v>
      </c>
      <c r="GV818" s="61">
        <v>0.02</v>
      </c>
      <c r="GW818" s="62">
        <f t="shared" si="790"/>
        <v>4.9399999999999999E-2</v>
      </c>
      <c r="GX818" s="62">
        <f t="shared" si="791"/>
        <v>2.1867474999999996</v>
      </c>
      <c r="GY818" s="62" t="s">
        <v>43</v>
      </c>
      <c r="GZ818" s="62" t="s">
        <v>551</v>
      </c>
      <c r="HA818" s="59">
        <v>650</v>
      </c>
      <c r="HB818" s="59">
        <v>450</v>
      </c>
      <c r="HC818" s="59">
        <v>330</v>
      </c>
      <c r="HD818" s="59">
        <v>209</v>
      </c>
      <c r="HE818" s="59">
        <v>400</v>
      </c>
      <c r="HF818" s="62">
        <f t="shared" si="792"/>
        <v>2</v>
      </c>
      <c r="HG818" s="59">
        <v>5</v>
      </c>
      <c r="HH818" s="62">
        <f t="shared" si="800"/>
        <v>10</v>
      </c>
      <c r="HI818" s="59">
        <v>650</v>
      </c>
      <c r="HJ818" s="62">
        <f t="shared" si="793"/>
        <v>6500</v>
      </c>
      <c r="HK818" s="59"/>
      <c r="HL818" s="59"/>
      <c r="HM818" s="59">
        <v>2</v>
      </c>
      <c r="HN818" s="62">
        <f t="shared" si="794"/>
        <v>240000</v>
      </c>
      <c r="HO818" s="62">
        <f t="shared" si="795"/>
        <v>2.7083333333333334E-2</v>
      </c>
      <c r="HP818" s="59">
        <v>160</v>
      </c>
      <c r="HQ818" s="59">
        <v>0</v>
      </c>
      <c r="HR818" s="59">
        <v>0</v>
      </c>
      <c r="HS818" s="59">
        <v>0</v>
      </c>
      <c r="HT818" s="59">
        <v>0</v>
      </c>
      <c r="HU818" s="59"/>
      <c r="HV818" s="62">
        <f t="shared" si="803"/>
        <v>0.03</v>
      </c>
      <c r="HW818" s="62"/>
      <c r="HX818" s="59">
        <v>4200</v>
      </c>
      <c r="HY818" s="59">
        <v>1900</v>
      </c>
      <c r="HZ818" s="59">
        <v>1975</v>
      </c>
      <c r="IA818" s="62">
        <f t="shared" si="796"/>
        <v>6</v>
      </c>
      <c r="IB818" s="62">
        <f t="shared" si="797"/>
        <v>4</v>
      </c>
      <c r="IC818" s="62">
        <f t="shared" si="798"/>
        <v>5</v>
      </c>
      <c r="ID818" s="61">
        <v>0.95</v>
      </c>
      <c r="IE818" s="62">
        <f>PRODUCT(IA818:ID818)</f>
        <v>114</v>
      </c>
      <c r="IF818" s="59">
        <v>500</v>
      </c>
      <c r="IG818" s="62">
        <f t="shared" si="804"/>
        <v>0.03</v>
      </c>
      <c r="IH818" s="62"/>
    </row>
    <row r="819" spans="1:242" ht="30">
      <c r="A819">
        <v>804</v>
      </c>
      <c r="B819" t="s">
        <v>468</v>
      </c>
      <c r="C819" s="187" t="s">
        <v>2541</v>
      </c>
      <c r="D819" s="28" t="s">
        <v>1648</v>
      </c>
      <c r="E819" s="28" t="s">
        <v>1649</v>
      </c>
      <c r="F819" s="28" t="s">
        <v>2182</v>
      </c>
      <c r="G819" s="27" t="s">
        <v>108</v>
      </c>
      <c r="I819" s="27" t="s">
        <v>226</v>
      </c>
      <c r="J819" s="28">
        <v>21590</v>
      </c>
      <c r="K819" s="27" t="s">
        <v>397</v>
      </c>
      <c r="Q819" s="13" t="s">
        <v>2484</v>
      </c>
      <c r="R819" s="13" t="s">
        <v>1194</v>
      </c>
      <c r="S819" s="13" t="s">
        <v>2485</v>
      </c>
      <c r="T819" s="13"/>
      <c r="U819" s="13"/>
      <c r="V819" s="72" t="s">
        <v>2486</v>
      </c>
      <c r="W819" s="53" t="s">
        <v>2539</v>
      </c>
      <c r="AA819" t="s">
        <v>2490</v>
      </c>
      <c r="AB819" s="66">
        <v>129.33000000000001</v>
      </c>
      <c r="AC819">
        <v>20</v>
      </c>
      <c r="AD819" t="s">
        <v>2537</v>
      </c>
      <c r="AE819" s="7">
        <f t="shared" si="770"/>
        <v>4.6617460000000008</v>
      </c>
      <c r="AF819" s="7">
        <f t="shared" si="771"/>
        <v>0</v>
      </c>
      <c r="AG819" s="7">
        <f t="shared" si="772"/>
        <v>1.82</v>
      </c>
      <c r="AH819" s="7">
        <f t="shared" si="773"/>
        <v>0</v>
      </c>
      <c r="AI819" s="7">
        <f t="shared" si="774"/>
        <v>0</v>
      </c>
      <c r="AJ819" s="7">
        <f t="shared" si="775"/>
        <v>3.6400000000000002E-2</v>
      </c>
      <c r="AK819" s="7">
        <f t="shared" si="776"/>
        <v>0.09</v>
      </c>
      <c r="AL819" s="7">
        <f t="shared" si="777"/>
        <v>0.72</v>
      </c>
      <c r="AM819" s="7">
        <f t="shared" si="778"/>
        <v>6.0000000000000005E-2</v>
      </c>
      <c r="AN819" s="7">
        <f t="shared" si="779"/>
        <v>0.04</v>
      </c>
      <c r="AO819" s="7"/>
      <c r="AP819" s="7">
        <f t="shared" si="780"/>
        <v>0</v>
      </c>
      <c r="AQ819" s="7">
        <f t="shared" si="781"/>
        <v>7.4281460000000008</v>
      </c>
      <c r="AR819" s="7"/>
      <c r="AS819" s="7"/>
      <c r="AT819" s="7"/>
      <c r="AU819" s="7">
        <f>7.45-7.43</f>
        <v>2.0000000000000462E-2</v>
      </c>
      <c r="AV819" s="7">
        <f t="shared" si="782"/>
        <v>7.4481460000000013</v>
      </c>
      <c r="AW819" s="59">
        <v>3.6200000000000003E-2</v>
      </c>
      <c r="AX819" s="59">
        <v>3.5200000000000002E-2</v>
      </c>
      <c r="AY819" s="61">
        <v>1</v>
      </c>
      <c r="AZ819" s="69">
        <f t="shared" si="783"/>
        <v>1.0000000000000009E-3</v>
      </c>
      <c r="BA819" s="62">
        <f t="shared" si="799"/>
        <v>4.6617460000000008</v>
      </c>
      <c r="BB819" s="62"/>
      <c r="BC819" s="62"/>
      <c r="BD819" s="62"/>
      <c r="BE819" s="62"/>
      <c r="BF819" s="62"/>
      <c r="BG819" s="62"/>
      <c r="BH819" s="62"/>
      <c r="BI819" s="62"/>
      <c r="BJ819" s="62"/>
      <c r="BK819" s="62"/>
      <c r="BL819" s="62"/>
      <c r="BM819" s="62"/>
      <c r="BN819" s="62"/>
      <c r="BO819" s="62"/>
      <c r="BP819" s="62"/>
      <c r="BQ819" s="62"/>
      <c r="BR819" s="62"/>
      <c r="BS819" s="62"/>
      <c r="BT819" s="62"/>
      <c r="BU819" s="62"/>
      <c r="BV819" s="62"/>
      <c r="BW819" s="62"/>
      <c r="BX819" s="62"/>
      <c r="BY819" s="62"/>
      <c r="BZ819" s="62"/>
      <c r="CA819" s="62"/>
      <c r="CB819" s="62"/>
      <c r="CC819" s="62"/>
      <c r="CD819" s="59">
        <v>0</v>
      </c>
      <c r="CE819" s="62">
        <v>0</v>
      </c>
      <c r="CF819" s="62">
        <v>0</v>
      </c>
      <c r="CG819" s="62">
        <v>0</v>
      </c>
      <c r="CH819" s="62">
        <v>0</v>
      </c>
      <c r="CI819" s="59"/>
      <c r="CJ819" s="59"/>
      <c r="CK819" s="59"/>
      <c r="CL819" s="59"/>
      <c r="CM819" s="59"/>
      <c r="CN819" s="59"/>
      <c r="CO819" s="59"/>
      <c r="CP819" s="59"/>
      <c r="CQ819" s="59"/>
      <c r="CR819" s="59"/>
      <c r="CS819" s="59"/>
      <c r="CT819" s="59"/>
      <c r="CU819" s="59"/>
      <c r="CV819" s="59"/>
      <c r="CW819" s="59"/>
      <c r="CX819" s="59"/>
      <c r="CY819" s="59"/>
      <c r="CZ819" s="59"/>
      <c r="DA819" s="59"/>
      <c r="DB819" s="59"/>
      <c r="DC819" s="59"/>
      <c r="DD819" s="59"/>
      <c r="DE819" s="59"/>
      <c r="DF819" s="59"/>
      <c r="DG819" s="59"/>
      <c r="DH819" s="59"/>
      <c r="DI819" s="59"/>
      <c r="DJ819" s="59"/>
      <c r="DK819" s="59"/>
      <c r="DL819" s="59"/>
      <c r="DM819" s="62">
        <f t="shared" si="785"/>
        <v>0</v>
      </c>
      <c r="DN819" s="64">
        <v>1.2500000000000001E-2</v>
      </c>
      <c r="DO819" s="62">
        <f t="shared" si="802"/>
        <v>0</v>
      </c>
      <c r="DP819" s="62">
        <f t="shared" si="786"/>
        <v>0</v>
      </c>
      <c r="DQ819" s="59"/>
      <c r="DR819" s="59"/>
      <c r="DS819" s="59"/>
      <c r="DT819" s="59"/>
      <c r="DU819" s="59"/>
      <c r="DV819" s="59"/>
      <c r="DW819" s="59"/>
      <c r="DX819" s="59"/>
      <c r="DY819" s="59"/>
      <c r="DZ819" s="59"/>
      <c r="EA819" s="59"/>
      <c r="EB819" s="59"/>
      <c r="EC819" s="59"/>
      <c r="ED819" s="59"/>
      <c r="EE819" s="59"/>
      <c r="EF819" s="59">
        <v>160</v>
      </c>
      <c r="EG819" s="62">
        <v>1600</v>
      </c>
      <c r="EH819" s="62">
        <v>7.5</v>
      </c>
      <c r="EI819" s="61">
        <v>0.9</v>
      </c>
      <c r="EJ819" s="65">
        <v>2</v>
      </c>
      <c r="EK819" s="65">
        <v>55</v>
      </c>
      <c r="EL819" s="65">
        <f t="shared" ref="EL819:EL836" si="805">3600/EK819*EH819*EJ819*EI819</f>
        <v>883.63636363636363</v>
      </c>
      <c r="EM819" s="59"/>
      <c r="EN819" s="59"/>
      <c r="EO819" s="59"/>
      <c r="EP819" s="59"/>
      <c r="EQ819" s="59"/>
      <c r="ER819" s="59"/>
      <c r="ES819" s="59"/>
      <c r="ET819" s="59"/>
      <c r="EU819" s="62">
        <f>ROUNDUP(EG819/EL819,2)</f>
        <v>1.82</v>
      </c>
      <c r="EV819" s="59"/>
      <c r="EW819" s="59"/>
      <c r="EX819" s="59"/>
      <c r="EY819" s="59"/>
      <c r="EZ819" s="59"/>
      <c r="FA819" s="59"/>
      <c r="FB819" s="59"/>
      <c r="FC819" s="59"/>
      <c r="FD819" s="59"/>
      <c r="FE819" s="59"/>
      <c r="FF819" s="59"/>
      <c r="FG819" s="59"/>
      <c r="FH819" s="59"/>
      <c r="FI819" s="59"/>
      <c r="FJ819" s="59"/>
      <c r="FK819" s="59"/>
      <c r="FL819" s="59"/>
      <c r="FM819" s="59"/>
      <c r="FN819" s="59"/>
      <c r="FO819" s="59"/>
      <c r="FP819" s="59"/>
      <c r="FQ819" s="59"/>
      <c r="FR819" s="59"/>
      <c r="FS819" s="59"/>
      <c r="FT819" s="59"/>
      <c r="FU819" s="59"/>
      <c r="FV819" s="59"/>
      <c r="FW819" s="59"/>
      <c r="FX819" s="59"/>
      <c r="FY819" s="59"/>
      <c r="FZ819" s="59"/>
      <c r="GA819" s="59"/>
      <c r="GB819" s="59"/>
      <c r="GC819" s="59"/>
      <c r="GD819" s="59"/>
      <c r="GE819" s="59"/>
      <c r="GF819" s="59"/>
      <c r="GG819" s="59"/>
      <c r="GH819" s="59"/>
      <c r="GI819" s="59"/>
      <c r="GJ819" s="59"/>
      <c r="GK819" s="59"/>
      <c r="GL819" s="59"/>
      <c r="GM819" s="59"/>
      <c r="GN819" s="59"/>
      <c r="GO819" s="59"/>
      <c r="GP819" s="59"/>
      <c r="GQ819" s="59"/>
      <c r="GR819" s="61">
        <v>0.11</v>
      </c>
      <c r="GS819" s="69">
        <f t="shared" si="788"/>
        <v>0.72</v>
      </c>
      <c r="GT819" s="64">
        <v>1.2500000000000001E-2</v>
      </c>
      <c r="GU819" s="62">
        <f>ROUNDUP(GT819*(BA819+EU819),2)</f>
        <v>0.09</v>
      </c>
      <c r="GV819" s="61">
        <v>0.02</v>
      </c>
      <c r="GW819" s="62">
        <f t="shared" si="790"/>
        <v>3.6400000000000002E-2</v>
      </c>
      <c r="GX819" s="62">
        <f t="shared" si="791"/>
        <v>0.84639999999999993</v>
      </c>
      <c r="GY819" s="62" t="s">
        <v>43</v>
      </c>
      <c r="GZ819" s="62" t="s">
        <v>551</v>
      </c>
      <c r="HA819" s="59">
        <v>650</v>
      </c>
      <c r="HB819" s="59">
        <v>450</v>
      </c>
      <c r="HC819" s="59">
        <v>330</v>
      </c>
      <c r="HD819" s="59">
        <v>125</v>
      </c>
      <c r="HE819" s="59">
        <v>200</v>
      </c>
      <c r="HF819" s="62">
        <f t="shared" si="792"/>
        <v>2</v>
      </c>
      <c r="HG819" s="59">
        <v>5</v>
      </c>
      <c r="HH819" s="62">
        <f t="shared" si="800"/>
        <v>10</v>
      </c>
      <c r="HI819" s="59">
        <v>650</v>
      </c>
      <c r="HJ819" s="62">
        <f t="shared" si="793"/>
        <v>6500</v>
      </c>
      <c r="HK819" s="59"/>
      <c r="HL819" s="59"/>
      <c r="HM819" s="59">
        <v>2</v>
      </c>
      <c r="HN819" s="62">
        <f t="shared" si="794"/>
        <v>120000</v>
      </c>
      <c r="HO819" s="62">
        <f t="shared" si="795"/>
        <v>5.4166666666666669E-2</v>
      </c>
      <c r="HP819" s="59">
        <v>160</v>
      </c>
      <c r="HQ819" s="59">
        <v>0</v>
      </c>
      <c r="HR819" s="59">
        <v>0</v>
      </c>
      <c r="HS819" s="59">
        <v>0</v>
      </c>
      <c r="HT819" s="59">
        <v>0</v>
      </c>
      <c r="HU819" s="59"/>
      <c r="HV819" s="62">
        <f t="shared" si="803"/>
        <v>6.0000000000000005E-2</v>
      </c>
      <c r="HW819" s="62"/>
      <c r="HX819" s="59">
        <v>4200</v>
      </c>
      <c r="HY819" s="59">
        <v>1900</v>
      </c>
      <c r="HZ819" s="59">
        <v>1975</v>
      </c>
      <c r="IA819" s="62">
        <f t="shared" si="796"/>
        <v>6</v>
      </c>
      <c r="IB819" s="62">
        <f t="shared" si="797"/>
        <v>4</v>
      </c>
      <c r="IC819" s="62">
        <f t="shared" si="798"/>
        <v>5</v>
      </c>
      <c r="ID819" s="61">
        <v>0.95</v>
      </c>
      <c r="IE819" s="62">
        <f>PRODUCT(IA819:ID819)</f>
        <v>114</v>
      </c>
      <c r="IF819" s="59">
        <v>500</v>
      </c>
      <c r="IG819" s="62">
        <f t="shared" si="804"/>
        <v>0.04</v>
      </c>
      <c r="IH819" s="62"/>
    </row>
    <row r="820" spans="1:242" ht="30">
      <c r="A820">
        <v>805</v>
      </c>
      <c r="B820" t="s">
        <v>468</v>
      </c>
      <c r="C820" s="187" t="s">
        <v>2542</v>
      </c>
      <c r="D820" s="28" t="s">
        <v>1650</v>
      </c>
      <c r="E820" s="28" t="s">
        <v>1651</v>
      </c>
      <c r="F820" s="28" t="s">
        <v>2182</v>
      </c>
      <c r="G820" s="27" t="s">
        <v>108</v>
      </c>
      <c r="I820" s="27" t="s">
        <v>226</v>
      </c>
      <c r="J820" s="28">
        <v>21691</v>
      </c>
      <c r="K820" s="27" t="s">
        <v>404</v>
      </c>
      <c r="Q820" s="13" t="s">
        <v>2484</v>
      </c>
      <c r="R820" s="13" t="s">
        <v>1194</v>
      </c>
      <c r="S820" s="13" t="s">
        <v>2543</v>
      </c>
      <c r="T820" s="13"/>
      <c r="U820" s="13"/>
      <c r="V820" s="72" t="s">
        <v>2486</v>
      </c>
      <c r="W820" s="53" t="s">
        <v>2544</v>
      </c>
      <c r="AA820" t="s">
        <v>2545</v>
      </c>
      <c r="AB820" s="66">
        <v>309</v>
      </c>
      <c r="AC820">
        <v>20</v>
      </c>
      <c r="AD820"/>
      <c r="AE820" s="7">
        <f t="shared" si="770"/>
        <v>67.341999999999999</v>
      </c>
      <c r="AF820" s="7">
        <f>CD820</f>
        <v>0</v>
      </c>
      <c r="AG820" s="7">
        <f t="shared" si="772"/>
        <v>16.812865497076022</v>
      </c>
      <c r="AH820" s="7">
        <f t="shared" si="773"/>
        <v>37.379999999999995</v>
      </c>
      <c r="AI820" s="7">
        <f t="shared" si="774"/>
        <v>0.46724999999999994</v>
      </c>
      <c r="AJ820" s="7">
        <f t="shared" si="775"/>
        <v>0.33625730994152042</v>
      </c>
      <c r="AK820" s="7">
        <f t="shared" si="776"/>
        <v>1.0519358187134502</v>
      </c>
      <c r="AL820" s="7">
        <f t="shared" si="777"/>
        <v>9.26</v>
      </c>
      <c r="AM820" s="7">
        <f t="shared" si="778"/>
        <v>2.8735119047619051</v>
      </c>
      <c r="AN820" s="7">
        <f t="shared" si="779"/>
        <v>0.38</v>
      </c>
      <c r="AO820" s="7"/>
      <c r="AP820" s="7">
        <f t="shared" si="780"/>
        <v>0</v>
      </c>
      <c r="AQ820" s="7">
        <f t="shared" si="781"/>
        <v>135.90382053049285</v>
      </c>
      <c r="AR820" s="7"/>
      <c r="AS820" s="7"/>
      <c r="AT820" s="7"/>
      <c r="AU820" s="7">
        <f>135.93-135.9</f>
        <v>3.0000000000001137E-2</v>
      </c>
      <c r="AV820" s="7">
        <f t="shared" si="782"/>
        <v>135.93382053049285</v>
      </c>
      <c r="AW820" s="59">
        <v>0.218</v>
      </c>
      <c r="AX820" s="59">
        <v>0.217</v>
      </c>
      <c r="AY820" s="61">
        <v>1</v>
      </c>
      <c r="AZ820" s="69">
        <f t="shared" si="783"/>
        <v>1.0000000000000009E-3</v>
      </c>
      <c r="BA820" s="62">
        <f t="shared" si="799"/>
        <v>67.341999999999999</v>
      </c>
      <c r="BB820" s="62"/>
      <c r="BC820" s="62"/>
      <c r="BD820" s="62"/>
      <c r="BE820" s="62"/>
      <c r="BF820" s="62"/>
      <c r="BG820" s="62"/>
      <c r="BH820" s="62"/>
      <c r="BI820" s="62"/>
      <c r="BJ820" s="62"/>
      <c r="BK820" s="62"/>
      <c r="BL820" s="62"/>
      <c r="BM820" s="62"/>
      <c r="BN820" s="62"/>
      <c r="BO820" s="62"/>
      <c r="BP820" s="62"/>
      <c r="BQ820" s="62"/>
      <c r="BR820" s="62"/>
      <c r="BS820" s="62"/>
      <c r="BT820" s="62"/>
      <c r="BU820" s="62"/>
      <c r="BV820" s="62"/>
      <c r="BW820" s="62"/>
      <c r="BX820" s="62"/>
      <c r="BY820" s="62"/>
      <c r="BZ820" s="62"/>
      <c r="CA820" s="62"/>
      <c r="CB820" s="62"/>
      <c r="CC820" s="62"/>
      <c r="CD820" s="59">
        <v>0</v>
      </c>
      <c r="CE820" s="62">
        <v>0</v>
      </c>
      <c r="CF820" s="62">
        <v>0</v>
      </c>
      <c r="CG820" s="62">
        <v>0</v>
      </c>
      <c r="CH820" s="62">
        <v>0</v>
      </c>
      <c r="CI820" s="315" t="s">
        <v>2546</v>
      </c>
      <c r="CJ820" s="315" t="s">
        <v>2547</v>
      </c>
      <c r="CK820" s="62">
        <v>2</v>
      </c>
      <c r="CL820" s="59">
        <f>2.58+0.08</f>
        <v>2.66</v>
      </c>
      <c r="CM820" s="62">
        <f>CK820*CL820</f>
        <v>5.32</v>
      </c>
      <c r="CN820" s="315" t="s">
        <v>2548</v>
      </c>
      <c r="CO820" s="315" t="s">
        <v>2547</v>
      </c>
      <c r="CP820" s="59">
        <v>4</v>
      </c>
      <c r="CQ820" s="59">
        <f>3.28+0.1</f>
        <v>3.38</v>
      </c>
      <c r="CR820" s="59">
        <f>CQ820*CP820</f>
        <v>13.52</v>
      </c>
      <c r="CS820" s="315" t="s">
        <v>2549</v>
      </c>
      <c r="CT820" s="315" t="s">
        <v>2550</v>
      </c>
      <c r="CU820" s="59">
        <v>1</v>
      </c>
      <c r="CV820" s="59">
        <f>18+0.54</f>
        <v>18.54</v>
      </c>
      <c r="CW820" s="59">
        <f>CV820*CU820</f>
        <v>18.54</v>
      </c>
      <c r="CX820" s="59"/>
      <c r="CY820" s="59"/>
      <c r="CZ820" s="59"/>
      <c r="DA820" s="59"/>
      <c r="DB820" s="59"/>
      <c r="DC820" s="59"/>
      <c r="DD820" s="59"/>
      <c r="DE820" s="59"/>
      <c r="DF820" s="59"/>
      <c r="DG820" s="59"/>
      <c r="DH820" s="59"/>
      <c r="DI820" s="59"/>
      <c r="DJ820" s="59"/>
      <c r="DK820" s="59"/>
      <c r="DL820" s="59"/>
      <c r="DM820" s="62">
        <f t="shared" si="785"/>
        <v>37.379999999999995</v>
      </c>
      <c r="DN820" s="64">
        <v>1.2500000000000001E-2</v>
      </c>
      <c r="DO820" s="62">
        <f>DM820*DN820</f>
        <v>0.46724999999999994</v>
      </c>
      <c r="DP820" s="62">
        <f t="shared" si="786"/>
        <v>37.847249999999995</v>
      </c>
      <c r="DQ820" s="59"/>
      <c r="DR820" s="59"/>
      <c r="DS820" s="59"/>
      <c r="DT820" s="59"/>
      <c r="DU820" s="59"/>
      <c r="DV820" s="59"/>
      <c r="DW820" s="59"/>
      <c r="DX820" s="59"/>
      <c r="DY820" s="59"/>
      <c r="DZ820" s="59"/>
      <c r="EA820" s="59"/>
      <c r="EB820" s="59"/>
      <c r="EC820" s="59"/>
      <c r="ED820" s="59"/>
      <c r="EE820" s="59"/>
      <c r="EF820" s="59">
        <v>400</v>
      </c>
      <c r="EG820" s="62">
        <v>4000</v>
      </c>
      <c r="EH820" s="59">
        <v>8</v>
      </c>
      <c r="EI820" s="61">
        <v>0.95</v>
      </c>
      <c r="EJ820" s="65">
        <v>1</v>
      </c>
      <c r="EK820" s="65">
        <v>115</v>
      </c>
      <c r="EL820" s="65">
        <f t="shared" si="805"/>
        <v>237.91304347826087</v>
      </c>
      <c r="EM820" s="59"/>
      <c r="EN820" s="59"/>
      <c r="EO820" s="59"/>
      <c r="EP820" s="59"/>
      <c r="EQ820" s="59"/>
      <c r="ER820" s="59"/>
      <c r="ES820" s="59"/>
      <c r="ET820" s="59"/>
      <c r="EU820" s="62">
        <f>EG820/EL820+FA820</f>
        <v>16.812865497076022</v>
      </c>
      <c r="EV820" s="59"/>
      <c r="EW820" s="59"/>
      <c r="EX820" s="59"/>
      <c r="EY820" s="59"/>
      <c r="EZ820" s="59"/>
      <c r="FA820" s="59"/>
      <c r="FB820" s="59"/>
      <c r="FC820" s="59"/>
      <c r="FD820" s="59"/>
      <c r="FE820" s="59"/>
      <c r="FF820" s="59"/>
      <c r="FG820" s="59"/>
      <c r="FH820" s="59"/>
      <c r="FI820" s="59"/>
      <c r="FJ820" s="59"/>
      <c r="FK820" s="59"/>
      <c r="FL820" s="59"/>
      <c r="FM820" s="59"/>
      <c r="FN820" s="59"/>
      <c r="FO820" s="59"/>
      <c r="FP820" s="59"/>
      <c r="FQ820" s="59"/>
      <c r="FR820" s="59"/>
      <c r="FS820" s="59"/>
      <c r="FT820" s="59"/>
      <c r="FU820" s="59"/>
      <c r="FV820" s="59"/>
      <c r="FW820" s="59"/>
      <c r="FX820" s="59"/>
      <c r="FY820" s="59"/>
      <c r="FZ820" s="59"/>
      <c r="GA820" s="59"/>
      <c r="GB820" s="59"/>
      <c r="GC820" s="59"/>
      <c r="GD820" s="59"/>
      <c r="GE820" s="59"/>
      <c r="GF820" s="59"/>
      <c r="GG820" s="59"/>
      <c r="GH820" s="59"/>
      <c r="GI820" s="59"/>
      <c r="GJ820" s="59"/>
      <c r="GK820" s="59"/>
      <c r="GL820" s="59"/>
      <c r="GM820" s="59"/>
      <c r="GN820" s="59"/>
      <c r="GO820" s="59"/>
      <c r="GP820" s="59"/>
      <c r="GQ820" s="59"/>
      <c r="GR820" s="61">
        <v>0.11</v>
      </c>
      <c r="GS820" s="69">
        <f t="shared" si="788"/>
        <v>9.26</v>
      </c>
      <c r="GT820" s="64">
        <v>1.2500000000000001E-2</v>
      </c>
      <c r="GU820" s="62">
        <f>GT820*(BA820+EU820)</f>
        <v>1.0519358187134502</v>
      </c>
      <c r="GV820" s="61">
        <v>0.02</v>
      </c>
      <c r="GW820" s="62">
        <f t="shared" si="790"/>
        <v>0.33625730994152042</v>
      </c>
      <c r="GX820" s="62">
        <f t="shared" si="791"/>
        <v>10.648193128654972</v>
      </c>
      <c r="GY820" s="62" t="s">
        <v>43</v>
      </c>
      <c r="GZ820" s="62" t="s">
        <v>551</v>
      </c>
      <c r="HA820" s="59">
        <v>805</v>
      </c>
      <c r="HB820" s="59">
        <v>675</v>
      </c>
      <c r="HC820" s="59">
        <v>405</v>
      </c>
      <c r="HD820" s="59">
        <v>40</v>
      </c>
      <c r="HE820" s="59">
        <v>400</v>
      </c>
      <c r="HF820" s="62">
        <f t="shared" si="792"/>
        <v>10</v>
      </c>
      <c r="HG820" s="59">
        <v>5</v>
      </c>
      <c r="HH820" s="62">
        <f t="shared" si="800"/>
        <v>50</v>
      </c>
      <c r="HI820" s="59">
        <v>1450</v>
      </c>
      <c r="HJ820" s="62">
        <f t="shared" si="793"/>
        <v>72500</v>
      </c>
      <c r="HK820" s="59"/>
      <c r="HL820" s="59"/>
      <c r="HM820" s="59">
        <v>2</v>
      </c>
      <c r="HN820" s="62">
        <f t="shared" si="794"/>
        <v>240000</v>
      </c>
      <c r="HO820" s="62">
        <f t="shared" si="795"/>
        <v>0.30208333333333331</v>
      </c>
      <c r="HP820" s="59">
        <v>160</v>
      </c>
      <c r="HQ820" s="59">
        <v>0</v>
      </c>
      <c r="HR820" s="59">
        <v>180</v>
      </c>
      <c r="HS820" s="59">
        <v>70</v>
      </c>
      <c r="HT820" s="62">
        <f>HR820/HS820</f>
        <v>2.5714285714285716</v>
      </c>
      <c r="HU820" s="62"/>
      <c r="HV820" s="62">
        <f>HO820+HT820</f>
        <v>2.8735119047619051</v>
      </c>
      <c r="HW820" s="62"/>
      <c r="HX820" s="59">
        <v>5016</v>
      </c>
      <c r="HY820" s="59">
        <v>1976</v>
      </c>
      <c r="HZ820" s="59">
        <v>2280</v>
      </c>
      <c r="IA820" s="62">
        <f t="shared" si="796"/>
        <v>6</v>
      </c>
      <c r="IB820" s="62">
        <f t="shared" si="797"/>
        <v>2</v>
      </c>
      <c r="IC820" s="62">
        <f t="shared" si="798"/>
        <v>5</v>
      </c>
      <c r="ID820" s="61">
        <v>0.95</v>
      </c>
      <c r="IE820" s="62">
        <f>PRODUCT(IA820:ID820)-7</f>
        <v>50</v>
      </c>
      <c r="IF820" s="59">
        <v>750</v>
      </c>
      <c r="IG820" s="62">
        <f t="shared" si="804"/>
        <v>0.38</v>
      </c>
      <c r="IH820" s="62"/>
    </row>
    <row r="821" spans="1:242" ht="45">
      <c r="A821">
        <v>806</v>
      </c>
      <c r="B821" t="s">
        <v>468</v>
      </c>
      <c r="C821" s="187" t="s">
        <v>2551</v>
      </c>
      <c r="D821" s="28" t="s">
        <v>1652</v>
      </c>
      <c r="E821" s="28" t="s">
        <v>1653</v>
      </c>
      <c r="F821" s="28" t="s">
        <v>2182</v>
      </c>
      <c r="G821" s="27" t="s">
        <v>108</v>
      </c>
      <c r="I821" s="27" t="s">
        <v>226</v>
      </c>
      <c r="J821" s="28">
        <v>21590</v>
      </c>
      <c r="K821" s="27" t="s">
        <v>397</v>
      </c>
      <c r="Q821" s="13" t="s">
        <v>2484</v>
      </c>
      <c r="R821" s="13" t="s">
        <v>1194</v>
      </c>
      <c r="S821" s="13" t="s">
        <v>2552</v>
      </c>
      <c r="T821" s="13"/>
      <c r="U821" s="13"/>
      <c r="V821" s="72" t="s">
        <v>2486</v>
      </c>
      <c r="W821" s="53" t="s">
        <v>2554</v>
      </c>
      <c r="AA821" t="s">
        <v>2553</v>
      </c>
      <c r="AB821" s="66">
        <v>314.5</v>
      </c>
      <c r="AC821">
        <v>20</v>
      </c>
      <c r="AD821"/>
      <c r="AE821" s="7">
        <f t="shared" si="770"/>
        <v>14.1454</v>
      </c>
      <c r="AF821" s="7">
        <f>CD821</f>
        <v>0</v>
      </c>
      <c r="AG821" s="7">
        <f t="shared" si="772"/>
        <v>2.5199999999999996</v>
      </c>
      <c r="AH821" s="7">
        <f t="shared" si="773"/>
        <v>1.9</v>
      </c>
      <c r="AI821" s="7">
        <f t="shared" si="774"/>
        <v>2.375E-2</v>
      </c>
      <c r="AJ821" s="7">
        <f t="shared" si="775"/>
        <v>6.0000000000000005E-2</v>
      </c>
      <c r="AK821" s="7">
        <f t="shared" si="776"/>
        <v>0.20831749999999999</v>
      </c>
      <c r="AL821" s="7">
        <f t="shared" si="777"/>
        <v>1.84</v>
      </c>
      <c r="AM821" s="7">
        <f t="shared" si="778"/>
        <v>0.03</v>
      </c>
      <c r="AN821" s="7">
        <f t="shared" si="779"/>
        <v>0.02</v>
      </c>
      <c r="AO821" s="7"/>
      <c r="AP821" s="7">
        <f t="shared" si="780"/>
        <v>0</v>
      </c>
      <c r="AQ821" s="7">
        <f t="shared" si="781"/>
        <v>20.747467499999996</v>
      </c>
      <c r="AR821" s="7"/>
      <c r="AS821" s="7"/>
      <c r="AT821" s="7"/>
      <c r="AU821" s="7">
        <f>20.79-20.75</f>
        <v>3.9999999999999147E-2</v>
      </c>
      <c r="AV821" s="7">
        <f t="shared" si="782"/>
        <v>20.787467499999995</v>
      </c>
      <c r="AW821" s="59">
        <v>4.5200000000000004E-2</v>
      </c>
      <c r="AX821" s="59">
        <v>4.1700000000000001E-2</v>
      </c>
      <c r="AY821" s="61">
        <v>1</v>
      </c>
      <c r="AZ821" s="69">
        <f t="shared" si="783"/>
        <v>3.5000000000000031E-3</v>
      </c>
      <c r="BA821" s="62">
        <f t="shared" si="799"/>
        <v>14.1454</v>
      </c>
      <c r="BB821" s="62"/>
      <c r="BC821" s="62"/>
      <c r="BD821" s="62"/>
      <c r="BE821" s="62"/>
      <c r="BF821" s="62"/>
      <c r="BG821" s="62"/>
      <c r="BH821" s="62"/>
      <c r="BI821" s="62"/>
      <c r="BJ821" s="62"/>
      <c r="BK821" s="62"/>
      <c r="BL821" s="62"/>
      <c r="BM821" s="62"/>
      <c r="BN821" s="62"/>
      <c r="BO821" s="62"/>
      <c r="BP821" s="62"/>
      <c r="BQ821" s="62"/>
      <c r="BR821" s="62"/>
      <c r="BS821" s="62"/>
      <c r="BT821" s="62"/>
      <c r="BU821" s="62"/>
      <c r="BV821" s="62"/>
      <c r="BW821" s="62"/>
      <c r="BX821" s="62"/>
      <c r="BY821" s="62"/>
      <c r="BZ821" s="62"/>
      <c r="CA821" s="62"/>
      <c r="CB821" s="62"/>
      <c r="CC821" s="62"/>
      <c r="CD821" s="59">
        <v>0</v>
      </c>
      <c r="CE821" s="62">
        <v>0</v>
      </c>
      <c r="CF821" s="62">
        <v>1</v>
      </c>
      <c r="CG821" s="62">
        <v>1.9</v>
      </c>
      <c r="CH821" s="62">
        <f>CF821*CG821</f>
        <v>1.9</v>
      </c>
      <c r="CI821" s="59"/>
      <c r="CJ821" s="59"/>
      <c r="CK821" s="59"/>
      <c r="CL821" s="59"/>
      <c r="CM821" s="59"/>
      <c r="CN821" s="59"/>
      <c r="CO821" s="59"/>
      <c r="CP821" s="59"/>
      <c r="CQ821" s="59"/>
      <c r="CR821" s="59"/>
      <c r="CS821" s="59"/>
      <c r="CT821" s="59"/>
      <c r="CU821" s="59"/>
      <c r="CV821" s="59"/>
      <c r="CW821" s="59"/>
      <c r="CX821" s="59"/>
      <c r="CY821" s="59"/>
      <c r="CZ821" s="59"/>
      <c r="DA821" s="59"/>
      <c r="DB821" s="59"/>
      <c r="DC821" s="59"/>
      <c r="DD821" s="59"/>
      <c r="DE821" s="59"/>
      <c r="DF821" s="59"/>
      <c r="DG821" s="59"/>
      <c r="DH821" s="59"/>
      <c r="DI821" s="59"/>
      <c r="DJ821" s="59"/>
      <c r="DK821" s="59"/>
      <c r="DL821" s="59"/>
      <c r="DM821" s="62">
        <f t="shared" si="785"/>
        <v>1.9</v>
      </c>
      <c r="DN821" s="64">
        <v>1.2500000000000001E-2</v>
      </c>
      <c r="DO821" s="62">
        <f>DM821*DN821</f>
        <v>2.375E-2</v>
      </c>
      <c r="DP821" s="62">
        <f t="shared" si="786"/>
        <v>1.9237499999999998</v>
      </c>
      <c r="DQ821" s="59"/>
      <c r="DR821" s="59"/>
      <c r="DS821" s="59"/>
      <c r="DT821" s="59"/>
      <c r="DU821" s="59"/>
      <c r="DV821" s="59"/>
      <c r="DW821" s="59"/>
      <c r="DX821" s="59"/>
      <c r="DY821" s="59"/>
      <c r="DZ821" s="59"/>
      <c r="EA821" s="59"/>
      <c r="EB821" s="59"/>
      <c r="EC821" s="59"/>
      <c r="ED821" s="59"/>
      <c r="EE821" s="59"/>
      <c r="EF821" s="59">
        <v>150</v>
      </c>
      <c r="EG821" s="62">
        <v>1500</v>
      </c>
      <c r="EH821" s="62">
        <v>7.5</v>
      </c>
      <c r="EI821" s="61">
        <v>0.9</v>
      </c>
      <c r="EJ821" s="65">
        <v>2</v>
      </c>
      <c r="EK821" s="65">
        <v>58</v>
      </c>
      <c r="EL821" s="65">
        <f t="shared" si="805"/>
        <v>837.93103448275861</v>
      </c>
      <c r="EM821" s="59"/>
      <c r="EN821" s="59"/>
      <c r="EO821" s="59"/>
      <c r="EP821" s="59"/>
      <c r="EQ821" s="59"/>
      <c r="ER821" s="59"/>
      <c r="ES821" s="59"/>
      <c r="ET821" s="59"/>
      <c r="EU821" s="62">
        <f>ROUNDUP(EG821/EL821+FA821,2)</f>
        <v>2.5199999999999996</v>
      </c>
      <c r="EV821" s="59"/>
      <c r="EW821" s="59"/>
      <c r="EX821" s="59"/>
      <c r="EY821" s="59"/>
      <c r="EZ821" s="59"/>
      <c r="FA821" s="59">
        <v>0.72</v>
      </c>
      <c r="FB821" s="59"/>
      <c r="FC821" s="59"/>
      <c r="FD821" s="59"/>
      <c r="FE821" s="59"/>
      <c r="FF821" s="59"/>
      <c r="FG821" s="59"/>
      <c r="FH821" s="59"/>
      <c r="FI821" s="59"/>
      <c r="FJ821" s="59"/>
      <c r="FK821" s="59"/>
      <c r="FL821" s="59"/>
      <c r="FM821" s="59"/>
      <c r="FN821" s="59"/>
      <c r="FO821" s="59"/>
      <c r="FP821" s="59"/>
      <c r="FQ821" s="59"/>
      <c r="FR821" s="59"/>
      <c r="FS821" s="59"/>
      <c r="FT821" s="59"/>
      <c r="FU821" s="59"/>
      <c r="FV821" s="59"/>
      <c r="FW821" s="59"/>
      <c r="FX821" s="59"/>
      <c r="FY821" s="59"/>
      <c r="FZ821" s="59"/>
      <c r="GA821" s="59"/>
      <c r="GB821" s="59"/>
      <c r="GC821" s="59"/>
      <c r="GD821" s="59"/>
      <c r="GE821" s="59"/>
      <c r="GF821" s="59"/>
      <c r="GG821" s="59"/>
      <c r="GH821" s="59"/>
      <c r="GI821" s="59"/>
      <c r="GJ821" s="59"/>
      <c r="GK821" s="59"/>
      <c r="GL821" s="59"/>
      <c r="GM821" s="59"/>
      <c r="GN821" s="59"/>
      <c r="GO821" s="59"/>
      <c r="GP821" s="59"/>
      <c r="GQ821" s="59"/>
      <c r="GR821" s="61">
        <v>0.11</v>
      </c>
      <c r="GS821" s="69">
        <f t="shared" si="788"/>
        <v>1.84</v>
      </c>
      <c r="GT821" s="64">
        <v>1.2500000000000001E-2</v>
      </c>
      <c r="GU821" s="62">
        <f>GT821*(BA821+EU821)</f>
        <v>0.20831749999999999</v>
      </c>
      <c r="GV821" s="61">
        <v>0.02</v>
      </c>
      <c r="GW821" s="62">
        <f>ROUNDUP(GV821*EU821,2)</f>
        <v>6.0000000000000005E-2</v>
      </c>
      <c r="GX821" s="62">
        <f t="shared" si="791"/>
        <v>2.1083175000000001</v>
      </c>
      <c r="GY821" s="62" t="s">
        <v>43</v>
      </c>
      <c r="GZ821" s="62" t="s">
        <v>551</v>
      </c>
      <c r="HA821" s="59">
        <v>650</v>
      </c>
      <c r="HB821" s="59">
        <v>450</v>
      </c>
      <c r="HC821" s="59">
        <v>330</v>
      </c>
      <c r="HD821" s="59">
        <v>350</v>
      </c>
      <c r="HE821" s="59">
        <v>400</v>
      </c>
      <c r="HF821" s="62">
        <f t="shared" si="792"/>
        <v>2</v>
      </c>
      <c r="HG821" s="59">
        <v>5</v>
      </c>
      <c r="HH821" s="62">
        <f t="shared" si="800"/>
        <v>10</v>
      </c>
      <c r="HI821" s="59">
        <v>650</v>
      </c>
      <c r="HJ821" s="62">
        <f t="shared" si="793"/>
        <v>6500</v>
      </c>
      <c r="HK821" s="59"/>
      <c r="HL821" s="59"/>
      <c r="HM821" s="59">
        <v>2</v>
      </c>
      <c r="HN821" s="62">
        <f t="shared" si="794"/>
        <v>240000</v>
      </c>
      <c r="HO821" s="62">
        <f t="shared" si="795"/>
        <v>2.7083333333333334E-2</v>
      </c>
      <c r="HP821" s="59">
        <v>160</v>
      </c>
      <c r="HQ821" s="59">
        <v>0</v>
      </c>
      <c r="HR821" s="59">
        <v>0</v>
      </c>
      <c r="HS821" s="59">
        <v>0</v>
      </c>
      <c r="HT821" s="62">
        <v>0</v>
      </c>
      <c r="HU821" s="62"/>
      <c r="HV821" s="62">
        <f>ROUNDUP(HO821+HT821,2)</f>
        <v>0.03</v>
      </c>
      <c r="HW821" s="62"/>
      <c r="HX821" s="59">
        <v>4200</v>
      </c>
      <c r="HY821" s="59">
        <v>1900</v>
      </c>
      <c r="HZ821" s="59">
        <v>1975</v>
      </c>
      <c r="IA821" s="62">
        <f t="shared" si="796"/>
        <v>6</v>
      </c>
      <c r="IB821" s="62">
        <f t="shared" si="797"/>
        <v>4</v>
      </c>
      <c r="IC821" s="62">
        <f t="shared" si="798"/>
        <v>5</v>
      </c>
      <c r="ID821" s="61">
        <v>0.75</v>
      </c>
      <c r="IE821" s="62">
        <f>PRODUCT(IA821:ID821)</f>
        <v>90</v>
      </c>
      <c r="IF821" s="59">
        <v>500</v>
      </c>
      <c r="IG821" s="62">
        <f t="shared" si="804"/>
        <v>0.02</v>
      </c>
      <c r="IH821" s="62"/>
    </row>
    <row r="822" spans="1:242" ht="30">
      <c r="A822">
        <v>807</v>
      </c>
      <c r="B822" t="s">
        <v>468</v>
      </c>
      <c r="C822" t="s">
        <v>2556</v>
      </c>
      <c r="D822" s="28" t="s">
        <v>1654</v>
      </c>
      <c r="E822" s="28" t="s">
        <v>1655</v>
      </c>
      <c r="F822" s="28" t="s">
        <v>2182</v>
      </c>
      <c r="G822" s="27" t="s">
        <v>108</v>
      </c>
      <c r="I822" s="27" t="s">
        <v>226</v>
      </c>
      <c r="J822" s="28">
        <v>21590</v>
      </c>
      <c r="K822" s="27" t="s">
        <v>397</v>
      </c>
      <c r="Q822" s="13" t="s">
        <v>2484</v>
      </c>
      <c r="R822" s="13" t="s">
        <v>1194</v>
      </c>
      <c r="S822" s="13" t="s">
        <v>2485</v>
      </c>
      <c r="T822" s="13"/>
      <c r="U822" s="13"/>
      <c r="V822" s="72" t="s">
        <v>2486</v>
      </c>
      <c r="W822" s="53" t="s">
        <v>2557</v>
      </c>
      <c r="AA822" s="72" t="s">
        <v>2558</v>
      </c>
      <c r="AB822" s="66">
        <v>241.24</v>
      </c>
      <c r="AC822">
        <v>20</v>
      </c>
      <c r="AD822" t="s">
        <v>2537</v>
      </c>
      <c r="AE822" s="7">
        <f t="shared" si="770"/>
        <v>1.1662000000000001</v>
      </c>
      <c r="AF822" s="7">
        <f t="shared" ref="AF822:AF838" si="806">DT822</f>
        <v>0</v>
      </c>
      <c r="AG822" s="7">
        <f t="shared" si="772"/>
        <v>0.56000000000000005</v>
      </c>
      <c r="AH822" s="7">
        <f t="shared" si="773"/>
        <v>0</v>
      </c>
      <c r="AI822" s="7">
        <f t="shared" si="774"/>
        <v>0</v>
      </c>
      <c r="AJ822" s="7">
        <f t="shared" si="775"/>
        <v>0.02</v>
      </c>
      <c r="AK822" s="7">
        <f t="shared" si="776"/>
        <v>0.03</v>
      </c>
      <c r="AL822" s="7">
        <f t="shared" si="777"/>
        <v>0.19</v>
      </c>
      <c r="AM822" s="7">
        <f t="shared" si="778"/>
        <v>0.02</v>
      </c>
      <c r="AN822" s="7">
        <f t="shared" si="779"/>
        <v>0.01</v>
      </c>
      <c r="AO822" s="7"/>
      <c r="AP822" s="7">
        <f t="shared" si="780"/>
        <v>0</v>
      </c>
      <c r="AQ822" s="7">
        <f t="shared" si="781"/>
        <v>1.9962000000000002</v>
      </c>
      <c r="AR822" s="7">
        <f>IJ822</f>
        <v>0</v>
      </c>
      <c r="AS822" s="7"/>
      <c r="AT822" s="7"/>
      <c r="AU822" s="7"/>
      <c r="AV822" s="7">
        <f t="shared" ref="AV822:AV838" si="807">AQ822+AU822+AT822+AR822</f>
        <v>1.9962000000000002</v>
      </c>
      <c r="AW822" s="59">
        <v>5.0000000000000001E-3</v>
      </c>
      <c r="AX822" s="59">
        <v>3.0000000000000001E-3</v>
      </c>
      <c r="AY822" s="61">
        <v>1</v>
      </c>
      <c r="AZ822" s="69">
        <f t="shared" si="783"/>
        <v>2E-3</v>
      </c>
      <c r="BA822" s="62">
        <f t="shared" si="799"/>
        <v>1.1662000000000001</v>
      </c>
      <c r="BB822" s="62"/>
      <c r="BC822" s="62"/>
      <c r="BD822" s="62"/>
      <c r="BE822" s="62"/>
      <c r="BF822" s="62"/>
      <c r="BG822" s="62"/>
      <c r="BH822" s="62"/>
      <c r="BI822" s="62"/>
      <c r="BJ822" s="62"/>
      <c r="BK822" s="62"/>
      <c r="BL822" s="62"/>
      <c r="BM822" s="62"/>
      <c r="BN822" s="62"/>
      <c r="BO822" s="62"/>
      <c r="BP822" s="62"/>
      <c r="BQ822" s="62"/>
      <c r="BR822" s="62"/>
      <c r="BS822" s="62"/>
      <c r="BT822" s="62"/>
      <c r="BU822" s="62"/>
      <c r="BV822" s="62"/>
      <c r="BW822" s="62"/>
      <c r="BX822" s="62"/>
      <c r="BY822" s="62"/>
      <c r="BZ822" s="62"/>
      <c r="CA822" s="62"/>
      <c r="CB822" s="62"/>
      <c r="CC822" s="62"/>
      <c r="CD822" s="59">
        <v>0</v>
      </c>
      <c r="CE822" s="62">
        <v>0</v>
      </c>
      <c r="CF822" s="62">
        <v>0</v>
      </c>
      <c r="CG822" s="62">
        <v>0</v>
      </c>
      <c r="CH822" s="62">
        <v>0</v>
      </c>
      <c r="CI822" s="59"/>
      <c r="CJ822" s="59"/>
      <c r="CK822" s="59"/>
      <c r="CL822" s="59"/>
      <c r="CM822" s="59"/>
      <c r="CN822" s="59"/>
      <c r="CO822" s="59"/>
      <c r="CP822" s="59"/>
      <c r="CQ822" s="59"/>
      <c r="CR822" s="59"/>
      <c r="CS822" s="59"/>
      <c r="CT822" s="59"/>
      <c r="CU822" s="59"/>
      <c r="CV822" s="59"/>
      <c r="CW822" s="59"/>
      <c r="CX822" s="59"/>
      <c r="CY822" s="59"/>
      <c r="CZ822" s="59"/>
      <c r="DA822" s="59"/>
      <c r="DB822" s="59"/>
      <c r="DC822" s="59"/>
      <c r="DD822" s="59"/>
      <c r="DE822" s="59"/>
      <c r="DF822" s="59"/>
      <c r="DG822" s="59"/>
      <c r="DH822" s="59"/>
      <c r="DI822" s="59"/>
      <c r="DJ822" s="59"/>
      <c r="DK822" s="59"/>
      <c r="DL822" s="59"/>
      <c r="DM822" s="62">
        <f t="shared" si="785"/>
        <v>0</v>
      </c>
      <c r="DN822" s="64">
        <v>1.2500000000000001E-2</v>
      </c>
      <c r="DO822" s="62">
        <f>ROUNDUP(DM822*DN822,2)</f>
        <v>0</v>
      </c>
      <c r="DP822" s="62">
        <f t="shared" si="786"/>
        <v>0</v>
      </c>
      <c r="DQ822" s="59"/>
      <c r="DR822" s="59"/>
      <c r="DS822" s="59"/>
      <c r="DT822" s="59"/>
      <c r="DU822" s="59"/>
      <c r="DV822" s="59"/>
      <c r="DW822" s="59"/>
      <c r="DX822" s="59"/>
      <c r="DY822" s="59"/>
      <c r="DZ822" s="59"/>
      <c r="EA822" s="59"/>
      <c r="EB822" s="59"/>
      <c r="EC822" s="59"/>
      <c r="ED822" s="59"/>
      <c r="EE822" s="59"/>
      <c r="EF822" s="59">
        <v>90</v>
      </c>
      <c r="EG822" s="62">
        <v>900</v>
      </c>
      <c r="EH822" s="59">
        <v>7.5</v>
      </c>
      <c r="EI822" s="61">
        <v>0.9</v>
      </c>
      <c r="EJ822" s="65">
        <v>4</v>
      </c>
      <c r="EK822" s="65">
        <v>60</v>
      </c>
      <c r="EL822" s="65">
        <f t="shared" si="805"/>
        <v>1620</v>
      </c>
      <c r="EM822" s="59"/>
      <c r="EN822" s="59"/>
      <c r="EO822" s="59"/>
      <c r="EP822" s="59"/>
      <c r="EQ822" s="59"/>
      <c r="ER822" s="62"/>
      <c r="ES822" s="62"/>
      <c r="ET822" s="62"/>
      <c r="EU822" s="62">
        <f>ROUNDUP((EG822/EL822+FA822),2)</f>
        <v>0.56000000000000005</v>
      </c>
      <c r="EV822" s="59"/>
      <c r="EW822" s="59"/>
      <c r="EX822" s="59"/>
      <c r="EY822" s="59"/>
      <c r="EZ822" s="59"/>
      <c r="FA822" s="59"/>
      <c r="FB822" s="59"/>
      <c r="FC822" s="59"/>
      <c r="FD822" s="59"/>
      <c r="FE822" s="59"/>
      <c r="FF822" s="59"/>
      <c r="FG822" s="59"/>
      <c r="FH822" s="59"/>
      <c r="FI822" s="59"/>
      <c r="FJ822" s="59"/>
      <c r="FK822" s="59"/>
      <c r="FL822" s="59"/>
      <c r="FM822" s="59"/>
      <c r="FN822" s="59"/>
      <c r="FO822" s="59"/>
      <c r="FP822" s="59"/>
      <c r="FQ822" s="59"/>
      <c r="FR822" s="59"/>
      <c r="FS822" s="59"/>
      <c r="FT822" s="59"/>
      <c r="FU822" s="59"/>
      <c r="FV822" s="59"/>
      <c r="FW822" s="59"/>
      <c r="FX822" s="59"/>
      <c r="FY822" s="59"/>
      <c r="FZ822" s="59"/>
      <c r="GA822" s="59"/>
      <c r="GB822" s="59"/>
      <c r="GC822" s="59"/>
      <c r="GD822" s="59"/>
      <c r="GE822" s="59"/>
      <c r="GF822" s="59"/>
      <c r="GG822" s="59"/>
      <c r="GH822" s="59"/>
      <c r="GI822" s="59"/>
      <c r="GJ822" s="59"/>
      <c r="GK822" s="59"/>
      <c r="GL822" s="59"/>
      <c r="GM822" s="59"/>
      <c r="GN822" s="59"/>
      <c r="GO822" s="59"/>
      <c r="GP822" s="59"/>
      <c r="GQ822" s="59"/>
      <c r="GR822" s="61">
        <v>0.11</v>
      </c>
      <c r="GS822" s="69">
        <f t="shared" si="788"/>
        <v>0.19</v>
      </c>
      <c r="GT822" s="64">
        <v>1.2500000000000001E-2</v>
      </c>
      <c r="GU822" s="62">
        <f>ROUNDUP(GT822*(BA822+EU822),2)</f>
        <v>0.03</v>
      </c>
      <c r="GV822" s="61">
        <v>0.02</v>
      </c>
      <c r="GW822" s="62">
        <f>ROUNDUP(GV822*EU822,2)</f>
        <v>0.02</v>
      </c>
      <c r="GX822" s="62">
        <f t="shared" si="791"/>
        <v>0.24</v>
      </c>
      <c r="GY822" s="62" t="s">
        <v>43</v>
      </c>
      <c r="GZ822" s="62" t="s">
        <v>551</v>
      </c>
      <c r="HA822" s="59">
        <v>650</v>
      </c>
      <c r="HB822" s="59">
        <v>450</v>
      </c>
      <c r="HC822" s="59">
        <v>330</v>
      </c>
      <c r="HD822" s="59">
        <v>3000</v>
      </c>
      <c r="HE822" s="59">
        <v>400</v>
      </c>
      <c r="HF822" s="62">
        <f t="shared" si="792"/>
        <v>1</v>
      </c>
      <c r="HG822" s="59">
        <v>5</v>
      </c>
      <c r="HH822" s="62">
        <f t="shared" si="800"/>
        <v>5</v>
      </c>
      <c r="HI822" s="59">
        <v>650</v>
      </c>
      <c r="HJ822" s="62">
        <f t="shared" si="793"/>
        <v>3250</v>
      </c>
      <c r="HK822" s="59"/>
      <c r="HL822" s="59"/>
      <c r="HM822" s="59">
        <v>2</v>
      </c>
      <c r="HN822" s="62">
        <f t="shared" si="794"/>
        <v>240000</v>
      </c>
      <c r="HO822" s="62">
        <f>ROUNDUP(IF(GY822="carton box",HI822/HD822,HJ822/HN822),2)</f>
        <v>0.02</v>
      </c>
      <c r="HP822" s="59">
        <v>160</v>
      </c>
      <c r="HQ822" s="59">
        <v>0</v>
      </c>
      <c r="HR822" s="59">
        <v>0</v>
      </c>
      <c r="HS822" s="59">
        <v>0</v>
      </c>
      <c r="HT822" s="59">
        <v>0</v>
      </c>
      <c r="HU822" s="59"/>
      <c r="HV822" s="62">
        <f>ROUNDUP(HO822+HT822,2)</f>
        <v>0.02</v>
      </c>
      <c r="HW822" s="62"/>
      <c r="HX822" s="59">
        <v>4200</v>
      </c>
      <c r="HY822" s="59">
        <v>1900</v>
      </c>
      <c r="HZ822" s="59">
        <v>1975</v>
      </c>
      <c r="IA822" s="62">
        <f t="shared" si="796"/>
        <v>6</v>
      </c>
      <c r="IB822" s="62">
        <f t="shared" si="797"/>
        <v>4</v>
      </c>
      <c r="IC822" s="62">
        <f t="shared" si="798"/>
        <v>5</v>
      </c>
      <c r="ID822" s="61">
        <v>0.95</v>
      </c>
      <c r="IE822" s="62">
        <f>PRODUCT(IA822:ID822)</f>
        <v>114</v>
      </c>
      <c r="IF822" s="59">
        <v>500</v>
      </c>
      <c r="IG822" s="62">
        <f t="shared" si="804"/>
        <v>0.01</v>
      </c>
      <c r="IH822" s="62"/>
    </row>
    <row r="823" spans="1:242" ht="45">
      <c r="A823">
        <v>808</v>
      </c>
      <c r="B823" t="s">
        <v>468</v>
      </c>
      <c r="C823" s="187" t="s">
        <v>2559</v>
      </c>
      <c r="D823" s="28" t="s">
        <v>1656</v>
      </c>
      <c r="E823" s="28" t="s">
        <v>351</v>
      </c>
      <c r="F823" s="28" t="s">
        <v>2182</v>
      </c>
      <c r="G823" s="27" t="s">
        <v>108</v>
      </c>
      <c r="I823" s="27" t="s">
        <v>226</v>
      </c>
      <c r="J823" s="28">
        <v>21590</v>
      </c>
      <c r="K823" s="27" t="s">
        <v>397</v>
      </c>
      <c r="Q823" s="13" t="s">
        <v>2484</v>
      </c>
      <c r="R823" s="13" t="s">
        <v>1194</v>
      </c>
      <c r="S823" s="13" t="s">
        <v>2485</v>
      </c>
      <c r="T823" s="13"/>
      <c r="U823" s="13"/>
      <c r="V823" s="72" t="s">
        <v>2486</v>
      </c>
      <c r="W823" s="53" t="s">
        <v>2560</v>
      </c>
      <c r="AA823" t="s">
        <v>469</v>
      </c>
      <c r="AB823" s="66">
        <v>129.33000000000001</v>
      </c>
      <c r="AC823">
        <v>20</v>
      </c>
      <c r="AD823" t="s">
        <v>2537</v>
      </c>
      <c r="AE823" s="7">
        <f t="shared" si="770"/>
        <v>2.3126050000000005</v>
      </c>
      <c r="AF823" s="7">
        <f t="shared" si="806"/>
        <v>0</v>
      </c>
      <c r="AG823" s="7">
        <f t="shared" si="772"/>
        <v>2.7199999999999998</v>
      </c>
      <c r="AH823" s="7">
        <f t="shared" si="773"/>
        <v>3.72</v>
      </c>
      <c r="AI823" s="7">
        <f t="shared" si="774"/>
        <v>4.6500000000000007E-2</v>
      </c>
      <c r="AJ823" s="7">
        <f t="shared" si="775"/>
        <v>6.0000000000000005E-2</v>
      </c>
      <c r="AK823" s="7">
        <f t="shared" si="776"/>
        <v>6.9999999999999993E-2</v>
      </c>
      <c r="AL823" s="7">
        <f t="shared" si="777"/>
        <v>0.56000000000000005</v>
      </c>
      <c r="AM823" s="7">
        <f t="shared" si="778"/>
        <v>0.03</v>
      </c>
      <c r="AN823" s="7">
        <f t="shared" si="779"/>
        <v>0.02</v>
      </c>
      <c r="AO823" s="7"/>
      <c r="AP823" s="7">
        <f t="shared" si="780"/>
        <v>0</v>
      </c>
      <c r="AQ823" s="7">
        <f t="shared" si="781"/>
        <v>9.5391050000000011</v>
      </c>
      <c r="AR823" s="7"/>
      <c r="AS823" s="7"/>
      <c r="AT823" s="7"/>
      <c r="AU823" s="7">
        <f>9.59-9.54</f>
        <v>5.0000000000000711E-2</v>
      </c>
      <c r="AV823" s="7">
        <f t="shared" si="807"/>
        <v>9.5891050000000018</v>
      </c>
      <c r="AW823" s="59">
        <v>1.8500000000000003E-2</v>
      </c>
      <c r="AX823" s="59">
        <v>1.4500000000000001E-2</v>
      </c>
      <c r="AY823" s="61">
        <v>1</v>
      </c>
      <c r="AZ823" s="69">
        <f t="shared" si="783"/>
        <v>4.0000000000000018E-3</v>
      </c>
      <c r="BA823" s="62">
        <f t="shared" si="799"/>
        <v>2.3126050000000005</v>
      </c>
      <c r="BB823" s="62"/>
      <c r="BC823" s="62"/>
      <c r="BD823" s="62"/>
      <c r="BE823" s="62"/>
      <c r="BF823" s="62"/>
      <c r="BG823" s="62"/>
      <c r="BH823" s="62"/>
      <c r="BI823" s="62"/>
      <c r="BJ823" s="62"/>
      <c r="BK823" s="62"/>
      <c r="BL823" s="62"/>
      <c r="BM823" s="62"/>
      <c r="BN823" s="62"/>
      <c r="BO823" s="62"/>
      <c r="BP823" s="62"/>
      <c r="BQ823" s="62"/>
      <c r="BR823" s="62"/>
      <c r="BS823" s="62"/>
      <c r="BT823" s="62"/>
      <c r="BU823" s="62"/>
      <c r="BV823" s="62"/>
      <c r="BW823" s="62"/>
      <c r="BX823" s="62"/>
      <c r="BY823" s="62"/>
      <c r="BZ823" s="62"/>
      <c r="CA823" s="62"/>
      <c r="CB823" s="62"/>
      <c r="CC823" s="62"/>
      <c r="CD823" s="59">
        <v>0</v>
      </c>
      <c r="CE823" s="62">
        <v>0</v>
      </c>
      <c r="CF823" s="62">
        <v>2</v>
      </c>
      <c r="CG823" s="59">
        <v>1.86</v>
      </c>
      <c r="CH823" s="62">
        <f>CF823*CG823</f>
        <v>3.72</v>
      </c>
      <c r="CI823" s="59"/>
      <c r="CJ823" s="59"/>
      <c r="CK823" s="59"/>
      <c r="CL823" s="59"/>
      <c r="CM823" s="59"/>
      <c r="CN823" s="59"/>
      <c r="CO823" s="59"/>
      <c r="CP823" s="59"/>
      <c r="CQ823" s="59"/>
      <c r="CR823" s="59"/>
      <c r="CS823" s="59"/>
      <c r="CT823" s="59"/>
      <c r="CU823" s="59"/>
      <c r="CV823" s="59"/>
      <c r="CW823" s="59"/>
      <c r="CX823" s="59"/>
      <c r="CY823" s="59"/>
      <c r="CZ823" s="59"/>
      <c r="DA823" s="59"/>
      <c r="DB823" s="59"/>
      <c r="DC823" s="59"/>
      <c r="DD823" s="59"/>
      <c r="DE823" s="59"/>
      <c r="DF823" s="59"/>
      <c r="DG823" s="59"/>
      <c r="DH823" s="59"/>
      <c r="DI823" s="59"/>
      <c r="DJ823" s="59"/>
      <c r="DK823" s="59"/>
      <c r="DL823" s="59"/>
      <c r="DM823" s="62">
        <f t="shared" si="785"/>
        <v>3.72</v>
      </c>
      <c r="DN823" s="64">
        <v>1.2500000000000001E-2</v>
      </c>
      <c r="DO823" s="62">
        <f>DM823*DN823</f>
        <v>4.6500000000000007E-2</v>
      </c>
      <c r="DP823" s="62">
        <f t="shared" si="786"/>
        <v>3.7665000000000002</v>
      </c>
      <c r="DQ823" s="59"/>
      <c r="DR823" s="59"/>
      <c r="DS823" s="59"/>
      <c r="DT823" s="59"/>
      <c r="DU823" s="59"/>
      <c r="DV823" s="59"/>
      <c r="DW823" s="59"/>
      <c r="DX823" s="59"/>
      <c r="DY823" s="59"/>
      <c r="DZ823" s="59"/>
      <c r="EA823" s="59"/>
      <c r="EB823" s="59"/>
      <c r="EC823" s="59"/>
      <c r="ED823" s="59"/>
      <c r="EE823" s="59"/>
      <c r="EF823" s="59">
        <v>160</v>
      </c>
      <c r="EG823" s="62">
        <v>1600</v>
      </c>
      <c r="EH823" s="59">
        <v>7.5</v>
      </c>
      <c r="EI823" s="61">
        <v>0.9</v>
      </c>
      <c r="EJ823" s="65">
        <v>2</v>
      </c>
      <c r="EK823" s="65">
        <v>60</v>
      </c>
      <c r="EL823" s="65">
        <f t="shared" si="805"/>
        <v>810</v>
      </c>
      <c r="EM823" s="59"/>
      <c r="EN823" s="59"/>
      <c r="EO823" s="59"/>
      <c r="EP823" s="59"/>
      <c r="EQ823" s="59"/>
      <c r="ER823" s="59"/>
      <c r="ES823" s="59"/>
      <c r="ET823" s="59"/>
      <c r="EU823" s="62">
        <f>ROUNDUP((EG823/EL823+FA823),2)</f>
        <v>2.7199999999999998</v>
      </c>
      <c r="EV823" s="59"/>
      <c r="EW823" s="59"/>
      <c r="EX823" s="59"/>
      <c r="EY823" s="59"/>
      <c r="EZ823" s="59"/>
      <c r="FA823" s="62">
        <f>600/810</f>
        <v>0.7407407407407407</v>
      </c>
      <c r="FB823" s="62"/>
      <c r="FC823" s="62"/>
      <c r="FD823" s="62"/>
      <c r="FE823" s="62"/>
      <c r="FF823" s="62"/>
      <c r="FG823" s="62"/>
      <c r="FH823" s="62"/>
      <c r="FI823" s="62"/>
      <c r="FJ823" s="62"/>
      <c r="FK823" s="62"/>
      <c r="FL823" s="62"/>
      <c r="FM823" s="62"/>
      <c r="FN823" s="62"/>
      <c r="FO823" s="62"/>
      <c r="FP823" s="62"/>
      <c r="FQ823" s="62"/>
      <c r="FR823" s="62"/>
      <c r="FS823" s="62"/>
      <c r="FT823" s="62"/>
      <c r="FU823" s="62"/>
      <c r="FV823" s="62"/>
      <c r="FW823" s="62"/>
      <c r="FX823" s="62"/>
      <c r="FY823" s="62"/>
      <c r="FZ823" s="62"/>
      <c r="GA823" s="62"/>
      <c r="GB823" s="62"/>
      <c r="GC823" s="62"/>
      <c r="GD823" s="62"/>
      <c r="GE823" s="62"/>
      <c r="GF823" s="62"/>
      <c r="GG823" s="62"/>
      <c r="GH823" s="62"/>
      <c r="GI823" s="62"/>
      <c r="GJ823" s="62"/>
      <c r="GK823" s="62"/>
      <c r="GL823" s="62"/>
      <c r="GM823" s="62"/>
      <c r="GN823" s="62"/>
      <c r="GO823" s="62"/>
      <c r="GP823" s="62"/>
      <c r="GQ823" s="62"/>
      <c r="GR823" s="61">
        <v>0.11</v>
      </c>
      <c r="GS823" s="69">
        <f t="shared" si="788"/>
        <v>0.56000000000000005</v>
      </c>
      <c r="GT823" s="64">
        <v>1.2500000000000001E-2</v>
      </c>
      <c r="GU823" s="62">
        <f>ROUNDUP(GT823*(BA823+EU823),2)</f>
        <v>6.9999999999999993E-2</v>
      </c>
      <c r="GV823" s="61">
        <v>0.02</v>
      </c>
      <c r="GW823" s="62">
        <f>ROUNDUP(GV823*EU823,2)</f>
        <v>6.0000000000000005E-2</v>
      </c>
      <c r="GX823" s="62">
        <f t="shared" si="791"/>
        <v>0.69000000000000006</v>
      </c>
      <c r="GY823" s="62" t="s">
        <v>43</v>
      </c>
      <c r="GZ823" s="62" t="s">
        <v>551</v>
      </c>
      <c r="HA823" s="59">
        <v>650</v>
      </c>
      <c r="HB823" s="59">
        <v>450</v>
      </c>
      <c r="HC823" s="59">
        <v>330</v>
      </c>
      <c r="HD823" s="59">
        <v>250</v>
      </c>
      <c r="HE823" s="59">
        <v>200</v>
      </c>
      <c r="HF823" s="62">
        <f t="shared" si="792"/>
        <v>1</v>
      </c>
      <c r="HG823" s="59">
        <v>5</v>
      </c>
      <c r="HH823" s="62">
        <f t="shared" si="800"/>
        <v>5</v>
      </c>
      <c r="HI823" s="59">
        <v>650</v>
      </c>
      <c r="HJ823" s="62">
        <f t="shared" si="793"/>
        <v>3250</v>
      </c>
      <c r="HK823" s="59"/>
      <c r="HL823" s="59"/>
      <c r="HM823" s="59">
        <v>2</v>
      </c>
      <c r="HN823" s="62">
        <f t="shared" si="794"/>
        <v>120000</v>
      </c>
      <c r="HO823" s="62">
        <f>ROUNDUP(IF(GY823="carton box",HI823/HD823,HJ823/HN823),2)</f>
        <v>0.03</v>
      </c>
      <c r="HP823" s="59">
        <v>160</v>
      </c>
      <c r="HQ823" s="59">
        <v>0</v>
      </c>
      <c r="HR823" s="59">
        <v>0</v>
      </c>
      <c r="HS823" s="59">
        <v>0</v>
      </c>
      <c r="HT823" s="59">
        <v>0</v>
      </c>
      <c r="HU823" s="59"/>
      <c r="HV823" s="62">
        <f>ROUNDUP(HO823+HT823,2)</f>
        <v>0.03</v>
      </c>
      <c r="HW823" s="62"/>
      <c r="HX823" s="59">
        <v>4200</v>
      </c>
      <c r="HY823" s="59">
        <v>1900</v>
      </c>
      <c r="HZ823" s="59">
        <v>1975</v>
      </c>
      <c r="IA823" s="62">
        <f t="shared" si="796"/>
        <v>6</v>
      </c>
      <c r="IB823" s="62">
        <f t="shared" si="797"/>
        <v>4</v>
      </c>
      <c r="IC823" s="62">
        <f t="shared" si="798"/>
        <v>5</v>
      </c>
      <c r="ID823" s="61">
        <v>0.95</v>
      </c>
      <c r="IE823" s="62">
        <f>PRODUCT(IA823:ID823)</f>
        <v>114</v>
      </c>
      <c r="IF823" s="59">
        <v>500</v>
      </c>
      <c r="IG823" s="62">
        <f t="shared" si="804"/>
        <v>0.02</v>
      </c>
      <c r="IH823" s="62"/>
    </row>
    <row r="824" spans="1:242" ht="30">
      <c r="A824">
        <v>809</v>
      </c>
      <c r="B824" t="s">
        <v>468</v>
      </c>
      <c r="C824" s="187" t="s">
        <v>2561</v>
      </c>
      <c r="D824" s="28" t="s">
        <v>1657</v>
      </c>
      <c r="E824" s="28" t="s">
        <v>223</v>
      </c>
      <c r="F824" s="28" t="s">
        <v>2182</v>
      </c>
      <c r="G824" s="27" t="s">
        <v>108</v>
      </c>
      <c r="I824" s="27" t="s">
        <v>226</v>
      </c>
      <c r="J824" s="28">
        <v>21590</v>
      </c>
      <c r="K824" s="27" t="s">
        <v>397</v>
      </c>
      <c r="Q824" s="13" t="s">
        <v>2484</v>
      </c>
      <c r="R824" s="13" t="s">
        <v>1194</v>
      </c>
      <c r="S824" s="13" t="s">
        <v>2485</v>
      </c>
      <c r="T824" s="13"/>
      <c r="U824" s="13"/>
      <c r="V824" s="72" t="s">
        <v>2486</v>
      </c>
      <c r="W824" s="53" t="s">
        <v>2562</v>
      </c>
      <c r="AA824" t="s">
        <v>2356</v>
      </c>
      <c r="AB824" s="66">
        <v>126.31</v>
      </c>
      <c r="AC824">
        <v>20</v>
      </c>
      <c r="AD824" t="s">
        <v>2537</v>
      </c>
      <c r="AE824" s="7">
        <f t="shared" si="770"/>
        <v>5.3081750000000003</v>
      </c>
      <c r="AF824" s="7">
        <f t="shared" si="806"/>
        <v>0</v>
      </c>
      <c r="AG824" s="7">
        <f t="shared" si="772"/>
        <v>1.8106995884773662</v>
      </c>
      <c r="AH824" s="7">
        <f t="shared" si="773"/>
        <v>0</v>
      </c>
      <c r="AI824" s="7">
        <f t="shared" si="774"/>
        <v>0</v>
      </c>
      <c r="AJ824" s="7">
        <f t="shared" si="775"/>
        <v>0.04</v>
      </c>
      <c r="AK824" s="7">
        <f t="shared" si="776"/>
        <v>0.09</v>
      </c>
      <c r="AL824" s="7">
        <f t="shared" si="777"/>
        <v>0.78307620473251027</v>
      </c>
      <c r="AM824" s="7">
        <f t="shared" si="778"/>
        <v>0.12</v>
      </c>
      <c r="AN824" s="7">
        <f t="shared" si="779"/>
        <v>0.02</v>
      </c>
      <c r="AO824" s="7"/>
      <c r="AP824" s="7">
        <f t="shared" si="780"/>
        <v>0</v>
      </c>
      <c r="AQ824" s="7">
        <f t="shared" si="781"/>
        <v>8.1719507932098754</v>
      </c>
      <c r="AR824" s="7"/>
      <c r="AS824" s="7"/>
      <c r="AT824" s="7"/>
      <c r="AU824" s="7">
        <f>8.18-8.17</f>
        <v>9.9999999999997868E-3</v>
      </c>
      <c r="AV824" s="7">
        <f t="shared" si="807"/>
        <v>8.1819507932098752</v>
      </c>
      <c r="AW824" s="59">
        <v>4.2500000000000003E-2</v>
      </c>
      <c r="AX824" s="69">
        <v>3.95E-2</v>
      </c>
      <c r="AY824" s="61">
        <v>1</v>
      </c>
      <c r="AZ824" s="69">
        <f t="shared" si="783"/>
        <v>3.0000000000000027E-3</v>
      </c>
      <c r="BA824" s="62">
        <f t="shared" si="799"/>
        <v>5.3081750000000003</v>
      </c>
      <c r="BB824" s="62"/>
      <c r="BC824" s="62"/>
      <c r="BD824" s="62"/>
      <c r="BE824" s="62"/>
      <c r="BF824" s="62"/>
      <c r="BG824" s="62"/>
      <c r="BH824" s="62"/>
      <c r="BI824" s="62"/>
      <c r="BJ824" s="62"/>
      <c r="BK824" s="62"/>
      <c r="BL824" s="62"/>
      <c r="BM824" s="62"/>
      <c r="BN824" s="62"/>
      <c r="BO824" s="62"/>
      <c r="BP824" s="62"/>
      <c r="BQ824" s="62"/>
      <c r="BR824" s="62"/>
      <c r="BS824" s="62"/>
      <c r="BT824" s="62"/>
      <c r="BU824" s="62"/>
      <c r="BV824" s="62"/>
      <c r="BW824" s="62"/>
      <c r="BX824" s="62"/>
      <c r="BY824" s="62"/>
      <c r="BZ824" s="62"/>
      <c r="CA824" s="62"/>
      <c r="CB824" s="62"/>
      <c r="CC824" s="62"/>
      <c r="CD824" s="59">
        <v>0</v>
      </c>
      <c r="CE824" s="62">
        <v>0</v>
      </c>
      <c r="CF824" s="62">
        <v>0</v>
      </c>
      <c r="CG824" s="62">
        <v>0</v>
      </c>
      <c r="CH824" s="62">
        <v>0</v>
      </c>
      <c r="CI824" s="59"/>
      <c r="CJ824" s="59"/>
      <c r="CK824" s="59"/>
      <c r="CL824" s="59"/>
      <c r="CM824" s="59"/>
      <c r="CN824" s="59"/>
      <c r="CO824" s="59"/>
      <c r="CP824" s="59"/>
      <c r="CQ824" s="59"/>
      <c r="CR824" s="59"/>
      <c r="CS824" s="59"/>
      <c r="CT824" s="59"/>
      <c r="CU824" s="59"/>
      <c r="CV824" s="59"/>
      <c r="CW824" s="59"/>
      <c r="CX824" s="59"/>
      <c r="CY824" s="59"/>
      <c r="CZ824" s="59"/>
      <c r="DA824" s="59"/>
      <c r="DB824" s="59"/>
      <c r="DC824" s="59"/>
      <c r="DD824" s="59"/>
      <c r="DE824" s="59"/>
      <c r="DF824" s="59"/>
      <c r="DG824" s="59"/>
      <c r="DH824" s="59"/>
      <c r="DI824" s="59"/>
      <c r="DJ824" s="59"/>
      <c r="DK824" s="59"/>
      <c r="DL824" s="59"/>
      <c r="DM824" s="62">
        <f t="shared" si="785"/>
        <v>0</v>
      </c>
      <c r="DN824" s="64">
        <v>1.2500000000000001E-2</v>
      </c>
      <c r="DO824" s="62">
        <f>DM824*DN824</f>
        <v>0</v>
      </c>
      <c r="DP824" s="62">
        <f t="shared" si="786"/>
        <v>0</v>
      </c>
      <c r="DQ824" s="59"/>
      <c r="DR824" s="59"/>
      <c r="DS824" s="59"/>
      <c r="DT824" s="59"/>
      <c r="DU824" s="59"/>
      <c r="DV824" s="59"/>
      <c r="DW824" s="59"/>
      <c r="DX824" s="59"/>
      <c r="DY824" s="59"/>
      <c r="DZ824" s="59"/>
      <c r="EA824" s="59"/>
      <c r="EB824" s="59"/>
      <c r="EC824" s="59"/>
      <c r="ED824" s="59"/>
      <c r="EE824" s="59"/>
      <c r="EF824" s="59">
        <v>160</v>
      </c>
      <c r="EG824" s="62">
        <v>1600</v>
      </c>
      <c r="EH824" s="59">
        <v>7.5</v>
      </c>
      <c r="EI824" s="61">
        <v>0.9</v>
      </c>
      <c r="EJ824" s="65">
        <v>2</v>
      </c>
      <c r="EK824" s="65">
        <v>55</v>
      </c>
      <c r="EL824" s="65">
        <f t="shared" si="805"/>
        <v>883.63636363636363</v>
      </c>
      <c r="EM824" s="59"/>
      <c r="EN824" s="59"/>
      <c r="EO824" s="59"/>
      <c r="EP824" s="59"/>
      <c r="EQ824" s="59"/>
      <c r="ER824" s="59"/>
      <c r="ES824" s="59"/>
      <c r="ET824" s="59"/>
      <c r="EU824" s="62">
        <f t="shared" ref="EU824:EU834" si="808">EG824/EL824+FA824</f>
        <v>1.8106995884773662</v>
      </c>
      <c r="EV824" s="59"/>
      <c r="EW824" s="59"/>
      <c r="EX824" s="59"/>
      <c r="EY824" s="59"/>
      <c r="EZ824" s="59"/>
      <c r="FA824" s="59"/>
      <c r="FB824" s="59"/>
      <c r="FC824" s="59"/>
      <c r="FD824" s="59"/>
      <c r="FE824" s="59"/>
      <c r="FF824" s="59"/>
      <c r="FG824" s="59"/>
      <c r="FH824" s="59"/>
      <c r="FI824" s="59"/>
      <c r="FJ824" s="59"/>
      <c r="FK824" s="59"/>
      <c r="FL824" s="59"/>
      <c r="FM824" s="59"/>
      <c r="FN824" s="59"/>
      <c r="FO824" s="59"/>
      <c r="FP824" s="59"/>
      <c r="FQ824" s="59"/>
      <c r="FR824" s="59"/>
      <c r="FS824" s="59"/>
      <c r="FT824" s="59"/>
      <c r="FU824" s="59"/>
      <c r="FV824" s="59"/>
      <c r="FW824" s="59"/>
      <c r="FX824" s="59"/>
      <c r="FY824" s="59"/>
      <c r="FZ824" s="59"/>
      <c r="GA824" s="59"/>
      <c r="GB824" s="59"/>
      <c r="GC824" s="59"/>
      <c r="GD824" s="59"/>
      <c r="GE824" s="59"/>
      <c r="GF824" s="59"/>
      <c r="GG824" s="59"/>
      <c r="GH824" s="59"/>
      <c r="GI824" s="59"/>
      <c r="GJ824" s="59"/>
      <c r="GK824" s="59"/>
      <c r="GL824" s="59"/>
      <c r="GM824" s="59"/>
      <c r="GN824" s="59"/>
      <c r="GO824" s="59"/>
      <c r="GP824" s="59"/>
      <c r="GQ824" s="59"/>
      <c r="GR824" s="61">
        <v>0.11</v>
      </c>
      <c r="GS824" s="62">
        <f t="shared" ref="GS824:GS834" si="809">GR824*(BA824+EU824)</f>
        <v>0.78307620473251027</v>
      </c>
      <c r="GT824" s="64">
        <v>1.2500000000000001E-2</v>
      </c>
      <c r="GU824" s="62">
        <f>ROUNDUP(GT824*(BA824+EU824),2)</f>
        <v>0.09</v>
      </c>
      <c r="GV824" s="61">
        <v>0.02</v>
      </c>
      <c r="GW824" s="62">
        <f>ROUNDUP(GV824*EU824,2)</f>
        <v>0.04</v>
      </c>
      <c r="GX824" s="62">
        <f t="shared" si="791"/>
        <v>0.91307620473251028</v>
      </c>
      <c r="GY824" s="62" t="s">
        <v>43</v>
      </c>
      <c r="GZ824" s="62" t="s">
        <v>551</v>
      </c>
      <c r="HA824" s="59">
        <v>650</v>
      </c>
      <c r="HB824" s="59">
        <v>450</v>
      </c>
      <c r="HC824" s="59">
        <v>330</v>
      </c>
      <c r="HD824" s="59">
        <v>262</v>
      </c>
      <c r="HE824" s="59">
        <v>200</v>
      </c>
      <c r="HF824" s="62">
        <f t="shared" si="792"/>
        <v>1</v>
      </c>
      <c r="HG824" s="59">
        <v>5</v>
      </c>
      <c r="HH824" s="62">
        <f t="shared" si="800"/>
        <v>5</v>
      </c>
      <c r="HI824" s="59">
        <v>650</v>
      </c>
      <c r="HJ824" s="62">
        <f t="shared" si="793"/>
        <v>3250</v>
      </c>
      <c r="HK824" s="59"/>
      <c r="HL824" s="59"/>
      <c r="HM824" s="59">
        <v>2</v>
      </c>
      <c r="HN824" s="62">
        <f t="shared" si="794"/>
        <v>120000</v>
      </c>
      <c r="HO824" s="62">
        <f>ROUNDUP(IF(GY824="carton box",HI824/HD824,HJ824/HN824),2)</f>
        <v>0.03</v>
      </c>
      <c r="HP824" s="59">
        <v>160</v>
      </c>
      <c r="HQ824" s="59">
        <v>0</v>
      </c>
      <c r="HR824" s="59">
        <v>0.09</v>
      </c>
      <c r="HS824" s="59">
        <v>1</v>
      </c>
      <c r="HT824" s="62">
        <f>HR824/HS824</f>
        <v>0.09</v>
      </c>
      <c r="HU824" s="62"/>
      <c r="HV824" s="62">
        <f>ROUNDUP(HO824+HT824,2)</f>
        <v>0.12</v>
      </c>
      <c r="HW824" s="62"/>
      <c r="HX824" s="59">
        <v>4200</v>
      </c>
      <c r="HY824" s="59">
        <v>1900</v>
      </c>
      <c r="HZ824" s="59">
        <v>1975</v>
      </c>
      <c r="IA824" s="62">
        <f t="shared" si="796"/>
        <v>6</v>
      </c>
      <c r="IB824" s="62">
        <f t="shared" si="797"/>
        <v>4</v>
      </c>
      <c r="IC824" s="62">
        <f t="shared" si="798"/>
        <v>5</v>
      </c>
      <c r="ID824" s="61">
        <v>0.95</v>
      </c>
      <c r="IE824" s="62">
        <f>PRODUCT(IA824:ID824)</f>
        <v>114</v>
      </c>
      <c r="IF824" s="59">
        <v>500</v>
      </c>
      <c r="IG824" s="62">
        <f t="shared" si="804"/>
        <v>0.02</v>
      </c>
      <c r="IH824" s="62"/>
    </row>
    <row r="825" spans="1:242" ht="30">
      <c r="A825">
        <v>810</v>
      </c>
      <c r="B825" t="s">
        <v>468</v>
      </c>
      <c r="C825" t="s">
        <v>2563</v>
      </c>
      <c r="D825" s="28" t="s">
        <v>1658</v>
      </c>
      <c r="E825" s="28" t="s">
        <v>1624</v>
      </c>
      <c r="F825" s="28" t="s">
        <v>2182</v>
      </c>
      <c r="G825" s="27" t="s">
        <v>108</v>
      </c>
      <c r="I825" s="27" t="s">
        <v>226</v>
      </c>
      <c r="J825" s="28">
        <v>21691</v>
      </c>
      <c r="K825" s="27" t="s">
        <v>404</v>
      </c>
      <c r="Q825" s="13" t="s">
        <v>2484</v>
      </c>
      <c r="R825" s="13" t="s">
        <v>1194</v>
      </c>
      <c r="S825" s="13" t="s">
        <v>2564</v>
      </c>
      <c r="T825" s="13"/>
      <c r="U825" s="13"/>
      <c r="V825" s="72" t="s">
        <v>2486</v>
      </c>
      <c r="W825" s="53"/>
      <c r="AA825" t="s">
        <v>2545</v>
      </c>
      <c r="AB825" s="66">
        <v>309</v>
      </c>
      <c r="AC825">
        <v>20</v>
      </c>
      <c r="AD825" t="s">
        <v>2565</v>
      </c>
      <c r="AE825" s="7">
        <f t="shared" si="770"/>
        <v>48.216700000000003</v>
      </c>
      <c r="AF825" s="7">
        <f t="shared" si="806"/>
        <v>0</v>
      </c>
      <c r="AG825" s="7">
        <f t="shared" si="772"/>
        <v>9.4444444444444446</v>
      </c>
      <c r="AH825" s="7">
        <f t="shared" si="773"/>
        <v>0.2</v>
      </c>
      <c r="AI825" s="7">
        <f t="shared" si="774"/>
        <v>2.5000000000000005E-3</v>
      </c>
      <c r="AJ825" s="7">
        <f t="shared" si="775"/>
        <v>0.18888888888888888</v>
      </c>
      <c r="AK825" s="7">
        <f t="shared" si="776"/>
        <v>0.7207643055555556</v>
      </c>
      <c r="AL825" s="7">
        <f t="shared" si="777"/>
        <v>6.3427258888888893</v>
      </c>
      <c r="AM825" s="7">
        <f t="shared" si="778"/>
        <v>0.30208333333333331</v>
      </c>
      <c r="AN825" s="7">
        <f t="shared" si="779"/>
        <v>0.38</v>
      </c>
      <c r="AO825" s="7"/>
      <c r="AP825" s="7">
        <f t="shared" si="780"/>
        <v>0</v>
      </c>
      <c r="AQ825" s="7">
        <f t="shared" si="781"/>
        <v>65.798106861111108</v>
      </c>
      <c r="AR825" s="7"/>
      <c r="AS825" s="7"/>
      <c r="AT825" s="7"/>
      <c r="AU825" s="7"/>
      <c r="AV825" s="7">
        <f t="shared" si="807"/>
        <v>65.798106861111108</v>
      </c>
      <c r="AW825" s="59">
        <v>0.15629999999999999</v>
      </c>
      <c r="AX825" s="59">
        <v>0.15229999999999999</v>
      </c>
      <c r="AY825" s="61">
        <v>1</v>
      </c>
      <c r="AZ825" s="69">
        <f t="shared" si="783"/>
        <v>4.0000000000000036E-3</v>
      </c>
      <c r="BA825" s="62">
        <f t="shared" si="799"/>
        <v>48.216700000000003</v>
      </c>
      <c r="BB825" s="62"/>
      <c r="BC825" s="62"/>
      <c r="BD825" s="62"/>
      <c r="BE825" s="62"/>
      <c r="BF825" s="62"/>
      <c r="BG825" s="62"/>
      <c r="BH825" s="62"/>
      <c r="BI825" s="62"/>
      <c r="BJ825" s="62"/>
      <c r="BK825" s="62"/>
      <c r="BL825" s="62"/>
      <c r="BM825" s="62"/>
      <c r="BN825" s="62"/>
      <c r="BO825" s="62"/>
      <c r="BP825" s="62"/>
      <c r="BQ825" s="62"/>
      <c r="BR825" s="62"/>
      <c r="BS825" s="62"/>
      <c r="BT825" s="62"/>
      <c r="BU825" s="62"/>
      <c r="BV825" s="62"/>
      <c r="BW825" s="62"/>
      <c r="BX825" s="62"/>
      <c r="BY825" s="62"/>
      <c r="BZ825" s="62"/>
      <c r="CA825" s="62"/>
      <c r="CB825" s="62"/>
      <c r="CC825" s="62"/>
      <c r="CD825" s="59">
        <v>0</v>
      </c>
      <c r="CE825" s="62">
        <v>0</v>
      </c>
      <c r="CF825" s="62">
        <v>1</v>
      </c>
      <c r="CG825" s="62">
        <v>0.2</v>
      </c>
      <c r="CH825" s="62">
        <f t="shared" ref="CH825:CH830" si="810">CF825*CG825</f>
        <v>0.2</v>
      </c>
      <c r="CI825" s="59"/>
      <c r="CJ825" s="59"/>
      <c r="CK825" s="59"/>
      <c r="CL825" s="59"/>
      <c r="CM825" s="59"/>
      <c r="CN825" s="59"/>
      <c r="CO825" s="59"/>
      <c r="CP825" s="59"/>
      <c r="CQ825" s="59"/>
      <c r="CR825" s="59"/>
      <c r="CS825" s="59"/>
      <c r="CT825" s="59"/>
      <c r="CU825" s="59"/>
      <c r="CV825" s="59"/>
      <c r="CW825" s="59"/>
      <c r="CX825" s="59"/>
      <c r="CY825" s="59"/>
      <c r="CZ825" s="59"/>
      <c r="DA825" s="59"/>
      <c r="DB825" s="59"/>
      <c r="DC825" s="59"/>
      <c r="DD825" s="59"/>
      <c r="DE825" s="59"/>
      <c r="DF825" s="59"/>
      <c r="DG825" s="59"/>
      <c r="DH825" s="59"/>
      <c r="DI825" s="59"/>
      <c r="DJ825" s="59"/>
      <c r="DK825" s="59"/>
      <c r="DL825" s="59"/>
      <c r="DM825" s="62">
        <f t="shared" si="785"/>
        <v>0.2</v>
      </c>
      <c r="DN825" s="64">
        <v>1.2500000000000001E-2</v>
      </c>
      <c r="DO825" s="62">
        <f>DM825*DN825</f>
        <v>2.5000000000000005E-3</v>
      </c>
      <c r="DP825" s="62">
        <f t="shared" si="786"/>
        <v>0.20250000000000001</v>
      </c>
      <c r="DQ825" s="59"/>
      <c r="DR825" s="59"/>
      <c r="DS825" s="59"/>
      <c r="DT825" s="59"/>
      <c r="DU825" s="59"/>
      <c r="DV825" s="59"/>
      <c r="DW825" s="59"/>
      <c r="DX825" s="59"/>
      <c r="DY825" s="59"/>
      <c r="DZ825" s="59"/>
      <c r="EA825" s="59"/>
      <c r="EB825" s="59"/>
      <c r="EC825" s="59"/>
      <c r="ED825" s="59"/>
      <c r="EE825" s="59"/>
      <c r="EF825" s="59">
        <v>380</v>
      </c>
      <c r="EG825" s="62">
        <v>3800</v>
      </c>
      <c r="EH825" s="59">
        <v>8</v>
      </c>
      <c r="EI825" s="61">
        <v>0.95</v>
      </c>
      <c r="EJ825" s="65">
        <v>1</v>
      </c>
      <c r="EK825" s="65">
        <v>68</v>
      </c>
      <c r="EL825" s="65">
        <f t="shared" si="805"/>
        <v>402.35294117647055</v>
      </c>
      <c r="EM825" s="59"/>
      <c r="EN825" s="59"/>
      <c r="EO825" s="59"/>
      <c r="EP825" s="59"/>
      <c r="EQ825" s="59"/>
      <c r="ER825" s="59"/>
      <c r="ES825" s="59"/>
      <c r="ET825" s="59"/>
      <c r="EU825" s="62">
        <f t="shared" si="808"/>
        <v>9.4444444444444446</v>
      </c>
      <c r="EV825" s="59"/>
      <c r="EW825" s="59"/>
      <c r="EX825" s="59"/>
      <c r="EY825" s="59"/>
      <c r="EZ825" s="59"/>
      <c r="FA825" s="59"/>
      <c r="FB825" s="59"/>
      <c r="FC825" s="59"/>
      <c r="FD825" s="59"/>
      <c r="FE825" s="59"/>
      <c r="FF825" s="59"/>
      <c r="FG825" s="59"/>
      <c r="FH825" s="59"/>
      <c r="FI825" s="59"/>
      <c r="FJ825" s="59"/>
      <c r="FK825" s="59"/>
      <c r="FL825" s="59"/>
      <c r="FM825" s="59"/>
      <c r="FN825" s="59"/>
      <c r="FO825" s="59"/>
      <c r="FP825" s="59"/>
      <c r="FQ825" s="59"/>
      <c r="FR825" s="59"/>
      <c r="FS825" s="59"/>
      <c r="FT825" s="59"/>
      <c r="FU825" s="59"/>
      <c r="FV825" s="59"/>
      <c r="FW825" s="59"/>
      <c r="FX825" s="59"/>
      <c r="FY825" s="59"/>
      <c r="FZ825" s="59"/>
      <c r="GA825" s="59"/>
      <c r="GB825" s="59"/>
      <c r="GC825" s="59"/>
      <c r="GD825" s="59"/>
      <c r="GE825" s="59"/>
      <c r="GF825" s="59"/>
      <c r="GG825" s="59"/>
      <c r="GH825" s="59"/>
      <c r="GI825" s="59"/>
      <c r="GJ825" s="59"/>
      <c r="GK825" s="59"/>
      <c r="GL825" s="59"/>
      <c r="GM825" s="59"/>
      <c r="GN825" s="59"/>
      <c r="GO825" s="59"/>
      <c r="GP825" s="59"/>
      <c r="GQ825" s="59"/>
      <c r="GR825" s="61">
        <v>0.11</v>
      </c>
      <c r="GS825" s="62">
        <f t="shared" si="809"/>
        <v>6.3427258888888893</v>
      </c>
      <c r="GT825" s="64">
        <v>1.2500000000000001E-2</v>
      </c>
      <c r="GU825" s="62">
        <f t="shared" ref="GU825:GU834" si="811">GT825*(BA825+EU825)</f>
        <v>0.7207643055555556</v>
      </c>
      <c r="GV825" s="61">
        <v>0.02</v>
      </c>
      <c r="GW825" s="62">
        <f t="shared" ref="GW825:GW834" si="812">GV825*EU825</f>
        <v>0.18888888888888888</v>
      </c>
      <c r="GX825" s="62">
        <f t="shared" si="791"/>
        <v>7.2523790833333344</v>
      </c>
      <c r="GY825" s="62" t="s">
        <v>43</v>
      </c>
      <c r="GZ825" s="62" t="s">
        <v>551</v>
      </c>
      <c r="HA825" s="59">
        <v>805</v>
      </c>
      <c r="HB825" s="59">
        <v>675</v>
      </c>
      <c r="HC825" s="59">
        <v>405</v>
      </c>
      <c r="HD825" s="59">
        <v>40</v>
      </c>
      <c r="HE825" s="59">
        <v>400</v>
      </c>
      <c r="HF825" s="62">
        <f t="shared" si="792"/>
        <v>10</v>
      </c>
      <c r="HG825" s="59">
        <v>5</v>
      </c>
      <c r="HH825" s="62">
        <f t="shared" si="800"/>
        <v>50</v>
      </c>
      <c r="HI825" s="59">
        <v>1450</v>
      </c>
      <c r="HJ825" s="62">
        <f t="shared" si="793"/>
        <v>72500</v>
      </c>
      <c r="HK825" s="59"/>
      <c r="HL825" s="59"/>
      <c r="HM825" s="59">
        <v>2</v>
      </c>
      <c r="HN825" s="62">
        <f t="shared" si="794"/>
        <v>240000</v>
      </c>
      <c r="HO825" s="62">
        <f t="shared" ref="HO825:HO836" si="813">IF(GY825="carton box",HI825/HD825,HJ825/HN825)</f>
        <v>0.30208333333333331</v>
      </c>
      <c r="HP825" s="59">
        <v>160</v>
      </c>
      <c r="HQ825" s="59">
        <v>0</v>
      </c>
      <c r="HR825" s="59">
        <v>0</v>
      </c>
      <c r="HS825" s="59">
        <v>0</v>
      </c>
      <c r="HT825" s="59">
        <v>0</v>
      </c>
      <c r="HU825" s="59"/>
      <c r="HV825" s="62">
        <f t="shared" ref="HV825:HV830" si="814">HO825+HT825</f>
        <v>0.30208333333333331</v>
      </c>
      <c r="HW825" s="62"/>
      <c r="HX825" s="59">
        <v>5016</v>
      </c>
      <c r="HY825" s="59">
        <v>1976</v>
      </c>
      <c r="HZ825" s="59">
        <v>2280</v>
      </c>
      <c r="IA825" s="62">
        <f t="shared" si="796"/>
        <v>6</v>
      </c>
      <c r="IB825" s="62">
        <f t="shared" si="797"/>
        <v>2</v>
      </c>
      <c r="IC825" s="62">
        <f t="shared" si="798"/>
        <v>5</v>
      </c>
      <c r="ID825" s="61">
        <v>0.95</v>
      </c>
      <c r="IE825" s="62">
        <f>PRODUCT(IA825:ID825)-7</f>
        <v>50</v>
      </c>
      <c r="IF825" s="59">
        <v>750</v>
      </c>
      <c r="IG825" s="62">
        <f t="shared" si="804"/>
        <v>0.38</v>
      </c>
      <c r="IH825" s="62"/>
    </row>
    <row r="826" spans="1:242" ht="30">
      <c r="A826">
        <v>811</v>
      </c>
      <c r="B826" t="s">
        <v>468</v>
      </c>
      <c r="C826" t="s">
        <v>2566</v>
      </c>
      <c r="D826" s="28" t="s">
        <v>1659</v>
      </c>
      <c r="E826" s="28" t="s">
        <v>1660</v>
      </c>
      <c r="F826" s="28" t="s">
        <v>2182</v>
      </c>
      <c r="G826" s="27" t="s">
        <v>108</v>
      </c>
      <c r="I826" s="27" t="s">
        <v>226</v>
      </c>
      <c r="J826" s="28">
        <v>21691</v>
      </c>
      <c r="K826" s="27" t="s">
        <v>404</v>
      </c>
      <c r="Q826" s="13" t="s">
        <v>2484</v>
      </c>
      <c r="R826" s="13" t="s">
        <v>1194</v>
      </c>
      <c r="S826" s="13" t="s">
        <v>2567</v>
      </c>
      <c r="T826" s="13"/>
      <c r="U826" s="13"/>
      <c r="V826" s="72" t="s">
        <v>2486</v>
      </c>
      <c r="W826" s="53"/>
      <c r="AA826" t="s">
        <v>2568</v>
      </c>
      <c r="AB826" s="66">
        <v>309</v>
      </c>
      <c r="AC826">
        <v>20</v>
      </c>
      <c r="AD826" t="s">
        <v>2569</v>
      </c>
      <c r="AE826" s="7">
        <f t="shared" si="770"/>
        <v>66.200500000000005</v>
      </c>
      <c r="AF826" s="7">
        <f t="shared" si="806"/>
        <v>0</v>
      </c>
      <c r="AG826" s="7">
        <f t="shared" si="772"/>
        <v>9.9415204678362574</v>
      </c>
      <c r="AH826" s="7">
        <f t="shared" si="773"/>
        <v>0.2</v>
      </c>
      <c r="AI826" s="7">
        <f t="shared" si="774"/>
        <v>2.5000000000000005E-3</v>
      </c>
      <c r="AJ826" s="7">
        <f t="shared" si="775"/>
        <v>0.19883040935672516</v>
      </c>
      <c r="AK826" s="7">
        <f t="shared" si="776"/>
        <v>0.95177525584795331</v>
      </c>
      <c r="AL826" s="7">
        <f t="shared" si="777"/>
        <v>8.3756222514619889</v>
      </c>
      <c r="AM826" s="7">
        <f t="shared" si="778"/>
        <v>0.30208333333333331</v>
      </c>
      <c r="AN826" s="7">
        <f t="shared" si="779"/>
        <v>0.38</v>
      </c>
      <c r="AO826" s="7"/>
      <c r="AP826" s="7">
        <f t="shared" si="780"/>
        <v>0</v>
      </c>
      <c r="AQ826" s="7">
        <f t="shared" si="781"/>
        <v>86.552831717836256</v>
      </c>
      <c r="AR826" s="7"/>
      <c r="AS826" s="7"/>
      <c r="AT826" s="7"/>
      <c r="AU826" s="7"/>
      <c r="AV826" s="7">
        <f t="shared" si="807"/>
        <v>86.552831717836256</v>
      </c>
      <c r="AW826" s="59">
        <v>0.2145</v>
      </c>
      <c r="AX826" s="59">
        <v>0.21049999999999999</v>
      </c>
      <c r="AY826" s="61">
        <v>1</v>
      </c>
      <c r="AZ826" s="69">
        <f t="shared" si="783"/>
        <v>4.0000000000000036E-3</v>
      </c>
      <c r="BA826" s="62">
        <f t="shared" si="799"/>
        <v>66.200500000000005</v>
      </c>
      <c r="BB826" s="62"/>
      <c r="BC826" s="62"/>
      <c r="BD826" s="62"/>
      <c r="BE826" s="62"/>
      <c r="BF826" s="62"/>
      <c r="BG826" s="62"/>
      <c r="BH826" s="62"/>
      <c r="BI826" s="62"/>
      <c r="BJ826" s="62"/>
      <c r="BK826" s="62"/>
      <c r="BL826" s="62"/>
      <c r="BM826" s="62"/>
      <c r="BN826" s="62"/>
      <c r="BO826" s="62"/>
      <c r="BP826" s="62"/>
      <c r="BQ826" s="62"/>
      <c r="BR826" s="62"/>
      <c r="BS826" s="62"/>
      <c r="BT826" s="62"/>
      <c r="BU826" s="62"/>
      <c r="BV826" s="62"/>
      <c r="BW826" s="62"/>
      <c r="BX826" s="62"/>
      <c r="BY826" s="62"/>
      <c r="BZ826" s="62"/>
      <c r="CA826" s="62"/>
      <c r="CB826" s="62"/>
      <c r="CC826" s="62"/>
      <c r="CD826" s="59">
        <v>0</v>
      </c>
      <c r="CE826" s="62">
        <v>0</v>
      </c>
      <c r="CF826" s="62">
        <v>1</v>
      </c>
      <c r="CG826" s="62">
        <v>0.2</v>
      </c>
      <c r="CH826" s="62">
        <f t="shared" si="810"/>
        <v>0.2</v>
      </c>
      <c r="CI826" s="59"/>
      <c r="CJ826" s="59"/>
      <c r="CK826" s="59"/>
      <c r="CL826" s="59"/>
      <c r="CM826" s="59"/>
      <c r="CN826" s="59"/>
      <c r="CO826" s="59"/>
      <c r="CP826" s="59"/>
      <c r="CQ826" s="59"/>
      <c r="CR826" s="59"/>
      <c r="CS826" s="59"/>
      <c r="CT826" s="59"/>
      <c r="CU826" s="59"/>
      <c r="CV826" s="59"/>
      <c r="CW826" s="59"/>
      <c r="CX826" s="59"/>
      <c r="CY826" s="59"/>
      <c r="CZ826" s="59"/>
      <c r="DA826" s="59"/>
      <c r="DB826" s="59"/>
      <c r="DC826" s="59"/>
      <c r="DD826" s="59"/>
      <c r="DE826" s="59"/>
      <c r="DF826" s="59"/>
      <c r="DG826" s="59"/>
      <c r="DH826" s="59"/>
      <c r="DI826" s="59"/>
      <c r="DJ826" s="59"/>
      <c r="DK826" s="59"/>
      <c r="DL826" s="59"/>
      <c r="DM826" s="62">
        <f t="shared" si="785"/>
        <v>0.2</v>
      </c>
      <c r="DN826" s="64">
        <v>1.2500000000000001E-2</v>
      </c>
      <c r="DO826" s="62">
        <f>DM826*DN826</f>
        <v>2.5000000000000005E-3</v>
      </c>
      <c r="DP826" s="62">
        <f t="shared" si="786"/>
        <v>0.20250000000000001</v>
      </c>
      <c r="DQ826" s="59"/>
      <c r="DR826" s="59"/>
      <c r="DS826" s="59"/>
      <c r="DT826" s="59"/>
      <c r="DU826" s="59"/>
      <c r="DV826" s="59"/>
      <c r="DW826" s="59"/>
      <c r="DX826" s="59"/>
      <c r="DY826" s="59"/>
      <c r="DZ826" s="59"/>
      <c r="EA826" s="59"/>
      <c r="EB826" s="59"/>
      <c r="EC826" s="59"/>
      <c r="ED826" s="59"/>
      <c r="EE826" s="59"/>
      <c r="EF826" s="59">
        <v>400</v>
      </c>
      <c r="EG826" s="62">
        <v>4000</v>
      </c>
      <c r="EH826" s="59">
        <v>8</v>
      </c>
      <c r="EI826" s="61">
        <v>0.95</v>
      </c>
      <c r="EJ826" s="65">
        <v>1</v>
      </c>
      <c r="EK826" s="65">
        <v>68</v>
      </c>
      <c r="EL826" s="65">
        <f t="shared" si="805"/>
        <v>402.35294117647055</v>
      </c>
      <c r="EM826" s="59"/>
      <c r="EN826" s="59"/>
      <c r="EO826" s="59"/>
      <c r="EP826" s="59"/>
      <c r="EQ826" s="59"/>
      <c r="ER826" s="59"/>
      <c r="ES826" s="59"/>
      <c r="ET826" s="59"/>
      <c r="EU826" s="62">
        <f t="shared" si="808"/>
        <v>9.9415204678362574</v>
      </c>
      <c r="EV826" s="59"/>
      <c r="EW826" s="59"/>
      <c r="EX826" s="59"/>
      <c r="EY826" s="59"/>
      <c r="EZ826" s="59"/>
      <c r="FA826" s="59"/>
      <c r="FB826" s="59"/>
      <c r="FC826" s="59"/>
      <c r="FD826" s="59"/>
      <c r="FE826" s="59"/>
      <c r="FF826" s="59"/>
      <c r="FG826" s="59"/>
      <c r="FH826" s="59"/>
      <c r="FI826" s="59"/>
      <c r="FJ826" s="59"/>
      <c r="FK826" s="59"/>
      <c r="FL826" s="59"/>
      <c r="FM826" s="59"/>
      <c r="FN826" s="59"/>
      <c r="FO826" s="59"/>
      <c r="FP826" s="59"/>
      <c r="FQ826" s="59"/>
      <c r="FR826" s="59"/>
      <c r="FS826" s="59"/>
      <c r="FT826" s="59"/>
      <c r="FU826" s="59"/>
      <c r="FV826" s="59"/>
      <c r="FW826" s="59"/>
      <c r="FX826" s="59"/>
      <c r="FY826" s="59"/>
      <c r="FZ826" s="59"/>
      <c r="GA826" s="59"/>
      <c r="GB826" s="59"/>
      <c r="GC826" s="59"/>
      <c r="GD826" s="59"/>
      <c r="GE826" s="59"/>
      <c r="GF826" s="59"/>
      <c r="GG826" s="59"/>
      <c r="GH826" s="59"/>
      <c r="GI826" s="59"/>
      <c r="GJ826" s="59"/>
      <c r="GK826" s="59"/>
      <c r="GL826" s="59"/>
      <c r="GM826" s="59"/>
      <c r="GN826" s="59"/>
      <c r="GO826" s="59"/>
      <c r="GP826" s="59"/>
      <c r="GQ826" s="59"/>
      <c r="GR826" s="61">
        <v>0.11</v>
      </c>
      <c r="GS826" s="62">
        <f t="shared" si="809"/>
        <v>8.3756222514619889</v>
      </c>
      <c r="GT826" s="64">
        <v>1.2500000000000001E-2</v>
      </c>
      <c r="GU826" s="62">
        <f t="shared" si="811"/>
        <v>0.95177525584795331</v>
      </c>
      <c r="GV826" s="61">
        <v>0.02</v>
      </c>
      <c r="GW826" s="62">
        <f t="shared" si="812"/>
        <v>0.19883040935672516</v>
      </c>
      <c r="GX826" s="62">
        <f t="shared" si="791"/>
        <v>9.5262279166666683</v>
      </c>
      <c r="GY826" s="62" t="s">
        <v>43</v>
      </c>
      <c r="GZ826" s="62" t="s">
        <v>551</v>
      </c>
      <c r="HA826" s="59">
        <v>805</v>
      </c>
      <c r="HB826" s="59">
        <v>675</v>
      </c>
      <c r="HC826" s="59">
        <v>405</v>
      </c>
      <c r="HD826" s="59">
        <v>40</v>
      </c>
      <c r="HE826" s="59">
        <v>400</v>
      </c>
      <c r="HF826" s="62">
        <f t="shared" si="792"/>
        <v>10</v>
      </c>
      <c r="HG826" s="59">
        <v>5</v>
      </c>
      <c r="HH826" s="62">
        <f t="shared" si="800"/>
        <v>50</v>
      </c>
      <c r="HI826" s="59">
        <v>1450</v>
      </c>
      <c r="HJ826" s="62">
        <f t="shared" si="793"/>
        <v>72500</v>
      </c>
      <c r="HK826" s="59"/>
      <c r="HL826" s="59"/>
      <c r="HM826" s="59">
        <v>2</v>
      </c>
      <c r="HN826" s="62">
        <f t="shared" si="794"/>
        <v>240000</v>
      </c>
      <c r="HO826" s="62">
        <f t="shared" si="813"/>
        <v>0.30208333333333331</v>
      </c>
      <c r="HP826" s="59">
        <v>160</v>
      </c>
      <c r="HQ826" s="59">
        <v>0</v>
      </c>
      <c r="HR826" s="59">
        <v>0</v>
      </c>
      <c r="HS826" s="59">
        <v>0</v>
      </c>
      <c r="HT826" s="59">
        <v>0</v>
      </c>
      <c r="HU826" s="59"/>
      <c r="HV826" s="62">
        <f t="shared" si="814"/>
        <v>0.30208333333333331</v>
      </c>
      <c r="HW826" s="62"/>
      <c r="HX826" s="59">
        <v>5016</v>
      </c>
      <c r="HY826" s="59">
        <v>1976</v>
      </c>
      <c r="HZ826" s="59">
        <v>2280</v>
      </c>
      <c r="IA826" s="62">
        <f t="shared" si="796"/>
        <v>6</v>
      </c>
      <c r="IB826" s="62">
        <f t="shared" si="797"/>
        <v>2</v>
      </c>
      <c r="IC826" s="62">
        <f t="shared" si="798"/>
        <v>5</v>
      </c>
      <c r="ID826" s="61">
        <v>0.95</v>
      </c>
      <c r="IE826" s="62">
        <f>PRODUCT(IA826:ID826)-7</f>
        <v>50</v>
      </c>
      <c r="IF826" s="59">
        <v>750</v>
      </c>
      <c r="IG826" s="62">
        <f t="shared" si="804"/>
        <v>0.38</v>
      </c>
      <c r="IH826" s="62"/>
    </row>
    <row r="827" spans="1:242" ht="30">
      <c r="A827">
        <v>812</v>
      </c>
      <c r="B827" t="s">
        <v>468</v>
      </c>
      <c r="C827" t="s">
        <v>2570</v>
      </c>
      <c r="D827" s="28" t="s">
        <v>1661</v>
      </c>
      <c r="E827" s="28" t="s">
        <v>1662</v>
      </c>
      <c r="F827" s="28" t="s">
        <v>2182</v>
      </c>
      <c r="G827" s="27" t="s">
        <v>108</v>
      </c>
      <c r="I827" s="27" t="s">
        <v>226</v>
      </c>
      <c r="J827" s="28">
        <v>21691</v>
      </c>
      <c r="K827" s="27" t="s">
        <v>404</v>
      </c>
      <c r="Q827" s="13" t="s">
        <v>2484</v>
      </c>
      <c r="R827" s="13" t="s">
        <v>1194</v>
      </c>
      <c r="S827" s="13" t="s">
        <v>2564</v>
      </c>
      <c r="T827" s="13"/>
      <c r="U827" s="13"/>
      <c r="V827" s="72" t="s">
        <v>2486</v>
      </c>
      <c r="W827" s="53"/>
      <c r="AA827" t="s">
        <v>2574</v>
      </c>
      <c r="AB827" s="66">
        <v>194.83</v>
      </c>
      <c r="AC827">
        <v>20</v>
      </c>
      <c r="AD827"/>
      <c r="AE827" s="7">
        <f t="shared" si="770"/>
        <v>49.991310000000006</v>
      </c>
      <c r="AF827" s="7">
        <f t="shared" si="806"/>
        <v>0</v>
      </c>
      <c r="AG827" s="7">
        <f t="shared" si="772"/>
        <v>12.280701754385966</v>
      </c>
      <c r="AH827" s="7">
        <f t="shared" si="773"/>
        <v>0.2</v>
      </c>
      <c r="AI827" s="7">
        <f t="shared" si="774"/>
        <v>2.5000000000000005E-3</v>
      </c>
      <c r="AJ827" s="7">
        <f t="shared" si="775"/>
        <v>0.24561403508771931</v>
      </c>
      <c r="AK827" s="7">
        <f t="shared" si="776"/>
        <v>0.77840014692982473</v>
      </c>
      <c r="AL827" s="7">
        <f t="shared" si="777"/>
        <v>6.8499212929824571</v>
      </c>
      <c r="AM827" s="7">
        <f t="shared" si="778"/>
        <v>0.30208333333333331</v>
      </c>
      <c r="AN827" s="7">
        <f t="shared" si="779"/>
        <v>0.375</v>
      </c>
      <c r="AO827" s="7"/>
      <c r="AP827" s="7">
        <f t="shared" si="780"/>
        <v>0</v>
      </c>
      <c r="AQ827" s="7">
        <f t="shared" si="781"/>
        <v>71.025530562719297</v>
      </c>
      <c r="AR827" s="7"/>
      <c r="AS827" s="7"/>
      <c r="AT827" s="7"/>
      <c r="AU827" s="7"/>
      <c r="AV827" s="7">
        <f t="shared" si="807"/>
        <v>71.025530562719297</v>
      </c>
      <c r="AW827" s="59">
        <v>0.25700000000000001</v>
      </c>
      <c r="AX827" s="59">
        <v>0.253</v>
      </c>
      <c r="AY827" s="61">
        <v>1</v>
      </c>
      <c r="AZ827" s="69">
        <f t="shared" si="783"/>
        <v>4.0000000000000036E-3</v>
      </c>
      <c r="BA827" s="62">
        <f t="shared" si="799"/>
        <v>49.991310000000006</v>
      </c>
      <c r="BB827" s="62"/>
      <c r="BC827" s="62"/>
      <c r="BD827" s="62"/>
      <c r="BE827" s="62"/>
      <c r="BF827" s="62"/>
      <c r="BG827" s="62"/>
      <c r="BH827" s="62"/>
      <c r="BI827" s="62"/>
      <c r="BJ827" s="62"/>
      <c r="BK827" s="62"/>
      <c r="BL827" s="62"/>
      <c r="BM827" s="62"/>
      <c r="BN827" s="62"/>
      <c r="BO827" s="62"/>
      <c r="BP827" s="62"/>
      <c r="BQ827" s="62"/>
      <c r="BR827" s="62"/>
      <c r="BS827" s="62"/>
      <c r="BT827" s="62"/>
      <c r="BU827" s="62"/>
      <c r="BV827" s="62"/>
      <c r="BW827" s="62"/>
      <c r="BX827" s="62"/>
      <c r="BY827" s="62"/>
      <c r="BZ827" s="62"/>
      <c r="CA827" s="62"/>
      <c r="CB827" s="62"/>
      <c r="CC827" s="62"/>
      <c r="CD827" s="59">
        <v>0</v>
      </c>
      <c r="CE827" s="62">
        <v>0</v>
      </c>
      <c r="CF827" s="62">
        <v>1</v>
      </c>
      <c r="CG827" s="62">
        <v>0.2</v>
      </c>
      <c r="CH827" s="62">
        <f t="shared" si="810"/>
        <v>0.2</v>
      </c>
      <c r="CI827" s="59"/>
      <c r="CJ827" s="59"/>
      <c r="CK827" s="59"/>
      <c r="CL827" s="59"/>
      <c r="CM827" s="59"/>
      <c r="CN827" s="59"/>
      <c r="CO827" s="59"/>
      <c r="CP827" s="59"/>
      <c r="CQ827" s="59"/>
      <c r="CR827" s="59"/>
      <c r="CS827" s="59"/>
      <c r="CT827" s="59"/>
      <c r="CU827" s="59"/>
      <c r="CV827" s="59"/>
      <c r="CW827" s="59"/>
      <c r="CX827" s="59"/>
      <c r="CY827" s="59"/>
      <c r="CZ827" s="59"/>
      <c r="DA827" s="59"/>
      <c r="DB827" s="59"/>
      <c r="DC827" s="59"/>
      <c r="DD827" s="59"/>
      <c r="DE827" s="59"/>
      <c r="DF827" s="59"/>
      <c r="DG827" s="59"/>
      <c r="DH827" s="59"/>
      <c r="DI827" s="59"/>
      <c r="DJ827" s="59"/>
      <c r="DK827" s="59"/>
      <c r="DL827" s="59"/>
      <c r="DM827" s="62">
        <f t="shared" si="785"/>
        <v>0.2</v>
      </c>
      <c r="DN827" s="64">
        <v>1.2500000000000001E-2</v>
      </c>
      <c r="DO827" s="62">
        <f>DM827*DN827</f>
        <v>2.5000000000000005E-3</v>
      </c>
      <c r="DP827" s="62">
        <f t="shared" si="786"/>
        <v>0.20250000000000001</v>
      </c>
      <c r="DQ827" s="59"/>
      <c r="DR827" s="59"/>
      <c r="DS827" s="59"/>
      <c r="DT827" s="59"/>
      <c r="DU827" s="59"/>
      <c r="DV827" s="59"/>
      <c r="DW827" s="59"/>
      <c r="DX827" s="59"/>
      <c r="DY827" s="59"/>
      <c r="DZ827" s="59"/>
      <c r="EA827" s="59"/>
      <c r="EB827" s="59"/>
      <c r="EC827" s="59"/>
      <c r="ED827" s="59"/>
      <c r="EE827" s="59"/>
      <c r="EF827" s="59">
        <v>480</v>
      </c>
      <c r="EG827" s="62">
        <v>4800</v>
      </c>
      <c r="EH827" s="59">
        <v>8</v>
      </c>
      <c r="EI827" s="61">
        <v>0.95</v>
      </c>
      <c r="EJ827" s="65">
        <v>1</v>
      </c>
      <c r="EK827" s="65">
        <v>70</v>
      </c>
      <c r="EL827" s="65">
        <f t="shared" si="805"/>
        <v>390.85714285714283</v>
      </c>
      <c r="EM827" s="59"/>
      <c r="EN827" s="59"/>
      <c r="EO827" s="59"/>
      <c r="EP827" s="59"/>
      <c r="EQ827" s="59"/>
      <c r="ER827" s="59"/>
      <c r="ES827" s="59"/>
      <c r="ET827" s="59"/>
      <c r="EU827" s="62">
        <f t="shared" si="808"/>
        <v>12.280701754385966</v>
      </c>
      <c r="EV827" s="59"/>
      <c r="EW827" s="59"/>
      <c r="EX827" s="59"/>
      <c r="EY827" s="59"/>
      <c r="EZ827" s="59"/>
      <c r="FA827" s="59"/>
      <c r="FB827" s="59"/>
      <c r="FC827" s="59"/>
      <c r="FD827" s="59"/>
      <c r="FE827" s="59"/>
      <c r="FF827" s="59"/>
      <c r="FG827" s="59"/>
      <c r="FH827" s="59"/>
      <c r="FI827" s="59"/>
      <c r="FJ827" s="59"/>
      <c r="FK827" s="59"/>
      <c r="FL827" s="59"/>
      <c r="FM827" s="59"/>
      <c r="FN827" s="59"/>
      <c r="FO827" s="59"/>
      <c r="FP827" s="59"/>
      <c r="FQ827" s="59"/>
      <c r="FR827" s="59"/>
      <c r="FS827" s="59"/>
      <c r="FT827" s="59"/>
      <c r="FU827" s="59"/>
      <c r="FV827" s="59"/>
      <c r="FW827" s="59"/>
      <c r="FX827" s="59"/>
      <c r="FY827" s="59"/>
      <c r="FZ827" s="59"/>
      <c r="GA827" s="59"/>
      <c r="GB827" s="59"/>
      <c r="GC827" s="59"/>
      <c r="GD827" s="59"/>
      <c r="GE827" s="59"/>
      <c r="GF827" s="59"/>
      <c r="GG827" s="59"/>
      <c r="GH827" s="59"/>
      <c r="GI827" s="59"/>
      <c r="GJ827" s="59"/>
      <c r="GK827" s="59"/>
      <c r="GL827" s="59"/>
      <c r="GM827" s="59"/>
      <c r="GN827" s="59"/>
      <c r="GO827" s="59"/>
      <c r="GP827" s="59"/>
      <c r="GQ827" s="59"/>
      <c r="GR827" s="61">
        <v>0.11</v>
      </c>
      <c r="GS827" s="62">
        <f t="shared" si="809"/>
        <v>6.8499212929824571</v>
      </c>
      <c r="GT827" s="64">
        <v>1.2500000000000001E-2</v>
      </c>
      <c r="GU827" s="62">
        <f t="shared" si="811"/>
        <v>0.77840014692982473</v>
      </c>
      <c r="GV827" s="61">
        <v>0.02</v>
      </c>
      <c r="GW827" s="62">
        <f t="shared" si="812"/>
        <v>0.24561403508771931</v>
      </c>
      <c r="GX827" s="62">
        <f t="shared" si="791"/>
        <v>7.8739354750000015</v>
      </c>
      <c r="GY827" s="62" t="s">
        <v>43</v>
      </c>
      <c r="GZ827" s="62" t="s">
        <v>551</v>
      </c>
      <c r="HA827" s="59">
        <v>805</v>
      </c>
      <c r="HB827" s="59">
        <v>675</v>
      </c>
      <c r="HC827" s="59">
        <v>405</v>
      </c>
      <c r="HD827" s="59">
        <v>40</v>
      </c>
      <c r="HE827" s="59">
        <v>400</v>
      </c>
      <c r="HF827" s="62">
        <f t="shared" si="792"/>
        <v>10</v>
      </c>
      <c r="HG827" s="59">
        <v>5</v>
      </c>
      <c r="HH827" s="62">
        <f t="shared" si="800"/>
        <v>50</v>
      </c>
      <c r="HI827" s="59">
        <v>1450</v>
      </c>
      <c r="HJ827" s="62">
        <f t="shared" si="793"/>
        <v>72500</v>
      </c>
      <c r="HK827" s="59"/>
      <c r="HL827" s="59"/>
      <c r="HM827" s="59">
        <v>2</v>
      </c>
      <c r="HN827" s="62">
        <f t="shared" si="794"/>
        <v>240000</v>
      </c>
      <c r="HO827" s="62">
        <f t="shared" si="813"/>
        <v>0.30208333333333331</v>
      </c>
      <c r="HP827" s="59">
        <v>160</v>
      </c>
      <c r="HQ827" s="59">
        <v>0</v>
      </c>
      <c r="HR827" s="59">
        <v>0</v>
      </c>
      <c r="HS827" s="59">
        <v>0</v>
      </c>
      <c r="HT827" s="59">
        <v>0</v>
      </c>
      <c r="HU827" s="59"/>
      <c r="HV827" s="62">
        <f t="shared" si="814"/>
        <v>0.30208333333333331</v>
      </c>
      <c r="HW827" s="62"/>
      <c r="HX827" s="59">
        <v>5016</v>
      </c>
      <c r="HY827" s="59">
        <v>1976</v>
      </c>
      <c r="HZ827" s="59">
        <v>2280</v>
      </c>
      <c r="IA827" s="62">
        <f t="shared" si="796"/>
        <v>6</v>
      </c>
      <c r="IB827" s="62">
        <f t="shared" si="797"/>
        <v>2</v>
      </c>
      <c r="IC827" s="62">
        <f t="shared" si="798"/>
        <v>5</v>
      </c>
      <c r="ID827" s="61">
        <v>0.95</v>
      </c>
      <c r="IE827" s="62">
        <f>PRODUCT(IA827:ID827)-7</f>
        <v>50</v>
      </c>
      <c r="IF827" s="59">
        <v>750</v>
      </c>
      <c r="IG827" s="62">
        <f t="shared" ref="IG827:IG834" si="815">IF827/(IE827*HD827)</f>
        <v>0.375</v>
      </c>
      <c r="IH827" s="62"/>
    </row>
    <row r="828" spans="1:242" ht="45">
      <c r="A828">
        <v>813</v>
      </c>
      <c r="B828" t="s">
        <v>468</v>
      </c>
      <c r="C828" s="187" t="s">
        <v>2571</v>
      </c>
      <c r="D828" s="28" t="s">
        <v>1663</v>
      </c>
      <c r="E828" s="28" t="s">
        <v>1664</v>
      </c>
      <c r="F828" s="28" t="s">
        <v>2182</v>
      </c>
      <c r="G828" s="27" t="s">
        <v>108</v>
      </c>
      <c r="I828" s="27" t="s">
        <v>226</v>
      </c>
      <c r="J828" s="28">
        <v>21590</v>
      </c>
      <c r="K828" s="27" t="s">
        <v>397</v>
      </c>
      <c r="Q828" s="13" t="s">
        <v>2484</v>
      </c>
      <c r="R828" s="13" t="s">
        <v>1194</v>
      </c>
      <c r="S828" s="13" t="s">
        <v>2485</v>
      </c>
      <c r="T828" s="13"/>
      <c r="U828" s="13"/>
      <c r="V828" s="72" t="s">
        <v>2486</v>
      </c>
      <c r="W828" s="53" t="s">
        <v>2572</v>
      </c>
      <c r="AA828" t="s">
        <v>2356</v>
      </c>
      <c r="AB828" s="66">
        <v>126.31</v>
      </c>
      <c r="AC828">
        <v>20</v>
      </c>
      <c r="AD828" t="s">
        <v>2537</v>
      </c>
      <c r="AE828" s="7">
        <f t="shared" si="770"/>
        <v>5.9197249999999997</v>
      </c>
      <c r="AF828" s="7">
        <f t="shared" si="806"/>
        <v>0</v>
      </c>
      <c r="AG828" s="7">
        <f t="shared" si="772"/>
        <v>2.6234567901234569</v>
      </c>
      <c r="AH828" s="7">
        <f t="shared" si="773"/>
        <v>5.6</v>
      </c>
      <c r="AI828" s="7">
        <f t="shared" si="774"/>
        <v>7.0000000000000007E-2</v>
      </c>
      <c r="AJ828" s="7">
        <f t="shared" si="775"/>
        <v>5.246913580246914E-2</v>
      </c>
      <c r="AK828" s="7">
        <f t="shared" si="776"/>
        <v>0.10678977237654322</v>
      </c>
      <c r="AL828" s="7">
        <f t="shared" si="777"/>
        <v>0.9397499969135803</v>
      </c>
      <c r="AM828" s="7">
        <f t="shared" si="778"/>
        <v>2.7083333333333334E-2</v>
      </c>
      <c r="AN828" s="7">
        <f t="shared" si="779"/>
        <v>1.6488589895792112E-2</v>
      </c>
      <c r="AO828" s="7"/>
      <c r="AP828" s="7">
        <f t="shared" si="780"/>
        <v>0</v>
      </c>
      <c r="AQ828" s="7">
        <f t="shared" si="781"/>
        <v>15.355762618445175</v>
      </c>
      <c r="AR828" s="7"/>
      <c r="AS828" s="7"/>
      <c r="AT828" s="7"/>
      <c r="AU828" s="7">
        <f>15.44-15.36</f>
        <v>8.0000000000000071E-2</v>
      </c>
      <c r="AV828" s="7">
        <f t="shared" si="807"/>
        <v>15.435762618445175</v>
      </c>
      <c r="AW828" s="59">
        <v>4.7500000000000001E-2</v>
      </c>
      <c r="AX828" s="59">
        <v>4.3499999999999997E-2</v>
      </c>
      <c r="AY828" s="61">
        <v>1</v>
      </c>
      <c r="AZ828" s="69">
        <f t="shared" si="783"/>
        <v>4.0000000000000036E-3</v>
      </c>
      <c r="BA828" s="62">
        <f t="shared" si="799"/>
        <v>5.9197249999999997</v>
      </c>
      <c r="BB828" s="62"/>
      <c r="BC828" s="62"/>
      <c r="BD828" s="62"/>
      <c r="BE828" s="62"/>
      <c r="BF828" s="62"/>
      <c r="BG828" s="62"/>
      <c r="BH828" s="62"/>
      <c r="BI828" s="62"/>
      <c r="BJ828" s="62"/>
      <c r="BK828" s="62"/>
      <c r="BL828" s="62"/>
      <c r="BM828" s="62"/>
      <c r="BN828" s="62"/>
      <c r="BO828" s="62"/>
      <c r="BP828" s="62"/>
      <c r="BQ828" s="62"/>
      <c r="BR828" s="62"/>
      <c r="BS828" s="62"/>
      <c r="BT828" s="62"/>
      <c r="BU828" s="62"/>
      <c r="BV828" s="62"/>
      <c r="BW828" s="62"/>
      <c r="BX828" s="62"/>
      <c r="BY828" s="62"/>
      <c r="BZ828" s="62"/>
      <c r="CA828" s="62"/>
      <c r="CB828" s="62"/>
      <c r="CC828" s="62"/>
      <c r="CD828" s="59">
        <v>0</v>
      </c>
      <c r="CE828" s="62">
        <v>0</v>
      </c>
      <c r="CF828" s="62">
        <v>2</v>
      </c>
      <c r="CG828" s="62">
        <v>2.8</v>
      </c>
      <c r="CH828" s="62">
        <f t="shared" si="810"/>
        <v>5.6</v>
      </c>
      <c r="CI828" s="59"/>
      <c r="CJ828" s="59"/>
      <c r="CK828" s="59"/>
      <c r="CL828" s="59"/>
      <c r="CM828" s="59"/>
      <c r="CN828" s="59"/>
      <c r="CO828" s="59"/>
      <c r="CP828" s="59"/>
      <c r="CQ828" s="59"/>
      <c r="CR828" s="59"/>
      <c r="CS828" s="59"/>
      <c r="CT828" s="59"/>
      <c r="CU828" s="59"/>
      <c r="CV828" s="59"/>
      <c r="CW828" s="59"/>
      <c r="CX828" s="59"/>
      <c r="CY828" s="59"/>
      <c r="CZ828" s="59"/>
      <c r="DA828" s="59"/>
      <c r="DB828" s="59"/>
      <c r="DC828" s="59"/>
      <c r="DD828" s="59"/>
      <c r="DE828" s="59"/>
      <c r="DF828" s="59"/>
      <c r="DG828" s="59"/>
      <c r="DH828" s="59"/>
      <c r="DI828" s="59"/>
      <c r="DJ828" s="59"/>
      <c r="DK828" s="59"/>
      <c r="DL828" s="59"/>
      <c r="DM828" s="62">
        <f t="shared" si="785"/>
        <v>5.6</v>
      </c>
      <c r="DN828" s="64">
        <v>1.2500000000000001E-2</v>
      </c>
      <c r="DO828" s="62">
        <f>ROUNDUP(DM828*DN828,2)</f>
        <v>7.0000000000000007E-2</v>
      </c>
      <c r="DP828" s="62">
        <f t="shared" si="786"/>
        <v>5.67</v>
      </c>
      <c r="DQ828" s="59"/>
      <c r="DR828" s="59"/>
      <c r="DS828" s="59"/>
      <c r="DT828" s="59"/>
      <c r="DU828" s="59"/>
      <c r="DV828" s="59"/>
      <c r="DW828" s="59"/>
      <c r="DX828" s="59"/>
      <c r="DY828" s="59"/>
      <c r="DZ828" s="59"/>
      <c r="EA828" s="59"/>
      <c r="EB828" s="59"/>
      <c r="EC828" s="59"/>
      <c r="ED828" s="59"/>
      <c r="EE828" s="59"/>
      <c r="EF828" s="59">
        <v>150</v>
      </c>
      <c r="EG828" s="62">
        <v>1500</v>
      </c>
      <c r="EH828" s="59">
        <v>7.5</v>
      </c>
      <c r="EI828" s="61">
        <v>0.9</v>
      </c>
      <c r="EJ828" s="65">
        <v>2</v>
      </c>
      <c r="EK828" s="65">
        <v>85</v>
      </c>
      <c r="EL828" s="65">
        <f t="shared" si="805"/>
        <v>571.76470588235293</v>
      </c>
      <c r="EM828" s="59"/>
      <c r="EN828" s="59"/>
      <c r="EO828" s="59"/>
      <c r="EP828" s="59"/>
      <c r="EQ828" s="59"/>
      <c r="ER828" s="59"/>
      <c r="ES828" s="59"/>
      <c r="ET828" s="59"/>
      <c r="EU828" s="62">
        <f t="shared" si="808"/>
        <v>2.6234567901234569</v>
      </c>
      <c r="EV828" s="59"/>
      <c r="EW828" s="59"/>
      <c r="EX828" s="59"/>
      <c r="EY828" s="59"/>
      <c r="EZ828" s="59"/>
      <c r="FA828" s="59"/>
      <c r="FB828" s="59"/>
      <c r="FC828" s="59"/>
      <c r="FD828" s="59"/>
      <c r="FE828" s="59"/>
      <c r="FF828" s="59"/>
      <c r="FG828" s="59"/>
      <c r="FH828" s="59"/>
      <c r="FI828" s="59"/>
      <c r="FJ828" s="59"/>
      <c r="FK828" s="59"/>
      <c r="FL828" s="59"/>
      <c r="FM828" s="59"/>
      <c r="FN828" s="59"/>
      <c r="FO828" s="59"/>
      <c r="FP828" s="59"/>
      <c r="FQ828" s="59"/>
      <c r="FR828" s="59"/>
      <c r="FS828" s="59"/>
      <c r="FT828" s="59"/>
      <c r="FU828" s="59"/>
      <c r="FV828" s="59"/>
      <c r="FW828" s="59"/>
      <c r="FX828" s="59"/>
      <c r="FY828" s="59"/>
      <c r="FZ828" s="59"/>
      <c r="GA828" s="59"/>
      <c r="GB828" s="59"/>
      <c r="GC828" s="59"/>
      <c r="GD828" s="59"/>
      <c r="GE828" s="59"/>
      <c r="GF828" s="59"/>
      <c r="GG828" s="59"/>
      <c r="GH828" s="59"/>
      <c r="GI828" s="59"/>
      <c r="GJ828" s="59"/>
      <c r="GK828" s="59"/>
      <c r="GL828" s="59"/>
      <c r="GM828" s="59"/>
      <c r="GN828" s="59"/>
      <c r="GO828" s="59"/>
      <c r="GP828" s="59"/>
      <c r="GQ828" s="59"/>
      <c r="GR828" s="61">
        <v>0.11</v>
      </c>
      <c r="GS828" s="62">
        <f t="shared" si="809"/>
        <v>0.9397499969135803</v>
      </c>
      <c r="GT828" s="64">
        <v>1.2500000000000001E-2</v>
      </c>
      <c r="GU828" s="62">
        <f t="shared" si="811"/>
        <v>0.10678977237654322</v>
      </c>
      <c r="GV828" s="61">
        <v>0.02</v>
      </c>
      <c r="GW828" s="62">
        <f t="shared" si="812"/>
        <v>5.246913580246914E-2</v>
      </c>
      <c r="GX828" s="62">
        <f t="shared" si="791"/>
        <v>1.0990089050925926</v>
      </c>
      <c r="GY828" s="62" t="s">
        <v>43</v>
      </c>
      <c r="GZ828" s="62" t="s">
        <v>551</v>
      </c>
      <c r="HA828" s="59">
        <v>650</v>
      </c>
      <c r="HB828" s="59">
        <v>450</v>
      </c>
      <c r="HC828" s="59">
        <v>330</v>
      </c>
      <c r="HD828" s="59">
        <v>266</v>
      </c>
      <c r="HE828" s="59">
        <v>200</v>
      </c>
      <c r="HF828" s="62">
        <f t="shared" si="792"/>
        <v>1</v>
      </c>
      <c r="HG828" s="59">
        <v>5</v>
      </c>
      <c r="HH828" s="62">
        <f t="shared" si="800"/>
        <v>5</v>
      </c>
      <c r="HI828" s="59">
        <v>650</v>
      </c>
      <c r="HJ828" s="62">
        <f t="shared" si="793"/>
        <v>3250</v>
      </c>
      <c r="HK828" s="59"/>
      <c r="HL828" s="59"/>
      <c r="HM828" s="59">
        <v>2</v>
      </c>
      <c r="HN828" s="62">
        <f t="shared" si="794"/>
        <v>120000</v>
      </c>
      <c r="HO828" s="62">
        <f t="shared" si="813"/>
        <v>2.7083333333333334E-2</v>
      </c>
      <c r="HP828" s="59">
        <v>160</v>
      </c>
      <c r="HQ828" s="59">
        <v>0</v>
      </c>
      <c r="HR828" s="59">
        <v>0</v>
      </c>
      <c r="HS828" s="59">
        <v>0</v>
      </c>
      <c r="HT828" s="59">
        <v>0</v>
      </c>
      <c r="HU828" s="59"/>
      <c r="HV828" s="62">
        <f t="shared" si="814"/>
        <v>2.7083333333333334E-2</v>
      </c>
      <c r="HW828" s="62"/>
      <c r="HX828" s="59">
        <v>4200</v>
      </c>
      <c r="HY828" s="59">
        <v>1900</v>
      </c>
      <c r="HZ828" s="59">
        <v>1975</v>
      </c>
      <c r="IA828" s="62">
        <f t="shared" si="796"/>
        <v>6</v>
      </c>
      <c r="IB828" s="62">
        <f t="shared" si="797"/>
        <v>4</v>
      </c>
      <c r="IC828" s="62">
        <f t="shared" si="798"/>
        <v>5</v>
      </c>
      <c r="ID828" s="61">
        <v>0.95</v>
      </c>
      <c r="IE828" s="62">
        <f>PRODUCT(IA828:ID828)</f>
        <v>114</v>
      </c>
      <c r="IF828" s="59">
        <v>500</v>
      </c>
      <c r="IG828" s="62">
        <f t="shared" si="815"/>
        <v>1.6488589895792112E-2</v>
      </c>
      <c r="IH828" s="62"/>
    </row>
    <row r="829" spans="1:242" ht="30">
      <c r="A829">
        <v>814</v>
      </c>
      <c r="B829" t="s">
        <v>468</v>
      </c>
      <c r="C829" t="s">
        <v>2573</v>
      </c>
      <c r="D829" s="28" t="s">
        <v>1665</v>
      </c>
      <c r="E829" s="28" t="s">
        <v>1666</v>
      </c>
      <c r="F829" s="28" t="s">
        <v>2182</v>
      </c>
      <c r="G829" s="27" t="s">
        <v>108</v>
      </c>
      <c r="I829" s="27" t="s">
        <v>226</v>
      </c>
      <c r="J829" s="28">
        <v>21691</v>
      </c>
      <c r="K829" s="27" t="s">
        <v>404</v>
      </c>
      <c r="Q829" s="13" t="s">
        <v>2484</v>
      </c>
      <c r="R829" s="13" t="s">
        <v>1194</v>
      </c>
      <c r="S829" s="13" t="s">
        <v>2567</v>
      </c>
      <c r="T829" s="13"/>
      <c r="U829" s="13"/>
      <c r="V829" s="72" t="s">
        <v>2486</v>
      </c>
      <c r="W829" s="53"/>
      <c r="AA829" t="s">
        <v>2574</v>
      </c>
      <c r="AB829" s="66">
        <v>194.83</v>
      </c>
      <c r="AC829">
        <v>20</v>
      </c>
      <c r="AD829"/>
      <c r="AE829" s="7">
        <f t="shared" si="770"/>
        <v>7.2361250000000013</v>
      </c>
      <c r="AF829" s="7">
        <f t="shared" si="806"/>
        <v>0</v>
      </c>
      <c r="AG829" s="7">
        <f t="shared" si="772"/>
        <v>1.7543859649122806</v>
      </c>
      <c r="AH829" s="7">
        <f t="shared" si="773"/>
        <v>0.2</v>
      </c>
      <c r="AI829" s="7">
        <f t="shared" si="774"/>
        <v>2.5000000000000005E-3</v>
      </c>
      <c r="AJ829" s="7">
        <f t="shared" si="775"/>
        <v>3.5087719298245612E-2</v>
      </c>
      <c r="AK829" s="7">
        <f t="shared" si="776"/>
        <v>0.11238138706140353</v>
      </c>
      <c r="AL829" s="7">
        <f t="shared" si="777"/>
        <v>0.98895620614035107</v>
      </c>
      <c r="AM829" s="7">
        <f t="shared" si="778"/>
        <v>0.11184523809523811</v>
      </c>
      <c r="AN829" s="7">
        <f t="shared" si="779"/>
        <v>7.4999999999999997E-2</v>
      </c>
      <c r="AO829" s="7"/>
      <c r="AP829" s="7">
        <f t="shared" si="780"/>
        <v>0</v>
      </c>
      <c r="AQ829" s="7">
        <f t="shared" si="781"/>
        <v>10.516281515507519</v>
      </c>
      <c r="AR829" s="7"/>
      <c r="AS829" s="7"/>
      <c r="AT829" s="7"/>
      <c r="AU829" s="7"/>
      <c r="AV829" s="7">
        <f t="shared" si="807"/>
        <v>10.516281515507519</v>
      </c>
      <c r="AW829" s="59">
        <v>3.7500000000000006E-2</v>
      </c>
      <c r="AX829" s="59">
        <v>3.4000000000000002E-2</v>
      </c>
      <c r="AY829" s="61">
        <v>1</v>
      </c>
      <c r="AZ829" s="69">
        <f t="shared" si="783"/>
        <v>3.5000000000000031E-3</v>
      </c>
      <c r="BA829" s="62">
        <f t="shared" si="799"/>
        <v>7.2361250000000013</v>
      </c>
      <c r="BB829" s="62"/>
      <c r="BC829" s="62"/>
      <c r="BD829" s="62"/>
      <c r="BE829" s="62"/>
      <c r="BF829" s="62"/>
      <c r="BG829" s="62"/>
      <c r="BH829" s="62"/>
      <c r="BI829" s="62"/>
      <c r="BJ829" s="62"/>
      <c r="BK829" s="62"/>
      <c r="BL829" s="62"/>
      <c r="BM829" s="62"/>
      <c r="BN829" s="62"/>
      <c r="BO829" s="62"/>
      <c r="BP829" s="62"/>
      <c r="BQ829" s="62"/>
      <c r="BR829" s="62"/>
      <c r="BS829" s="62"/>
      <c r="BT829" s="62"/>
      <c r="BU829" s="62"/>
      <c r="BV829" s="62"/>
      <c r="BW829" s="62"/>
      <c r="BX829" s="62"/>
      <c r="BY829" s="62"/>
      <c r="BZ829" s="62"/>
      <c r="CA829" s="62"/>
      <c r="CB829" s="62"/>
      <c r="CC829" s="62"/>
      <c r="CD829" s="59">
        <v>0</v>
      </c>
      <c r="CE829" s="62">
        <v>0</v>
      </c>
      <c r="CF829" s="62">
        <v>1</v>
      </c>
      <c r="CG829" s="62">
        <v>0.2</v>
      </c>
      <c r="CH829" s="62">
        <f t="shared" si="810"/>
        <v>0.2</v>
      </c>
      <c r="CI829" s="59"/>
      <c r="CJ829" s="59"/>
      <c r="CK829" s="59"/>
      <c r="CL829" s="59"/>
      <c r="CM829" s="59"/>
      <c r="CN829" s="59"/>
      <c r="CO829" s="59"/>
      <c r="CP829" s="59"/>
      <c r="CQ829" s="59"/>
      <c r="CR829" s="59"/>
      <c r="CS829" s="59"/>
      <c r="CT829" s="59"/>
      <c r="CU829" s="59"/>
      <c r="CV829" s="59"/>
      <c r="CW829" s="59"/>
      <c r="CX829" s="59"/>
      <c r="CY829" s="59"/>
      <c r="CZ829" s="59"/>
      <c r="DA829" s="59"/>
      <c r="DB829" s="59"/>
      <c r="DC829" s="59"/>
      <c r="DD829" s="59"/>
      <c r="DE829" s="59"/>
      <c r="DF829" s="59"/>
      <c r="DG829" s="59"/>
      <c r="DH829" s="59"/>
      <c r="DI829" s="59"/>
      <c r="DJ829" s="59"/>
      <c r="DK829" s="59"/>
      <c r="DL829" s="59"/>
      <c r="DM829" s="62">
        <f t="shared" si="785"/>
        <v>0.2</v>
      </c>
      <c r="DN829" s="64">
        <v>1.2500000000000001E-2</v>
      </c>
      <c r="DO829" s="62">
        <f t="shared" ref="DO829:DO836" si="816">DM829*DN829</f>
        <v>2.5000000000000005E-3</v>
      </c>
      <c r="DP829" s="62">
        <f t="shared" si="786"/>
        <v>0.20250000000000001</v>
      </c>
      <c r="DQ829" s="59"/>
      <c r="DR829" s="59"/>
      <c r="DS829" s="59"/>
      <c r="DT829" s="59"/>
      <c r="DU829" s="59"/>
      <c r="DV829" s="59"/>
      <c r="DW829" s="59"/>
      <c r="DX829" s="59"/>
      <c r="DY829" s="59"/>
      <c r="DZ829" s="59"/>
      <c r="EA829" s="59"/>
      <c r="EB829" s="59"/>
      <c r="EC829" s="59"/>
      <c r="ED829" s="59"/>
      <c r="EE829" s="59"/>
      <c r="EF829" s="59">
        <v>160</v>
      </c>
      <c r="EG829" s="62">
        <v>1600</v>
      </c>
      <c r="EH829" s="59">
        <v>8</v>
      </c>
      <c r="EI829" s="61">
        <v>0.95</v>
      </c>
      <c r="EJ829" s="65">
        <v>2</v>
      </c>
      <c r="EK829" s="65">
        <v>60</v>
      </c>
      <c r="EL829" s="65">
        <f t="shared" si="805"/>
        <v>912</v>
      </c>
      <c r="EM829" s="59"/>
      <c r="EN829" s="59"/>
      <c r="EO829" s="59"/>
      <c r="EP829" s="59"/>
      <c r="EQ829" s="59"/>
      <c r="ER829" s="59"/>
      <c r="ES829" s="59"/>
      <c r="ET829" s="59"/>
      <c r="EU829" s="62">
        <f t="shared" si="808"/>
        <v>1.7543859649122806</v>
      </c>
      <c r="EV829" s="59"/>
      <c r="EW829" s="59"/>
      <c r="EX829" s="59"/>
      <c r="EY829" s="59"/>
      <c r="EZ829" s="59"/>
      <c r="FA829" s="59"/>
      <c r="FB829" s="59"/>
      <c r="FC829" s="59"/>
      <c r="FD829" s="59"/>
      <c r="FE829" s="59"/>
      <c r="FF829" s="59"/>
      <c r="FG829" s="59"/>
      <c r="FH829" s="59"/>
      <c r="FI829" s="59"/>
      <c r="FJ829" s="59"/>
      <c r="FK829" s="59"/>
      <c r="FL829" s="59"/>
      <c r="FM829" s="59"/>
      <c r="FN829" s="59"/>
      <c r="FO829" s="59"/>
      <c r="FP829" s="59"/>
      <c r="FQ829" s="59"/>
      <c r="FR829" s="59"/>
      <c r="FS829" s="59"/>
      <c r="FT829" s="59"/>
      <c r="FU829" s="59"/>
      <c r="FV829" s="59"/>
      <c r="FW829" s="59"/>
      <c r="FX829" s="59"/>
      <c r="FY829" s="59"/>
      <c r="FZ829" s="59"/>
      <c r="GA829" s="59"/>
      <c r="GB829" s="59"/>
      <c r="GC829" s="59"/>
      <c r="GD829" s="59"/>
      <c r="GE829" s="59"/>
      <c r="GF829" s="59"/>
      <c r="GG829" s="59"/>
      <c r="GH829" s="59"/>
      <c r="GI829" s="59"/>
      <c r="GJ829" s="59"/>
      <c r="GK829" s="59"/>
      <c r="GL829" s="59"/>
      <c r="GM829" s="59"/>
      <c r="GN829" s="59"/>
      <c r="GO829" s="59"/>
      <c r="GP829" s="59"/>
      <c r="GQ829" s="59"/>
      <c r="GR829" s="61">
        <v>0.11</v>
      </c>
      <c r="GS829" s="62">
        <f t="shared" si="809"/>
        <v>0.98895620614035107</v>
      </c>
      <c r="GT829" s="64">
        <v>1.2500000000000001E-2</v>
      </c>
      <c r="GU829" s="62">
        <f t="shared" si="811"/>
        <v>0.11238138706140353</v>
      </c>
      <c r="GV829" s="61">
        <v>0.02</v>
      </c>
      <c r="GW829" s="62">
        <f t="shared" si="812"/>
        <v>3.5087719298245612E-2</v>
      </c>
      <c r="GX829" s="62">
        <f t="shared" si="791"/>
        <v>1.1364253125000001</v>
      </c>
      <c r="GY829" s="62" t="s">
        <v>43</v>
      </c>
      <c r="GZ829" s="62" t="s">
        <v>551</v>
      </c>
      <c r="HA829" s="59">
        <v>805</v>
      </c>
      <c r="HB829" s="59">
        <v>675</v>
      </c>
      <c r="HC829" s="59">
        <v>405</v>
      </c>
      <c r="HD829" s="59">
        <v>200</v>
      </c>
      <c r="HE829" s="59">
        <v>600</v>
      </c>
      <c r="HF829" s="62">
        <f t="shared" si="792"/>
        <v>3</v>
      </c>
      <c r="HG829" s="59">
        <v>5</v>
      </c>
      <c r="HH829" s="62">
        <f t="shared" si="800"/>
        <v>15</v>
      </c>
      <c r="HI829" s="59">
        <v>1450</v>
      </c>
      <c r="HJ829" s="62">
        <f t="shared" si="793"/>
        <v>21750</v>
      </c>
      <c r="HK829" s="59"/>
      <c r="HL829" s="59"/>
      <c r="HM829" s="59">
        <v>2</v>
      </c>
      <c r="HN829" s="62">
        <f t="shared" si="794"/>
        <v>360000</v>
      </c>
      <c r="HO829" s="62">
        <f t="shared" si="813"/>
        <v>6.0416666666666667E-2</v>
      </c>
      <c r="HP829" s="59">
        <v>180</v>
      </c>
      <c r="HQ829" s="59">
        <v>0</v>
      </c>
      <c r="HR829" s="59">
        <v>70</v>
      </c>
      <c r="HS829" s="62">
        <f>HP829/HR829</f>
        <v>2.5714285714285716</v>
      </c>
      <c r="HT829" s="62">
        <f>HS829/50</f>
        <v>5.1428571428571435E-2</v>
      </c>
      <c r="HU829" s="62"/>
      <c r="HV829" s="62">
        <f t="shared" si="814"/>
        <v>0.11184523809523811</v>
      </c>
      <c r="HW829" s="62"/>
      <c r="HX829" s="59">
        <v>5016</v>
      </c>
      <c r="HY829" s="59">
        <v>1976</v>
      </c>
      <c r="HZ829" s="59">
        <v>2280</v>
      </c>
      <c r="IA829" s="62">
        <f t="shared" si="796"/>
        <v>6</v>
      </c>
      <c r="IB829" s="62">
        <f t="shared" si="797"/>
        <v>2</v>
      </c>
      <c r="IC829" s="62">
        <f t="shared" si="798"/>
        <v>5</v>
      </c>
      <c r="ID829" s="61">
        <v>0.95</v>
      </c>
      <c r="IE829" s="62">
        <f>PRODUCT(IA829:ID829)-7</f>
        <v>50</v>
      </c>
      <c r="IF829" s="59">
        <v>750</v>
      </c>
      <c r="IG829" s="62">
        <f t="shared" si="815"/>
        <v>7.4999999999999997E-2</v>
      </c>
      <c r="IH829" s="62"/>
    </row>
    <row r="830" spans="1:242" ht="30">
      <c r="A830">
        <v>815</v>
      </c>
      <c r="B830" t="s">
        <v>468</v>
      </c>
      <c r="C830" t="s">
        <v>2575</v>
      </c>
      <c r="D830" s="28" t="s">
        <v>1667</v>
      </c>
      <c r="E830" s="28" t="s">
        <v>1668</v>
      </c>
      <c r="F830" s="28" t="s">
        <v>2182</v>
      </c>
      <c r="G830" s="27" t="s">
        <v>108</v>
      </c>
      <c r="I830" s="27" t="s">
        <v>226</v>
      </c>
      <c r="J830" s="28">
        <v>21691</v>
      </c>
      <c r="K830" s="27" t="s">
        <v>404</v>
      </c>
      <c r="Q830" s="13" t="s">
        <v>2484</v>
      </c>
      <c r="R830" s="13" t="s">
        <v>1194</v>
      </c>
      <c r="S830" s="13" t="s">
        <v>2567</v>
      </c>
      <c r="T830" s="13"/>
      <c r="U830" s="13"/>
      <c r="V830" s="72" t="s">
        <v>2486</v>
      </c>
      <c r="W830" s="53"/>
      <c r="AA830" t="s">
        <v>2574</v>
      </c>
      <c r="AB830" s="66">
        <v>194.83</v>
      </c>
      <c r="AC830">
        <v>20</v>
      </c>
      <c r="AD830"/>
      <c r="AE830" s="7">
        <f t="shared" si="770"/>
        <v>7.2361250000000013</v>
      </c>
      <c r="AF830" s="7">
        <f t="shared" si="806"/>
        <v>0</v>
      </c>
      <c r="AG830" s="7">
        <f t="shared" si="772"/>
        <v>1.7543859649122806</v>
      </c>
      <c r="AH830" s="7">
        <f t="shared" si="773"/>
        <v>0.2</v>
      </c>
      <c r="AI830" s="7">
        <f t="shared" si="774"/>
        <v>2.5000000000000005E-3</v>
      </c>
      <c r="AJ830" s="7">
        <f t="shared" si="775"/>
        <v>3.5087719298245612E-2</v>
      </c>
      <c r="AK830" s="7">
        <f t="shared" si="776"/>
        <v>0.11238138706140353</v>
      </c>
      <c r="AL830" s="7">
        <f t="shared" si="777"/>
        <v>0.98895620614035107</v>
      </c>
      <c r="AM830" s="7">
        <f t="shared" si="778"/>
        <v>0.11184523809523811</v>
      </c>
      <c r="AN830" s="7">
        <f t="shared" si="779"/>
        <v>7.4999999999999997E-2</v>
      </c>
      <c r="AO830" s="7"/>
      <c r="AP830" s="7">
        <f t="shared" si="780"/>
        <v>0</v>
      </c>
      <c r="AQ830" s="7">
        <f t="shared" si="781"/>
        <v>10.516281515507519</v>
      </c>
      <c r="AR830" s="7"/>
      <c r="AS830" s="7"/>
      <c r="AT830" s="7"/>
      <c r="AU830" s="7"/>
      <c r="AV830" s="7">
        <f t="shared" si="807"/>
        <v>10.516281515507519</v>
      </c>
      <c r="AW830" s="59">
        <v>3.7500000000000006E-2</v>
      </c>
      <c r="AX830" s="59">
        <v>3.4000000000000002E-2</v>
      </c>
      <c r="AY830" s="61">
        <v>1</v>
      </c>
      <c r="AZ830" s="69">
        <f t="shared" si="783"/>
        <v>3.5000000000000031E-3</v>
      </c>
      <c r="BA830" s="62">
        <f t="shared" si="799"/>
        <v>7.2361250000000013</v>
      </c>
      <c r="BB830" s="62"/>
      <c r="BC830" s="62"/>
      <c r="BD830" s="62"/>
      <c r="BE830" s="62"/>
      <c r="BF830" s="62"/>
      <c r="BG830" s="62"/>
      <c r="BH830" s="62"/>
      <c r="BI830" s="62"/>
      <c r="BJ830" s="62"/>
      <c r="BK830" s="62"/>
      <c r="BL830" s="62"/>
      <c r="BM830" s="62"/>
      <c r="BN830" s="62"/>
      <c r="BO830" s="62"/>
      <c r="BP830" s="62"/>
      <c r="BQ830" s="62"/>
      <c r="BR830" s="62"/>
      <c r="BS830" s="62"/>
      <c r="BT830" s="62"/>
      <c r="BU830" s="62"/>
      <c r="BV830" s="62"/>
      <c r="BW830" s="62"/>
      <c r="BX830" s="62"/>
      <c r="BY830" s="62"/>
      <c r="BZ830" s="62"/>
      <c r="CA830" s="62"/>
      <c r="CB830" s="62"/>
      <c r="CC830" s="62"/>
      <c r="CD830" s="59">
        <v>0</v>
      </c>
      <c r="CE830" s="62">
        <v>0</v>
      </c>
      <c r="CF830" s="62">
        <v>1</v>
      </c>
      <c r="CG830" s="62">
        <v>0.2</v>
      </c>
      <c r="CH830" s="62">
        <f t="shared" si="810"/>
        <v>0.2</v>
      </c>
      <c r="CI830" s="59"/>
      <c r="CJ830" s="59"/>
      <c r="CK830" s="59"/>
      <c r="CL830" s="59"/>
      <c r="CM830" s="59"/>
      <c r="CN830" s="59"/>
      <c r="CO830" s="59"/>
      <c r="CP830" s="59"/>
      <c r="CQ830" s="59"/>
      <c r="CR830" s="59"/>
      <c r="CS830" s="59"/>
      <c r="CT830" s="59"/>
      <c r="CU830" s="59"/>
      <c r="CV830" s="59"/>
      <c r="CW830" s="59"/>
      <c r="CX830" s="59"/>
      <c r="CY830" s="59"/>
      <c r="CZ830" s="59"/>
      <c r="DA830" s="59"/>
      <c r="DB830" s="59"/>
      <c r="DC830" s="59"/>
      <c r="DD830" s="59"/>
      <c r="DE830" s="59"/>
      <c r="DF830" s="59"/>
      <c r="DG830" s="59"/>
      <c r="DH830" s="59"/>
      <c r="DI830" s="59"/>
      <c r="DJ830" s="59"/>
      <c r="DK830" s="59"/>
      <c r="DL830" s="59"/>
      <c r="DM830" s="62">
        <f t="shared" si="785"/>
        <v>0.2</v>
      </c>
      <c r="DN830" s="64">
        <v>1.2500000000000001E-2</v>
      </c>
      <c r="DO830" s="62">
        <f t="shared" si="816"/>
        <v>2.5000000000000005E-3</v>
      </c>
      <c r="DP830" s="62">
        <f t="shared" si="786"/>
        <v>0.20250000000000001</v>
      </c>
      <c r="DQ830" s="59"/>
      <c r="DR830" s="59"/>
      <c r="DS830" s="59"/>
      <c r="DT830" s="59"/>
      <c r="DU830" s="59"/>
      <c r="DV830" s="59"/>
      <c r="DW830" s="59"/>
      <c r="DX830" s="59"/>
      <c r="DY830" s="59"/>
      <c r="DZ830" s="59"/>
      <c r="EA830" s="59"/>
      <c r="EB830" s="59"/>
      <c r="EC830" s="59"/>
      <c r="ED830" s="59"/>
      <c r="EE830" s="59"/>
      <c r="EF830" s="59">
        <v>160</v>
      </c>
      <c r="EG830" s="62">
        <v>1600</v>
      </c>
      <c r="EH830" s="59">
        <v>8</v>
      </c>
      <c r="EI830" s="61">
        <v>0.95</v>
      </c>
      <c r="EJ830" s="65">
        <v>2</v>
      </c>
      <c r="EK830" s="65">
        <v>60</v>
      </c>
      <c r="EL830" s="65">
        <f t="shared" si="805"/>
        <v>912</v>
      </c>
      <c r="EM830" s="59"/>
      <c r="EN830" s="59"/>
      <c r="EO830" s="59"/>
      <c r="EP830" s="59"/>
      <c r="EQ830" s="59"/>
      <c r="ER830" s="59"/>
      <c r="ES830" s="59"/>
      <c r="ET830" s="59"/>
      <c r="EU830" s="62">
        <f t="shared" si="808"/>
        <v>1.7543859649122806</v>
      </c>
      <c r="EV830" s="59"/>
      <c r="EW830" s="59"/>
      <c r="EX830" s="59"/>
      <c r="EY830" s="59"/>
      <c r="EZ830" s="59"/>
      <c r="FA830" s="59"/>
      <c r="FB830" s="59"/>
      <c r="FC830" s="59"/>
      <c r="FD830" s="59"/>
      <c r="FE830" s="59"/>
      <c r="FF830" s="59"/>
      <c r="FG830" s="59"/>
      <c r="FH830" s="59"/>
      <c r="FI830" s="59"/>
      <c r="FJ830" s="59"/>
      <c r="FK830" s="59"/>
      <c r="FL830" s="59"/>
      <c r="FM830" s="59"/>
      <c r="FN830" s="59"/>
      <c r="FO830" s="59"/>
      <c r="FP830" s="59"/>
      <c r="FQ830" s="59"/>
      <c r="FR830" s="59"/>
      <c r="FS830" s="59"/>
      <c r="FT830" s="59"/>
      <c r="FU830" s="59"/>
      <c r="FV830" s="59"/>
      <c r="FW830" s="59"/>
      <c r="FX830" s="59"/>
      <c r="FY830" s="59"/>
      <c r="FZ830" s="59"/>
      <c r="GA830" s="59"/>
      <c r="GB830" s="59"/>
      <c r="GC830" s="59"/>
      <c r="GD830" s="59"/>
      <c r="GE830" s="59"/>
      <c r="GF830" s="59"/>
      <c r="GG830" s="59"/>
      <c r="GH830" s="59"/>
      <c r="GI830" s="59"/>
      <c r="GJ830" s="59"/>
      <c r="GK830" s="59"/>
      <c r="GL830" s="59"/>
      <c r="GM830" s="59"/>
      <c r="GN830" s="59"/>
      <c r="GO830" s="59"/>
      <c r="GP830" s="59"/>
      <c r="GQ830" s="59"/>
      <c r="GR830" s="61">
        <v>0.11</v>
      </c>
      <c r="GS830" s="62">
        <f t="shared" si="809"/>
        <v>0.98895620614035107</v>
      </c>
      <c r="GT830" s="64">
        <v>1.2500000000000001E-2</v>
      </c>
      <c r="GU830" s="62">
        <f t="shared" si="811"/>
        <v>0.11238138706140353</v>
      </c>
      <c r="GV830" s="61">
        <v>0.02</v>
      </c>
      <c r="GW830" s="62">
        <f t="shared" si="812"/>
        <v>3.5087719298245612E-2</v>
      </c>
      <c r="GX830" s="62">
        <f t="shared" si="791"/>
        <v>1.1364253125000001</v>
      </c>
      <c r="GY830" s="62" t="s">
        <v>43</v>
      </c>
      <c r="GZ830" s="62" t="s">
        <v>551</v>
      </c>
      <c r="HA830" s="59">
        <v>805</v>
      </c>
      <c r="HB830" s="59">
        <v>675</v>
      </c>
      <c r="HC830" s="59">
        <v>405</v>
      </c>
      <c r="HD830" s="59">
        <v>200</v>
      </c>
      <c r="HE830" s="59">
        <v>600</v>
      </c>
      <c r="HF830" s="62">
        <f t="shared" si="792"/>
        <v>3</v>
      </c>
      <c r="HG830" s="59">
        <v>5</v>
      </c>
      <c r="HH830" s="62">
        <f t="shared" si="800"/>
        <v>15</v>
      </c>
      <c r="HI830" s="59">
        <v>1450</v>
      </c>
      <c r="HJ830" s="62">
        <f t="shared" si="793"/>
        <v>21750</v>
      </c>
      <c r="HK830" s="59"/>
      <c r="HL830" s="59"/>
      <c r="HM830" s="59">
        <v>2</v>
      </c>
      <c r="HN830" s="62">
        <f t="shared" si="794"/>
        <v>360000</v>
      </c>
      <c r="HO830" s="62">
        <f t="shared" si="813"/>
        <v>6.0416666666666667E-2</v>
      </c>
      <c r="HP830" s="59">
        <v>180</v>
      </c>
      <c r="HQ830" s="59">
        <v>0</v>
      </c>
      <c r="HR830" s="59">
        <v>70</v>
      </c>
      <c r="HS830" s="62">
        <f>HP830/HR830</f>
        <v>2.5714285714285716</v>
      </c>
      <c r="HT830" s="62">
        <f>HS830/50</f>
        <v>5.1428571428571435E-2</v>
      </c>
      <c r="HU830" s="62"/>
      <c r="HV830" s="62">
        <f t="shared" si="814"/>
        <v>0.11184523809523811</v>
      </c>
      <c r="HW830" s="62"/>
      <c r="HX830" s="59">
        <v>5016</v>
      </c>
      <c r="HY830" s="59">
        <v>1976</v>
      </c>
      <c r="HZ830" s="59">
        <v>2280</v>
      </c>
      <c r="IA830" s="62">
        <f t="shared" si="796"/>
        <v>6</v>
      </c>
      <c r="IB830" s="62">
        <f t="shared" si="797"/>
        <v>2</v>
      </c>
      <c r="IC830" s="62">
        <f t="shared" si="798"/>
        <v>5</v>
      </c>
      <c r="ID830" s="61">
        <v>0.95</v>
      </c>
      <c r="IE830" s="62">
        <f>PRODUCT(IA830:ID830)-7</f>
        <v>50</v>
      </c>
      <c r="IF830" s="59">
        <v>750</v>
      </c>
      <c r="IG830" s="62">
        <f t="shared" si="815"/>
        <v>7.4999999999999997E-2</v>
      </c>
      <c r="IH830" s="62"/>
    </row>
    <row r="831" spans="1:242" ht="30">
      <c r="A831">
        <v>816</v>
      </c>
      <c r="B831" t="s">
        <v>468</v>
      </c>
      <c r="C831" s="187" t="s">
        <v>2576</v>
      </c>
      <c r="D831" s="28" t="s">
        <v>1669</v>
      </c>
      <c r="E831" s="28" t="s">
        <v>1670</v>
      </c>
      <c r="F831" s="28" t="s">
        <v>2182</v>
      </c>
      <c r="G831" s="27" t="s">
        <v>108</v>
      </c>
      <c r="I831" s="27" t="s">
        <v>226</v>
      </c>
      <c r="J831" s="28">
        <v>21590</v>
      </c>
      <c r="K831" s="27" t="s">
        <v>397</v>
      </c>
      <c r="Q831" s="13" t="s">
        <v>2484</v>
      </c>
      <c r="R831" s="13" t="s">
        <v>1194</v>
      </c>
      <c r="S831" s="13" t="s">
        <v>2485</v>
      </c>
      <c r="T831" s="13"/>
      <c r="U831" s="13"/>
      <c r="V831" s="72" t="s">
        <v>2486</v>
      </c>
      <c r="W831" s="53" t="s">
        <v>2577</v>
      </c>
      <c r="AA831" t="s">
        <v>2356</v>
      </c>
      <c r="AB831" s="66">
        <v>126.31</v>
      </c>
      <c r="AC831">
        <v>20</v>
      </c>
      <c r="AD831" t="s">
        <v>2537</v>
      </c>
      <c r="AE831" s="7">
        <f t="shared" si="770"/>
        <v>7.1070389999999994</v>
      </c>
      <c r="AF831" s="7">
        <f t="shared" si="806"/>
        <v>0</v>
      </c>
      <c r="AG831" s="7">
        <f t="shared" si="772"/>
        <v>2.3868312757201648</v>
      </c>
      <c r="AH831" s="7">
        <f t="shared" si="773"/>
        <v>0</v>
      </c>
      <c r="AI831" s="7">
        <f t="shared" si="774"/>
        <v>0</v>
      </c>
      <c r="AJ831" s="7">
        <f t="shared" si="775"/>
        <v>4.7736625514403296E-2</v>
      </c>
      <c r="AK831" s="7">
        <f t="shared" si="776"/>
        <v>0.11867337844650205</v>
      </c>
      <c r="AL831" s="7">
        <f t="shared" si="777"/>
        <v>1.0443257303292182</v>
      </c>
      <c r="AM831" s="7">
        <f t="shared" si="778"/>
        <v>0.15000000000000002</v>
      </c>
      <c r="AN831" s="7">
        <f t="shared" si="779"/>
        <v>3.6549707602339179E-2</v>
      </c>
      <c r="AO831" s="7"/>
      <c r="AP831" s="7">
        <f t="shared" si="780"/>
        <v>0</v>
      </c>
      <c r="AQ831" s="7">
        <f t="shared" si="781"/>
        <v>10.891155717612627</v>
      </c>
      <c r="AR831" s="7"/>
      <c r="AS831" s="7"/>
      <c r="AT831" s="7"/>
      <c r="AU831" s="7">
        <f>10.91-10.89</f>
        <v>1.9999999999999574E-2</v>
      </c>
      <c r="AV831" s="7">
        <f t="shared" si="807"/>
        <v>10.911155717612626</v>
      </c>
      <c r="AW831" s="59">
        <v>5.6899999999999992E-2</v>
      </c>
      <c r="AX831" s="59">
        <v>5.2899999999999996E-2</v>
      </c>
      <c r="AY831" s="61">
        <v>1</v>
      </c>
      <c r="AZ831" s="69">
        <f t="shared" si="783"/>
        <v>3.9999999999999966E-3</v>
      </c>
      <c r="BA831" s="62">
        <f t="shared" si="799"/>
        <v>7.1070389999999994</v>
      </c>
      <c r="BB831" s="62"/>
      <c r="BC831" s="62"/>
      <c r="BD831" s="62"/>
      <c r="BE831" s="62"/>
      <c r="BF831" s="62"/>
      <c r="BG831" s="62"/>
      <c r="BH831" s="62"/>
      <c r="BI831" s="62"/>
      <c r="BJ831" s="62"/>
      <c r="BK831" s="62"/>
      <c r="BL831" s="62"/>
      <c r="BM831" s="62"/>
      <c r="BN831" s="62"/>
      <c r="BO831" s="62"/>
      <c r="BP831" s="62"/>
      <c r="BQ831" s="62"/>
      <c r="BR831" s="62"/>
      <c r="BS831" s="62"/>
      <c r="BT831" s="62"/>
      <c r="BU831" s="62"/>
      <c r="BV831" s="62"/>
      <c r="BW831" s="62"/>
      <c r="BX831" s="62"/>
      <c r="BY831" s="62"/>
      <c r="BZ831" s="62"/>
      <c r="CA831" s="62"/>
      <c r="CB831" s="62"/>
      <c r="CC831" s="62"/>
      <c r="CD831" s="59">
        <v>0</v>
      </c>
      <c r="CE831" s="62">
        <v>0</v>
      </c>
      <c r="CF831" s="62">
        <v>0</v>
      </c>
      <c r="CG831" s="62">
        <v>0</v>
      </c>
      <c r="CH831" s="62">
        <v>0</v>
      </c>
      <c r="CI831" s="62"/>
      <c r="CJ831" s="59"/>
      <c r="CK831" s="59"/>
      <c r="CL831" s="59"/>
      <c r="CM831" s="59"/>
      <c r="CN831" s="59"/>
      <c r="CO831" s="59"/>
      <c r="CP831" s="59"/>
      <c r="CQ831" s="59"/>
      <c r="CR831" s="59"/>
      <c r="CS831" s="59"/>
      <c r="CT831" s="59"/>
      <c r="CU831" s="59"/>
      <c r="CV831" s="59"/>
      <c r="CW831" s="59"/>
      <c r="CX831" s="59"/>
      <c r="CY831" s="59"/>
      <c r="CZ831" s="59"/>
      <c r="DA831" s="59"/>
      <c r="DB831" s="59"/>
      <c r="DC831" s="59"/>
      <c r="DD831" s="59"/>
      <c r="DE831" s="59"/>
      <c r="DF831" s="59"/>
      <c r="DG831" s="59"/>
      <c r="DH831" s="59"/>
      <c r="DI831" s="59"/>
      <c r="DJ831" s="59"/>
      <c r="DK831" s="59"/>
      <c r="DL831" s="59"/>
      <c r="DM831" s="62">
        <f t="shared" si="785"/>
        <v>0</v>
      </c>
      <c r="DN831" s="64">
        <v>1.2500000000000001E-2</v>
      </c>
      <c r="DO831" s="62">
        <f t="shared" si="816"/>
        <v>0</v>
      </c>
      <c r="DP831" s="62">
        <f t="shared" si="786"/>
        <v>0</v>
      </c>
      <c r="DQ831" s="59"/>
      <c r="DR831" s="59"/>
      <c r="DS831" s="59"/>
      <c r="DT831" s="59"/>
      <c r="DU831" s="59"/>
      <c r="DV831" s="59"/>
      <c r="DW831" s="59"/>
      <c r="DX831" s="59"/>
      <c r="DY831" s="59"/>
      <c r="DZ831" s="59"/>
      <c r="EA831" s="59"/>
      <c r="EB831" s="59"/>
      <c r="EC831" s="59"/>
      <c r="ED831" s="59"/>
      <c r="EE831" s="59"/>
      <c r="EF831" s="59">
        <v>200</v>
      </c>
      <c r="EG831" s="62">
        <v>2000</v>
      </c>
      <c r="EH831" s="59">
        <v>7.5</v>
      </c>
      <c r="EI831" s="61">
        <v>0.9</v>
      </c>
      <c r="EJ831" s="65">
        <v>2</v>
      </c>
      <c r="EK831" s="65">
        <v>58</v>
      </c>
      <c r="EL831" s="65">
        <f t="shared" si="805"/>
        <v>837.93103448275861</v>
      </c>
      <c r="EM831" s="59"/>
      <c r="EN831" s="59"/>
      <c r="EO831" s="59"/>
      <c r="EP831" s="59"/>
      <c r="EQ831" s="59"/>
      <c r="ER831" s="59"/>
      <c r="ES831" s="59"/>
      <c r="ET831" s="59"/>
      <c r="EU831" s="62">
        <f t="shared" si="808"/>
        <v>2.3868312757201648</v>
      </c>
      <c r="EV831" s="59"/>
      <c r="EW831" s="59"/>
      <c r="EX831" s="59"/>
      <c r="EY831" s="59"/>
      <c r="EZ831" s="59"/>
      <c r="FA831" s="59"/>
      <c r="FB831" s="59"/>
      <c r="FC831" s="59"/>
      <c r="FD831" s="59"/>
      <c r="FE831" s="59"/>
      <c r="FF831" s="59"/>
      <c r="FG831" s="59"/>
      <c r="FH831" s="59"/>
      <c r="FI831" s="59"/>
      <c r="FJ831" s="59"/>
      <c r="FK831" s="59"/>
      <c r="FL831" s="59"/>
      <c r="FM831" s="59"/>
      <c r="FN831" s="59"/>
      <c r="FO831" s="59"/>
      <c r="FP831" s="59"/>
      <c r="FQ831" s="59"/>
      <c r="FR831" s="59"/>
      <c r="FS831" s="59"/>
      <c r="FT831" s="59"/>
      <c r="FU831" s="59"/>
      <c r="FV831" s="59"/>
      <c r="FW831" s="59"/>
      <c r="FX831" s="59"/>
      <c r="FY831" s="59"/>
      <c r="FZ831" s="59"/>
      <c r="GA831" s="59"/>
      <c r="GB831" s="59"/>
      <c r="GC831" s="59"/>
      <c r="GD831" s="59"/>
      <c r="GE831" s="59"/>
      <c r="GF831" s="59"/>
      <c r="GG831" s="59"/>
      <c r="GH831" s="59"/>
      <c r="GI831" s="59"/>
      <c r="GJ831" s="59"/>
      <c r="GK831" s="59"/>
      <c r="GL831" s="59"/>
      <c r="GM831" s="59"/>
      <c r="GN831" s="59"/>
      <c r="GO831" s="59"/>
      <c r="GP831" s="59"/>
      <c r="GQ831" s="59"/>
      <c r="GR831" s="61">
        <v>0.11</v>
      </c>
      <c r="GS831" s="62">
        <f t="shared" si="809"/>
        <v>1.0443257303292182</v>
      </c>
      <c r="GT831" s="64">
        <v>1.2500000000000001E-2</v>
      </c>
      <c r="GU831" s="62">
        <f t="shared" si="811"/>
        <v>0.11867337844650205</v>
      </c>
      <c r="GV831" s="61">
        <v>0.02</v>
      </c>
      <c r="GW831" s="62">
        <f t="shared" si="812"/>
        <v>4.7736625514403296E-2</v>
      </c>
      <c r="GX831" s="62">
        <f t="shared" si="791"/>
        <v>1.2107357342901235</v>
      </c>
      <c r="GY831" s="62" t="s">
        <v>43</v>
      </c>
      <c r="GZ831" s="62" t="s">
        <v>551</v>
      </c>
      <c r="HA831" s="59">
        <v>650</v>
      </c>
      <c r="HB831" s="59">
        <v>450</v>
      </c>
      <c r="HC831" s="59">
        <v>330</v>
      </c>
      <c r="HD831" s="59">
        <v>120</v>
      </c>
      <c r="HE831" s="59">
        <v>400</v>
      </c>
      <c r="HF831" s="62">
        <f t="shared" si="792"/>
        <v>4</v>
      </c>
      <c r="HG831" s="59">
        <v>5</v>
      </c>
      <c r="HH831" s="62">
        <f t="shared" si="800"/>
        <v>20</v>
      </c>
      <c r="HI831" s="59">
        <v>650</v>
      </c>
      <c r="HJ831" s="62">
        <f t="shared" si="793"/>
        <v>13000</v>
      </c>
      <c r="HK831" s="59"/>
      <c r="HL831" s="59"/>
      <c r="HM831" s="59">
        <v>2</v>
      </c>
      <c r="HN831" s="62">
        <f t="shared" si="794"/>
        <v>240000</v>
      </c>
      <c r="HO831" s="62">
        <f t="shared" si="813"/>
        <v>5.4166666666666669E-2</v>
      </c>
      <c r="HP831" s="59">
        <v>160</v>
      </c>
      <c r="HQ831" s="59">
        <v>0</v>
      </c>
      <c r="HR831" s="59">
        <v>0.09</v>
      </c>
      <c r="HS831" s="59">
        <v>1</v>
      </c>
      <c r="HT831" s="62">
        <f t="shared" ref="HT831:HT836" si="817">HR831/HS831</f>
        <v>0.09</v>
      </c>
      <c r="HU831" s="62"/>
      <c r="HV831" s="62">
        <f>ROUNDUP(HO831+HT831,2)</f>
        <v>0.15000000000000002</v>
      </c>
      <c r="HW831" s="62"/>
      <c r="HX831" s="59">
        <v>4200</v>
      </c>
      <c r="HY831" s="59">
        <v>1900</v>
      </c>
      <c r="HZ831" s="59">
        <v>1975</v>
      </c>
      <c r="IA831" s="62">
        <f t="shared" si="796"/>
        <v>6</v>
      </c>
      <c r="IB831" s="62">
        <f t="shared" si="797"/>
        <v>4</v>
      </c>
      <c r="IC831" s="62">
        <f t="shared" si="798"/>
        <v>5</v>
      </c>
      <c r="ID831" s="61">
        <v>0.95</v>
      </c>
      <c r="IE831" s="62">
        <f>PRODUCT(IA831:ID831)</f>
        <v>114</v>
      </c>
      <c r="IF831" s="59">
        <v>500</v>
      </c>
      <c r="IG831" s="62">
        <f t="shared" si="815"/>
        <v>3.6549707602339179E-2</v>
      </c>
      <c r="IH831" s="62"/>
    </row>
    <row r="832" spans="1:242" ht="30">
      <c r="A832">
        <v>817</v>
      </c>
      <c r="B832" t="s">
        <v>468</v>
      </c>
      <c r="C832" t="s">
        <v>2578</v>
      </c>
      <c r="D832" s="28" t="s">
        <v>1671</v>
      </c>
      <c r="E832" s="28" t="s">
        <v>1662</v>
      </c>
      <c r="F832" s="28" t="s">
        <v>2182</v>
      </c>
      <c r="G832" s="27" t="s">
        <v>108</v>
      </c>
      <c r="I832" s="27" t="s">
        <v>226</v>
      </c>
      <c r="J832" s="28">
        <v>21691</v>
      </c>
      <c r="K832" s="27" t="s">
        <v>404</v>
      </c>
      <c r="Q832" s="13" t="s">
        <v>1039</v>
      </c>
      <c r="R832" s="13" t="s">
        <v>1194</v>
      </c>
      <c r="S832" s="13" t="s">
        <v>2579</v>
      </c>
      <c r="T832" s="13"/>
      <c r="U832" s="13"/>
      <c r="V832" s="72" t="s">
        <v>2486</v>
      </c>
      <c r="W832" s="53"/>
      <c r="AA832" t="s">
        <v>2580</v>
      </c>
      <c r="AB832" s="66">
        <v>204.83</v>
      </c>
      <c r="AC832">
        <v>20</v>
      </c>
      <c r="AD832"/>
      <c r="AE832" s="7">
        <f t="shared" si="770"/>
        <v>63.846960000000003</v>
      </c>
      <c r="AF832" s="7">
        <f t="shared" si="806"/>
        <v>0</v>
      </c>
      <c r="AG832" s="7">
        <f t="shared" si="772"/>
        <v>7.2642543859649136</v>
      </c>
      <c r="AH832" s="7">
        <f t="shared" si="773"/>
        <v>0.2</v>
      </c>
      <c r="AI832" s="7">
        <f t="shared" si="774"/>
        <v>2.5000000000000005E-3</v>
      </c>
      <c r="AJ832" s="7">
        <f t="shared" si="775"/>
        <v>0.14528508771929827</v>
      </c>
      <c r="AK832" s="7">
        <f t="shared" si="776"/>
        <v>0.88889017982456142</v>
      </c>
      <c r="AL832" s="7">
        <f t="shared" si="777"/>
        <v>7.8222335824561409</v>
      </c>
      <c r="AM832" s="7">
        <f t="shared" si="778"/>
        <v>2.8499999999999996</v>
      </c>
      <c r="AN832" s="7">
        <f t="shared" si="779"/>
        <v>0.5</v>
      </c>
      <c r="AO832" s="7"/>
      <c r="AP832" s="7">
        <f t="shared" si="780"/>
        <v>0</v>
      </c>
      <c r="AQ832" s="7">
        <f t="shared" si="781"/>
        <v>83.520123235964903</v>
      </c>
      <c r="AR832" s="7"/>
      <c r="AS832" s="7"/>
      <c r="AT832" s="7"/>
      <c r="AU832" s="7"/>
      <c r="AV832" s="7">
        <f t="shared" si="807"/>
        <v>83.520123235964903</v>
      </c>
      <c r="AW832" s="59">
        <v>0.312</v>
      </c>
      <c r="AX832" s="59">
        <v>0.309</v>
      </c>
      <c r="AY832" s="61">
        <v>1</v>
      </c>
      <c r="AZ832" s="69">
        <f t="shared" si="783"/>
        <v>3.0000000000000027E-3</v>
      </c>
      <c r="BA832" s="62">
        <f t="shared" si="799"/>
        <v>63.846960000000003</v>
      </c>
      <c r="BB832" s="62"/>
      <c r="BC832" s="62"/>
      <c r="BD832" s="62"/>
      <c r="BE832" s="62"/>
      <c r="BF832" s="62"/>
      <c r="BG832" s="62"/>
      <c r="BH832" s="62"/>
      <c r="BI832" s="62"/>
      <c r="BJ832" s="62"/>
      <c r="BK832" s="62"/>
      <c r="BL832" s="62"/>
      <c r="BM832" s="62"/>
      <c r="BN832" s="62"/>
      <c r="BO832" s="62"/>
      <c r="BP832" s="62"/>
      <c r="BQ832" s="62"/>
      <c r="BR832" s="62"/>
      <c r="BS832" s="62"/>
      <c r="BT832" s="62"/>
      <c r="BU832" s="62"/>
      <c r="BV832" s="62"/>
      <c r="BW832" s="62"/>
      <c r="BX832" s="62"/>
      <c r="BY832" s="62"/>
      <c r="BZ832" s="62"/>
      <c r="CA832" s="62"/>
      <c r="CB832" s="62"/>
      <c r="CC832" s="62"/>
      <c r="CD832" s="59">
        <v>0</v>
      </c>
      <c r="CE832" s="62">
        <v>0</v>
      </c>
      <c r="CF832" s="62">
        <v>1</v>
      </c>
      <c r="CG832" s="62">
        <v>0.2</v>
      </c>
      <c r="CH832" s="62">
        <f>CF832*CG832</f>
        <v>0.2</v>
      </c>
      <c r="CI832" s="59"/>
      <c r="CJ832" s="59"/>
      <c r="CK832" s="59"/>
      <c r="CL832" s="59"/>
      <c r="CM832" s="59"/>
      <c r="CN832" s="59"/>
      <c r="CO832" s="59"/>
      <c r="CP832" s="59"/>
      <c r="CQ832" s="59"/>
      <c r="CR832" s="59"/>
      <c r="CS832" s="59"/>
      <c r="CT832" s="59"/>
      <c r="CU832" s="59"/>
      <c r="CV832" s="59"/>
      <c r="CW832" s="59"/>
      <c r="CX832" s="59"/>
      <c r="CY832" s="59"/>
      <c r="CZ832" s="59"/>
      <c r="DA832" s="59"/>
      <c r="DB832" s="59"/>
      <c r="DC832" s="59"/>
      <c r="DD832" s="59"/>
      <c r="DE832" s="59"/>
      <c r="DF832" s="59"/>
      <c r="DG832" s="59"/>
      <c r="DH832" s="59"/>
      <c r="DI832" s="59"/>
      <c r="DJ832" s="59"/>
      <c r="DK832" s="59"/>
      <c r="DL832" s="59"/>
      <c r="DM832" s="62">
        <f t="shared" si="785"/>
        <v>0.2</v>
      </c>
      <c r="DN832" s="64">
        <v>1.2500000000000001E-2</v>
      </c>
      <c r="DO832" s="62">
        <f t="shared" si="816"/>
        <v>2.5000000000000005E-3</v>
      </c>
      <c r="DP832" s="62">
        <f t="shared" si="786"/>
        <v>0.20250000000000001</v>
      </c>
      <c r="DQ832" s="59"/>
      <c r="DR832" s="59"/>
      <c r="DS832" s="59"/>
      <c r="DT832" s="59"/>
      <c r="DU832" s="59"/>
      <c r="DV832" s="59"/>
      <c r="DW832" s="59"/>
      <c r="DX832" s="59"/>
      <c r="DY832" s="59"/>
      <c r="DZ832" s="59"/>
      <c r="EA832" s="59"/>
      <c r="EB832" s="59"/>
      <c r="EC832" s="59"/>
      <c r="ED832" s="59"/>
      <c r="EE832" s="59"/>
      <c r="EF832" s="59">
        <v>530</v>
      </c>
      <c r="EG832" s="62">
        <v>5300</v>
      </c>
      <c r="EH832" s="59">
        <v>8</v>
      </c>
      <c r="EI832" s="61">
        <v>0.95</v>
      </c>
      <c r="EJ832" s="65">
        <v>2</v>
      </c>
      <c r="EK832" s="65">
        <v>75</v>
      </c>
      <c r="EL832" s="65">
        <f t="shared" si="805"/>
        <v>729.59999999999991</v>
      </c>
      <c r="EM832" s="59"/>
      <c r="EN832" s="59"/>
      <c r="EO832" s="59"/>
      <c r="EP832" s="59"/>
      <c r="EQ832" s="59"/>
      <c r="ER832" s="59"/>
      <c r="ES832" s="59"/>
      <c r="ET832" s="59"/>
      <c r="EU832" s="62">
        <f t="shared" si="808"/>
        <v>7.2642543859649136</v>
      </c>
      <c r="EV832" s="59"/>
      <c r="EW832" s="59"/>
      <c r="EX832" s="59"/>
      <c r="EY832" s="59"/>
      <c r="EZ832" s="59"/>
      <c r="FA832" s="59"/>
      <c r="FB832" s="59"/>
      <c r="FC832" s="59"/>
      <c r="FD832" s="59"/>
      <c r="FE832" s="59"/>
      <c r="FF832" s="59"/>
      <c r="FG832" s="59"/>
      <c r="FH832" s="59"/>
      <c r="FI832" s="59"/>
      <c r="FJ832" s="59"/>
      <c r="FK832" s="59"/>
      <c r="FL832" s="59"/>
      <c r="FM832" s="59"/>
      <c r="FN832" s="59"/>
      <c r="FO832" s="59"/>
      <c r="FP832" s="59"/>
      <c r="FQ832" s="59"/>
      <c r="FR832" s="59"/>
      <c r="FS832" s="59"/>
      <c r="FT832" s="59"/>
      <c r="FU832" s="59"/>
      <c r="FV832" s="59"/>
      <c r="FW832" s="59"/>
      <c r="FX832" s="59"/>
      <c r="FY832" s="59"/>
      <c r="FZ832" s="59"/>
      <c r="GA832" s="59"/>
      <c r="GB832" s="59"/>
      <c r="GC832" s="59"/>
      <c r="GD832" s="59"/>
      <c r="GE832" s="59"/>
      <c r="GF832" s="59"/>
      <c r="GG832" s="59"/>
      <c r="GH832" s="59"/>
      <c r="GI832" s="59"/>
      <c r="GJ832" s="59"/>
      <c r="GK832" s="59"/>
      <c r="GL832" s="59"/>
      <c r="GM832" s="59"/>
      <c r="GN832" s="59"/>
      <c r="GO832" s="59"/>
      <c r="GP832" s="59"/>
      <c r="GQ832" s="59"/>
      <c r="GR832" s="61">
        <v>0.11</v>
      </c>
      <c r="GS832" s="62">
        <f t="shared" si="809"/>
        <v>7.8222335824561409</v>
      </c>
      <c r="GT832" s="64">
        <v>1.2500000000000001E-2</v>
      </c>
      <c r="GU832" s="62">
        <f t="shared" si="811"/>
        <v>0.88889017982456142</v>
      </c>
      <c r="GV832" s="61">
        <v>0.02</v>
      </c>
      <c r="GW832" s="62">
        <f t="shared" si="812"/>
        <v>0.14528508771929827</v>
      </c>
      <c r="GX832" s="62">
        <f t="shared" si="791"/>
        <v>8.8564088500000011</v>
      </c>
      <c r="GY832" s="62" t="s">
        <v>43</v>
      </c>
      <c r="GZ832" s="62" t="s">
        <v>551</v>
      </c>
      <c r="HA832" s="59">
        <v>650</v>
      </c>
      <c r="HB832" s="59">
        <v>450</v>
      </c>
      <c r="HC832" s="59">
        <v>330</v>
      </c>
      <c r="HD832" s="59">
        <v>20</v>
      </c>
      <c r="HE832" s="59">
        <v>1600</v>
      </c>
      <c r="HF832" s="62">
        <f t="shared" si="792"/>
        <v>80</v>
      </c>
      <c r="HG832" s="59">
        <v>5</v>
      </c>
      <c r="HH832" s="62">
        <f t="shared" si="800"/>
        <v>400</v>
      </c>
      <c r="HI832" s="59">
        <v>650</v>
      </c>
      <c r="HJ832" s="62">
        <f t="shared" si="793"/>
        <v>260000</v>
      </c>
      <c r="HK832" s="59"/>
      <c r="HL832" s="59"/>
      <c r="HM832" s="59">
        <v>2</v>
      </c>
      <c r="HN832" s="62">
        <f t="shared" si="794"/>
        <v>960000</v>
      </c>
      <c r="HO832" s="62">
        <f t="shared" si="813"/>
        <v>0.27083333333333331</v>
      </c>
      <c r="HP832" s="59">
        <v>160</v>
      </c>
      <c r="HQ832" s="59">
        <v>0</v>
      </c>
      <c r="HR832" s="59">
        <v>180</v>
      </c>
      <c r="HS832" s="59">
        <v>70</v>
      </c>
      <c r="HT832" s="62">
        <f t="shared" si="817"/>
        <v>2.5714285714285716</v>
      </c>
      <c r="HU832" s="62"/>
      <c r="HV832" s="62">
        <f>ROUNDUP(HO832+HT832,2)</f>
        <v>2.8499999999999996</v>
      </c>
      <c r="HW832" s="62"/>
      <c r="HX832" s="59">
        <v>5016</v>
      </c>
      <c r="HY832" s="59">
        <v>1976</v>
      </c>
      <c r="HZ832" s="59">
        <v>2280</v>
      </c>
      <c r="IA832" s="62">
        <f t="shared" si="796"/>
        <v>7</v>
      </c>
      <c r="IB832" s="62">
        <f t="shared" si="797"/>
        <v>4</v>
      </c>
      <c r="IC832" s="62">
        <f t="shared" si="798"/>
        <v>6</v>
      </c>
      <c r="ID832" s="61">
        <v>0.95</v>
      </c>
      <c r="IE832" s="62">
        <f>PRODUCT(IA832:ID832)-109.6</f>
        <v>50</v>
      </c>
      <c r="IF832" s="59">
        <v>500</v>
      </c>
      <c r="IG832" s="62">
        <f t="shared" si="815"/>
        <v>0.5</v>
      </c>
      <c r="IH832" s="62"/>
    </row>
    <row r="833" spans="1:339" ht="30">
      <c r="A833">
        <v>818</v>
      </c>
      <c r="B833" t="s">
        <v>468</v>
      </c>
      <c r="C833" s="187" t="s">
        <v>2581</v>
      </c>
      <c r="D833" s="28" t="s">
        <v>1672</v>
      </c>
      <c r="E833" s="28" t="s">
        <v>1624</v>
      </c>
      <c r="F833" s="28" t="s">
        <v>2182</v>
      </c>
      <c r="G833" s="27" t="s">
        <v>108</v>
      </c>
      <c r="I833" s="27" t="s">
        <v>226</v>
      </c>
      <c r="J833" s="28">
        <v>21691</v>
      </c>
      <c r="K833" s="27" t="s">
        <v>404</v>
      </c>
      <c r="Q833" s="13" t="s">
        <v>1039</v>
      </c>
      <c r="R833" s="13" t="s">
        <v>1194</v>
      </c>
      <c r="S833" s="13" t="s">
        <v>2579</v>
      </c>
      <c r="T833" s="13"/>
      <c r="U833" s="13"/>
      <c r="V833" s="72" t="s">
        <v>2486</v>
      </c>
      <c r="W833" s="53" t="s">
        <v>2582</v>
      </c>
      <c r="AA833" t="s">
        <v>1950</v>
      </c>
      <c r="AB833" s="66">
        <v>197.27</v>
      </c>
      <c r="AC833">
        <v>20</v>
      </c>
      <c r="AD833" t="s">
        <v>2583</v>
      </c>
      <c r="AE833" s="7">
        <f t="shared" si="770"/>
        <v>26.265545000000003</v>
      </c>
      <c r="AF833" s="7">
        <f t="shared" si="806"/>
        <v>0</v>
      </c>
      <c r="AG833" s="7">
        <f t="shared" si="772"/>
        <v>6.5862573099415211</v>
      </c>
      <c r="AH833" s="7">
        <f t="shared" si="773"/>
        <v>0.2</v>
      </c>
      <c r="AI833" s="7">
        <f t="shared" si="774"/>
        <v>2.5000000000000005E-3</v>
      </c>
      <c r="AJ833" s="7">
        <f t="shared" si="775"/>
        <v>0.13172514619883041</v>
      </c>
      <c r="AK833" s="7">
        <f t="shared" si="776"/>
        <v>0.41064752887426909</v>
      </c>
      <c r="AL833" s="7">
        <f t="shared" si="777"/>
        <v>3.6136982540935678</v>
      </c>
      <c r="AM833" s="7">
        <f t="shared" si="778"/>
        <v>2.69</v>
      </c>
      <c r="AN833" s="7">
        <f t="shared" si="779"/>
        <v>0.125</v>
      </c>
      <c r="AO833" s="7"/>
      <c r="AP833" s="7">
        <f t="shared" si="780"/>
        <v>0</v>
      </c>
      <c r="AQ833" s="7">
        <f t="shared" si="781"/>
        <v>40.025373239108198</v>
      </c>
      <c r="AR833" s="7"/>
      <c r="AS833" s="7"/>
      <c r="AT833" s="7"/>
      <c r="AU833" s="7">
        <f>40.09-40.03</f>
        <v>6.0000000000002274E-2</v>
      </c>
      <c r="AV833" s="7">
        <f t="shared" si="807"/>
        <v>40.0853732391082</v>
      </c>
      <c r="AW833">
        <v>0.13350000000000001</v>
      </c>
      <c r="AX833">
        <v>0.13</v>
      </c>
      <c r="AY833" s="8">
        <v>1</v>
      </c>
      <c r="AZ833" s="14">
        <f t="shared" si="783"/>
        <v>3.5000000000000031E-3</v>
      </c>
      <c r="BA833" s="4">
        <f t="shared" si="799"/>
        <v>26.265545000000003</v>
      </c>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v>0</v>
      </c>
      <c r="CE833" s="4">
        <v>0</v>
      </c>
      <c r="CF833" s="4">
        <v>1</v>
      </c>
      <c r="CG833" s="4">
        <v>0.2</v>
      </c>
      <c r="CH833" s="4">
        <f>CF833*CG833</f>
        <v>0.2</v>
      </c>
      <c r="DM833" s="4">
        <f t="shared" si="785"/>
        <v>0.2</v>
      </c>
      <c r="DN833" s="9">
        <v>1.2500000000000001E-2</v>
      </c>
      <c r="DO833" s="4">
        <f t="shared" si="816"/>
        <v>2.5000000000000005E-3</v>
      </c>
      <c r="DP833" s="4">
        <f t="shared" si="786"/>
        <v>0.20250000000000001</v>
      </c>
      <c r="EF833">
        <v>530</v>
      </c>
      <c r="EG833" s="4">
        <v>5300</v>
      </c>
      <c r="EH833">
        <v>8</v>
      </c>
      <c r="EI833" s="8">
        <v>0.95</v>
      </c>
      <c r="EJ833" s="10">
        <v>2</v>
      </c>
      <c r="EK833" s="10">
        <v>68</v>
      </c>
      <c r="EL833" s="10">
        <f t="shared" si="805"/>
        <v>804.7058823529411</v>
      </c>
      <c r="EU833" s="4">
        <f t="shared" si="808"/>
        <v>6.5862573099415211</v>
      </c>
      <c r="GR833" s="8">
        <v>0.11</v>
      </c>
      <c r="GS833" s="4">
        <f t="shared" si="809"/>
        <v>3.6136982540935678</v>
      </c>
      <c r="GT833" s="9">
        <v>1.2500000000000001E-2</v>
      </c>
      <c r="GU833" s="4">
        <f t="shared" si="811"/>
        <v>0.41064752887426909</v>
      </c>
      <c r="GV833" s="8">
        <v>0.02</v>
      </c>
      <c r="GW833" s="4">
        <f t="shared" si="812"/>
        <v>0.13172514619883041</v>
      </c>
      <c r="GX833" s="4">
        <f t="shared" si="791"/>
        <v>4.1560709291666669</v>
      </c>
      <c r="GY833" s="4" t="s">
        <v>43</v>
      </c>
      <c r="GZ833" s="4" t="s">
        <v>551</v>
      </c>
      <c r="HA833">
        <v>805</v>
      </c>
      <c r="HB833">
        <v>675</v>
      </c>
      <c r="HC833">
        <v>405</v>
      </c>
      <c r="HD833">
        <v>80</v>
      </c>
      <c r="HE833">
        <v>1600</v>
      </c>
      <c r="HF833" s="4">
        <f t="shared" si="792"/>
        <v>20</v>
      </c>
      <c r="HG833">
        <v>5</v>
      </c>
      <c r="HH833" s="4">
        <f t="shared" si="800"/>
        <v>100</v>
      </c>
      <c r="HI833">
        <v>1100</v>
      </c>
      <c r="HJ833" s="4">
        <f t="shared" si="793"/>
        <v>110000</v>
      </c>
      <c r="HM833">
        <v>2</v>
      </c>
      <c r="HN833" s="4">
        <f t="shared" si="794"/>
        <v>960000</v>
      </c>
      <c r="HO833" s="4">
        <f t="shared" si="813"/>
        <v>0.11458333333333333</v>
      </c>
      <c r="HP833">
        <v>160</v>
      </c>
      <c r="HQ833">
        <v>0</v>
      </c>
      <c r="HR833">
        <v>180</v>
      </c>
      <c r="HS833">
        <v>70</v>
      </c>
      <c r="HT833" s="4">
        <f t="shared" si="817"/>
        <v>2.5714285714285716</v>
      </c>
      <c r="HU833" s="4"/>
      <c r="HV833" s="4">
        <f>ROUNDUP(HO833+HT833,2)</f>
        <v>2.69</v>
      </c>
      <c r="HW833" s="4"/>
      <c r="HX833">
        <v>5016</v>
      </c>
      <c r="HY833">
        <v>1976</v>
      </c>
      <c r="HZ833">
        <v>2280</v>
      </c>
      <c r="IA833" s="4">
        <f t="shared" si="796"/>
        <v>6</v>
      </c>
      <c r="IB833" s="4">
        <f t="shared" si="797"/>
        <v>2</v>
      </c>
      <c r="IC833" s="4">
        <f t="shared" si="798"/>
        <v>5</v>
      </c>
      <c r="ID833" s="8">
        <v>0.95</v>
      </c>
      <c r="IE833" s="4">
        <f>PRODUCT(IA833:ID833)-7</f>
        <v>50</v>
      </c>
      <c r="IF833">
        <v>500</v>
      </c>
      <c r="IG833" s="4">
        <f t="shared" si="815"/>
        <v>0.125</v>
      </c>
      <c r="IH833" s="4"/>
    </row>
    <row r="834" spans="1:339" ht="30">
      <c r="A834">
        <v>819</v>
      </c>
      <c r="B834" t="s">
        <v>468</v>
      </c>
      <c r="C834" t="s">
        <v>2584</v>
      </c>
      <c r="D834" s="28" t="s">
        <v>1673</v>
      </c>
      <c r="E834" s="28" t="s">
        <v>1660</v>
      </c>
      <c r="F834" s="28" t="s">
        <v>2182</v>
      </c>
      <c r="G834" s="27" t="s">
        <v>108</v>
      </c>
      <c r="I834" s="27" t="s">
        <v>226</v>
      </c>
      <c r="J834" s="28">
        <v>21691</v>
      </c>
      <c r="K834" s="27" t="s">
        <v>404</v>
      </c>
      <c r="Q834" s="13" t="s">
        <v>1039</v>
      </c>
      <c r="R834" s="13" t="s">
        <v>1194</v>
      </c>
      <c r="S834" s="13" t="s">
        <v>2579</v>
      </c>
      <c r="T834" s="13"/>
      <c r="U834" s="13"/>
      <c r="V834" s="72" t="s">
        <v>2486</v>
      </c>
      <c r="W834" s="53"/>
      <c r="AA834" t="s">
        <v>2585</v>
      </c>
      <c r="AB834" s="66">
        <v>240</v>
      </c>
      <c r="AC834">
        <v>20</v>
      </c>
      <c r="AD834" t="s">
        <v>2583</v>
      </c>
      <c r="AE834" s="7">
        <f t="shared" si="770"/>
        <v>52.98</v>
      </c>
      <c r="AF834" s="7">
        <f t="shared" si="806"/>
        <v>0</v>
      </c>
      <c r="AG834" s="7">
        <f t="shared" si="772"/>
        <v>6.779970760233919</v>
      </c>
      <c r="AH834" s="7">
        <f t="shared" si="773"/>
        <v>0.2</v>
      </c>
      <c r="AI834" s="7">
        <f t="shared" si="774"/>
        <v>2.5000000000000005E-3</v>
      </c>
      <c r="AJ834" s="7">
        <f t="shared" si="775"/>
        <v>0.13559941520467839</v>
      </c>
      <c r="AK834" s="7">
        <f t="shared" si="776"/>
        <v>0.74699963450292395</v>
      </c>
      <c r="AL834" s="7">
        <f t="shared" si="777"/>
        <v>6.5735967836257307</v>
      </c>
      <c r="AM834" s="7">
        <f t="shared" si="778"/>
        <v>2.7547619047619047</v>
      </c>
      <c r="AN834" s="7">
        <f t="shared" si="779"/>
        <v>0.2</v>
      </c>
      <c r="AO834" s="7"/>
      <c r="AP834" s="7">
        <f t="shared" si="780"/>
        <v>0</v>
      </c>
      <c r="AQ834" s="7">
        <f t="shared" si="781"/>
        <v>70.373428498329162</v>
      </c>
      <c r="AR834" s="7"/>
      <c r="AS834" s="7"/>
      <c r="AT834" s="7"/>
      <c r="AU834" s="7"/>
      <c r="AV834" s="7">
        <f t="shared" si="807"/>
        <v>70.373428498329162</v>
      </c>
      <c r="AW834" s="59">
        <v>0.221</v>
      </c>
      <c r="AX834" s="59">
        <v>0.218</v>
      </c>
      <c r="AY834" s="61">
        <v>1</v>
      </c>
      <c r="AZ834" s="69">
        <f t="shared" si="783"/>
        <v>3.0000000000000027E-3</v>
      </c>
      <c r="BA834" s="62">
        <f t="shared" si="799"/>
        <v>52.98</v>
      </c>
      <c r="BB834" s="62"/>
      <c r="BC834" s="62"/>
      <c r="BD834" s="62"/>
      <c r="BE834" s="62"/>
      <c r="BF834" s="62"/>
      <c r="BG834" s="62"/>
      <c r="BH834" s="62"/>
      <c r="BI834" s="62"/>
      <c r="BJ834" s="62"/>
      <c r="BK834" s="62"/>
      <c r="BL834" s="62"/>
      <c r="BM834" s="62"/>
      <c r="BN834" s="62"/>
      <c r="BO834" s="62"/>
      <c r="BP834" s="62"/>
      <c r="BQ834" s="62"/>
      <c r="BR834" s="62"/>
      <c r="BS834" s="62"/>
      <c r="BT834" s="62"/>
      <c r="BU834" s="62"/>
      <c r="BV834" s="62"/>
      <c r="BW834" s="62"/>
      <c r="BX834" s="62"/>
      <c r="BY834" s="62"/>
      <c r="BZ834" s="62"/>
      <c r="CA834" s="62"/>
      <c r="CB834" s="62"/>
      <c r="CC834" s="62"/>
      <c r="CD834" s="59">
        <v>0</v>
      </c>
      <c r="CE834" s="62">
        <v>0</v>
      </c>
      <c r="CF834" s="62">
        <v>1</v>
      </c>
      <c r="CG834" s="62">
        <v>0.2</v>
      </c>
      <c r="CH834" s="62">
        <f>CF834*CG834</f>
        <v>0.2</v>
      </c>
      <c r="CI834" s="59"/>
      <c r="CJ834" s="59"/>
      <c r="CK834" s="59"/>
      <c r="CL834" s="59"/>
      <c r="CM834" s="59"/>
      <c r="CN834" s="59"/>
      <c r="CO834" s="59"/>
      <c r="CP834" s="59"/>
      <c r="CQ834" s="59"/>
      <c r="CR834" s="59"/>
      <c r="CS834" s="59"/>
      <c r="CT834" s="59"/>
      <c r="CU834" s="59"/>
      <c r="CV834" s="59"/>
      <c r="CW834" s="59"/>
      <c r="CX834" s="59"/>
      <c r="CY834" s="59"/>
      <c r="CZ834" s="59"/>
      <c r="DA834" s="59"/>
      <c r="DB834" s="59"/>
      <c r="DC834" s="59"/>
      <c r="DD834" s="59"/>
      <c r="DE834" s="59"/>
      <c r="DF834" s="59"/>
      <c r="DG834" s="59"/>
      <c r="DH834" s="59"/>
      <c r="DI834" s="59"/>
      <c r="DJ834" s="59"/>
      <c r="DK834" s="59"/>
      <c r="DL834" s="59"/>
      <c r="DM834" s="62">
        <f t="shared" si="785"/>
        <v>0.2</v>
      </c>
      <c r="DN834" s="64">
        <v>1.2500000000000001E-2</v>
      </c>
      <c r="DO834" s="62">
        <f t="shared" si="816"/>
        <v>2.5000000000000005E-3</v>
      </c>
      <c r="DP834" s="62">
        <f t="shared" si="786"/>
        <v>0.20250000000000001</v>
      </c>
      <c r="DQ834" s="59"/>
      <c r="DR834" s="59"/>
      <c r="DS834" s="59"/>
      <c r="DT834" s="59"/>
      <c r="DU834" s="59"/>
      <c r="DV834" s="59"/>
      <c r="DW834" s="59"/>
      <c r="DX834" s="59"/>
      <c r="DY834" s="59"/>
      <c r="DZ834" s="59"/>
      <c r="EA834" s="59"/>
      <c r="EB834" s="59"/>
      <c r="EC834" s="59"/>
      <c r="ED834" s="59"/>
      <c r="EE834" s="59"/>
      <c r="EF834" s="59">
        <v>530</v>
      </c>
      <c r="EG834" s="62">
        <v>5300</v>
      </c>
      <c r="EH834" s="59">
        <v>8</v>
      </c>
      <c r="EI834" s="61">
        <v>0.95</v>
      </c>
      <c r="EJ834" s="65">
        <v>2</v>
      </c>
      <c r="EK834" s="65">
        <v>70</v>
      </c>
      <c r="EL834" s="65">
        <f t="shared" si="805"/>
        <v>781.71428571428567</v>
      </c>
      <c r="EM834" s="59"/>
      <c r="EN834" s="59"/>
      <c r="EO834" s="59"/>
      <c r="EP834" s="59"/>
      <c r="EQ834" s="59"/>
      <c r="ER834" s="59"/>
      <c r="ES834" s="59"/>
      <c r="ET834" s="59"/>
      <c r="EU834" s="62">
        <f t="shared" si="808"/>
        <v>6.779970760233919</v>
      </c>
      <c r="EV834" s="59"/>
      <c r="EW834" s="59"/>
      <c r="EX834" s="59"/>
      <c r="EY834" s="59"/>
      <c r="EZ834" s="59"/>
      <c r="FA834" s="59"/>
      <c r="FB834" s="59"/>
      <c r="FC834" s="59"/>
      <c r="FD834" s="59"/>
      <c r="FE834" s="59"/>
      <c r="FF834" s="59"/>
      <c r="FG834" s="59"/>
      <c r="FH834" s="59"/>
      <c r="FI834" s="59"/>
      <c r="FJ834" s="59"/>
      <c r="FK834" s="59"/>
      <c r="FL834" s="59"/>
      <c r="FM834" s="59"/>
      <c r="FN834" s="59"/>
      <c r="FO834" s="59"/>
      <c r="FP834" s="59"/>
      <c r="FQ834" s="59"/>
      <c r="FR834" s="59"/>
      <c r="FS834" s="59"/>
      <c r="FT834" s="59"/>
      <c r="FU834" s="59"/>
      <c r="FV834" s="59"/>
      <c r="FW834" s="59"/>
      <c r="FX834" s="59"/>
      <c r="FY834" s="59"/>
      <c r="FZ834" s="59"/>
      <c r="GA834" s="59"/>
      <c r="GB834" s="59"/>
      <c r="GC834" s="59"/>
      <c r="GD834" s="59"/>
      <c r="GE834" s="59"/>
      <c r="GF834" s="59"/>
      <c r="GG834" s="59"/>
      <c r="GH834" s="59"/>
      <c r="GI834" s="59"/>
      <c r="GJ834" s="59"/>
      <c r="GK834" s="59"/>
      <c r="GL834" s="59"/>
      <c r="GM834" s="59"/>
      <c r="GN834" s="59"/>
      <c r="GO834" s="59"/>
      <c r="GP834" s="59"/>
      <c r="GQ834" s="59"/>
      <c r="GR834" s="61">
        <v>0.11</v>
      </c>
      <c r="GS834" s="62">
        <f t="shared" si="809"/>
        <v>6.5735967836257307</v>
      </c>
      <c r="GT834" s="64">
        <v>1.2500000000000001E-2</v>
      </c>
      <c r="GU834" s="62">
        <f t="shared" si="811"/>
        <v>0.74699963450292395</v>
      </c>
      <c r="GV834" s="61">
        <v>0.02</v>
      </c>
      <c r="GW834" s="62">
        <f t="shared" si="812"/>
        <v>0.13559941520467839</v>
      </c>
      <c r="GX834" s="62">
        <f t="shared" si="791"/>
        <v>7.4561958333333331</v>
      </c>
      <c r="GY834" s="62" t="s">
        <v>43</v>
      </c>
      <c r="GZ834" s="62" t="s">
        <v>551</v>
      </c>
      <c r="HA834" s="59">
        <v>805</v>
      </c>
      <c r="HB834" s="59">
        <v>675</v>
      </c>
      <c r="HC834" s="59">
        <v>405</v>
      </c>
      <c r="HD834" s="59">
        <v>50</v>
      </c>
      <c r="HE834" s="59">
        <v>1600</v>
      </c>
      <c r="HF834" s="62">
        <f t="shared" si="792"/>
        <v>32</v>
      </c>
      <c r="HG834" s="59">
        <v>5</v>
      </c>
      <c r="HH834" s="62">
        <f t="shared" si="800"/>
        <v>160</v>
      </c>
      <c r="HI834" s="59">
        <v>1100</v>
      </c>
      <c r="HJ834" s="62">
        <f t="shared" si="793"/>
        <v>176000</v>
      </c>
      <c r="HK834" s="59"/>
      <c r="HL834" s="59"/>
      <c r="HM834" s="59">
        <v>2</v>
      </c>
      <c r="HN834" s="62">
        <f t="shared" si="794"/>
        <v>960000</v>
      </c>
      <c r="HO834" s="62">
        <f t="shared" si="813"/>
        <v>0.18333333333333332</v>
      </c>
      <c r="HP834" s="59">
        <v>160</v>
      </c>
      <c r="HQ834" s="59">
        <v>0</v>
      </c>
      <c r="HR834" s="59">
        <v>180</v>
      </c>
      <c r="HS834" s="59">
        <v>70</v>
      </c>
      <c r="HT834" s="62">
        <f t="shared" si="817"/>
        <v>2.5714285714285716</v>
      </c>
      <c r="HU834" s="62"/>
      <c r="HV834" s="62">
        <f>HO834+HT834</f>
        <v>2.7547619047619047</v>
      </c>
      <c r="HW834" s="62"/>
      <c r="HX834" s="59">
        <v>5016</v>
      </c>
      <c r="HY834" s="59">
        <v>1976</v>
      </c>
      <c r="HZ834" s="59">
        <v>2280</v>
      </c>
      <c r="IA834" s="62">
        <f t="shared" si="796"/>
        <v>6</v>
      </c>
      <c r="IB834" s="62">
        <f t="shared" si="797"/>
        <v>2</v>
      </c>
      <c r="IC834" s="62">
        <f t="shared" si="798"/>
        <v>5</v>
      </c>
      <c r="ID834" s="61">
        <v>0.95</v>
      </c>
      <c r="IE834" s="62">
        <f>PRODUCT(IA834:ID834)-7</f>
        <v>50</v>
      </c>
      <c r="IF834" s="59">
        <v>500</v>
      </c>
      <c r="IG834" s="62">
        <f t="shared" si="815"/>
        <v>0.2</v>
      </c>
      <c r="IH834" s="62"/>
    </row>
    <row r="835" spans="1:339" ht="30">
      <c r="A835">
        <v>820</v>
      </c>
      <c r="B835" t="s">
        <v>468</v>
      </c>
      <c r="C835" s="187" t="s">
        <v>2586</v>
      </c>
      <c r="D835" s="28" t="s">
        <v>1674</v>
      </c>
      <c r="E835" s="28" t="s">
        <v>1675</v>
      </c>
      <c r="F835" s="28" t="s">
        <v>2182</v>
      </c>
      <c r="G835" s="27" t="s">
        <v>108</v>
      </c>
      <c r="I835" s="27" t="s">
        <v>226</v>
      </c>
      <c r="J835" s="28">
        <v>21590</v>
      </c>
      <c r="K835" s="27" t="s">
        <v>397</v>
      </c>
      <c r="Q835" s="13" t="s">
        <v>1039</v>
      </c>
      <c r="R835" s="13" t="s">
        <v>1194</v>
      </c>
      <c r="S835" s="13" t="s">
        <v>2587</v>
      </c>
      <c r="T835" s="13"/>
      <c r="U835" s="13"/>
      <c r="V835" s="72" t="s">
        <v>2486</v>
      </c>
      <c r="W835" s="53" t="s">
        <v>2588</v>
      </c>
      <c r="AA835" t="s">
        <v>2589</v>
      </c>
      <c r="AB835" s="66">
        <v>192.74</v>
      </c>
      <c r="AC835">
        <v>20</v>
      </c>
      <c r="AD835" t="s">
        <v>2537</v>
      </c>
      <c r="AE835" s="7">
        <f t="shared" si="770"/>
        <v>21.46688</v>
      </c>
      <c r="AF835" s="7">
        <f t="shared" si="806"/>
        <v>0</v>
      </c>
      <c r="AG835" s="7">
        <f t="shared" si="772"/>
        <v>4.47</v>
      </c>
      <c r="AH835" s="7">
        <f t="shared" si="773"/>
        <v>0</v>
      </c>
      <c r="AI835" s="7">
        <f t="shared" si="774"/>
        <v>0</v>
      </c>
      <c r="AJ835" s="7">
        <f t="shared" si="775"/>
        <v>0.09</v>
      </c>
      <c r="AK835" s="7">
        <f t="shared" si="776"/>
        <v>0.33</v>
      </c>
      <c r="AL835" s="7">
        <f t="shared" si="777"/>
        <v>2.86</v>
      </c>
      <c r="AM835" s="7">
        <f t="shared" si="778"/>
        <v>0.7</v>
      </c>
      <c r="AN835" s="7">
        <f t="shared" si="779"/>
        <v>0.18000000000000002</v>
      </c>
      <c r="AO835" s="7"/>
      <c r="AP835" s="7">
        <f t="shared" si="780"/>
        <v>0</v>
      </c>
      <c r="AQ835" s="7">
        <f t="shared" si="781"/>
        <v>30.096879999999995</v>
      </c>
      <c r="AR835" s="7"/>
      <c r="AS835" s="7"/>
      <c r="AT835" s="7"/>
      <c r="AU835" s="7">
        <f>30.19-30.1</f>
        <v>8.9999999999999858E-2</v>
      </c>
      <c r="AV835" s="7">
        <f t="shared" si="807"/>
        <v>30.186879999999995</v>
      </c>
      <c r="AW835" s="59">
        <v>0.112</v>
      </c>
      <c r="AX835" s="59">
        <v>0.106</v>
      </c>
      <c r="AY835" s="61">
        <v>1</v>
      </c>
      <c r="AZ835" s="69">
        <f t="shared" si="783"/>
        <v>6.0000000000000053E-3</v>
      </c>
      <c r="BA835" s="62">
        <f t="shared" si="799"/>
        <v>21.46688</v>
      </c>
      <c r="BB835" s="62"/>
      <c r="BC835" s="62"/>
      <c r="BD835" s="62"/>
      <c r="BE835" s="62"/>
      <c r="BF835" s="62"/>
      <c r="BG835" s="62"/>
      <c r="BH835" s="62"/>
      <c r="BI835" s="62"/>
      <c r="BJ835" s="62"/>
      <c r="BK835" s="62"/>
      <c r="BL835" s="62"/>
      <c r="BM835" s="62"/>
      <c r="BN835" s="62"/>
      <c r="BO835" s="62"/>
      <c r="BP835" s="62"/>
      <c r="BQ835" s="62"/>
      <c r="BR835" s="62"/>
      <c r="BS835" s="62"/>
      <c r="BT835" s="62"/>
      <c r="BU835" s="62"/>
      <c r="BV835" s="62"/>
      <c r="BW835" s="62"/>
      <c r="BX835" s="62"/>
      <c r="BY835" s="62"/>
      <c r="BZ835" s="62"/>
      <c r="CA835" s="62"/>
      <c r="CB835" s="62"/>
      <c r="CC835" s="62"/>
      <c r="CD835" s="59">
        <v>0</v>
      </c>
      <c r="CE835" s="62">
        <v>0</v>
      </c>
      <c r="CF835" s="62">
        <v>0</v>
      </c>
      <c r="CG835" s="62">
        <v>0</v>
      </c>
      <c r="CH835" s="62">
        <v>0</v>
      </c>
      <c r="CI835" s="59"/>
      <c r="CJ835" s="59"/>
      <c r="CK835" s="59"/>
      <c r="CL835" s="59"/>
      <c r="CM835" s="59"/>
      <c r="CN835" s="59"/>
      <c r="CO835" s="59"/>
      <c r="CP835" s="59"/>
      <c r="CQ835" s="59"/>
      <c r="CR835" s="59"/>
      <c r="CS835" s="59"/>
      <c r="CT835" s="59"/>
      <c r="CU835" s="59"/>
      <c r="CV835" s="59"/>
      <c r="CW835" s="59"/>
      <c r="CX835" s="59"/>
      <c r="CY835" s="59"/>
      <c r="CZ835" s="59"/>
      <c r="DA835" s="59"/>
      <c r="DB835" s="59"/>
      <c r="DC835" s="59"/>
      <c r="DD835" s="59"/>
      <c r="DE835" s="59"/>
      <c r="DF835" s="59"/>
      <c r="DG835" s="59"/>
      <c r="DH835" s="59"/>
      <c r="DI835" s="59"/>
      <c r="DJ835" s="59"/>
      <c r="DK835" s="59"/>
      <c r="DL835" s="59"/>
      <c r="DM835" s="62">
        <f t="shared" si="785"/>
        <v>0</v>
      </c>
      <c r="DN835" s="64">
        <v>1.2500000000000001E-2</v>
      </c>
      <c r="DO835" s="62">
        <f t="shared" si="816"/>
        <v>0</v>
      </c>
      <c r="DP835" s="62">
        <f t="shared" si="786"/>
        <v>0</v>
      </c>
      <c r="DQ835" s="59"/>
      <c r="DR835" s="59"/>
      <c r="DS835" s="59"/>
      <c r="DT835" s="59"/>
      <c r="DU835" s="59"/>
      <c r="DV835" s="59"/>
      <c r="DW835" s="59"/>
      <c r="DX835" s="59"/>
      <c r="DY835" s="59"/>
      <c r="DZ835" s="59"/>
      <c r="EA835" s="59"/>
      <c r="EB835" s="59"/>
      <c r="EC835" s="59"/>
      <c r="ED835" s="59"/>
      <c r="EE835" s="59"/>
      <c r="EF835" s="59">
        <v>350</v>
      </c>
      <c r="EG835" s="62">
        <v>3500</v>
      </c>
      <c r="EH835" s="59">
        <v>7.5</v>
      </c>
      <c r="EI835" s="61">
        <v>0.9</v>
      </c>
      <c r="EJ835" s="65">
        <v>2</v>
      </c>
      <c r="EK835" s="65">
        <v>62</v>
      </c>
      <c r="EL835" s="65">
        <f t="shared" si="805"/>
        <v>783.87096774193549</v>
      </c>
      <c r="EM835" s="59"/>
      <c r="EN835" s="59"/>
      <c r="EO835" s="59"/>
      <c r="EP835" s="59"/>
      <c r="EQ835" s="59"/>
      <c r="ER835" s="59"/>
      <c r="ES835" s="59"/>
      <c r="ET835" s="59"/>
      <c r="EU835" s="62">
        <f>ROUNDUP((EG835/EL835+FA835),2)</f>
        <v>4.47</v>
      </c>
      <c r="EV835" s="59"/>
      <c r="EW835" s="59"/>
      <c r="EX835" s="59"/>
      <c r="EY835" s="59"/>
      <c r="EZ835" s="59"/>
      <c r="FA835" s="59"/>
      <c r="FB835" s="59"/>
      <c r="FC835" s="59"/>
      <c r="FD835" s="59"/>
      <c r="FE835" s="59"/>
      <c r="FF835" s="59"/>
      <c r="FG835" s="59"/>
      <c r="FH835" s="59"/>
      <c r="FI835" s="59"/>
      <c r="FJ835" s="59"/>
      <c r="FK835" s="59"/>
      <c r="FL835" s="59"/>
      <c r="FM835" s="59"/>
      <c r="FN835" s="59"/>
      <c r="FO835" s="59"/>
      <c r="FP835" s="59"/>
      <c r="FQ835" s="59"/>
      <c r="FR835" s="59"/>
      <c r="FS835" s="59"/>
      <c r="FT835" s="59"/>
      <c r="FU835" s="59"/>
      <c r="FV835" s="59"/>
      <c r="FW835" s="59"/>
      <c r="FX835" s="59"/>
      <c r="FY835" s="59"/>
      <c r="FZ835" s="59"/>
      <c r="GA835" s="59"/>
      <c r="GB835" s="59"/>
      <c r="GC835" s="59"/>
      <c r="GD835" s="59"/>
      <c r="GE835" s="59"/>
      <c r="GF835" s="59"/>
      <c r="GG835" s="59"/>
      <c r="GH835" s="59"/>
      <c r="GI835" s="59"/>
      <c r="GJ835" s="59"/>
      <c r="GK835" s="59"/>
      <c r="GL835" s="59"/>
      <c r="GM835" s="59"/>
      <c r="GN835" s="59"/>
      <c r="GO835" s="59"/>
      <c r="GP835" s="59"/>
      <c r="GQ835" s="59"/>
      <c r="GR835" s="61">
        <v>0.11</v>
      </c>
      <c r="GS835" s="62">
        <f>ROUNDUP(GR835*(BA835+EU835),2)</f>
        <v>2.86</v>
      </c>
      <c r="GT835" s="64">
        <v>1.2500000000000001E-2</v>
      </c>
      <c r="GU835" s="62">
        <f>ROUNDUP(GT835*(BA835+EU835),2)</f>
        <v>0.33</v>
      </c>
      <c r="GV835" s="61">
        <v>0.02</v>
      </c>
      <c r="GW835" s="62">
        <f>ROUNDUP(GV835*EU835,2)</f>
        <v>0.09</v>
      </c>
      <c r="GX835" s="62">
        <f t="shared" si="791"/>
        <v>3.28</v>
      </c>
      <c r="GY835" s="62" t="s">
        <v>43</v>
      </c>
      <c r="GZ835" s="62" t="s">
        <v>551</v>
      </c>
      <c r="HA835" s="59">
        <v>650</v>
      </c>
      <c r="HB835" s="59">
        <v>450</v>
      </c>
      <c r="HC835" s="59">
        <v>330</v>
      </c>
      <c r="HD835" s="59">
        <v>25</v>
      </c>
      <c r="HE835" s="59">
        <v>1600</v>
      </c>
      <c r="HF835" s="62">
        <f t="shared" si="792"/>
        <v>64</v>
      </c>
      <c r="HG835" s="59">
        <v>5</v>
      </c>
      <c r="HH835" s="62">
        <f t="shared" si="800"/>
        <v>320</v>
      </c>
      <c r="HI835" s="59">
        <v>650</v>
      </c>
      <c r="HJ835" s="62">
        <f t="shared" si="793"/>
        <v>208000</v>
      </c>
      <c r="HK835" s="59"/>
      <c r="HL835" s="59"/>
      <c r="HM835" s="59">
        <v>2</v>
      </c>
      <c r="HN835" s="62">
        <f t="shared" si="794"/>
        <v>960000</v>
      </c>
      <c r="HO835" s="62">
        <f t="shared" si="813"/>
        <v>0.21666666666666667</v>
      </c>
      <c r="HP835" s="59">
        <v>160</v>
      </c>
      <c r="HQ835" s="59">
        <v>0</v>
      </c>
      <c r="HR835" s="59">
        <f>2.4*5</f>
        <v>12</v>
      </c>
      <c r="HS835" s="59">
        <v>25</v>
      </c>
      <c r="HT835" s="62">
        <f t="shared" si="817"/>
        <v>0.48</v>
      </c>
      <c r="HU835" s="62"/>
      <c r="HV835" s="62">
        <f>ROUNDUP(HO835+HT835,2)</f>
        <v>0.7</v>
      </c>
      <c r="HW835" s="62"/>
      <c r="HX835" s="59">
        <v>4200</v>
      </c>
      <c r="HY835" s="59">
        <v>1900</v>
      </c>
      <c r="HZ835" s="59">
        <v>1975</v>
      </c>
      <c r="IA835" s="62">
        <f t="shared" si="796"/>
        <v>6</v>
      </c>
      <c r="IB835" s="62">
        <f t="shared" si="797"/>
        <v>4</v>
      </c>
      <c r="IC835" s="62">
        <f t="shared" si="798"/>
        <v>5</v>
      </c>
      <c r="ID835" s="61">
        <v>0.95</v>
      </c>
      <c r="IE835" s="62">
        <f>PRODUCT(IA835:ID835)</f>
        <v>114</v>
      </c>
      <c r="IF835" s="59">
        <v>500</v>
      </c>
      <c r="IG835" s="62">
        <f>ROUNDUP(IF835/(IE835*HD835),2)</f>
        <v>0.18000000000000002</v>
      </c>
      <c r="IH835" s="62"/>
    </row>
    <row r="836" spans="1:339" ht="30">
      <c r="A836">
        <v>821</v>
      </c>
      <c r="B836" t="s">
        <v>468</v>
      </c>
      <c r="C836" s="187" t="s">
        <v>2590</v>
      </c>
      <c r="D836" s="28" t="s">
        <v>1676</v>
      </c>
      <c r="E836" s="28" t="s">
        <v>1677</v>
      </c>
      <c r="F836" s="28" t="s">
        <v>2182</v>
      </c>
      <c r="G836" s="27" t="s">
        <v>108</v>
      </c>
      <c r="I836" s="27" t="s">
        <v>226</v>
      </c>
      <c r="J836" s="28">
        <v>21590</v>
      </c>
      <c r="K836" s="27" t="s">
        <v>397</v>
      </c>
      <c r="Q836" s="13" t="s">
        <v>1039</v>
      </c>
      <c r="R836" s="13" t="s">
        <v>1194</v>
      </c>
      <c r="S836" s="13" t="s">
        <v>2591</v>
      </c>
      <c r="T836" s="13"/>
      <c r="U836" s="13"/>
      <c r="V836" s="72" t="s">
        <v>2486</v>
      </c>
      <c r="W836" s="53" t="s">
        <v>2588</v>
      </c>
      <c r="AA836" t="s">
        <v>2589</v>
      </c>
      <c r="AB836" s="66">
        <v>192.74</v>
      </c>
      <c r="AC836">
        <v>20</v>
      </c>
      <c r="AD836" t="s">
        <v>2537</v>
      </c>
      <c r="AE836" s="7">
        <f t="shared" si="770"/>
        <v>21.46688</v>
      </c>
      <c r="AF836" s="7">
        <f t="shared" si="806"/>
        <v>0</v>
      </c>
      <c r="AG836" s="7">
        <f t="shared" si="772"/>
        <v>4.47</v>
      </c>
      <c r="AH836" s="7">
        <f t="shared" si="773"/>
        <v>0</v>
      </c>
      <c r="AI836" s="7">
        <f t="shared" si="774"/>
        <v>0</v>
      </c>
      <c r="AJ836" s="7">
        <f t="shared" si="775"/>
        <v>0.09</v>
      </c>
      <c r="AK836" s="7">
        <f t="shared" si="776"/>
        <v>0.33</v>
      </c>
      <c r="AL836" s="7">
        <f t="shared" si="777"/>
        <v>2.86</v>
      </c>
      <c r="AM836" s="7">
        <f t="shared" si="778"/>
        <v>0.7</v>
      </c>
      <c r="AN836" s="7">
        <f t="shared" si="779"/>
        <v>0.18000000000000002</v>
      </c>
      <c r="AO836" s="7"/>
      <c r="AP836" s="7">
        <f t="shared" si="780"/>
        <v>0</v>
      </c>
      <c r="AQ836" s="7">
        <f t="shared" si="781"/>
        <v>30.096879999999995</v>
      </c>
      <c r="AR836" s="7"/>
      <c r="AS836" s="7"/>
      <c r="AT836" s="7"/>
      <c r="AU836" s="7">
        <f>30.19-30.1</f>
        <v>8.9999999999999858E-2</v>
      </c>
      <c r="AV836" s="7">
        <f t="shared" si="807"/>
        <v>30.186879999999995</v>
      </c>
      <c r="AW836" s="59">
        <v>0.112</v>
      </c>
      <c r="AX836" s="59">
        <v>0.106</v>
      </c>
      <c r="AY836" s="61">
        <v>1</v>
      </c>
      <c r="AZ836" s="69">
        <f t="shared" si="783"/>
        <v>6.0000000000000053E-3</v>
      </c>
      <c r="BA836" s="62">
        <f t="shared" si="799"/>
        <v>21.46688</v>
      </c>
      <c r="BB836" s="62"/>
      <c r="BC836" s="62"/>
      <c r="BD836" s="62"/>
      <c r="BE836" s="62"/>
      <c r="BF836" s="62"/>
      <c r="BG836" s="62"/>
      <c r="BH836" s="62"/>
      <c r="BI836" s="62"/>
      <c r="BJ836" s="62"/>
      <c r="BK836" s="62"/>
      <c r="BL836" s="62"/>
      <c r="BM836" s="62"/>
      <c r="BN836" s="62"/>
      <c r="BO836" s="62"/>
      <c r="BP836" s="62"/>
      <c r="BQ836" s="62"/>
      <c r="BR836" s="62"/>
      <c r="BS836" s="62"/>
      <c r="BT836" s="62"/>
      <c r="BU836" s="62"/>
      <c r="BV836" s="62"/>
      <c r="BW836" s="62"/>
      <c r="BX836" s="62"/>
      <c r="BY836" s="62"/>
      <c r="BZ836" s="62"/>
      <c r="CA836" s="62"/>
      <c r="CB836" s="62"/>
      <c r="CC836" s="62"/>
      <c r="CD836" s="59">
        <v>0</v>
      </c>
      <c r="CE836" s="62">
        <v>0</v>
      </c>
      <c r="CF836" s="62">
        <v>0</v>
      </c>
      <c r="CG836" s="62">
        <v>0</v>
      </c>
      <c r="CH836" s="62">
        <v>0</v>
      </c>
      <c r="CI836" s="59"/>
      <c r="CJ836" s="59"/>
      <c r="CK836" s="59"/>
      <c r="CL836" s="59"/>
      <c r="CM836" s="59"/>
      <c r="CN836" s="59"/>
      <c r="CO836" s="59"/>
      <c r="CP836" s="59"/>
      <c r="CQ836" s="59"/>
      <c r="CR836" s="59"/>
      <c r="CS836" s="59"/>
      <c r="CT836" s="59"/>
      <c r="CU836" s="59"/>
      <c r="CV836" s="59"/>
      <c r="CW836" s="59"/>
      <c r="CX836" s="59"/>
      <c r="CY836" s="59"/>
      <c r="CZ836" s="59"/>
      <c r="DA836" s="59"/>
      <c r="DB836" s="59"/>
      <c r="DC836" s="59"/>
      <c r="DD836" s="59"/>
      <c r="DE836" s="59"/>
      <c r="DF836" s="59"/>
      <c r="DG836" s="59"/>
      <c r="DH836" s="59"/>
      <c r="DI836" s="59"/>
      <c r="DJ836" s="59"/>
      <c r="DK836" s="59"/>
      <c r="DL836" s="59"/>
      <c r="DM836" s="62">
        <f t="shared" si="785"/>
        <v>0</v>
      </c>
      <c r="DN836" s="64">
        <v>1.2500000000000001E-2</v>
      </c>
      <c r="DO836" s="62">
        <f t="shared" si="816"/>
        <v>0</v>
      </c>
      <c r="DP836" s="62">
        <f t="shared" si="786"/>
        <v>0</v>
      </c>
      <c r="DQ836" s="59"/>
      <c r="DR836" s="59"/>
      <c r="DS836" s="59"/>
      <c r="DT836" s="59"/>
      <c r="DU836" s="59"/>
      <c r="DV836" s="59"/>
      <c r="DW836" s="59"/>
      <c r="DX836" s="59"/>
      <c r="DY836" s="59"/>
      <c r="DZ836" s="59"/>
      <c r="EA836" s="59"/>
      <c r="EB836" s="59"/>
      <c r="EC836" s="59"/>
      <c r="ED836" s="59"/>
      <c r="EE836" s="59"/>
      <c r="EF836" s="59">
        <v>350</v>
      </c>
      <c r="EG836" s="62">
        <v>3500</v>
      </c>
      <c r="EH836" s="59">
        <v>7.5</v>
      </c>
      <c r="EI836" s="61">
        <v>0.9</v>
      </c>
      <c r="EJ836" s="65">
        <v>2</v>
      </c>
      <c r="EK836" s="65">
        <v>62</v>
      </c>
      <c r="EL836" s="65">
        <f t="shared" si="805"/>
        <v>783.87096774193549</v>
      </c>
      <c r="EM836" s="59"/>
      <c r="EN836" s="59"/>
      <c r="EO836" s="59"/>
      <c r="EP836" s="59"/>
      <c r="EQ836" s="59"/>
      <c r="ER836" s="59"/>
      <c r="ES836" s="59"/>
      <c r="ET836" s="59"/>
      <c r="EU836" s="62">
        <f>ROUNDUP((EG836/EL836+FA836),2)</f>
        <v>4.47</v>
      </c>
      <c r="EV836" s="59"/>
      <c r="EW836" s="59"/>
      <c r="EX836" s="59"/>
      <c r="EY836" s="59"/>
      <c r="EZ836" s="59"/>
      <c r="FA836" s="59"/>
      <c r="FB836" s="59"/>
      <c r="FC836" s="59"/>
      <c r="FD836" s="59"/>
      <c r="FE836" s="59"/>
      <c r="FF836" s="59"/>
      <c r="FG836" s="59"/>
      <c r="FH836" s="59"/>
      <c r="FI836" s="59"/>
      <c r="FJ836" s="59"/>
      <c r="FK836" s="59"/>
      <c r="FL836" s="59"/>
      <c r="FM836" s="59"/>
      <c r="FN836" s="59"/>
      <c r="FO836" s="59"/>
      <c r="FP836" s="59"/>
      <c r="FQ836" s="59"/>
      <c r="FR836" s="59"/>
      <c r="FS836" s="59"/>
      <c r="FT836" s="59"/>
      <c r="FU836" s="59"/>
      <c r="FV836" s="59"/>
      <c r="FW836" s="59"/>
      <c r="FX836" s="59"/>
      <c r="FY836" s="59"/>
      <c r="FZ836" s="59"/>
      <c r="GA836" s="59"/>
      <c r="GB836" s="59"/>
      <c r="GC836" s="59"/>
      <c r="GD836" s="59"/>
      <c r="GE836" s="59"/>
      <c r="GF836" s="59"/>
      <c r="GG836" s="59"/>
      <c r="GH836" s="59"/>
      <c r="GI836" s="59"/>
      <c r="GJ836" s="59"/>
      <c r="GK836" s="59"/>
      <c r="GL836" s="59"/>
      <c r="GM836" s="59"/>
      <c r="GN836" s="59"/>
      <c r="GO836" s="59"/>
      <c r="GP836" s="59"/>
      <c r="GQ836" s="59"/>
      <c r="GR836" s="61">
        <v>0.11</v>
      </c>
      <c r="GS836" s="62">
        <f>ROUNDUP(GR836*(BA836+EU836),2)</f>
        <v>2.86</v>
      </c>
      <c r="GT836" s="64">
        <v>1.2500000000000001E-2</v>
      </c>
      <c r="GU836" s="62">
        <f>ROUNDUP(GT836*(BA836+EU836),2)</f>
        <v>0.33</v>
      </c>
      <c r="GV836" s="61">
        <v>0.02</v>
      </c>
      <c r="GW836" s="62">
        <f>ROUNDUP(GV836*EU836,2)</f>
        <v>0.09</v>
      </c>
      <c r="GX836" s="62">
        <f t="shared" si="791"/>
        <v>3.28</v>
      </c>
      <c r="GY836" s="62" t="s">
        <v>43</v>
      </c>
      <c r="GZ836" s="62" t="s">
        <v>551</v>
      </c>
      <c r="HA836" s="59">
        <v>650</v>
      </c>
      <c r="HB836" s="59">
        <v>450</v>
      </c>
      <c r="HC836" s="59">
        <v>330</v>
      </c>
      <c r="HD836" s="59">
        <v>25</v>
      </c>
      <c r="HE836" s="59">
        <v>1600</v>
      </c>
      <c r="HF836" s="62">
        <f t="shared" si="792"/>
        <v>64</v>
      </c>
      <c r="HG836" s="59">
        <v>5</v>
      </c>
      <c r="HH836" s="62">
        <f t="shared" si="800"/>
        <v>320</v>
      </c>
      <c r="HI836" s="59">
        <v>650</v>
      </c>
      <c r="HJ836" s="62">
        <f t="shared" si="793"/>
        <v>208000</v>
      </c>
      <c r="HK836" s="59"/>
      <c r="HL836" s="59"/>
      <c r="HM836" s="59">
        <v>2</v>
      </c>
      <c r="HN836" s="62">
        <f t="shared" si="794"/>
        <v>960000</v>
      </c>
      <c r="HO836" s="62">
        <f t="shared" si="813"/>
        <v>0.21666666666666667</v>
      </c>
      <c r="HP836" s="59">
        <v>160</v>
      </c>
      <c r="HQ836" s="59">
        <v>0</v>
      </c>
      <c r="HR836" s="59">
        <f>2.4*5</f>
        <v>12</v>
      </c>
      <c r="HS836" s="59">
        <v>25</v>
      </c>
      <c r="HT836" s="62">
        <f t="shared" si="817"/>
        <v>0.48</v>
      </c>
      <c r="HU836" s="62"/>
      <c r="HV836" s="62">
        <f>ROUNDUP(HO836+HT836,2)</f>
        <v>0.7</v>
      </c>
      <c r="HW836" s="62"/>
      <c r="HX836" s="59">
        <v>4200</v>
      </c>
      <c r="HY836" s="59">
        <v>1900</v>
      </c>
      <c r="HZ836" s="59">
        <v>1975</v>
      </c>
      <c r="IA836" s="62">
        <f t="shared" si="796"/>
        <v>6</v>
      </c>
      <c r="IB836" s="62">
        <f t="shared" si="797"/>
        <v>4</v>
      </c>
      <c r="IC836" s="62">
        <f t="shared" si="798"/>
        <v>5</v>
      </c>
      <c r="ID836" s="61">
        <v>0.95</v>
      </c>
      <c r="IE836" s="62">
        <f>PRODUCT(IA836:ID836)</f>
        <v>114</v>
      </c>
      <c r="IF836" s="59">
        <v>500</v>
      </c>
      <c r="IG836" s="62">
        <f>ROUNDUP(IF836/(IE836*HD836),2)</f>
        <v>0.18000000000000002</v>
      </c>
      <c r="IH836" s="62"/>
    </row>
    <row r="837" spans="1:339" ht="30">
      <c r="A837">
        <v>822</v>
      </c>
      <c r="B837" t="s">
        <v>468</v>
      </c>
      <c r="C837" t="s">
        <v>2592</v>
      </c>
      <c r="D837" s="28" t="s">
        <v>1678</v>
      </c>
      <c r="E837" s="28" t="s">
        <v>1679</v>
      </c>
      <c r="F837" s="28" t="s">
        <v>2182</v>
      </c>
      <c r="G837" s="27" t="s">
        <v>108</v>
      </c>
      <c r="I837" s="27" t="s">
        <v>226</v>
      </c>
      <c r="J837" s="28">
        <v>21691</v>
      </c>
      <c r="K837" s="27" t="s">
        <v>404</v>
      </c>
      <c r="Q837" s="13" t="s">
        <v>2484</v>
      </c>
      <c r="R837" s="13" t="s">
        <v>1194</v>
      </c>
      <c r="S837" s="13" t="s">
        <v>2668</v>
      </c>
      <c r="T837" s="13"/>
      <c r="U837" s="13"/>
      <c r="V837" s="72" t="s">
        <v>2486</v>
      </c>
      <c r="W837" s="53"/>
      <c r="AA837" t="s">
        <v>2669</v>
      </c>
      <c r="AB837" s="66">
        <f>IN837+KR837</f>
        <v>228.42000000000002</v>
      </c>
      <c r="AC837">
        <v>20</v>
      </c>
      <c r="AD837"/>
      <c r="AE837" s="7">
        <f t="shared" si="770"/>
        <v>18.045280000000002</v>
      </c>
      <c r="AF837" s="7">
        <f t="shared" si="806"/>
        <v>0</v>
      </c>
      <c r="AG837" s="7">
        <f t="shared" si="772"/>
        <v>7.0638011695906426</v>
      </c>
      <c r="AH837" s="7">
        <f t="shared" si="773"/>
        <v>0.2</v>
      </c>
      <c r="AI837" s="7">
        <f t="shared" si="774"/>
        <v>0</v>
      </c>
      <c r="AJ837" s="7">
        <f t="shared" si="775"/>
        <v>0.11727602339181287</v>
      </c>
      <c r="AK837" s="7">
        <f t="shared" si="776"/>
        <v>0.29886351461988309</v>
      </c>
      <c r="AL837" s="7">
        <f t="shared" si="777"/>
        <v>2.6299989286549712</v>
      </c>
      <c r="AM837" s="7">
        <f t="shared" si="778"/>
        <v>1.1302083333333333</v>
      </c>
      <c r="AN837" s="7">
        <f t="shared" si="779"/>
        <v>0.47</v>
      </c>
      <c r="AO837" s="7"/>
      <c r="AP837" s="7">
        <f t="shared" si="780"/>
        <v>0</v>
      </c>
      <c r="AQ837" s="7">
        <f t="shared" si="781"/>
        <v>29.955427969590641</v>
      </c>
      <c r="AR837" s="7"/>
      <c r="AS837" s="7"/>
      <c r="AT837" s="7"/>
      <c r="AU837" s="7"/>
      <c r="AV837" s="7">
        <f t="shared" si="807"/>
        <v>29.955427969590641</v>
      </c>
      <c r="AW837" s="59">
        <f>IQ837+KU837</f>
        <v>0.15750000000000003</v>
      </c>
      <c r="AX837" s="59">
        <f>IR837+KV837</f>
        <v>0.14900000000000002</v>
      </c>
      <c r="AY837" s="61">
        <v>1</v>
      </c>
      <c r="AZ837" s="69">
        <f>IT837+KX837</f>
        <v>8.5000000000000075E-3</v>
      </c>
      <c r="BA837" s="62">
        <f>IU837+KY837</f>
        <v>18.045280000000002</v>
      </c>
      <c r="BB837" s="62"/>
      <c r="BC837" s="62"/>
      <c r="BD837" s="62"/>
      <c r="BE837" s="62"/>
      <c r="BF837" s="62"/>
      <c r="BG837" s="62"/>
      <c r="BH837" s="62"/>
      <c r="BI837" s="62"/>
      <c r="BJ837" s="62"/>
      <c r="BK837" s="62"/>
      <c r="BL837" s="62"/>
      <c r="BM837" s="62"/>
      <c r="BN837" s="62"/>
      <c r="BO837" s="62"/>
      <c r="BP837" s="62"/>
      <c r="BQ837" s="62"/>
      <c r="BR837" s="62"/>
      <c r="BS837" s="62"/>
      <c r="BT837" s="62"/>
      <c r="BU837" s="62"/>
      <c r="BV837" s="62"/>
      <c r="BW837" s="62"/>
      <c r="BX837" s="62"/>
      <c r="BY837" s="62"/>
      <c r="BZ837" s="62"/>
      <c r="CA837" s="62"/>
      <c r="CB837" s="62"/>
      <c r="CC837" s="62"/>
      <c r="CD837" s="59">
        <v>0</v>
      </c>
      <c r="CE837" s="62">
        <v>0</v>
      </c>
      <c r="CF837" s="62">
        <v>1</v>
      </c>
      <c r="CG837" s="62">
        <v>0</v>
      </c>
      <c r="CH837" s="62">
        <f>LD837</f>
        <v>0.2</v>
      </c>
      <c r="CI837" s="59"/>
      <c r="CJ837" s="59"/>
      <c r="CK837" s="59"/>
      <c r="CL837" s="59"/>
      <c r="CM837" s="59"/>
      <c r="CN837" s="59"/>
      <c r="CO837" s="59"/>
      <c r="CP837" s="59"/>
      <c r="CQ837" s="59"/>
      <c r="CR837" s="59"/>
      <c r="CS837" s="59"/>
      <c r="CT837" s="59"/>
      <c r="CU837" s="59"/>
      <c r="CV837" s="59"/>
      <c r="CW837" s="59"/>
      <c r="CX837" s="59"/>
      <c r="CY837" s="59"/>
      <c r="CZ837" s="59"/>
      <c r="DA837" s="59"/>
      <c r="DB837" s="59"/>
      <c r="DC837" s="59"/>
      <c r="DD837" s="59"/>
      <c r="DE837" s="59"/>
      <c r="DF837" s="59"/>
      <c r="DG837" s="59"/>
      <c r="DH837" s="59"/>
      <c r="DI837" s="59"/>
      <c r="DJ837" s="59"/>
      <c r="DK837" s="59"/>
      <c r="DL837" s="59"/>
      <c r="DM837" s="62">
        <f>LD837</f>
        <v>0.2</v>
      </c>
      <c r="DN837" s="59"/>
      <c r="DO837" s="59"/>
      <c r="DP837" s="62">
        <f>LG837</f>
        <v>0.2</v>
      </c>
      <c r="DQ837" s="59"/>
      <c r="DR837" s="59"/>
      <c r="DS837" s="59"/>
      <c r="DT837" s="59"/>
      <c r="DU837" s="59"/>
      <c r="DV837" s="59"/>
      <c r="DW837" s="59"/>
      <c r="DX837" s="59"/>
      <c r="DY837" s="59"/>
      <c r="DZ837" s="59"/>
      <c r="EA837" s="59"/>
      <c r="EB837" s="59"/>
      <c r="EC837" s="59"/>
      <c r="ED837" s="59"/>
      <c r="EE837" s="59"/>
      <c r="EF837" s="59"/>
      <c r="EG837" s="62"/>
      <c r="EH837" s="59"/>
      <c r="EI837" s="61"/>
      <c r="EJ837" s="65"/>
      <c r="EK837" s="65"/>
      <c r="EL837" s="65"/>
      <c r="EM837" s="59"/>
      <c r="EN837" s="59"/>
      <c r="EO837" s="59"/>
      <c r="EP837" s="59"/>
      <c r="EQ837" s="59"/>
      <c r="ER837" s="59"/>
      <c r="ES837" s="59"/>
      <c r="ET837" s="59"/>
      <c r="EU837" s="62">
        <f>KE837+LP837+FA837</f>
        <v>7.0638011695906426</v>
      </c>
      <c r="EV837" s="59"/>
      <c r="EW837" s="59"/>
      <c r="EX837" s="59"/>
      <c r="EY837" s="59"/>
      <c r="EZ837" s="59"/>
      <c r="FA837" s="59">
        <v>1.2</v>
      </c>
      <c r="FB837" s="59"/>
      <c r="FC837" s="59"/>
      <c r="FD837" s="59"/>
      <c r="FE837" s="59"/>
      <c r="FF837" s="59"/>
      <c r="FG837" s="59"/>
      <c r="FH837" s="59"/>
      <c r="FI837" s="59"/>
      <c r="FJ837" s="59"/>
      <c r="FK837" s="59"/>
      <c r="FL837" s="59"/>
      <c r="FM837" s="59"/>
      <c r="FN837" s="59"/>
      <c r="FO837" s="59"/>
      <c r="FP837" s="59"/>
      <c r="FQ837" s="59"/>
      <c r="FR837" s="59"/>
      <c r="FS837" s="59"/>
      <c r="FT837" s="59"/>
      <c r="FU837" s="59"/>
      <c r="FV837" s="59"/>
      <c r="FW837" s="59"/>
      <c r="FX837" s="59"/>
      <c r="FY837" s="59"/>
      <c r="FZ837" s="59"/>
      <c r="GA837" s="59"/>
      <c r="GB837" s="59"/>
      <c r="GC837" s="59"/>
      <c r="GD837" s="59"/>
      <c r="GE837" s="59"/>
      <c r="GF837" s="59"/>
      <c r="GG837" s="59"/>
      <c r="GH837" s="59"/>
      <c r="GI837" s="59"/>
      <c r="GJ837" s="59"/>
      <c r="GK837" s="59"/>
      <c r="GL837" s="59"/>
      <c r="GM837" s="59"/>
      <c r="GN837" s="59"/>
      <c r="GO837" s="59"/>
      <c r="GP837" s="59"/>
      <c r="GQ837" s="59"/>
      <c r="GR837" s="59"/>
      <c r="GS837" s="62">
        <f>KH837+LS837</f>
        <v>2.6299989286549712</v>
      </c>
      <c r="GT837" s="59"/>
      <c r="GU837" s="62">
        <f>KJ837+LU837</f>
        <v>0.29886351461988309</v>
      </c>
      <c r="GV837" s="59"/>
      <c r="GW837" s="62">
        <f>KO837+LZ837</f>
        <v>0.11727602339181287</v>
      </c>
      <c r="GX837" s="62">
        <f>EU754</f>
        <v>12.591374269005849</v>
      </c>
      <c r="GY837" s="59" t="s">
        <v>43</v>
      </c>
      <c r="GZ837" s="59" t="s">
        <v>551</v>
      </c>
      <c r="HA837" s="59">
        <v>650</v>
      </c>
      <c r="HB837" s="59">
        <v>450</v>
      </c>
      <c r="HC837" s="59">
        <v>300</v>
      </c>
      <c r="HD837" s="59">
        <v>32</v>
      </c>
      <c r="HE837" s="59">
        <v>400</v>
      </c>
      <c r="HF837" s="65">
        <f>ROUND(HE837/HD837,0)</f>
        <v>13</v>
      </c>
      <c r="HG837" s="59">
        <v>5</v>
      </c>
      <c r="HH837" s="65">
        <f t="shared" si="800"/>
        <v>65</v>
      </c>
      <c r="HI837" s="59">
        <v>850</v>
      </c>
      <c r="HJ837" s="59">
        <f t="shared" si="793"/>
        <v>55250</v>
      </c>
      <c r="HK837" s="59"/>
      <c r="HL837" s="59"/>
      <c r="HM837" s="59">
        <v>2</v>
      </c>
      <c r="HN837" s="59">
        <f>HE837*HM837*12*25</f>
        <v>240000</v>
      </c>
      <c r="HO837" s="62">
        <f>IF(GY837="Carton box",HI837/HD837,HJ837/HN837)</f>
        <v>0.23020833333333332</v>
      </c>
      <c r="HP837" s="59">
        <v>160</v>
      </c>
      <c r="HQ837" s="59">
        <v>0</v>
      </c>
      <c r="HR837" s="59">
        <v>180</v>
      </c>
      <c r="HS837" s="62">
        <v>3.6</v>
      </c>
      <c r="HT837" s="62">
        <f>HS837/4</f>
        <v>0.9</v>
      </c>
      <c r="HU837" s="62"/>
      <c r="HV837" s="62">
        <f>HO837+HT837</f>
        <v>1.1302083333333333</v>
      </c>
      <c r="HW837" s="62"/>
      <c r="HX837" s="62">
        <v>5016</v>
      </c>
      <c r="HY837" s="62">
        <v>1976</v>
      </c>
      <c r="HZ837" s="62">
        <v>2280</v>
      </c>
      <c r="IA837" s="59">
        <f t="shared" si="796"/>
        <v>7</v>
      </c>
      <c r="IB837" s="65">
        <f t="shared" si="797"/>
        <v>4</v>
      </c>
      <c r="IC837" s="65">
        <f t="shared" si="798"/>
        <v>7</v>
      </c>
      <c r="ID837" s="61">
        <v>0.95</v>
      </c>
      <c r="IE837" s="59">
        <f>PRODUCT(IA837:ID837)-136.2</f>
        <v>50</v>
      </c>
      <c r="IF837" s="59">
        <v>750</v>
      </c>
      <c r="IG837" s="59">
        <f>ROUND(IF837/(IE837*HD837),2)</f>
        <v>0.47</v>
      </c>
      <c r="IH837" s="59"/>
      <c r="II837" s="59"/>
      <c r="IJ837" s="59"/>
      <c r="IK837" s="59"/>
      <c r="IL837" s="59"/>
      <c r="IM837" s="323" t="s">
        <v>2530</v>
      </c>
      <c r="IN837" s="59">
        <v>109.62</v>
      </c>
      <c r="IO837" s="59">
        <v>20</v>
      </c>
      <c r="IP837" s="323" t="s">
        <v>2565</v>
      </c>
      <c r="IQ837" s="59">
        <v>5.4000000000000006E-2</v>
      </c>
      <c r="IR837" s="59">
        <v>0.05</v>
      </c>
      <c r="IS837" s="61">
        <v>1</v>
      </c>
      <c r="IT837" s="69">
        <f>(IQ837-IR837)*IS837</f>
        <v>4.0000000000000036E-3</v>
      </c>
      <c r="IU837" s="62">
        <f>IQ837*IN837-IT837*IO837</f>
        <v>5.8394800000000009</v>
      </c>
      <c r="IV837" s="62"/>
      <c r="IW837" s="62"/>
      <c r="IX837" s="62"/>
      <c r="IY837" s="62"/>
      <c r="IZ837" s="62"/>
      <c r="JA837" s="62"/>
      <c r="JB837" s="62"/>
      <c r="JC837" s="62"/>
      <c r="JD837" s="62"/>
      <c r="JE837" s="62"/>
      <c r="JF837" s="62"/>
      <c r="JG837" s="62"/>
      <c r="JH837" s="62"/>
      <c r="JI837" s="62"/>
      <c r="JJ837" s="62"/>
      <c r="JK837" s="62"/>
      <c r="JL837" s="62"/>
      <c r="JM837" s="62"/>
      <c r="JN837" s="62"/>
      <c r="JO837" s="62"/>
      <c r="JP837" s="62"/>
      <c r="JQ837" s="62"/>
      <c r="JR837" s="62"/>
      <c r="JS837" s="62"/>
      <c r="JT837" s="62"/>
      <c r="JU837" s="62"/>
      <c r="JV837" s="62"/>
      <c r="JW837" s="59">
        <v>230</v>
      </c>
      <c r="JX837" s="59">
        <v>2300</v>
      </c>
      <c r="JY837" s="59">
        <v>8</v>
      </c>
      <c r="JZ837" s="61">
        <v>0.95</v>
      </c>
      <c r="KA837" s="59">
        <v>2</v>
      </c>
      <c r="KB837" s="59"/>
      <c r="KC837" s="96">
        <v>56</v>
      </c>
      <c r="KD837" s="415">
        <f>3600/KC837*JY837*KA837*JZ837</f>
        <v>977.14285714285722</v>
      </c>
      <c r="KE837" s="95">
        <f>JX837/KD837</f>
        <v>2.3538011695906431</v>
      </c>
      <c r="KF837" s="62"/>
      <c r="KG837" s="61">
        <v>0.11</v>
      </c>
      <c r="KH837" s="62">
        <f>KG837*(KE837+IU837)</f>
        <v>0.90126092865497087</v>
      </c>
      <c r="KI837" s="64">
        <v>1.2500000000000001E-2</v>
      </c>
      <c r="KJ837" s="62">
        <f>KI837*(KE837+IU837)</f>
        <v>0.10241601461988306</v>
      </c>
      <c r="KK837" s="62"/>
      <c r="KL837" s="62"/>
      <c r="KM837" s="62"/>
      <c r="KN837" s="61">
        <v>0.02</v>
      </c>
      <c r="KO837" s="62">
        <f>KN837*KE837</f>
        <v>4.7076023391812861E-2</v>
      </c>
      <c r="KP837" s="62">
        <f>IU837+KE837+KH837+KJ837+KO837</f>
        <v>9.2440341362573122</v>
      </c>
      <c r="KQ837" s="323" t="s">
        <v>2530</v>
      </c>
      <c r="KR837" s="62">
        <v>118.8</v>
      </c>
      <c r="KS837" s="62">
        <v>20</v>
      </c>
      <c r="KT837" s="61" t="s">
        <v>2565</v>
      </c>
      <c r="KU837" s="59">
        <v>0.10350000000000001</v>
      </c>
      <c r="KV837" s="59">
        <v>9.9000000000000005E-2</v>
      </c>
      <c r="KW837" s="61">
        <v>1</v>
      </c>
      <c r="KX837" s="59">
        <f>KU837-KV837*KW837</f>
        <v>4.500000000000004E-3</v>
      </c>
      <c r="KY837" s="62">
        <f>KU837*KR837-KS837*KX837</f>
        <v>12.205800000000002</v>
      </c>
      <c r="KZ837" s="59">
        <v>0</v>
      </c>
      <c r="LA837" s="59">
        <v>0</v>
      </c>
      <c r="LB837" s="59">
        <v>1</v>
      </c>
      <c r="LC837" s="59">
        <v>0.2</v>
      </c>
      <c r="LD837" s="59">
        <f>LC837*LB837</f>
        <v>0.2</v>
      </c>
      <c r="LE837" s="64">
        <v>1.2500000000000001E-2</v>
      </c>
      <c r="LF837" s="62">
        <f>ROUNDDOWN(LD837*LE837,2)</f>
        <v>0</v>
      </c>
      <c r="LG837" s="62">
        <f>LF837+LD837</f>
        <v>0.2</v>
      </c>
      <c r="LH837" s="59">
        <v>320</v>
      </c>
      <c r="LI837" s="59">
        <v>3200</v>
      </c>
      <c r="LJ837" s="59">
        <v>8</v>
      </c>
      <c r="LK837" s="61">
        <v>0.95</v>
      </c>
      <c r="LL837" s="59">
        <v>2</v>
      </c>
      <c r="LM837" s="59"/>
      <c r="LN837" s="59">
        <v>60</v>
      </c>
      <c r="LO837" s="59">
        <f>3600/LN837*LJ837*LK837*LL837</f>
        <v>912</v>
      </c>
      <c r="LP837" s="59">
        <f>ROUNDUP(LI837/LO837,2)</f>
        <v>3.51</v>
      </c>
      <c r="LQ837" s="59">
        <v>1.2</v>
      </c>
      <c r="LR837" s="61">
        <v>0.11</v>
      </c>
      <c r="LS837" s="62">
        <f>(KY837+LP837)*LR837</f>
        <v>1.7287380000000001</v>
      </c>
      <c r="LT837" s="64">
        <v>1.2500000000000001E-2</v>
      </c>
      <c r="LU837" s="62">
        <f>(KY837+LP837)*LT837</f>
        <v>0.19644750000000002</v>
      </c>
      <c r="LV837" s="62"/>
      <c r="LW837" s="62"/>
      <c r="LX837" s="62"/>
      <c r="LY837" s="61">
        <v>0.02</v>
      </c>
      <c r="LZ837" s="62">
        <f>LP837*LY837</f>
        <v>7.0199999999999999E-2</v>
      </c>
      <c r="MA837" s="62">
        <f>KY837+LG837+LP837+LS837+LU837+LZ837+HV837+IG837</f>
        <v>19.511393833333333</v>
      </c>
    </row>
    <row r="838" spans="1:339" ht="45">
      <c r="A838">
        <v>823</v>
      </c>
      <c r="B838" t="s">
        <v>468</v>
      </c>
      <c r="C838" s="187" t="s">
        <v>2593</v>
      </c>
      <c r="D838" s="28" t="s">
        <v>1680</v>
      </c>
      <c r="E838" s="28" t="s">
        <v>1681</v>
      </c>
      <c r="F838" s="28" t="s">
        <v>2182</v>
      </c>
      <c r="G838" s="27" t="s">
        <v>108</v>
      </c>
      <c r="I838" s="27" t="s">
        <v>226</v>
      </c>
      <c r="J838" s="28">
        <v>21590</v>
      </c>
      <c r="K838" s="27" t="s">
        <v>397</v>
      </c>
      <c r="Q838" s="13" t="s">
        <v>1039</v>
      </c>
      <c r="R838" s="13" t="s">
        <v>1194</v>
      </c>
      <c r="S838" s="13" t="s">
        <v>2591</v>
      </c>
      <c r="T838" s="13"/>
      <c r="U838" s="13"/>
      <c r="V838" s="72" t="s">
        <v>2486</v>
      </c>
      <c r="W838" s="53" t="s">
        <v>2594</v>
      </c>
      <c r="AA838" t="s">
        <v>2595</v>
      </c>
      <c r="AB838" s="66">
        <v>363</v>
      </c>
      <c r="AC838">
        <v>20</v>
      </c>
      <c r="AD838" t="s">
        <v>2537</v>
      </c>
      <c r="AE838" s="7">
        <f t="shared" si="770"/>
        <v>76.453000000000003</v>
      </c>
      <c r="AF838" s="7">
        <f t="shared" si="806"/>
        <v>0</v>
      </c>
      <c r="AG838" s="7">
        <f t="shared" si="772"/>
        <v>7.62</v>
      </c>
      <c r="AH838" s="7">
        <f t="shared" si="773"/>
        <v>8.49</v>
      </c>
      <c r="AI838" s="7">
        <f t="shared" si="774"/>
        <v>0.11</v>
      </c>
      <c r="AJ838" s="7">
        <f t="shared" si="775"/>
        <v>0.16</v>
      </c>
      <c r="AK838" s="7">
        <f t="shared" si="776"/>
        <v>1.06</v>
      </c>
      <c r="AL838" s="7">
        <f t="shared" si="777"/>
        <v>9.25</v>
      </c>
      <c r="AM838" s="7">
        <f t="shared" si="778"/>
        <v>5.87</v>
      </c>
      <c r="AN838" s="7">
        <f t="shared" si="779"/>
        <v>0.11</v>
      </c>
      <c r="AO838" s="7"/>
      <c r="AP838" s="7">
        <f t="shared" si="780"/>
        <v>0</v>
      </c>
      <c r="AQ838" s="7">
        <f t="shared" si="781"/>
        <v>109.123</v>
      </c>
      <c r="AR838" s="7"/>
      <c r="AS838" s="7"/>
      <c r="AT838" s="7"/>
      <c r="AU838" s="7">
        <f>109.28-109.12</f>
        <v>0.15999999999999659</v>
      </c>
      <c r="AV838" s="7">
        <f t="shared" si="807"/>
        <v>109.283</v>
      </c>
      <c r="AW838" s="59">
        <v>0.21099999999999999</v>
      </c>
      <c r="AX838" s="59">
        <v>0.20399999999999999</v>
      </c>
      <c r="AY838" s="61">
        <v>1</v>
      </c>
      <c r="AZ838" s="69">
        <f>AW838-AX838</f>
        <v>7.0000000000000062E-3</v>
      </c>
      <c r="BA838" s="62">
        <f>AW838*AB838-(AZ838*AC838)*AY838</f>
        <v>76.453000000000003</v>
      </c>
      <c r="BB838" s="62"/>
      <c r="BC838" s="62"/>
      <c r="BD838" s="62"/>
      <c r="BE838" s="62"/>
      <c r="BF838" s="62"/>
      <c r="BG838" s="62"/>
      <c r="BH838" s="62"/>
      <c r="BI838" s="62"/>
      <c r="BJ838" s="62"/>
      <c r="BK838" s="62"/>
      <c r="BL838" s="62"/>
      <c r="BM838" s="62"/>
      <c r="BN838" s="62"/>
      <c r="BO838" s="62"/>
      <c r="BP838" s="62"/>
      <c r="BQ838" s="62"/>
      <c r="BR838" s="62"/>
      <c r="BS838" s="62"/>
      <c r="BT838" s="62"/>
      <c r="BU838" s="62"/>
      <c r="BV838" s="62"/>
      <c r="BW838" s="62"/>
      <c r="BX838" s="62"/>
      <c r="BY838" s="62"/>
      <c r="BZ838" s="62"/>
      <c r="CA838" s="62"/>
      <c r="CB838" s="62"/>
      <c r="CC838" s="62"/>
      <c r="CD838" s="59">
        <v>0</v>
      </c>
      <c r="CE838" s="62">
        <v>0</v>
      </c>
      <c r="CF838" s="62">
        <v>1</v>
      </c>
      <c r="CG838" s="59">
        <v>8.49</v>
      </c>
      <c r="CH838" s="62">
        <f>CF838*CG838</f>
        <v>8.49</v>
      </c>
      <c r="CI838" s="59"/>
      <c r="CJ838" s="59"/>
      <c r="CK838" s="59"/>
      <c r="CL838" s="59"/>
      <c r="CM838" s="59"/>
      <c r="CN838" s="59"/>
      <c r="CO838" s="59"/>
      <c r="CP838" s="59"/>
      <c r="CQ838" s="59"/>
      <c r="CR838" s="59"/>
      <c r="CS838" s="59"/>
      <c r="CT838" s="59"/>
      <c r="CU838" s="59"/>
      <c r="CV838" s="59"/>
      <c r="CW838" s="59"/>
      <c r="CX838" s="59"/>
      <c r="CY838" s="59"/>
      <c r="CZ838" s="59"/>
      <c r="DA838" s="59"/>
      <c r="DB838" s="59"/>
      <c r="DC838" s="59"/>
      <c r="DD838" s="59"/>
      <c r="DE838" s="59"/>
      <c r="DF838" s="59"/>
      <c r="DG838" s="59"/>
      <c r="DH838" s="59"/>
      <c r="DI838" s="59"/>
      <c r="DJ838" s="59"/>
      <c r="DK838" s="59"/>
      <c r="DL838" s="59"/>
      <c r="DM838" s="62">
        <f>CH838+CM838+CR838+CW838+DB838+DG838+DK838</f>
        <v>8.49</v>
      </c>
      <c r="DN838" s="64">
        <v>1.2500000000000001E-2</v>
      </c>
      <c r="DO838" s="62">
        <f>ROUNDUP(DM838*DN838,2)</f>
        <v>0.11</v>
      </c>
      <c r="DP838" s="62">
        <f>DM838+DO838</f>
        <v>8.6</v>
      </c>
      <c r="DQ838" s="59"/>
      <c r="DR838" s="59"/>
      <c r="DS838" s="59"/>
      <c r="DT838" s="59"/>
      <c r="DU838" s="59"/>
      <c r="DV838" s="59"/>
      <c r="DW838" s="59"/>
      <c r="DX838" s="59"/>
      <c r="DY838" s="59"/>
      <c r="DZ838" s="59"/>
      <c r="EA838" s="59"/>
      <c r="EB838" s="59"/>
      <c r="EC838" s="59"/>
      <c r="ED838" s="59"/>
      <c r="EE838" s="59"/>
      <c r="EF838" s="59">
        <v>450</v>
      </c>
      <c r="EG838" s="59">
        <v>4500</v>
      </c>
      <c r="EH838" s="59">
        <v>7.5</v>
      </c>
      <c r="EI838" s="61">
        <v>0.9</v>
      </c>
      <c r="EJ838" s="59">
        <v>2</v>
      </c>
      <c r="EK838" s="59">
        <v>65</v>
      </c>
      <c r="EL838" s="65">
        <f>3600/EK838*EH838*EJ838*EI838</f>
        <v>747.69230769230774</v>
      </c>
      <c r="EM838" s="59"/>
      <c r="EN838" s="59"/>
      <c r="EO838" s="59"/>
      <c r="EP838" s="59"/>
      <c r="EQ838" s="59"/>
      <c r="ER838" s="59"/>
      <c r="ES838" s="59"/>
      <c r="ET838" s="59"/>
      <c r="EU838" s="62">
        <f>ROUNDUP((EG838/EL838+FA838),2)</f>
        <v>7.62</v>
      </c>
      <c r="EV838" s="59"/>
      <c r="EW838" s="59"/>
      <c r="EX838" s="59"/>
      <c r="EY838" s="59"/>
      <c r="EZ838" s="59"/>
      <c r="FA838" s="59">
        <v>1.6</v>
      </c>
      <c r="FB838" s="59"/>
      <c r="FC838" s="59"/>
      <c r="FD838" s="59"/>
      <c r="FE838" s="59"/>
      <c r="FF838" s="59"/>
      <c r="FG838" s="59"/>
      <c r="FH838" s="59"/>
      <c r="FI838" s="59"/>
      <c r="FJ838" s="59"/>
      <c r="FK838" s="59"/>
      <c r="FL838" s="59"/>
      <c r="FM838" s="59"/>
      <c r="FN838" s="59"/>
      <c r="FO838" s="59"/>
      <c r="FP838" s="59"/>
      <c r="FQ838" s="59"/>
      <c r="FR838" s="59"/>
      <c r="FS838" s="59"/>
      <c r="FT838" s="59"/>
      <c r="FU838" s="59"/>
      <c r="FV838" s="59"/>
      <c r="FW838" s="59"/>
      <c r="FX838" s="59"/>
      <c r="FY838" s="59"/>
      <c r="FZ838" s="59"/>
      <c r="GA838" s="59"/>
      <c r="GB838" s="59"/>
      <c r="GC838" s="59"/>
      <c r="GD838" s="59"/>
      <c r="GE838" s="59"/>
      <c r="GF838" s="59"/>
      <c r="GG838" s="59"/>
      <c r="GH838" s="59"/>
      <c r="GI838" s="59"/>
      <c r="GJ838" s="59"/>
      <c r="GK838" s="59"/>
      <c r="GL838" s="59"/>
      <c r="GM838" s="59"/>
      <c r="GN838" s="59"/>
      <c r="GO838" s="59"/>
      <c r="GP838" s="59"/>
      <c r="GQ838" s="59"/>
      <c r="GR838" s="61">
        <v>0.11</v>
      </c>
      <c r="GS838" s="62">
        <f>ROUNDUP(GR838*(BA838+EU838),2)</f>
        <v>9.25</v>
      </c>
      <c r="GT838" s="64">
        <v>1.2500000000000001E-2</v>
      </c>
      <c r="GU838" s="62">
        <f>ROUNDUP(GT838*(BA838+EU838),2)</f>
        <v>1.06</v>
      </c>
      <c r="GV838" s="61">
        <v>0.02</v>
      </c>
      <c r="GW838" s="62">
        <f>ROUNDUP(GV838*EU838,2)</f>
        <v>0.16</v>
      </c>
      <c r="GX838" s="62">
        <f>GS838+GU838+GW838</f>
        <v>10.47</v>
      </c>
      <c r="GY838" s="59" t="s">
        <v>43</v>
      </c>
      <c r="GZ838" s="59" t="s">
        <v>551</v>
      </c>
      <c r="HA838" s="59">
        <v>650</v>
      </c>
      <c r="HB838" s="59">
        <v>450</v>
      </c>
      <c r="HC838" s="59">
        <v>330</v>
      </c>
      <c r="HD838" s="59">
        <v>40</v>
      </c>
      <c r="HE838" s="59">
        <v>400</v>
      </c>
      <c r="HF838" s="62">
        <f>ROUNDUP(HE838/HD838,0)</f>
        <v>10</v>
      </c>
      <c r="HG838" s="59">
        <v>5</v>
      </c>
      <c r="HH838" s="62">
        <f t="shared" si="800"/>
        <v>50</v>
      </c>
      <c r="HI838" s="59">
        <v>650</v>
      </c>
      <c r="HJ838" s="62">
        <f t="shared" si="793"/>
        <v>32500</v>
      </c>
      <c r="HK838" s="59"/>
      <c r="HL838" s="59"/>
      <c r="HM838" s="59">
        <v>2</v>
      </c>
      <c r="HN838" s="62">
        <f>HM838*12*25*HE838</f>
        <v>240000</v>
      </c>
      <c r="HO838" s="62">
        <f>IF(GY838="carton box",HI838/HD838,HJ838/HN838)</f>
        <v>0.13541666666666666</v>
      </c>
      <c r="HP838" s="59">
        <v>160</v>
      </c>
      <c r="HQ838" s="59">
        <v>0</v>
      </c>
      <c r="HR838" s="59">
        <v>5.73</v>
      </c>
      <c r="HS838" s="59">
        <v>1</v>
      </c>
      <c r="HT838" s="62">
        <f>HR838/HS838</f>
        <v>5.73</v>
      </c>
      <c r="HU838" s="62"/>
      <c r="HV838" s="62">
        <f>ROUNDUP(HO838+HT838,2)</f>
        <v>5.87</v>
      </c>
      <c r="HW838" s="62"/>
      <c r="HX838" s="59">
        <v>4200</v>
      </c>
      <c r="HY838" s="59">
        <v>1900</v>
      </c>
      <c r="HZ838" s="59">
        <v>1975</v>
      </c>
      <c r="IA838" s="62">
        <f t="shared" si="796"/>
        <v>6</v>
      </c>
      <c r="IB838" s="62">
        <f t="shared" si="797"/>
        <v>4</v>
      </c>
      <c r="IC838" s="62">
        <f t="shared" si="798"/>
        <v>5</v>
      </c>
      <c r="ID838" s="61">
        <v>0.95</v>
      </c>
      <c r="IE838" s="62">
        <f>PRODUCT(IA838:ID838)</f>
        <v>114</v>
      </c>
      <c r="IF838" s="59">
        <v>500</v>
      </c>
      <c r="IG838" s="62">
        <f>ROUNDUP(IF838/(IE838*HD838),2)</f>
        <v>0.11</v>
      </c>
      <c r="IH838" s="62"/>
    </row>
    <row r="839" spans="1:339">
      <c r="A839">
        <v>824</v>
      </c>
      <c r="B839" s="301" t="s">
        <v>1947</v>
      </c>
      <c r="D839" s="28" t="s">
        <v>1680</v>
      </c>
      <c r="E839" s="28" t="s">
        <v>1681</v>
      </c>
      <c r="F839" s="28" t="s">
        <v>1947</v>
      </c>
      <c r="G839" s="27" t="s">
        <v>108</v>
      </c>
      <c r="I839" s="27" t="s">
        <v>226</v>
      </c>
      <c r="J839" s="28">
        <v>29164</v>
      </c>
      <c r="K839" s="27" t="s">
        <v>229</v>
      </c>
    </row>
    <row r="840" spans="1:339" ht="30">
      <c r="A840">
        <v>825</v>
      </c>
      <c r="C840" t="s">
        <v>567</v>
      </c>
      <c r="D840" s="28" t="s">
        <v>1682</v>
      </c>
      <c r="E840" s="28" t="s">
        <v>104</v>
      </c>
      <c r="F840" s="28" t="s">
        <v>2444</v>
      </c>
      <c r="G840" s="27" t="s">
        <v>108</v>
      </c>
      <c r="I840" s="27" t="s">
        <v>121</v>
      </c>
      <c r="J840" s="28">
        <v>21697</v>
      </c>
      <c r="K840" s="27" t="s">
        <v>227</v>
      </c>
      <c r="N840" s="13" t="s">
        <v>1884</v>
      </c>
      <c r="O840" s="13" t="s">
        <v>1763</v>
      </c>
      <c r="P840" s="13" t="s">
        <v>2250</v>
      </c>
      <c r="S840" s="13"/>
      <c r="T840" s="13"/>
      <c r="U840" s="13"/>
      <c r="V840" s="72" t="s">
        <v>2486</v>
      </c>
      <c r="W840" s="53" t="s">
        <v>2596</v>
      </c>
    </row>
    <row r="841" spans="1:339" ht="30">
      <c r="A841">
        <v>826</v>
      </c>
      <c r="B841" t="s">
        <v>468</v>
      </c>
      <c r="C841" t="s">
        <v>2597</v>
      </c>
      <c r="D841" s="28" t="s">
        <v>1683</v>
      </c>
      <c r="E841" s="28" t="s">
        <v>1664</v>
      </c>
      <c r="F841" s="28" t="s">
        <v>2182</v>
      </c>
      <c r="G841" s="27" t="s">
        <v>108</v>
      </c>
      <c r="I841" s="27" t="s">
        <v>121</v>
      </c>
      <c r="J841" s="28">
        <v>21677</v>
      </c>
      <c r="K841" s="27" t="s">
        <v>228</v>
      </c>
      <c r="L841">
        <v>21401</v>
      </c>
      <c r="M841" t="s">
        <v>121</v>
      </c>
      <c r="Q841" s="13" t="s">
        <v>1768</v>
      </c>
      <c r="R841" s="13" t="s">
        <v>1769</v>
      </c>
      <c r="S841" s="13" t="s">
        <v>2598</v>
      </c>
      <c r="T841" s="13"/>
      <c r="U841" s="13"/>
      <c r="V841" s="72" t="s">
        <v>2486</v>
      </c>
      <c r="W841" s="53" t="s">
        <v>2599</v>
      </c>
      <c r="AA841" s="316" t="s">
        <v>2600</v>
      </c>
      <c r="AB841" s="66">
        <v>71</v>
      </c>
      <c r="AC841">
        <v>20</v>
      </c>
      <c r="AD841"/>
      <c r="AE841" s="7">
        <f>BA841</f>
        <v>8.42</v>
      </c>
      <c r="AF841" s="7">
        <f>DT841</f>
        <v>0</v>
      </c>
      <c r="AG841" s="7">
        <f>EU841+EM841</f>
        <v>1.7543859649122806</v>
      </c>
      <c r="AH841" s="7">
        <f>DM841</f>
        <v>0</v>
      </c>
      <c r="AI841" s="7">
        <f>DO841</f>
        <v>0</v>
      </c>
      <c r="AJ841" s="7">
        <f>GW841</f>
        <v>3.5087719298245612E-2</v>
      </c>
      <c r="AK841" s="7">
        <f>GU841</f>
        <v>0.1271798245614035</v>
      </c>
      <c r="AL841" s="7">
        <f>GS841</f>
        <v>1.1191824561403509</v>
      </c>
      <c r="AM841" s="7">
        <f>HV841</f>
        <v>2.6666666666666668E-2</v>
      </c>
      <c r="AN841" s="7">
        <f>IG841</f>
        <v>2.0833333333333332E-2</v>
      </c>
      <c r="AO841" s="7"/>
      <c r="AP841" s="7"/>
      <c r="AQ841" s="7">
        <f>SUM(AE841:AP841)</f>
        <v>11.503335964912281</v>
      </c>
      <c r="AR841" s="7"/>
      <c r="AS841" s="7"/>
      <c r="AT841" s="7"/>
      <c r="AU841" s="7"/>
      <c r="AV841" s="7">
        <f>AQ841+AU841+AT841+AR841</f>
        <v>11.503335964912281</v>
      </c>
      <c r="AW841" s="312">
        <v>0.12</v>
      </c>
      <c r="AX841" s="313">
        <v>0.115</v>
      </c>
      <c r="AY841" s="61">
        <v>1</v>
      </c>
      <c r="AZ841" s="69">
        <f>AW841-AX841</f>
        <v>4.9999999999999906E-3</v>
      </c>
      <c r="BA841" s="62">
        <f>AW841*AB841-(AZ841*AC841)*AY841</f>
        <v>8.42</v>
      </c>
      <c r="BB841" s="62"/>
      <c r="BC841" s="62"/>
      <c r="BD841" s="62"/>
      <c r="BE841" s="62"/>
      <c r="BF841" s="62"/>
      <c r="BG841" s="62"/>
      <c r="BH841" s="62"/>
      <c r="BI841" s="62"/>
      <c r="BJ841" s="62"/>
      <c r="BK841" s="62"/>
      <c r="BL841" s="62"/>
      <c r="BM841" s="62"/>
      <c r="BN841" s="62"/>
      <c r="BO841" s="62"/>
      <c r="BP841" s="62"/>
      <c r="BQ841" s="62"/>
      <c r="BR841" s="62"/>
      <c r="BS841" s="62"/>
      <c r="BT841" s="62"/>
      <c r="BU841" s="62"/>
      <c r="BV841" s="62"/>
      <c r="BW841" s="62"/>
      <c r="BX841" s="62"/>
      <c r="BY841" s="62"/>
      <c r="BZ841" s="62"/>
      <c r="CA841" s="62"/>
      <c r="CB841" s="62"/>
      <c r="CC841" s="62"/>
      <c r="CD841" s="59">
        <v>0</v>
      </c>
      <c r="CE841" s="62">
        <v>0</v>
      </c>
      <c r="CF841" s="62">
        <v>0</v>
      </c>
      <c r="CG841" s="62">
        <v>0</v>
      </c>
      <c r="CH841" s="62">
        <v>0</v>
      </c>
      <c r="CI841" s="59"/>
      <c r="CJ841" s="59"/>
      <c r="CK841" s="59"/>
      <c r="CL841" s="59"/>
      <c r="CM841" s="59"/>
      <c r="CN841" s="59"/>
      <c r="CO841" s="59"/>
      <c r="CP841" s="59"/>
      <c r="CQ841" s="59"/>
      <c r="CR841" s="59"/>
      <c r="CS841" s="59"/>
      <c r="CT841" s="59"/>
      <c r="CU841" s="59"/>
      <c r="CV841" s="59"/>
      <c r="CW841" s="59"/>
      <c r="CX841" s="59"/>
      <c r="CY841" s="59"/>
      <c r="CZ841" s="59"/>
      <c r="DA841" s="59"/>
      <c r="DB841" s="59"/>
      <c r="DC841" s="59"/>
      <c r="DD841" s="59"/>
      <c r="DE841" s="59"/>
      <c r="DF841" s="59"/>
      <c r="DG841" s="59"/>
      <c r="DH841" s="59"/>
      <c r="DI841" s="59"/>
      <c r="DJ841" s="59"/>
      <c r="DK841" s="59"/>
      <c r="DL841" s="59"/>
      <c r="DM841" s="62">
        <f>CH841+CM841+CR841+CW841+DB841+DG841+DK841</f>
        <v>0</v>
      </c>
      <c r="DN841" s="64">
        <v>1.2500000000000001E-2</v>
      </c>
      <c r="DO841" s="62">
        <f>ROUNDUP(DM841*DN841,2)</f>
        <v>0</v>
      </c>
      <c r="DP841" s="62">
        <f>DM841+DO841</f>
        <v>0</v>
      </c>
      <c r="DQ841" s="59"/>
      <c r="DR841" s="59"/>
      <c r="DS841" s="59"/>
      <c r="DT841" s="59"/>
      <c r="DU841" s="59"/>
      <c r="DV841" s="59"/>
      <c r="DW841" s="59"/>
      <c r="DX841" s="59"/>
      <c r="DY841" s="59"/>
      <c r="DZ841" s="59"/>
      <c r="EA841" s="59"/>
      <c r="EB841" s="59"/>
      <c r="EC841" s="59"/>
      <c r="ED841" s="59"/>
      <c r="EE841" s="59"/>
      <c r="EF841" s="59">
        <v>300</v>
      </c>
      <c r="EG841" s="62">
        <v>3000</v>
      </c>
      <c r="EH841" s="59">
        <v>8</v>
      </c>
      <c r="EI841" s="61">
        <v>0.95</v>
      </c>
      <c r="EJ841" s="65">
        <v>4</v>
      </c>
      <c r="EK841" s="65">
        <v>64</v>
      </c>
      <c r="EL841" s="65">
        <f>3600/EK841*EH841*EJ841*EI841</f>
        <v>1710</v>
      </c>
      <c r="EM841" s="59"/>
      <c r="EN841" s="59"/>
      <c r="EO841" s="59"/>
      <c r="EP841" s="59"/>
      <c r="EQ841" s="59"/>
      <c r="ER841" s="59"/>
      <c r="ES841" s="59"/>
      <c r="ET841" s="59"/>
      <c r="EU841" s="62">
        <f>EG841/EL841+FA841</f>
        <v>1.7543859649122806</v>
      </c>
      <c r="EV841" s="59"/>
      <c r="EW841" s="59"/>
      <c r="EX841" s="59"/>
      <c r="EY841" s="59"/>
      <c r="EZ841" s="59"/>
      <c r="FA841" s="59"/>
      <c r="FB841" s="59"/>
      <c r="FC841" s="59"/>
      <c r="FD841" s="59"/>
      <c r="FE841" s="59"/>
      <c r="FF841" s="59"/>
      <c r="FG841" s="59"/>
      <c r="FH841" s="59"/>
      <c r="FI841" s="59"/>
      <c r="FJ841" s="59"/>
      <c r="FK841" s="59"/>
      <c r="FL841" s="59"/>
      <c r="FM841" s="59"/>
      <c r="FN841" s="59"/>
      <c r="FO841" s="59"/>
      <c r="FP841" s="59"/>
      <c r="FQ841" s="59"/>
      <c r="FR841" s="59"/>
      <c r="FS841" s="59"/>
      <c r="FT841" s="59"/>
      <c r="FU841" s="59"/>
      <c r="FV841" s="59"/>
      <c r="FW841" s="59"/>
      <c r="FX841" s="59"/>
      <c r="FY841" s="59"/>
      <c r="FZ841" s="59"/>
      <c r="GA841" s="59"/>
      <c r="GB841" s="59"/>
      <c r="GC841" s="59"/>
      <c r="GD841" s="59"/>
      <c r="GE841" s="59"/>
      <c r="GF841" s="59"/>
      <c r="GG841" s="59"/>
      <c r="GH841" s="59"/>
      <c r="GI841" s="59"/>
      <c r="GJ841" s="59"/>
      <c r="GK841" s="59"/>
      <c r="GL841" s="59"/>
      <c r="GM841" s="59"/>
      <c r="GN841" s="59"/>
      <c r="GO841" s="59"/>
      <c r="GP841" s="59"/>
      <c r="GQ841" s="59"/>
      <c r="GR841" s="61">
        <v>0.11</v>
      </c>
      <c r="GS841" s="62">
        <f>GR841*(BA841+EU841)</f>
        <v>1.1191824561403509</v>
      </c>
      <c r="GT841" s="64">
        <v>1.2500000000000001E-2</v>
      </c>
      <c r="GU841" s="62">
        <f>GT841*(BA841+EU841)</f>
        <v>0.1271798245614035</v>
      </c>
      <c r="GV841" s="61">
        <v>0.02</v>
      </c>
      <c r="GW841" s="62">
        <f>GV841*EU841</f>
        <v>3.5087719298245612E-2</v>
      </c>
      <c r="GX841" s="62">
        <f>GS841+GU841+GW841</f>
        <v>1.28145</v>
      </c>
      <c r="GY841" s="59" t="s">
        <v>43</v>
      </c>
      <c r="GZ841" s="59" t="s">
        <v>2601</v>
      </c>
      <c r="HA841" s="59">
        <v>805</v>
      </c>
      <c r="HB841" s="59">
        <v>675</v>
      </c>
      <c r="HC841" s="59">
        <v>405</v>
      </c>
      <c r="HD841" s="59">
        <v>200</v>
      </c>
      <c r="HE841" s="59">
        <v>1500</v>
      </c>
      <c r="HF841" s="62">
        <f>ROUNDUP(HE841/HD841,0)</f>
        <v>8</v>
      </c>
      <c r="HG841" s="59">
        <v>5</v>
      </c>
      <c r="HH841" s="62">
        <f>HF841*HG841</f>
        <v>40</v>
      </c>
      <c r="HI841" s="59">
        <v>600</v>
      </c>
      <c r="HJ841" s="62">
        <f>HH841*HI841</f>
        <v>24000</v>
      </c>
      <c r="HK841" s="59"/>
      <c r="HL841" s="59"/>
      <c r="HM841" s="59">
        <v>2</v>
      </c>
      <c r="HN841" s="62">
        <f>HM841*12*25*HE841</f>
        <v>900000</v>
      </c>
      <c r="HO841" s="62">
        <f>IF(GY841="carton box",HI841/HD841,HJ841/HN841)</f>
        <v>2.6666666666666668E-2</v>
      </c>
      <c r="HP841" s="59">
        <v>160</v>
      </c>
      <c r="HQ841" s="59">
        <v>0</v>
      </c>
      <c r="HR841" s="59">
        <v>0</v>
      </c>
      <c r="HS841" s="59">
        <v>0</v>
      </c>
      <c r="HT841" s="62">
        <v>0</v>
      </c>
      <c r="HU841" s="62"/>
      <c r="HV841" s="62">
        <f>HO841+HT841</f>
        <v>2.6666666666666668E-2</v>
      </c>
      <c r="HW841" s="62"/>
      <c r="HX841" s="59">
        <v>5016</v>
      </c>
      <c r="HY841" s="59">
        <v>1976</v>
      </c>
      <c r="HZ841" s="59">
        <v>2280</v>
      </c>
      <c r="IA841" s="62">
        <f>ROUNDDOWN(HX841/HA841,0)</f>
        <v>6</v>
      </c>
      <c r="IB841" s="62">
        <f>ROUNDDOWN(HY841/HB841,0)</f>
        <v>2</v>
      </c>
      <c r="IC841" s="62">
        <f>ROUNDDOWN(HZ841/HC841,0)</f>
        <v>5</v>
      </c>
      <c r="ID841" s="61">
        <v>0.95</v>
      </c>
      <c r="IE841" s="62">
        <f>PRODUCT(IA841:ID841)+63</f>
        <v>120</v>
      </c>
      <c r="IF841" s="59">
        <v>500</v>
      </c>
      <c r="IG841" s="62">
        <f>IF841/(IE841*HD841)</f>
        <v>2.0833333333333332E-2</v>
      </c>
      <c r="IH841" s="62"/>
    </row>
    <row r="842" spans="1:339" ht="30">
      <c r="A842">
        <v>827</v>
      </c>
      <c r="B842" t="s">
        <v>468</v>
      </c>
      <c r="C842" t="s">
        <v>2597</v>
      </c>
      <c r="D842" s="28" t="s">
        <v>1683</v>
      </c>
      <c r="E842" s="28" t="s">
        <v>1664</v>
      </c>
      <c r="F842" s="28" t="s">
        <v>2182</v>
      </c>
      <c r="G842" s="27" t="s">
        <v>108</v>
      </c>
      <c r="I842" s="27" t="s">
        <v>94</v>
      </c>
      <c r="J842" s="28">
        <v>21677</v>
      </c>
      <c r="K842" s="27" t="s">
        <v>228</v>
      </c>
      <c r="L842">
        <v>21401</v>
      </c>
      <c r="M842" t="s">
        <v>94</v>
      </c>
      <c r="Q842" s="13" t="s">
        <v>1768</v>
      </c>
      <c r="R842" s="13" t="s">
        <v>1769</v>
      </c>
      <c r="S842" s="13" t="s">
        <v>2598</v>
      </c>
      <c r="T842" s="13"/>
      <c r="U842" s="13"/>
      <c r="V842" s="72" t="s">
        <v>2486</v>
      </c>
      <c r="W842" s="53" t="s">
        <v>2599</v>
      </c>
      <c r="AA842" s="316" t="s">
        <v>2600</v>
      </c>
      <c r="AB842" s="66">
        <v>71</v>
      </c>
      <c r="AC842">
        <v>20</v>
      </c>
      <c r="AD842"/>
      <c r="AE842" s="7">
        <f>BA842</f>
        <v>8.42</v>
      </c>
      <c r="AF842" s="7">
        <f>DT842</f>
        <v>0</v>
      </c>
      <c r="AG842" s="7">
        <f>EU842+EM842</f>
        <v>1.7543859649122806</v>
      </c>
      <c r="AH842" s="7">
        <f>DM842</f>
        <v>0</v>
      </c>
      <c r="AI842" s="7">
        <f>DO842</f>
        <v>0</v>
      </c>
      <c r="AJ842" s="7">
        <f>GW842</f>
        <v>3.5087719298245612E-2</v>
      </c>
      <c r="AK842" s="7">
        <f>GU842</f>
        <v>0.1271798245614035</v>
      </c>
      <c r="AL842" s="7">
        <f>GS842</f>
        <v>1.1191824561403509</v>
      </c>
      <c r="AM842" s="7">
        <f>HV842</f>
        <v>0.15</v>
      </c>
      <c r="AN842" s="7">
        <f>IG842</f>
        <v>0</v>
      </c>
      <c r="AO842" s="7"/>
      <c r="AP842" s="7"/>
      <c r="AQ842" s="7">
        <f>SUM(AE842:AP842)</f>
        <v>11.605835964912281</v>
      </c>
      <c r="AR842" s="7"/>
      <c r="AS842" s="7"/>
      <c r="AT842" s="7"/>
      <c r="AU842" s="7"/>
      <c r="AV842" s="7">
        <f>AQ842+AU842+AT842+AR842</f>
        <v>11.605835964912281</v>
      </c>
      <c r="AW842" s="312">
        <v>0.12</v>
      </c>
      <c r="AX842" s="313">
        <v>0.115</v>
      </c>
      <c r="AY842" s="61">
        <v>1</v>
      </c>
      <c r="AZ842" s="69">
        <f>AW842-AX842</f>
        <v>4.9999999999999906E-3</v>
      </c>
      <c r="BA842" s="62">
        <f>AW842*AB842-(AZ842*AC842)*AY842</f>
        <v>8.42</v>
      </c>
      <c r="BB842" s="62"/>
      <c r="BC842" s="62"/>
      <c r="BD842" s="62"/>
      <c r="BE842" s="62"/>
      <c r="BF842" s="62"/>
      <c r="BG842" s="62"/>
      <c r="BH842" s="62"/>
      <c r="BI842" s="62"/>
      <c r="BJ842" s="62"/>
      <c r="BK842" s="62"/>
      <c r="BL842" s="62"/>
      <c r="BM842" s="62"/>
      <c r="BN842" s="62"/>
      <c r="BO842" s="62"/>
      <c r="BP842" s="62"/>
      <c r="BQ842" s="62"/>
      <c r="BR842" s="62"/>
      <c r="BS842" s="62"/>
      <c r="BT842" s="62"/>
      <c r="BU842" s="62"/>
      <c r="BV842" s="62"/>
      <c r="BW842" s="62"/>
      <c r="BX842" s="62"/>
      <c r="BY842" s="62"/>
      <c r="BZ842" s="62"/>
      <c r="CA842" s="62"/>
      <c r="CB842" s="62"/>
      <c r="CC842" s="62"/>
      <c r="CD842" s="59">
        <v>0</v>
      </c>
      <c r="CE842" s="62">
        <v>0</v>
      </c>
      <c r="CF842" s="62">
        <v>0</v>
      </c>
      <c r="CG842" s="62">
        <v>0</v>
      </c>
      <c r="CH842" s="62">
        <v>0</v>
      </c>
      <c r="CI842" s="59"/>
      <c r="CJ842" s="59"/>
      <c r="CK842" s="59"/>
      <c r="CL842" s="59"/>
      <c r="CM842" s="59"/>
      <c r="CN842" s="59"/>
      <c r="CO842" s="59"/>
      <c r="CP842" s="59"/>
      <c r="CQ842" s="59"/>
      <c r="CR842" s="59"/>
      <c r="CS842" s="59"/>
      <c r="CT842" s="59"/>
      <c r="CU842" s="59"/>
      <c r="CV842" s="59"/>
      <c r="CW842" s="59"/>
      <c r="CX842" s="59"/>
      <c r="CY842" s="59"/>
      <c r="CZ842" s="59"/>
      <c r="DA842" s="59"/>
      <c r="DB842" s="59"/>
      <c r="DC842" s="59"/>
      <c r="DD842" s="59"/>
      <c r="DE842" s="59"/>
      <c r="DF842" s="59"/>
      <c r="DG842" s="59"/>
      <c r="DH842" s="59"/>
      <c r="DI842" s="59"/>
      <c r="DJ842" s="59"/>
      <c r="DK842" s="59"/>
      <c r="DL842" s="59"/>
      <c r="DM842" s="62">
        <f>CH842+CM842+CR842+CW842+DB842+DG842+DK842</f>
        <v>0</v>
      </c>
      <c r="DN842" s="64">
        <v>1.2500000000000001E-2</v>
      </c>
      <c r="DO842" s="62">
        <f>ROUNDUP(DM842*DN842,2)</f>
        <v>0</v>
      </c>
      <c r="DP842" s="62">
        <f>DM842+DO842</f>
        <v>0</v>
      </c>
      <c r="DQ842" s="59"/>
      <c r="DR842" s="59"/>
      <c r="DS842" s="59"/>
      <c r="DT842" s="59"/>
      <c r="DU842" s="59"/>
      <c r="DV842" s="59"/>
      <c r="DW842" s="59"/>
      <c r="DX842" s="59"/>
      <c r="DY842" s="59"/>
      <c r="DZ842" s="59"/>
      <c r="EA842" s="59"/>
      <c r="EB842" s="59"/>
      <c r="EC842" s="59"/>
      <c r="ED842" s="59"/>
      <c r="EE842" s="59"/>
      <c r="EF842" s="59">
        <v>300</v>
      </c>
      <c r="EG842" s="62">
        <v>3000</v>
      </c>
      <c r="EH842" s="59">
        <v>8</v>
      </c>
      <c r="EI842" s="61">
        <v>0.95</v>
      </c>
      <c r="EJ842" s="65">
        <v>4</v>
      </c>
      <c r="EK842" s="65">
        <v>64</v>
      </c>
      <c r="EL842" s="65">
        <f>3600/EK842*EH842*EJ842*EI842</f>
        <v>1710</v>
      </c>
      <c r="EM842" s="59"/>
      <c r="EN842" s="59"/>
      <c r="EO842" s="59"/>
      <c r="EP842" s="59"/>
      <c r="EQ842" s="59"/>
      <c r="ER842" s="59"/>
      <c r="ES842" s="59"/>
      <c r="ET842" s="59"/>
      <c r="EU842" s="62">
        <f>EG842/EL842+FA842</f>
        <v>1.7543859649122806</v>
      </c>
      <c r="EV842" s="59"/>
      <c r="EW842" s="59"/>
      <c r="EX842" s="59"/>
      <c r="EY842" s="59"/>
      <c r="EZ842" s="59"/>
      <c r="FA842" s="59"/>
      <c r="FB842" s="59"/>
      <c r="FC842" s="59"/>
      <c r="FD842" s="59"/>
      <c r="FE842" s="59"/>
      <c r="FF842" s="59"/>
      <c r="FG842" s="59"/>
      <c r="FH842" s="59"/>
      <c r="FI842" s="59"/>
      <c r="FJ842" s="59"/>
      <c r="FK842" s="59"/>
      <c r="FL842" s="59"/>
      <c r="FM842" s="59"/>
      <c r="FN842" s="59"/>
      <c r="FO842" s="59"/>
      <c r="FP842" s="59"/>
      <c r="FQ842" s="59"/>
      <c r="FR842" s="59"/>
      <c r="FS842" s="59"/>
      <c r="FT842" s="59"/>
      <c r="FU842" s="59"/>
      <c r="FV842" s="59"/>
      <c r="FW842" s="59"/>
      <c r="FX842" s="59"/>
      <c r="FY842" s="59"/>
      <c r="FZ842" s="59"/>
      <c r="GA842" s="59"/>
      <c r="GB842" s="59"/>
      <c r="GC842" s="59"/>
      <c r="GD842" s="59"/>
      <c r="GE842" s="59"/>
      <c r="GF842" s="59"/>
      <c r="GG842" s="59"/>
      <c r="GH842" s="59"/>
      <c r="GI842" s="59"/>
      <c r="GJ842" s="59"/>
      <c r="GK842" s="59"/>
      <c r="GL842" s="59"/>
      <c r="GM842" s="59"/>
      <c r="GN842" s="59"/>
      <c r="GO842" s="59"/>
      <c r="GP842" s="59"/>
      <c r="GQ842" s="59"/>
      <c r="GR842" s="61">
        <v>0.11</v>
      </c>
      <c r="GS842" s="62">
        <f>GR842*(BA842+EU842)</f>
        <v>1.1191824561403509</v>
      </c>
      <c r="GT842" s="64">
        <v>1.2500000000000001E-2</v>
      </c>
      <c r="GU842" s="62">
        <f>GT842*(BA842+EU842)</f>
        <v>0.1271798245614035</v>
      </c>
      <c r="GV842" s="61">
        <v>0.02</v>
      </c>
      <c r="GW842" s="62">
        <f>GV842*EU842</f>
        <v>3.5087719298245612E-2</v>
      </c>
      <c r="GX842" s="62">
        <f>GS842+GU842+GW842</f>
        <v>1.28145</v>
      </c>
      <c r="GY842" s="59" t="s">
        <v>43</v>
      </c>
      <c r="GZ842" s="59" t="s">
        <v>551</v>
      </c>
      <c r="HA842" s="59"/>
      <c r="HB842" s="59"/>
      <c r="HC842" s="59"/>
      <c r="HD842" s="59">
        <v>400</v>
      </c>
      <c r="HE842" s="59"/>
      <c r="HF842" s="62"/>
      <c r="HG842" s="59"/>
      <c r="HH842" s="62"/>
      <c r="HI842" s="59">
        <v>60</v>
      </c>
      <c r="HJ842" s="62"/>
      <c r="HK842" s="59"/>
      <c r="HL842" s="59"/>
      <c r="HM842" s="59"/>
      <c r="HN842" s="62"/>
      <c r="HO842" s="62">
        <f>60/400</f>
        <v>0.15</v>
      </c>
      <c r="HP842" s="59"/>
      <c r="HQ842" s="59"/>
      <c r="HR842" s="59"/>
      <c r="HS842" s="59"/>
      <c r="HT842" s="59"/>
      <c r="HU842" s="59"/>
      <c r="HV842" s="62">
        <f>HO842+HT842</f>
        <v>0.15</v>
      </c>
      <c r="HW842" s="62"/>
      <c r="HX842" s="59"/>
      <c r="HY842" s="59"/>
      <c r="HZ842" s="59"/>
      <c r="IA842" s="59"/>
      <c r="IB842" s="59"/>
      <c r="IC842" s="59"/>
      <c r="ID842" s="59"/>
      <c r="IE842" s="59"/>
      <c r="IF842" s="59"/>
      <c r="IG842" s="59"/>
      <c r="IH842" s="59"/>
    </row>
    <row r="843" spans="1:339" ht="30">
      <c r="A843">
        <v>828</v>
      </c>
      <c r="B843" t="s">
        <v>468</v>
      </c>
      <c r="C843" t="s">
        <v>2597</v>
      </c>
      <c r="D843" s="28" t="s">
        <v>1683</v>
      </c>
      <c r="E843" s="28" t="s">
        <v>1664</v>
      </c>
      <c r="F843" s="28" t="s">
        <v>2182</v>
      </c>
      <c r="G843" s="27" t="s">
        <v>108</v>
      </c>
      <c r="I843" s="27" t="s">
        <v>226</v>
      </c>
      <c r="J843" s="28">
        <v>21691</v>
      </c>
      <c r="K843" s="27" t="s">
        <v>404</v>
      </c>
      <c r="L843">
        <v>21401</v>
      </c>
      <c r="M843" t="s">
        <v>226</v>
      </c>
      <c r="Q843" s="13" t="s">
        <v>1768</v>
      </c>
      <c r="R843" s="13" t="s">
        <v>1769</v>
      </c>
      <c r="S843" s="13" t="s">
        <v>2598</v>
      </c>
      <c r="T843" s="13"/>
      <c r="U843" s="13"/>
      <c r="V843" s="72" t="s">
        <v>2486</v>
      </c>
      <c r="W843" s="53" t="s">
        <v>2599</v>
      </c>
      <c r="AA843" s="316" t="s">
        <v>2600</v>
      </c>
      <c r="AB843" s="66">
        <v>71</v>
      </c>
      <c r="AC843">
        <v>20</v>
      </c>
      <c r="AD843"/>
      <c r="AE843" s="7">
        <f>BA843</f>
        <v>8.42</v>
      </c>
      <c r="AF843" s="7">
        <f>DT843</f>
        <v>0</v>
      </c>
      <c r="AG843" s="7">
        <f>EU843+EM843</f>
        <v>1.7543859649122806</v>
      </c>
      <c r="AH843" s="7">
        <f>DM843</f>
        <v>0</v>
      </c>
      <c r="AI843" s="7">
        <f>DO843</f>
        <v>0</v>
      </c>
      <c r="AJ843" s="7">
        <f>GW843</f>
        <v>3.5087719298245612E-2</v>
      </c>
      <c r="AK843" s="7">
        <f>GU843</f>
        <v>0.1271798245614035</v>
      </c>
      <c r="AL843" s="7">
        <f>GS843</f>
        <v>1.1191824561403509</v>
      </c>
      <c r="AM843" s="7">
        <f>HV843</f>
        <v>2.6666666666666668E-2</v>
      </c>
      <c r="AN843" s="7">
        <f>IG843</f>
        <v>0.20833333333333334</v>
      </c>
      <c r="AO843" s="7"/>
      <c r="AP843" s="7"/>
      <c r="AQ843" s="7">
        <f>SUM(AE843:AP843)</f>
        <v>11.690835964912281</v>
      </c>
      <c r="AR843" s="7"/>
      <c r="AS843" s="7"/>
      <c r="AT843" s="7"/>
      <c r="AU843" s="7"/>
      <c r="AV843" s="7">
        <f>AQ843+AU843+AT843+AR843</f>
        <v>11.690835964912281</v>
      </c>
      <c r="AW843" s="312">
        <v>0.12</v>
      </c>
      <c r="AX843" s="313">
        <v>0.115</v>
      </c>
      <c r="AY843" s="61">
        <v>1</v>
      </c>
      <c r="AZ843" s="69">
        <f>AW843-AX843</f>
        <v>4.9999999999999906E-3</v>
      </c>
      <c r="BA843" s="62">
        <f>AW843*AB843-(AZ843*AC843)*AY843</f>
        <v>8.42</v>
      </c>
      <c r="BB843" s="62"/>
      <c r="BC843" s="62"/>
      <c r="BD843" s="62"/>
      <c r="BE843" s="62"/>
      <c r="BF843" s="62"/>
      <c r="BG843" s="62"/>
      <c r="BH843" s="62"/>
      <c r="BI843" s="62"/>
      <c r="BJ843" s="62"/>
      <c r="BK843" s="62"/>
      <c r="BL843" s="62"/>
      <c r="BM843" s="62"/>
      <c r="BN843" s="62"/>
      <c r="BO843" s="62"/>
      <c r="BP843" s="62"/>
      <c r="BQ843" s="62"/>
      <c r="BR843" s="62"/>
      <c r="BS843" s="62"/>
      <c r="BT843" s="62"/>
      <c r="BU843" s="62"/>
      <c r="BV843" s="62"/>
      <c r="BW843" s="62"/>
      <c r="BX843" s="62"/>
      <c r="BY843" s="62"/>
      <c r="BZ843" s="62"/>
      <c r="CA843" s="62"/>
      <c r="CB843" s="62"/>
      <c r="CC843" s="62"/>
      <c r="CD843" s="59">
        <v>0</v>
      </c>
      <c r="CE843" s="62">
        <v>0</v>
      </c>
      <c r="CF843" s="59">
        <v>0</v>
      </c>
      <c r="CG843" s="59">
        <v>0</v>
      </c>
      <c r="CH843" s="59">
        <v>0</v>
      </c>
      <c r="CI843" s="59"/>
      <c r="CJ843" s="59"/>
      <c r="CK843" s="59"/>
      <c r="CL843" s="59"/>
      <c r="CM843" s="59"/>
      <c r="CN843" s="59"/>
      <c r="CO843" s="59"/>
      <c r="CP843" s="59"/>
      <c r="CQ843" s="59"/>
      <c r="CR843" s="59"/>
      <c r="CS843" s="59"/>
      <c r="CT843" s="59"/>
      <c r="CU843" s="59"/>
      <c r="CV843" s="59"/>
      <c r="CW843" s="59"/>
      <c r="CX843" s="59"/>
      <c r="CY843" s="59"/>
      <c r="CZ843" s="59"/>
      <c r="DA843" s="59"/>
      <c r="DB843" s="59"/>
      <c r="DC843" s="59"/>
      <c r="DD843" s="59"/>
      <c r="DE843" s="59"/>
      <c r="DF843" s="59"/>
      <c r="DG843" s="59"/>
      <c r="DH843" s="59"/>
      <c r="DI843" s="59"/>
      <c r="DJ843" s="59"/>
      <c r="DK843" s="59"/>
      <c r="DL843" s="59"/>
      <c r="DM843" s="62">
        <f>CH843+CM843+CR843+CW843+DB843+DG843+DK843</f>
        <v>0</v>
      </c>
      <c r="DN843" s="64">
        <v>1.2500000000000001E-2</v>
      </c>
      <c r="DO843" s="62">
        <f>ROUNDUP(DM843*DN843,2)</f>
        <v>0</v>
      </c>
      <c r="DP843" s="62">
        <f>DM843+DO843</f>
        <v>0</v>
      </c>
      <c r="DQ843" s="59"/>
      <c r="DR843" s="59"/>
      <c r="DS843" s="59"/>
      <c r="DT843" s="59"/>
      <c r="DU843" s="59"/>
      <c r="DV843" s="59"/>
      <c r="DW843" s="59"/>
      <c r="DX843" s="59"/>
      <c r="DY843" s="59"/>
      <c r="DZ843" s="59"/>
      <c r="EA843" s="59"/>
      <c r="EB843" s="59"/>
      <c r="EC843" s="59"/>
      <c r="ED843" s="59"/>
      <c r="EE843" s="59"/>
      <c r="EF843" s="59">
        <v>300</v>
      </c>
      <c r="EG843" s="59">
        <v>3000</v>
      </c>
      <c r="EH843" s="59">
        <v>8</v>
      </c>
      <c r="EI843" s="61">
        <v>0.95</v>
      </c>
      <c r="EJ843" s="59">
        <v>4</v>
      </c>
      <c r="EK843" s="59">
        <v>64</v>
      </c>
      <c r="EL843" s="65">
        <f>3600/EK843*EH843*EJ843*EI843</f>
        <v>1710</v>
      </c>
      <c r="EM843" s="59"/>
      <c r="EN843" s="59"/>
      <c r="EO843" s="59"/>
      <c r="EP843" s="59"/>
      <c r="EQ843" s="59"/>
      <c r="ER843" s="59"/>
      <c r="ES843" s="59"/>
      <c r="ET843" s="59"/>
      <c r="EU843" s="62">
        <f>EG843/EL843+FA843</f>
        <v>1.7543859649122806</v>
      </c>
      <c r="EV843" s="59"/>
      <c r="EW843" s="59"/>
      <c r="EX843" s="59"/>
      <c r="EY843" s="59"/>
      <c r="EZ843" s="59"/>
      <c r="FA843" s="59"/>
      <c r="FB843" s="59"/>
      <c r="FC843" s="59"/>
      <c r="FD843" s="59"/>
      <c r="FE843" s="59"/>
      <c r="FF843" s="59"/>
      <c r="FG843" s="59"/>
      <c r="FH843" s="59"/>
      <c r="FI843" s="59"/>
      <c r="FJ843" s="59"/>
      <c r="FK843" s="59"/>
      <c r="FL843" s="59"/>
      <c r="FM843" s="59"/>
      <c r="FN843" s="59"/>
      <c r="FO843" s="59"/>
      <c r="FP843" s="59"/>
      <c r="FQ843" s="59"/>
      <c r="FR843" s="59"/>
      <c r="FS843" s="59"/>
      <c r="FT843" s="59"/>
      <c r="FU843" s="59"/>
      <c r="FV843" s="59"/>
      <c r="FW843" s="59"/>
      <c r="FX843" s="59"/>
      <c r="FY843" s="59"/>
      <c r="FZ843" s="59"/>
      <c r="GA843" s="59"/>
      <c r="GB843" s="59"/>
      <c r="GC843" s="59"/>
      <c r="GD843" s="59"/>
      <c r="GE843" s="59"/>
      <c r="GF843" s="59"/>
      <c r="GG843" s="59"/>
      <c r="GH843" s="59"/>
      <c r="GI843" s="59"/>
      <c r="GJ843" s="59"/>
      <c r="GK843" s="59"/>
      <c r="GL843" s="59"/>
      <c r="GM843" s="59"/>
      <c r="GN843" s="59"/>
      <c r="GO843" s="59"/>
      <c r="GP843" s="59"/>
      <c r="GQ843" s="59"/>
      <c r="GR843" s="61">
        <v>0.11</v>
      </c>
      <c r="GS843" s="62">
        <f>GR843*(BA843+EU843)</f>
        <v>1.1191824561403509</v>
      </c>
      <c r="GT843" s="64">
        <v>1.2500000000000001E-2</v>
      </c>
      <c r="GU843" s="62">
        <f>GT843*(BA843+EU843)</f>
        <v>0.1271798245614035</v>
      </c>
      <c r="GV843" s="61">
        <v>0.02</v>
      </c>
      <c r="GW843" s="62">
        <f>GV843*EU843</f>
        <v>3.5087719298245612E-2</v>
      </c>
      <c r="GX843" s="62">
        <f>GS843+GU843+GW843</f>
        <v>1.28145</v>
      </c>
      <c r="GY843" s="59" t="s">
        <v>43</v>
      </c>
      <c r="GZ843" s="59" t="s">
        <v>551</v>
      </c>
      <c r="HA843" s="59">
        <v>805</v>
      </c>
      <c r="HB843" s="59">
        <v>675</v>
      </c>
      <c r="HC843" s="59">
        <v>405</v>
      </c>
      <c r="HD843" s="59">
        <v>200</v>
      </c>
      <c r="HE843" s="59">
        <v>1500</v>
      </c>
      <c r="HF843" s="62">
        <f>ROUNDUP(HE843/HD843,0)</f>
        <v>8</v>
      </c>
      <c r="HG843" s="59">
        <v>5</v>
      </c>
      <c r="HH843" s="62">
        <f>HF843*HG843</f>
        <v>40</v>
      </c>
      <c r="HI843" s="59">
        <v>600</v>
      </c>
      <c r="HJ843" s="62">
        <f>HH843*HI843</f>
        <v>24000</v>
      </c>
      <c r="HK843" s="59"/>
      <c r="HL843" s="59"/>
      <c r="HM843" s="59">
        <v>2</v>
      </c>
      <c r="HN843" s="62">
        <f>HM843*12*25*HE843</f>
        <v>900000</v>
      </c>
      <c r="HO843" s="62">
        <f>IF(GY843="carton box",HI843/HD843,HJ843/HN843)</f>
        <v>2.6666666666666668E-2</v>
      </c>
      <c r="HP843" s="59">
        <v>160</v>
      </c>
      <c r="HQ843" s="59">
        <v>0</v>
      </c>
      <c r="HR843" s="59">
        <v>0</v>
      </c>
      <c r="HS843" s="59">
        <v>0</v>
      </c>
      <c r="HT843" s="59">
        <v>0</v>
      </c>
      <c r="HU843" s="59"/>
      <c r="HV843" s="62">
        <f>HO843+HT843</f>
        <v>2.6666666666666668E-2</v>
      </c>
      <c r="HW843" s="62"/>
      <c r="HX843" s="59">
        <v>5016</v>
      </c>
      <c r="HY843" s="59">
        <v>1976</v>
      </c>
      <c r="HZ843" s="59">
        <v>2280</v>
      </c>
      <c r="IA843" s="62">
        <f t="shared" ref="IA843:IC844" si="818">ROUNDDOWN(HX843/HA843,0)</f>
        <v>6</v>
      </c>
      <c r="IB843" s="62">
        <f t="shared" si="818"/>
        <v>2</v>
      </c>
      <c r="IC843" s="62">
        <f t="shared" si="818"/>
        <v>5</v>
      </c>
      <c r="ID843" s="61">
        <v>0.95</v>
      </c>
      <c r="IE843" s="62">
        <f>PRODUCT(IA843:ID843)+63</f>
        <v>120</v>
      </c>
      <c r="IF843" s="59">
        <v>5000</v>
      </c>
      <c r="IG843" s="69">
        <f>IF843/(IE843*HD843)</f>
        <v>0.20833333333333334</v>
      </c>
      <c r="IH843" s="69"/>
    </row>
    <row r="844" spans="1:339" ht="45">
      <c r="A844">
        <v>829</v>
      </c>
      <c r="B844" t="s">
        <v>468</v>
      </c>
      <c r="C844" s="187" t="s">
        <v>2602</v>
      </c>
      <c r="D844" s="28" t="s">
        <v>1684</v>
      </c>
      <c r="E844" s="28" t="s">
        <v>1685</v>
      </c>
      <c r="F844" s="28" t="s">
        <v>2182</v>
      </c>
      <c r="G844" s="27" t="s">
        <v>108</v>
      </c>
      <c r="I844" s="27" t="s">
        <v>121</v>
      </c>
      <c r="J844" s="28">
        <v>21697</v>
      </c>
      <c r="K844" s="27" t="s">
        <v>227</v>
      </c>
      <c r="Q844" s="13" t="s">
        <v>1768</v>
      </c>
      <c r="R844" s="13" t="s">
        <v>1194</v>
      </c>
      <c r="S844" s="13" t="s">
        <v>2604</v>
      </c>
      <c r="T844" s="13"/>
      <c r="U844" s="13"/>
      <c r="V844" s="72" t="s">
        <v>2486</v>
      </c>
      <c r="W844" s="53" t="s">
        <v>2605</v>
      </c>
      <c r="AA844" t="s">
        <v>2606</v>
      </c>
      <c r="AB844" s="66">
        <v>111.01</v>
      </c>
      <c r="AC844">
        <v>20</v>
      </c>
      <c r="AD844"/>
      <c r="AE844" s="7">
        <f>BA844</f>
        <v>27.530480000000001</v>
      </c>
      <c r="AF844" s="7">
        <f>DT844</f>
        <v>0</v>
      </c>
      <c r="AG844" s="7">
        <f>EU844+EM844</f>
        <v>6.0185185185185182</v>
      </c>
      <c r="AH844" s="7">
        <f>DM844</f>
        <v>0</v>
      </c>
      <c r="AI844" s="7">
        <f>DO844</f>
        <v>0</v>
      </c>
      <c r="AJ844" s="7">
        <f>GW844</f>
        <v>0.12037037037037036</v>
      </c>
      <c r="AK844" s="7">
        <f>GU844</f>
        <v>0.41936248148148147</v>
      </c>
      <c r="AL844" s="7">
        <f>GS844</f>
        <v>3.6903898370370367</v>
      </c>
      <c r="AM844" s="7">
        <f>HV844</f>
        <v>0.46</v>
      </c>
      <c r="AN844" s="7">
        <f>IG844</f>
        <v>0.37</v>
      </c>
      <c r="AO844" s="7"/>
      <c r="AP844" s="7"/>
      <c r="AQ844" s="7">
        <f>SUM(AE844:AP844)</f>
        <v>38.609121207407405</v>
      </c>
      <c r="AR844" s="7"/>
      <c r="AS844" s="7"/>
      <c r="AT844" s="7"/>
      <c r="AU844" s="7">
        <f>38.79-38.61</f>
        <v>0.17999999999999972</v>
      </c>
      <c r="AV844" s="7">
        <f>AQ844+AU844+AT844+AR844</f>
        <v>38.789121207407405</v>
      </c>
      <c r="AW844" s="59">
        <v>0.248</v>
      </c>
      <c r="AX844" s="59">
        <v>0.248</v>
      </c>
      <c r="AY844" s="61">
        <v>1</v>
      </c>
      <c r="AZ844" s="69">
        <f>AW844-AX844</f>
        <v>0</v>
      </c>
      <c r="BA844" s="62">
        <f>AW844*AB844-(AZ844*AC844)*AY844</f>
        <v>27.530480000000001</v>
      </c>
      <c r="BB844" s="62"/>
      <c r="BC844" s="62"/>
      <c r="BD844" s="62"/>
      <c r="BE844" s="62"/>
      <c r="BF844" s="62"/>
      <c r="BG844" s="62"/>
      <c r="BH844" s="62"/>
      <c r="BI844" s="62"/>
      <c r="BJ844" s="62"/>
      <c r="BK844" s="62"/>
      <c r="BL844" s="62"/>
      <c r="BM844" s="62"/>
      <c r="BN844" s="62"/>
      <c r="BO844" s="62"/>
      <c r="BP844" s="62"/>
      <c r="BQ844" s="62"/>
      <c r="BR844" s="62"/>
      <c r="BS844" s="62"/>
      <c r="BT844" s="62"/>
      <c r="BU844" s="62"/>
      <c r="BV844" s="62"/>
      <c r="BW844" s="62"/>
      <c r="BX844" s="62"/>
      <c r="BY844" s="62"/>
      <c r="BZ844" s="62"/>
      <c r="CA844" s="62"/>
      <c r="CB844" s="62"/>
      <c r="CC844" s="62"/>
      <c r="CD844" s="59">
        <v>0</v>
      </c>
      <c r="CE844" s="62">
        <v>0</v>
      </c>
      <c r="CF844" s="62">
        <v>0</v>
      </c>
      <c r="CG844" s="62">
        <v>0</v>
      </c>
      <c r="CH844" s="62">
        <v>0</v>
      </c>
      <c r="CI844" s="59"/>
      <c r="CJ844" s="59"/>
      <c r="CK844" s="59"/>
      <c r="CL844" s="59"/>
      <c r="CM844" s="59"/>
      <c r="CN844" s="59"/>
      <c r="CO844" s="59"/>
      <c r="CP844" s="59"/>
      <c r="CQ844" s="59"/>
      <c r="CR844" s="59"/>
      <c r="CS844" s="59"/>
      <c r="CT844" s="59"/>
      <c r="CU844" s="59"/>
      <c r="CV844" s="59"/>
      <c r="CW844" s="59"/>
      <c r="CX844" s="59"/>
      <c r="CY844" s="59"/>
      <c r="CZ844" s="59"/>
      <c r="DA844" s="59"/>
      <c r="DB844" s="59"/>
      <c r="DC844" s="59"/>
      <c r="DD844" s="59"/>
      <c r="DE844" s="59"/>
      <c r="DF844" s="59"/>
      <c r="DG844" s="59"/>
      <c r="DH844" s="59"/>
      <c r="DI844" s="59"/>
      <c r="DJ844" s="59"/>
      <c r="DK844" s="59"/>
      <c r="DL844" s="59"/>
      <c r="DM844" s="62">
        <f>CH844+CM844+CR844+CW844+DB844+DG844+DK844</f>
        <v>0</v>
      </c>
      <c r="DN844" s="64">
        <v>1.2500000000000001E-2</v>
      </c>
      <c r="DO844" s="62">
        <f>ROUNDUP(DM844*DN844,2)</f>
        <v>0</v>
      </c>
      <c r="DP844" s="62">
        <f>DM844+DO844</f>
        <v>0</v>
      </c>
      <c r="DQ844" s="59"/>
      <c r="DR844" s="59"/>
      <c r="DS844" s="59"/>
      <c r="DT844" s="59"/>
      <c r="DU844" s="59"/>
      <c r="DV844" s="59"/>
      <c r="DW844" s="59"/>
      <c r="DX844" s="59"/>
      <c r="DY844" s="59"/>
      <c r="DZ844" s="59"/>
      <c r="EA844" s="59"/>
      <c r="EB844" s="59"/>
      <c r="EC844" s="59"/>
      <c r="ED844" s="59"/>
      <c r="EE844" s="59"/>
      <c r="EF844" s="59">
        <v>450</v>
      </c>
      <c r="EG844" s="59">
        <v>4500</v>
      </c>
      <c r="EH844" s="59">
        <v>7.5</v>
      </c>
      <c r="EI844" s="61">
        <v>0.9</v>
      </c>
      <c r="EJ844" s="59">
        <v>2</v>
      </c>
      <c r="EK844" s="59">
        <v>65</v>
      </c>
      <c r="EL844" s="65">
        <f>3600/EK844*EH844*EJ844*EI844</f>
        <v>747.69230769230774</v>
      </c>
      <c r="EM844" s="59"/>
      <c r="EN844" s="59"/>
      <c r="EO844" s="59"/>
      <c r="EP844" s="59"/>
      <c r="EQ844" s="59"/>
      <c r="ER844" s="59"/>
      <c r="ES844" s="59"/>
      <c r="ET844" s="59"/>
      <c r="EU844" s="62">
        <f>EG844/EL844+FA844</f>
        <v>6.0185185185185182</v>
      </c>
      <c r="EV844" s="59"/>
      <c r="EW844" s="59"/>
      <c r="EX844" s="59"/>
      <c r="EY844" s="59"/>
      <c r="EZ844" s="59"/>
      <c r="FA844" s="59"/>
      <c r="FB844" s="59"/>
      <c r="FC844" s="59"/>
      <c r="FD844" s="59"/>
      <c r="FE844" s="59"/>
      <c r="FF844" s="59"/>
      <c r="FG844" s="59"/>
      <c r="FH844" s="59"/>
      <c r="FI844" s="59"/>
      <c r="FJ844" s="59"/>
      <c r="FK844" s="59"/>
      <c r="FL844" s="59"/>
      <c r="FM844" s="59"/>
      <c r="FN844" s="59"/>
      <c r="FO844" s="59"/>
      <c r="FP844" s="59"/>
      <c r="FQ844" s="59"/>
      <c r="FR844" s="59"/>
      <c r="FS844" s="59"/>
      <c r="FT844" s="59"/>
      <c r="FU844" s="59"/>
      <c r="FV844" s="59"/>
      <c r="FW844" s="59"/>
      <c r="FX844" s="59"/>
      <c r="FY844" s="59"/>
      <c r="FZ844" s="59"/>
      <c r="GA844" s="59"/>
      <c r="GB844" s="59"/>
      <c r="GC844" s="59"/>
      <c r="GD844" s="59"/>
      <c r="GE844" s="59"/>
      <c r="GF844" s="59"/>
      <c r="GG844" s="59"/>
      <c r="GH844" s="59"/>
      <c r="GI844" s="59"/>
      <c r="GJ844" s="59"/>
      <c r="GK844" s="59"/>
      <c r="GL844" s="59"/>
      <c r="GM844" s="59"/>
      <c r="GN844" s="59"/>
      <c r="GO844" s="59"/>
      <c r="GP844" s="59"/>
      <c r="GQ844" s="59"/>
      <c r="GR844" s="61">
        <v>0.11</v>
      </c>
      <c r="GS844" s="62">
        <f>GR844*(BA844+EU844)</f>
        <v>3.6903898370370367</v>
      </c>
      <c r="GT844" s="64">
        <v>1.2500000000000001E-2</v>
      </c>
      <c r="GU844" s="62">
        <f>GT844*(BA844+EU844)</f>
        <v>0.41936248148148147</v>
      </c>
      <c r="GV844" s="61">
        <v>0.02</v>
      </c>
      <c r="GW844" s="62">
        <f>GV844*EU844</f>
        <v>0.12037037037037036</v>
      </c>
      <c r="GX844" s="62">
        <f>GS844+GU844+GW844</f>
        <v>4.2301226888888888</v>
      </c>
      <c r="GY844" s="59" t="s">
        <v>43</v>
      </c>
      <c r="GZ844" s="59" t="s">
        <v>551</v>
      </c>
      <c r="HA844" s="59">
        <v>650</v>
      </c>
      <c r="HB844" s="59">
        <v>450</v>
      </c>
      <c r="HC844" s="59">
        <v>330</v>
      </c>
      <c r="HD844" s="59">
        <v>12</v>
      </c>
      <c r="HE844" s="59">
        <v>1000</v>
      </c>
      <c r="HF844" s="62">
        <f>ROUNDUP(HE844/HD844,0)</f>
        <v>84</v>
      </c>
      <c r="HG844" s="59">
        <v>5</v>
      </c>
      <c r="HH844" s="62">
        <f>HF844*HG844</f>
        <v>420</v>
      </c>
      <c r="HI844" s="59">
        <v>650</v>
      </c>
      <c r="HJ844" s="62">
        <f>HH844*HI844</f>
        <v>273000</v>
      </c>
      <c r="HK844" s="59"/>
      <c r="HL844" s="59"/>
      <c r="HM844" s="59">
        <v>2</v>
      </c>
      <c r="HN844" s="62">
        <f>HM844*12*25*HE844</f>
        <v>600000</v>
      </c>
      <c r="HO844" s="62">
        <f>IF(GY844="carton box",HI844/HD844,HJ844/HN844)</f>
        <v>0.45500000000000002</v>
      </c>
      <c r="HP844" s="59">
        <v>160</v>
      </c>
      <c r="HQ844" s="59">
        <v>0</v>
      </c>
      <c r="HR844" s="59">
        <v>0</v>
      </c>
      <c r="HS844" s="59">
        <v>0</v>
      </c>
      <c r="HT844" s="59">
        <v>0</v>
      </c>
      <c r="HU844" s="59"/>
      <c r="HV844" s="62">
        <f>ROUNDUP(HO844+HT844,2)</f>
        <v>0.46</v>
      </c>
      <c r="HW844" s="62"/>
      <c r="HX844" s="59">
        <v>4200</v>
      </c>
      <c r="HY844" s="59">
        <v>1900</v>
      </c>
      <c r="HZ844" s="59">
        <v>1975</v>
      </c>
      <c r="IA844" s="62">
        <f t="shared" si="818"/>
        <v>6</v>
      </c>
      <c r="IB844" s="62">
        <f t="shared" si="818"/>
        <v>4</v>
      </c>
      <c r="IC844" s="62">
        <f t="shared" si="818"/>
        <v>5</v>
      </c>
      <c r="ID844" s="61">
        <v>0.95</v>
      </c>
      <c r="IE844" s="62">
        <f>PRODUCT(IA844:ID844)</f>
        <v>114</v>
      </c>
      <c r="IF844" s="59">
        <v>500</v>
      </c>
      <c r="IG844" s="62">
        <f>ROUNDUP(IF844/(IE844*HD844),2)</f>
        <v>0.37</v>
      </c>
      <c r="IH844" s="62"/>
    </row>
    <row r="845" spans="1:339">
      <c r="A845">
        <v>830</v>
      </c>
      <c r="B845" s="301" t="s">
        <v>1947</v>
      </c>
      <c r="D845" s="28" t="s">
        <v>1684</v>
      </c>
      <c r="E845" s="28" t="s">
        <v>1685</v>
      </c>
      <c r="F845" s="28" t="s">
        <v>1947</v>
      </c>
      <c r="G845" s="27" t="s">
        <v>108</v>
      </c>
      <c r="I845" s="27" t="s">
        <v>121</v>
      </c>
      <c r="J845" s="28">
        <v>20178</v>
      </c>
      <c r="K845" s="27" t="s">
        <v>1243</v>
      </c>
    </row>
    <row r="846" spans="1:339" ht="30">
      <c r="A846">
        <v>831</v>
      </c>
      <c r="C846" t="s">
        <v>567</v>
      </c>
      <c r="D846" s="28" t="s">
        <v>1684</v>
      </c>
      <c r="E846" s="28" t="s">
        <v>1685</v>
      </c>
      <c r="F846" s="28" t="s">
        <v>2444</v>
      </c>
      <c r="G846" s="27" t="s">
        <v>108</v>
      </c>
      <c r="I846" s="27" t="s">
        <v>226</v>
      </c>
      <c r="J846" s="28">
        <v>21590</v>
      </c>
      <c r="K846" s="27" t="s">
        <v>397</v>
      </c>
      <c r="N846" s="13" t="s">
        <v>2442</v>
      </c>
      <c r="O846" s="13" t="s">
        <v>2603</v>
      </c>
      <c r="P846" s="13" t="s">
        <v>2443</v>
      </c>
      <c r="S846" s="13"/>
      <c r="T846" s="13"/>
      <c r="U846" s="13"/>
      <c r="V846" s="72" t="s">
        <v>2486</v>
      </c>
    </row>
    <row r="847" spans="1:339">
      <c r="A847">
        <v>832</v>
      </c>
      <c r="B847" s="301" t="s">
        <v>1947</v>
      </c>
      <c r="D847" s="28" t="s">
        <v>1684</v>
      </c>
      <c r="E847" s="28" t="s">
        <v>1685</v>
      </c>
      <c r="F847" s="28" t="s">
        <v>1947</v>
      </c>
      <c r="G847" s="27" t="s">
        <v>108</v>
      </c>
      <c r="I847" s="27" t="s">
        <v>226</v>
      </c>
      <c r="J847" s="28">
        <v>21599</v>
      </c>
      <c r="K847" s="27" t="s">
        <v>1240</v>
      </c>
    </row>
    <row r="848" spans="1:339" ht="30">
      <c r="A848">
        <v>833</v>
      </c>
      <c r="B848" t="s">
        <v>468</v>
      </c>
      <c r="C848" t="s">
        <v>2607</v>
      </c>
      <c r="D848" s="28" t="s">
        <v>1686</v>
      </c>
      <c r="E848" s="28" t="s">
        <v>140</v>
      </c>
      <c r="F848" s="28" t="s">
        <v>2182</v>
      </c>
      <c r="G848" s="27" t="s">
        <v>108</v>
      </c>
      <c r="I848" s="27" t="s">
        <v>121</v>
      </c>
      <c r="J848" s="28">
        <v>21677</v>
      </c>
      <c r="K848" s="27" t="s">
        <v>228</v>
      </c>
      <c r="L848">
        <v>21554</v>
      </c>
      <c r="M848" t="s">
        <v>121</v>
      </c>
      <c r="Q848" s="13" t="s">
        <v>1768</v>
      </c>
      <c r="R848" s="13" t="s">
        <v>1769</v>
      </c>
      <c r="S848" s="13" t="s">
        <v>2608</v>
      </c>
      <c r="T848" s="13"/>
      <c r="U848" s="13"/>
      <c r="V848" s="72" t="s">
        <v>2486</v>
      </c>
      <c r="W848" s="53" t="s">
        <v>2609</v>
      </c>
      <c r="AA848" t="s">
        <v>415</v>
      </c>
      <c r="AB848" s="66">
        <v>285</v>
      </c>
      <c r="AC848">
        <v>0</v>
      </c>
      <c r="AD848"/>
      <c r="AE848" s="7">
        <f>BA848</f>
        <v>4.2749999999999995</v>
      </c>
      <c r="AF848" s="7">
        <f>DT848</f>
        <v>0</v>
      </c>
      <c r="AG848" s="7">
        <f>EU848+EM848+EP848+EQ848</f>
        <v>2.0611111111111113</v>
      </c>
      <c r="AH848" s="7">
        <f>DM848</f>
        <v>0</v>
      </c>
      <c r="AI848" s="7">
        <f>DO848</f>
        <v>0</v>
      </c>
      <c r="AJ848" s="7">
        <f>GW848</f>
        <v>2.2222222222222223E-2</v>
      </c>
      <c r="AK848" s="7">
        <f>GU848</f>
        <v>0.12672222222222224</v>
      </c>
      <c r="AL848" s="7">
        <f>GS848</f>
        <v>0.69697222222222222</v>
      </c>
      <c r="AM848" s="7">
        <f>HV848</f>
        <v>1.6250000000000001E-2</v>
      </c>
      <c r="AN848" s="7">
        <f>IG848</f>
        <v>6.5789473684210523E-3</v>
      </c>
      <c r="AO848" s="7"/>
      <c r="AP848" s="7"/>
      <c r="AQ848" s="7">
        <f>SUM(AE848:AP848)</f>
        <v>7.2048567251461986</v>
      </c>
      <c r="AR848" s="7"/>
      <c r="AS848" s="7"/>
      <c r="AT848" s="7"/>
      <c r="AU848" s="7"/>
      <c r="AV848" s="7">
        <f>AQ848+AU848+AT848+AR848</f>
        <v>7.2048567251461986</v>
      </c>
      <c r="AW848" s="59">
        <v>1.4999999999999999E-2</v>
      </c>
      <c r="AX848" s="59">
        <v>1.2E-2</v>
      </c>
      <c r="AY848" s="61">
        <v>0</v>
      </c>
      <c r="AZ848" s="69">
        <f>AW848-AX848</f>
        <v>2.9999999999999992E-3</v>
      </c>
      <c r="BA848" s="62">
        <f>AW848*AB848-(AZ848*AC848)*AY848</f>
        <v>4.2749999999999995</v>
      </c>
      <c r="BB848" s="62"/>
      <c r="BC848" s="62"/>
      <c r="BD848" s="62"/>
      <c r="BE848" s="62"/>
      <c r="BF848" s="62"/>
      <c r="BG848" s="62"/>
      <c r="BH848" s="62"/>
      <c r="BI848" s="62"/>
      <c r="BJ848" s="62"/>
      <c r="BK848" s="62"/>
      <c r="BL848" s="62"/>
      <c r="BM848" s="62"/>
      <c r="BN848" s="62"/>
      <c r="BO848" s="62"/>
      <c r="BP848" s="62"/>
      <c r="BQ848" s="62"/>
      <c r="BR848" s="62"/>
      <c r="BS848" s="62"/>
      <c r="BT848" s="62"/>
      <c r="BU848" s="62"/>
      <c r="BV848" s="62"/>
      <c r="BW848" s="62"/>
      <c r="BX848" s="62"/>
      <c r="BY848" s="62"/>
      <c r="BZ848" s="62"/>
      <c r="CA848" s="62"/>
      <c r="CB848" s="62"/>
      <c r="CC848" s="62"/>
      <c r="CD848" s="59">
        <v>0</v>
      </c>
      <c r="CE848" s="62">
        <v>0</v>
      </c>
      <c r="CF848" s="62">
        <v>0</v>
      </c>
      <c r="CG848" s="62">
        <v>0</v>
      </c>
      <c r="CH848" s="62">
        <v>0</v>
      </c>
      <c r="CI848" s="62"/>
      <c r="CJ848" s="59"/>
      <c r="CK848" s="59"/>
      <c r="CL848" s="59"/>
      <c r="CM848" s="59"/>
      <c r="CN848" s="59"/>
      <c r="CO848" s="59"/>
      <c r="CP848" s="59"/>
      <c r="CQ848" s="59"/>
      <c r="CR848" s="59"/>
      <c r="CS848" s="59"/>
      <c r="CT848" s="59"/>
      <c r="CU848" s="59"/>
      <c r="CV848" s="59"/>
      <c r="CW848" s="59"/>
      <c r="CX848" s="59"/>
      <c r="CY848" s="59"/>
      <c r="CZ848" s="59"/>
      <c r="DA848" s="59"/>
      <c r="DB848" s="59"/>
      <c r="DC848" s="59"/>
      <c r="DD848" s="59"/>
      <c r="DE848" s="59"/>
      <c r="DF848" s="59"/>
      <c r="DG848" s="59"/>
      <c r="DH848" s="59"/>
      <c r="DI848" s="59"/>
      <c r="DJ848" s="59"/>
      <c r="DK848" s="59"/>
      <c r="DL848" s="59"/>
      <c r="DM848" s="62">
        <f>CH848+CM848+CR848+CW848+DB848+DG848+DK848</f>
        <v>0</v>
      </c>
      <c r="DN848" s="64">
        <v>1.2500000000000001E-2</v>
      </c>
      <c r="DO848" s="62">
        <f>ROUNDUP(DM848*DN848,2)</f>
        <v>0</v>
      </c>
      <c r="DP848" s="62">
        <f>DM848+DO848</f>
        <v>0</v>
      </c>
      <c r="DQ848" s="59"/>
      <c r="DR848" s="59"/>
      <c r="DS848" s="59"/>
      <c r="DT848" s="59"/>
      <c r="DU848" s="59"/>
      <c r="DV848" s="59"/>
      <c r="DW848" s="59"/>
      <c r="DX848" s="59"/>
      <c r="DY848" s="59"/>
      <c r="DZ848" s="59"/>
      <c r="EA848" s="59"/>
      <c r="EB848" s="59"/>
      <c r="EC848" s="59"/>
      <c r="ED848" s="59"/>
      <c r="EE848" s="59"/>
      <c r="EF848" s="59">
        <v>160</v>
      </c>
      <c r="EG848" s="59">
        <v>2560</v>
      </c>
      <c r="EH848" s="59">
        <v>8</v>
      </c>
      <c r="EI848" s="61">
        <v>0.85</v>
      </c>
      <c r="EJ848" s="59">
        <v>8</v>
      </c>
      <c r="EK848" s="59">
        <v>85</v>
      </c>
      <c r="EL848" s="65">
        <f>3600/EK848*EH848*EJ848*EI848</f>
        <v>2304</v>
      </c>
      <c r="EM848" s="59"/>
      <c r="EN848" s="59"/>
      <c r="EO848" s="59"/>
      <c r="EP848" s="62">
        <v>0.8</v>
      </c>
      <c r="EQ848" s="59">
        <v>0.15</v>
      </c>
      <c r="ER848" s="59"/>
      <c r="ES848" s="59"/>
      <c r="ET848" s="59"/>
      <c r="EU848" s="62">
        <f>EG848/EL848+FA848</f>
        <v>1.1111111111111112</v>
      </c>
      <c r="EV848" s="59"/>
      <c r="EW848" s="59"/>
      <c r="EX848" s="59"/>
      <c r="EY848" s="59"/>
      <c r="EZ848" s="59"/>
      <c r="FA848" s="59"/>
      <c r="FB848" s="59"/>
      <c r="FC848" s="59"/>
      <c r="FD848" s="59"/>
      <c r="FE848" s="59"/>
      <c r="FF848" s="59"/>
      <c r="FG848" s="59"/>
      <c r="FH848" s="59"/>
      <c r="FI848" s="59"/>
      <c r="FJ848" s="59"/>
      <c r="FK848" s="59"/>
      <c r="FL848" s="59"/>
      <c r="FM848" s="59"/>
      <c r="FN848" s="59"/>
      <c r="FO848" s="59"/>
      <c r="FP848" s="59"/>
      <c r="FQ848" s="59"/>
      <c r="FR848" s="59"/>
      <c r="FS848" s="59"/>
      <c r="FT848" s="59"/>
      <c r="FU848" s="59"/>
      <c r="FV848" s="59"/>
      <c r="FW848" s="59"/>
      <c r="FX848" s="59"/>
      <c r="FY848" s="59"/>
      <c r="FZ848" s="59"/>
      <c r="GA848" s="59"/>
      <c r="GB848" s="59"/>
      <c r="GC848" s="59"/>
      <c r="GD848" s="59"/>
      <c r="GE848" s="59"/>
      <c r="GF848" s="59"/>
      <c r="GG848" s="59"/>
      <c r="GH848" s="59"/>
      <c r="GI848" s="59"/>
      <c r="GJ848" s="59"/>
      <c r="GK848" s="59"/>
      <c r="GL848" s="59"/>
      <c r="GM848" s="59"/>
      <c r="GN848" s="59"/>
      <c r="GO848" s="59"/>
      <c r="GP848" s="59"/>
      <c r="GQ848" s="59"/>
      <c r="GR848" s="61">
        <v>0.11</v>
      </c>
      <c r="GS848" s="62">
        <f>GR848*(BA848+EU848+EP848+EQ848)</f>
        <v>0.69697222222222222</v>
      </c>
      <c r="GT848" s="64">
        <v>0.02</v>
      </c>
      <c r="GU848" s="62">
        <f>GT848*(BA848+EU848+EP848+EQ848)</f>
        <v>0.12672222222222224</v>
      </c>
      <c r="GV848" s="61">
        <v>0.02</v>
      </c>
      <c r="GW848" s="62">
        <f>GV848*EU848</f>
        <v>2.2222222222222223E-2</v>
      </c>
      <c r="GX848" s="62">
        <f>GS848+GU848+GW848</f>
        <v>0.84591666666666676</v>
      </c>
      <c r="GY848" s="59" t="s">
        <v>43</v>
      </c>
      <c r="GZ848" s="59" t="s">
        <v>551</v>
      </c>
      <c r="HA848" s="59">
        <v>650</v>
      </c>
      <c r="HB848" s="59">
        <v>450</v>
      </c>
      <c r="HC848" s="59">
        <v>315</v>
      </c>
      <c r="HD848" s="59">
        <v>400</v>
      </c>
      <c r="HE848" s="59">
        <v>800</v>
      </c>
      <c r="HF848" s="62">
        <f>ROUNDUP(HE848/HD848,0)</f>
        <v>2</v>
      </c>
      <c r="HG848" s="59">
        <v>5</v>
      </c>
      <c r="HH848" s="62">
        <f>HF848*HG848+2</f>
        <v>12</v>
      </c>
      <c r="HI848" s="59">
        <v>650</v>
      </c>
      <c r="HJ848" s="62">
        <f>HH848*HI848</f>
        <v>7800</v>
      </c>
      <c r="HK848" s="59"/>
      <c r="HL848" s="59"/>
      <c r="HM848" s="59">
        <v>2</v>
      </c>
      <c r="HN848" s="62">
        <f>HM848*12*25*HE848</f>
        <v>480000</v>
      </c>
      <c r="HO848" s="62">
        <f>IF(GY848="carton box",HI848/HD848,HJ848/HN848)</f>
        <v>1.6250000000000001E-2</v>
      </c>
      <c r="HP848" s="59">
        <v>160</v>
      </c>
      <c r="HQ848" s="59">
        <v>0</v>
      </c>
      <c r="HR848" s="59">
        <v>0</v>
      </c>
      <c r="HS848" s="59">
        <v>0</v>
      </c>
      <c r="HT848" s="59">
        <v>0</v>
      </c>
      <c r="HU848" s="59"/>
      <c r="HV848" s="62">
        <f>HO848+HT848</f>
        <v>1.6250000000000001E-2</v>
      </c>
      <c r="HW848" s="62"/>
      <c r="HX848" s="59">
        <v>5016</v>
      </c>
      <c r="HY848" s="59">
        <v>1976</v>
      </c>
      <c r="HZ848" s="59">
        <v>2280</v>
      </c>
      <c r="IA848" s="62">
        <f>ROUNDDOWN(HX848/HA848,0)</f>
        <v>7</v>
      </c>
      <c r="IB848" s="62">
        <f>ROUNDDOWN(HY848/HB848,0)</f>
        <v>4</v>
      </c>
      <c r="IC848" s="62">
        <f>ROUNDDOWN(HZ848/HC848,0)</f>
        <v>7</v>
      </c>
      <c r="ID848" s="61">
        <v>0.95</v>
      </c>
      <c r="IE848" s="62">
        <f>PRODUCT(IA848:ID848)+3.8</f>
        <v>190</v>
      </c>
      <c r="IF848" s="59">
        <v>500</v>
      </c>
      <c r="IG848" s="62">
        <f>IF848/(IE848*HD848)</f>
        <v>6.5789473684210523E-3</v>
      </c>
      <c r="IH848" s="62"/>
    </row>
    <row r="849" spans="1:244">
      <c r="A849">
        <v>834</v>
      </c>
      <c r="B849" s="301" t="s">
        <v>1947</v>
      </c>
      <c r="D849" s="28" t="s">
        <v>1686</v>
      </c>
      <c r="E849" s="28" t="s">
        <v>140</v>
      </c>
      <c r="F849" s="28" t="s">
        <v>1947</v>
      </c>
      <c r="G849" s="27" t="s">
        <v>108</v>
      </c>
      <c r="I849" s="27" t="s">
        <v>121</v>
      </c>
      <c r="J849" s="28">
        <v>21758</v>
      </c>
      <c r="K849" s="27" t="s">
        <v>398</v>
      </c>
    </row>
    <row r="850" spans="1:244" ht="30">
      <c r="A850">
        <v>835</v>
      </c>
      <c r="B850" t="s">
        <v>468</v>
      </c>
      <c r="C850" t="s">
        <v>2607</v>
      </c>
      <c r="D850" s="28" t="s">
        <v>1686</v>
      </c>
      <c r="E850" s="28" t="s">
        <v>140</v>
      </c>
      <c r="F850" s="28" t="s">
        <v>2182</v>
      </c>
      <c r="G850" s="27" t="s">
        <v>108</v>
      </c>
      <c r="I850" s="27" t="s">
        <v>226</v>
      </c>
      <c r="J850" s="28">
        <v>21691</v>
      </c>
      <c r="K850" s="27" t="s">
        <v>404</v>
      </c>
      <c r="N850" s="13" t="s">
        <v>1844</v>
      </c>
      <c r="O850" s="13" t="s">
        <v>1763</v>
      </c>
      <c r="P850" s="13" t="s">
        <v>2610</v>
      </c>
      <c r="S850" s="13"/>
      <c r="T850" s="13"/>
      <c r="U850" s="13"/>
      <c r="V850" s="72" t="s">
        <v>2486</v>
      </c>
      <c r="W850" s="53" t="s">
        <v>2611</v>
      </c>
      <c r="AA850" t="s">
        <v>415</v>
      </c>
      <c r="AB850" s="66">
        <v>285</v>
      </c>
      <c r="AC850">
        <v>0</v>
      </c>
      <c r="AD850"/>
      <c r="AE850" s="7">
        <f>BA850</f>
        <v>4.2749999999999995</v>
      </c>
      <c r="AF850" s="7">
        <f>DT850</f>
        <v>0</v>
      </c>
      <c r="AG850" s="7">
        <f>EU850+EM850+EP850+EQ850</f>
        <v>2.0611111111111113</v>
      </c>
      <c r="AH850" s="7">
        <f>DM850</f>
        <v>0</v>
      </c>
      <c r="AI850" s="7">
        <f>DO850</f>
        <v>0</v>
      </c>
      <c r="AJ850" s="7">
        <f>GW850</f>
        <v>2.2222222222222223E-2</v>
      </c>
      <c r="AK850" s="7">
        <f>GU850</f>
        <v>0.12672222222222224</v>
      </c>
      <c r="AL850" s="7">
        <f>GS850</f>
        <v>0.69697222222222222</v>
      </c>
      <c r="AM850" s="7">
        <f>HV850</f>
        <v>1.6250000000000001E-2</v>
      </c>
      <c r="AN850" s="7">
        <f>IG850</f>
        <v>6.5789473684210523E-3</v>
      </c>
      <c r="AO850" s="7"/>
      <c r="AP850" s="7"/>
      <c r="AQ850" s="7">
        <f>SUM(AE850:AP850)</f>
        <v>7.2048567251461986</v>
      </c>
      <c r="AR850" s="7"/>
      <c r="AS850" s="7"/>
      <c r="AT850" s="7"/>
      <c r="AU850" s="7"/>
      <c r="AV850" s="7">
        <f>AQ850+AU850+AT850+AR850</f>
        <v>7.2048567251461986</v>
      </c>
      <c r="AW850" s="59">
        <v>1.4999999999999999E-2</v>
      </c>
      <c r="AX850" s="59">
        <v>1.2E-2</v>
      </c>
      <c r="AY850" s="61">
        <v>0</v>
      </c>
      <c r="AZ850" s="69">
        <f>AW850-AX850</f>
        <v>2.9999999999999992E-3</v>
      </c>
      <c r="BA850" s="62">
        <f>AW850*AB850-(AZ850*AC850)*AY850</f>
        <v>4.2749999999999995</v>
      </c>
      <c r="BB850" s="62"/>
      <c r="BC850" s="62"/>
      <c r="BD850" s="62"/>
      <c r="BE850" s="62"/>
      <c r="BF850" s="62"/>
      <c r="BG850" s="62"/>
      <c r="BH850" s="62"/>
      <c r="BI850" s="62"/>
      <c r="BJ850" s="62"/>
      <c r="BK850" s="62"/>
      <c r="BL850" s="62"/>
      <c r="BM850" s="62"/>
      <c r="BN850" s="62"/>
      <c r="BO850" s="62"/>
      <c r="BP850" s="62"/>
      <c r="BQ850" s="62"/>
      <c r="BR850" s="62"/>
      <c r="BS850" s="62"/>
      <c r="BT850" s="62"/>
      <c r="BU850" s="62"/>
      <c r="BV850" s="62"/>
      <c r="BW850" s="62"/>
      <c r="BX850" s="62"/>
      <c r="BY850" s="62"/>
      <c r="BZ850" s="62"/>
      <c r="CA850" s="62"/>
      <c r="CB850" s="62"/>
      <c r="CC850" s="62"/>
      <c r="CD850" s="59">
        <v>0</v>
      </c>
      <c r="CE850" s="62">
        <v>0</v>
      </c>
      <c r="CF850" s="62">
        <v>0</v>
      </c>
      <c r="CG850" s="62">
        <v>0</v>
      </c>
      <c r="CH850" s="62">
        <v>0</v>
      </c>
      <c r="CI850" s="62"/>
      <c r="CJ850" s="59"/>
      <c r="CK850" s="59"/>
      <c r="CL850" s="59"/>
      <c r="CM850" s="59"/>
      <c r="CN850" s="59"/>
      <c r="CO850" s="59"/>
      <c r="CP850" s="59"/>
      <c r="CQ850" s="59"/>
      <c r="CR850" s="59"/>
      <c r="CS850" s="59"/>
      <c r="CT850" s="59"/>
      <c r="CU850" s="59"/>
      <c r="CV850" s="59"/>
      <c r="CW850" s="59"/>
      <c r="CX850" s="59"/>
      <c r="CY850" s="59"/>
      <c r="CZ850" s="59"/>
      <c r="DA850" s="59"/>
      <c r="DB850" s="59"/>
      <c r="DC850" s="59"/>
      <c r="DD850" s="59"/>
      <c r="DE850" s="59"/>
      <c r="DF850" s="59"/>
      <c r="DG850" s="59"/>
      <c r="DH850" s="59"/>
      <c r="DI850" s="59"/>
      <c r="DJ850" s="59"/>
      <c r="DK850" s="59"/>
      <c r="DL850" s="59"/>
      <c r="DM850" s="62">
        <f>CH850+CM850+CR850+CW850+DB850+DG850+DK850</f>
        <v>0</v>
      </c>
      <c r="DN850" s="64">
        <v>1.2500000000000001E-2</v>
      </c>
      <c r="DO850" s="62">
        <f>ROUNDUP(DM850*DN850,2)</f>
        <v>0</v>
      </c>
      <c r="DP850" s="62">
        <f>DM850+DO850</f>
        <v>0</v>
      </c>
      <c r="DQ850" s="59"/>
      <c r="DR850" s="59"/>
      <c r="DS850" s="59"/>
      <c r="DT850" s="59"/>
      <c r="DU850" s="59"/>
      <c r="DV850" s="59"/>
      <c r="DW850" s="59"/>
      <c r="DX850" s="59"/>
      <c r="DY850" s="59"/>
      <c r="DZ850" s="59"/>
      <c r="EA850" s="59"/>
      <c r="EB850" s="59"/>
      <c r="EC850" s="59"/>
      <c r="ED850" s="59"/>
      <c r="EE850" s="59"/>
      <c r="EF850" s="59">
        <v>160</v>
      </c>
      <c r="EG850" s="59">
        <v>2560</v>
      </c>
      <c r="EH850" s="59">
        <v>8</v>
      </c>
      <c r="EI850" s="61">
        <v>0.85</v>
      </c>
      <c r="EJ850" s="59">
        <v>8</v>
      </c>
      <c r="EK850" s="59">
        <v>85</v>
      </c>
      <c r="EL850" s="65">
        <f>3600/EK850*EH850*EJ850*EI850</f>
        <v>2304</v>
      </c>
      <c r="EM850" s="59"/>
      <c r="EN850" s="59"/>
      <c r="EO850" s="59"/>
      <c r="EP850" s="62">
        <v>0.8</v>
      </c>
      <c r="EQ850" s="59">
        <v>0.15</v>
      </c>
      <c r="ER850" s="59"/>
      <c r="ES850" s="59"/>
      <c r="ET850" s="59"/>
      <c r="EU850" s="62">
        <f>EG850/EL850+FA850</f>
        <v>1.1111111111111112</v>
      </c>
      <c r="EV850" s="59"/>
      <c r="EW850" s="59"/>
      <c r="EX850" s="59"/>
      <c r="EY850" s="59"/>
      <c r="EZ850" s="59"/>
      <c r="FA850" s="59"/>
      <c r="FB850" s="59"/>
      <c r="FC850" s="59"/>
      <c r="FD850" s="59"/>
      <c r="FE850" s="59"/>
      <c r="FF850" s="59"/>
      <c r="FG850" s="59"/>
      <c r="FH850" s="59"/>
      <c r="FI850" s="59"/>
      <c r="FJ850" s="59"/>
      <c r="FK850" s="59"/>
      <c r="FL850" s="59"/>
      <c r="FM850" s="59"/>
      <c r="FN850" s="59"/>
      <c r="FO850" s="59"/>
      <c r="FP850" s="59"/>
      <c r="FQ850" s="59"/>
      <c r="FR850" s="59"/>
      <c r="FS850" s="59"/>
      <c r="FT850" s="59"/>
      <c r="FU850" s="59"/>
      <c r="FV850" s="59"/>
      <c r="FW850" s="59"/>
      <c r="FX850" s="59"/>
      <c r="FY850" s="59"/>
      <c r="FZ850" s="59"/>
      <c r="GA850" s="59"/>
      <c r="GB850" s="59"/>
      <c r="GC850" s="59"/>
      <c r="GD850" s="59"/>
      <c r="GE850" s="59"/>
      <c r="GF850" s="59"/>
      <c r="GG850" s="59"/>
      <c r="GH850" s="59"/>
      <c r="GI850" s="59"/>
      <c r="GJ850" s="59"/>
      <c r="GK850" s="59"/>
      <c r="GL850" s="59"/>
      <c r="GM850" s="59"/>
      <c r="GN850" s="59"/>
      <c r="GO850" s="59"/>
      <c r="GP850" s="59"/>
      <c r="GQ850" s="59"/>
      <c r="GR850" s="61">
        <v>0.11</v>
      </c>
      <c r="GS850" s="62">
        <f>GR850*(BA850+EU850+EP850+EQ850)</f>
        <v>0.69697222222222222</v>
      </c>
      <c r="GT850" s="64">
        <v>0.02</v>
      </c>
      <c r="GU850" s="62">
        <f>GT850*(BA850+EU850+EP850+EQ850)</f>
        <v>0.12672222222222224</v>
      </c>
      <c r="GV850" s="61">
        <v>0.02</v>
      </c>
      <c r="GW850" s="62">
        <f>GV850*EU850</f>
        <v>2.2222222222222223E-2</v>
      </c>
      <c r="GX850" s="62">
        <f>GS850+GU850+GW850</f>
        <v>0.84591666666666676</v>
      </c>
      <c r="GY850" s="59" t="s">
        <v>43</v>
      </c>
      <c r="GZ850" s="59" t="s">
        <v>551</v>
      </c>
      <c r="HA850" s="59">
        <v>650</v>
      </c>
      <c r="HB850" s="59">
        <v>450</v>
      </c>
      <c r="HC850" s="59">
        <v>315</v>
      </c>
      <c r="HD850" s="59">
        <v>400</v>
      </c>
      <c r="HE850" s="59">
        <v>800</v>
      </c>
      <c r="HF850" s="62">
        <f>ROUNDUP(HE850/HD850,0)</f>
        <v>2</v>
      </c>
      <c r="HG850" s="59">
        <v>5</v>
      </c>
      <c r="HH850" s="62">
        <f>HF850*HG850+2</f>
        <v>12</v>
      </c>
      <c r="HI850" s="59">
        <v>650</v>
      </c>
      <c r="HJ850" s="62">
        <f>HH850*HI850</f>
        <v>7800</v>
      </c>
      <c r="HK850" s="59"/>
      <c r="HL850" s="59"/>
      <c r="HM850" s="59">
        <v>2</v>
      </c>
      <c r="HN850" s="62">
        <f>HM850*12*25*HE850</f>
        <v>480000</v>
      </c>
      <c r="HO850" s="62">
        <f>IF(GY850="carton box",HI850/HD850,HJ850/HN850)</f>
        <v>1.6250000000000001E-2</v>
      </c>
      <c r="HP850" s="59">
        <v>160</v>
      </c>
      <c r="HQ850" s="59">
        <v>0</v>
      </c>
      <c r="HR850" s="59">
        <v>0</v>
      </c>
      <c r="HS850" s="59">
        <v>0</v>
      </c>
      <c r="HT850" s="59">
        <v>0</v>
      </c>
      <c r="HU850" s="59"/>
      <c r="HV850" s="62">
        <f>HO850+HT850</f>
        <v>1.6250000000000001E-2</v>
      </c>
      <c r="HW850" s="62"/>
      <c r="HX850" s="59">
        <v>5016</v>
      </c>
      <c r="HY850" s="59">
        <v>1976</v>
      </c>
      <c r="HZ850" s="59">
        <v>2280</v>
      </c>
      <c r="IA850" s="62">
        <f>ROUNDDOWN(HX850/HA850,0)</f>
        <v>7</v>
      </c>
      <c r="IB850" s="62">
        <f>ROUNDDOWN(HY850/HB850,0)</f>
        <v>4</v>
      </c>
      <c r="IC850" s="62">
        <f>ROUNDDOWN(HZ850/HC850,0)</f>
        <v>7</v>
      </c>
      <c r="ID850" s="61">
        <v>0.95</v>
      </c>
      <c r="IE850" s="62">
        <f>PRODUCT(IA850:ID850)+3.8</f>
        <v>190</v>
      </c>
      <c r="IF850" s="59">
        <v>500</v>
      </c>
      <c r="IG850" s="62">
        <f>IF850/(IE850*HD850)</f>
        <v>6.5789473684210523E-3</v>
      </c>
      <c r="IH850" s="62"/>
    </row>
    <row r="851" spans="1:244">
      <c r="A851">
        <v>836</v>
      </c>
      <c r="B851" s="301" t="s">
        <v>1947</v>
      </c>
      <c r="D851" s="28" t="s">
        <v>1687</v>
      </c>
      <c r="E851" s="28" t="s">
        <v>1592</v>
      </c>
      <c r="F851" s="28" t="s">
        <v>1947</v>
      </c>
      <c r="G851" s="27" t="s">
        <v>108</v>
      </c>
      <c r="I851" s="27" t="s">
        <v>121</v>
      </c>
      <c r="J851" s="28">
        <v>21554</v>
      </c>
      <c r="K851" s="27" t="s">
        <v>228</v>
      </c>
    </row>
    <row r="852" spans="1:244">
      <c r="A852">
        <v>837</v>
      </c>
      <c r="B852" s="301" t="s">
        <v>1947</v>
      </c>
      <c r="D852" s="28" t="s">
        <v>1687</v>
      </c>
      <c r="E852" s="28" t="s">
        <v>1592</v>
      </c>
      <c r="F852" s="28" t="s">
        <v>1947</v>
      </c>
      <c r="G852" s="27" t="s">
        <v>108</v>
      </c>
      <c r="I852" s="27" t="s">
        <v>121</v>
      </c>
      <c r="J852" s="28">
        <v>20900</v>
      </c>
      <c r="K852" s="27" t="s">
        <v>1246</v>
      </c>
    </row>
    <row r="853" spans="1:244" ht="30">
      <c r="A853">
        <v>838</v>
      </c>
      <c r="C853" t="s">
        <v>567</v>
      </c>
      <c r="D853" s="28" t="s">
        <v>1688</v>
      </c>
      <c r="E853" s="28" t="s">
        <v>1689</v>
      </c>
      <c r="F853" s="28" t="s">
        <v>2444</v>
      </c>
      <c r="G853" s="27" t="s">
        <v>108</v>
      </c>
      <c r="I853" s="27" t="s">
        <v>226</v>
      </c>
      <c r="J853" s="28">
        <v>21590</v>
      </c>
      <c r="K853" s="27" t="s">
        <v>397</v>
      </c>
      <c r="N853" s="13" t="s">
        <v>2281</v>
      </c>
      <c r="O853" s="13" t="s">
        <v>1763</v>
      </c>
      <c r="P853" s="13" t="s">
        <v>2612</v>
      </c>
      <c r="S853" s="13"/>
      <c r="T853" s="13"/>
      <c r="U853" s="13"/>
      <c r="V853" s="72" t="s">
        <v>2486</v>
      </c>
    </row>
    <row r="854" spans="1:244" ht="30">
      <c r="A854">
        <v>839</v>
      </c>
      <c r="B854" t="s">
        <v>468</v>
      </c>
      <c r="C854" t="s">
        <v>2613</v>
      </c>
      <c r="D854" s="28" t="s">
        <v>1690</v>
      </c>
      <c r="E854" s="28" t="s">
        <v>1691</v>
      </c>
      <c r="F854" s="28" t="s">
        <v>2182</v>
      </c>
      <c r="G854" s="27" t="s">
        <v>108</v>
      </c>
      <c r="I854" s="27" t="s">
        <v>121</v>
      </c>
      <c r="J854" s="28">
        <v>21697</v>
      </c>
      <c r="K854" s="27" t="s">
        <v>227</v>
      </c>
      <c r="L854">
        <v>20089</v>
      </c>
      <c r="M854" t="s">
        <v>121</v>
      </c>
      <c r="Q854" s="13" t="s">
        <v>1768</v>
      </c>
      <c r="R854" s="13" t="s">
        <v>1769</v>
      </c>
      <c r="S854" s="13" t="s">
        <v>2614</v>
      </c>
      <c r="T854" s="13"/>
      <c r="U854" s="13"/>
      <c r="V854" s="72" t="s">
        <v>2486</v>
      </c>
      <c r="W854" s="53" t="s">
        <v>2615</v>
      </c>
      <c r="AA854" t="s">
        <v>2616</v>
      </c>
      <c r="AB854" s="66">
        <v>130.86000000000001</v>
      </c>
      <c r="AC854">
        <v>20</v>
      </c>
      <c r="AD854" t="s">
        <v>2617</v>
      </c>
      <c r="AE854" s="7">
        <f>BA854</f>
        <v>10.389542000000002</v>
      </c>
      <c r="AF854" s="7">
        <f>DT854</f>
        <v>0</v>
      </c>
      <c r="AG854" s="7">
        <f>EU854+EM854+EP854+EQ854</f>
        <v>2.0099999999999998</v>
      </c>
      <c r="AH854" s="7">
        <f>DM854</f>
        <v>0</v>
      </c>
      <c r="AI854" s="7">
        <f>DO854</f>
        <v>0</v>
      </c>
      <c r="AJ854" s="7">
        <f>GW854</f>
        <v>4.02E-2</v>
      </c>
      <c r="AK854" s="7">
        <f>GU854</f>
        <v>0.18599313000000003</v>
      </c>
      <c r="AL854" s="7">
        <f>GS854</f>
        <v>1.55</v>
      </c>
      <c r="AM854" s="7">
        <f>HV854</f>
        <v>0.09</v>
      </c>
      <c r="AN854" s="7">
        <f>IG854</f>
        <v>0.17</v>
      </c>
      <c r="AO854" s="7"/>
      <c r="AP854" s="7"/>
      <c r="AQ854" s="7">
        <f>SUM(AE854:AP854)</f>
        <v>14.435735130000003</v>
      </c>
      <c r="AR854" s="7">
        <f>IJ854</f>
        <v>0.12399542000000002</v>
      </c>
      <c r="AS854" s="7"/>
      <c r="AT854" s="7"/>
      <c r="AU854" s="7"/>
      <c r="AV854" s="7">
        <f>AQ854+AU854+AT854+AR854</f>
        <v>14.559730550000003</v>
      </c>
      <c r="AW854" s="317">
        <v>7.9700000000000007E-2</v>
      </c>
      <c r="AX854" s="317">
        <f>77.7/1000</f>
        <v>7.7700000000000005E-2</v>
      </c>
      <c r="AY854" s="61">
        <v>1</v>
      </c>
      <c r="AZ854" s="69">
        <f>AW854-AX854</f>
        <v>2.0000000000000018E-3</v>
      </c>
      <c r="BA854" s="62">
        <f>AW854*AB854-(AZ854*AC854)*AY854</f>
        <v>10.389542000000002</v>
      </c>
      <c r="BB854" s="62"/>
      <c r="BC854" s="62"/>
      <c r="BD854" s="62"/>
      <c r="BE854" s="62"/>
      <c r="BF854" s="62"/>
      <c r="BG854" s="62"/>
      <c r="BH854" s="62"/>
      <c r="BI854" s="62"/>
      <c r="BJ854" s="62"/>
      <c r="BK854" s="62"/>
      <c r="BL854" s="62"/>
      <c r="BM854" s="62"/>
      <c r="BN854" s="62"/>
      <c r="BO854" s="62"/>
      <c r="BP854" s="62"/>
      <c r="BQ854" s="62"/>
      <c r="BR854" s="62"/>
      <c r="BS854" s="62"/>
      <c r="BT854" s="62"/>
      <c r="BU854" s="62"/>
      <c r="BV854" s="62"/>
      <c r="BW854" s="62"/>
      <c r="BX854" s="62"/>
      <c r="BY854" s="62"/>
      <c r="BZ854" s="62"/>
      <c r="CA854" s="62"/>
      <c r="CB854" s="62"/>
      <c r="CC854" s="62"/>
      <c r="CD854" s="59">
        <v>0</v>
      </c>
      <c r="CE854" s="62">
        <v>0</v>
      </c>
      <c r="CF854" s="62">
        <v>0</v>
      </c>
      <c r="CG854" s="62">
        <v>0</v>
      </c>
      <c r="CH854" s="62">
        <v>0</v>
      </c>
      <c r="CI854" s="59"/>
      <c r="CJ854" s="59"/>
      <c r="CK854" s="59"/>
      <c r="CL854" s="59"/>
      <c r="CM854" s="59"/>
      <c r="CN854" s="59"/>
      <c r="CO854" s="59"/>
      <c r="CP854" s="59"/>
      <c r="CQ854" s="59"/>
      <c r="CR854" s="59"/>
      <c r="CS854" s="59"/>
      <c r="CT854" s="59"/>
      <c r="CU854" s="59"/>
      <c r="CV854" s="59"/>
      <c r="CW854" s="59"/>
      <c r="CX854" s="59"/>
      <c r="CY854" s="59"/>
      <c r="CZ854" s="59"/>
      <c r="DA854" s="59"/>
      <c r="DB854" s="59"/>
      <c r="DC854" s="59"/>
      <c r="DD854" s="59"/>
      <c r="DE854" s="59"/>
      <c r="DF854" s="59"/>
      <c r="DG854" s="59"/>
      <c r="DH854" s="59"/>
      <c r="DI854" s="59"/>
      <c r="DJ854" s="59"/>
      <c r="DK854" s="59"/>
      <c r="DL854" s="59"/>
      <c r="DM854" s="62">
        <f>CH854+CM854+CR854+CW854+DB854+DG854+DK854</f>
        <v>0</v>
      </c>
      <c r="DN854" s="64">
        <v>2.5000000000000001E-2</v>
      </c>
      <c r="DO854" s="62">
        <f>ROUNDUP(DM854*DN854,2)</f>
        <v>0</v>
      </c>
      <c r="DP854" s="62">
        <f>DM854+DO854</f>
        <v>0</v>
      </c>
      <c r="DQ854" s="59"/>
      <c r="DR854" s="59"/>
      <c r="DS854" s="59"/>
      <c r="DT854" s="59"/>
      <c r="DU854" s="59"/>
      <c r="DV854" s="59"/>
      <c r="DW854" s="59"/>
      <c r="DX854" s="59"/>
      <c r="DY854" s="59"/>
      <c r="DZ854" s="59"/>
      <c r="EA854" s="59"/>
      <c r="EB854" s="59"/>
      <c r="EC854" s="59"/>
      <c r="ED854" s="59"/>
      <c r="EE854" s="59"/>
      <c r="EF854" s="59">
        <v>160</v>
      </c>
      <c r="EG854" s="59">
        <v>1950</v>
      </c>
      <c r="EH854" s="59">
        <v>7.5</v>
      </c>
      <c r="EI854" s="61">
        <v>0.9</v>
      </c>
      <c r="EJ854" s="59">
        <v>2</v>
      </c>
      <c r="EK854" s="59">
        <v>50</v>
      </c>
      <c r="EL854" s="65">
        <f>3600/EK854*EH854*EJ854*EI854</f>
        <v>972</v>
      </c>
      <c r="EM854" s="59"/>
      <c r="EN854" s="59"/>
      <c r="EO854" s="59"/>
      <c r="EP854" s="59"/>
      <c r="EQ854" s="59"/>
      <c r="ER854" s="59"/>
      <c r="ES854" s="59"/>
      <c r="ET854" s="59"/>
      <c r="EU854" s="62">
        <f>ROUNDUP((EG854/EL854+FA854),2)</f>
        <v>2.0099999999999998</v>
      </c>
      <c r="EV854" s="59"/>
      <c r="EW854" s="59"/>
      <c r="EX854" s="59"/>
      <c r="EY854" s="59"/>
      <c r="EZ854" s="59"/>
      <c r="FA854" s="59"/>
      <c r="FB854" s="59"/>
      <c r="FC854" s="59"/>
      <c r="FD854" s="59"/>
      <c r="FE854" s="59"/>
      <c r="FF854" s="59"/>
      <c r="FG854" s="59"/>
      <c r="FH854" s="59"/>
      <c r="FI854" s="59"/>
      <c r="FJ854" s="59"/>
      <c r="FK854" s="59"/>
      <c r="FL854" s="59"/>
      <c r="FM854" s="59"/>
      <c r="FN854" s="59"/>
      <c r="FO854" s="59"/>
      <c r="FP854" s="59"/>
      <c r="FQ854" s="59"/>
      <c r="FR854" s="59"/>
      <c r="FS854" s="59"/>
      <c r="FT854" s="59"/>
      <c r="FU854" s="59"/>
      <c r="FV854" s="59"/>
      <c r="FW854" s="59"/>
      <c r="FX854" s="59"/>
      <c r="FY854" s="59"/>
      <c r="FZ854" s="59"/>
      <c r="GA854" s="59"/>
      <c r="GB854" s="59"/>
      <c r="GC854" s="59"/>
      <c r="GD854" s="59"/>
      <c r="GE854" s="59"/>
      <c r="GF854" s="59"/>
      <c r="GG854" s="59"/>
      <c r="GH854" s="59"/>
      <c r="GI854" s="59"/>
      <c r="GJ854" s="59"/>
      <c r="GK854" s="59"/>
      <c r="GL854" s="59"/>
      <c r="GM854" s="59"/>
      <c r="GN854" s="59"/>
      <c r="GO854" s="59"/>
      <c r="GP854" s="59"/>
      <c r="GQ854" s="59"/>
      <c r="GR854" s="61">
        <v>0.125</v>
      </c>
      <c r="GS854" s="62">
        <f>ROUNDUP(GR854*(BA854+EU854),2)</f>
        <v>1.55</v>
      </c>
      <c r="GT854" s="64">
        <v>1.4999999999999999E-2</v>
      </c>
      <c r="GU854" s="62">
        <f>GT854*(BA854+EU854+EP854+EQ854)</f>
        <v>0.18599313000000003</v>
      </c>
      <c r="GV854" s="61">
        <v>0.02</v>
      </c>
      <c r="GW854" s="62">
        <f>GV854*EU854</f>
        <v>4.02E-2</v>
      </c>
      <c r="GX854" s="62">
        <f>GS854+GU854+GW854</f>
        <v>1.77619313</v>
      </c>
      <c r="GY854" s="59" t="s">
        <v>43</v>
      </c>
      <c r="GZ854" s="59" t="s">
        <v>551</v>
      </c>
      <c r="HA854" s="59">
        <v>650</v>
      </c>
      <c r="HB854" s="59">
        <v>450</v>
      </c>
      <c r="HC854" s="59">
        <v>330</v>
      </c>
      <c r="HD854" s="59">
        <v>64</v>
      </c>
      <c r="HE854" s="59">
        <v>1000</v>
      </c>
      <c r="HF854" s="62">
        <f>ROUNDUP(HE854/HD854,0)</f>
        <v>16</v>
      </c>
      <c r="HG854" s="59">
        <v>5</v>
      </c>
      <c r="HH854" s="62">
        <f>HF854*HG854</f>
        <v>80</v>
      </c>
      <c r="HI854" s="59">
        <v>650</v>
      </c>
      <c r="HJ854" s="62">
        <f>HH854*HI854</f>
        <v>52000</v>
      </c>
      <c r="HK854" s="59"/>
      <c r="HL854" s="59"/>
      <c r="HM854" s="59">
        <v>2</v>
      </c>
      <c r="HN854" s="62">
        <f>HM854*12*25*HE854</f>
        <v>600000</v>
      </c>
      <c r="HO854" s="62">
        <f>IF(GY854="carton box",HI854/HD854,HJ854/HN854)</f>
        <v>8.666666666666667E-2</v>
      </c>
      <c r="HP854" s="59">
        <v>160</v>
      </c>
      <c r="HQ854" s="59">
        <v>0</v>
      </c>
      <c r="HR854" s="59">
        <v>0</v>
      </c>
      <c r="HS854" s="59">
        <v>0</v>
      </c>
      <c r="HT854" s="59">
        <v>0</v>
      </c>
      <c r="HU854" s="59"/>
      <c r="HV854" s="62">
        <f>ROUNDUP(HO854+HT854,2)</f>
        <v>0.09</v>
      </c>
      <c r="HW854" s="62"/>
      <c r="HX854" s="59">
        <v>4200</v>
      </c>
      <c r="HY854" s="59">
        <v>1900</v>
      </c>
      <c r="HZ854" s="59">
        <v>1975</v>
      </c>
      <c r="IA854" s="62">
        <f>ROUNDDOWN(HX854/HA854,0)</f>
        <v>6</v>
      </c>
      <c r="IB854" s="62">
        <f>ROUNDDOWN(HY854/HB854,0)</f>
        <v>4</v>
      </c>
      <c r="IC854" s="62">
        <f>ROUNDDOWN(HZ854/HC854,0)</f>
        <v>5</v>
      </c>
      <c r="ID854" s="61">
        <v>0.95</v>
      </c>
      <c r="IE854" s="62">
        <f>PRODUCT(IA854:ID854)</f>
        <v>114</v>
      </c>
      <c r="IF854" s="59">
        <v>1240</v>
      </c>
      <c r="IG854" s="62">
        <f>ROUNDUP(IF854/(IE854*HD854),2)</f>
        <v>0.17</v>
      </c>
      <c r="IH854" s="62"/>
      <c r="II854" s="61">
        <v>0.01</v>
      </c>
      <c r="IJ854" s="62">
        <f>(BA854+EU854)*II854</f>
        <v>0.12399542000000002</v>
      </c>
    </row>
    <row r="855" spans="1:244" ht="30">
      <c r="A855">
        <v>840</v>
      </c>
      <c r="C855" t="s">
        <v>567</v>
      </c>
      <c r="D855" s="28" t="s">
        <v>858</v>
      </c>
      <c r="E855" s="28" t="s">
        <v>859</v>
      </c>
      <c r="F855" s="28" t="s">
        <v>2444</v>
      </c>
      <c r="G855" s="27" t="s">
        <v>108</v>
      </c>
      <c r="I855" s="27" t="s">
        <v>226</v>
      </c>
      <c r="J855" s="28">
        <v>21590</v>
      </c>
      <c r="K855" s="27" t="s">
        <v>397</v>
      </c>
      <c r="N855" s="13" t="s">
        <v>2671</v>
      </c>
      <c r="O855" s="13" t="s">
        <v>1805</v>
      </c>
      <c r="P855" s="13" t="s">
        <v>2672</v>
      </c>
      <c r="S855" s="13"/>
      <c r="T855" s="13"/>
      <c r="U855" s="13"/>
      <c r="V855" s="72" t="s">
        <v>2486</v>
      </c>
      <c r="W855" s="13" t="s">
        <v>2670</v>
      </c>
    </row>
    <row r="856" spans="1:244">
      <c r="A856">
        <v>841</v>
      </c>
      <c r="C856" t="s">
        <v>567</v>
      </c>
      <c r="D856" s="28" t="s">
        <v>1692</v>
      </c>
      <c r="E856" s="28" t="s">
        <v>1693</v>
      </c>
      <c r="F856" s="28" t="s">
        <v>2444</v>
      </c>
      <c r="G856" s="27" t="s">
        <v>108</v>
      </c>
      <c r="I856" s="27" t="s">
        <v>226</v>
      </c>
      <c r="J856" s="28">
        <v>21590</v>
      </c>
      <c r="K856" s="27" t="s">
        <v>397</v>
      </c>
      <c r="N856" s="13" t="s">
        <v>1764</v>
      </c>
      <c r="O856" s="13" t="s">
        <v>1763</v>
      </c>
      <c r="P856" s="13" t="s">
        <v>2612</v>
      </c>
      <c r="W856" s="13" t="s">
        <v>2670</v>
      </c>
    </row>
    <row r="857" spans="1:244">
      <c r="A857">
        <v>842</v>
      </c>
      <c r="C857" t="s">
        <v>567</v>
      </c>
      <c r="D857" s="28" t="s">
        <v>1694</v>
      </c>
      <c r="E857" s="28" t="s">
        <v>146</v>
      </c>
      <c r="F857" s="28" t="s">
        <v>2444</v>
      </c>
      <c r="G857" s="27" t="s">
        <v>108</v>
      </c>
      <c r="I857" s="27" t="s">
        <v>226</v>
      </c>
      <c r="J857" s="28">
        <v>21590</v>
      </c>
      <c r="K857" s="27" t="s">
        <v>397</v>
      </c>
      <c r="N857" s="13" t="s">
        <v>1764</v>
      </c>
      <c r="O857" s="13" t="s">
        <v>1763</v>
      </c>
      <c r="P857" s="13" t="s">
        <v>2612</v>
      </c>
      <c r="W857" s="13" t="s">
        <v>2670</v>
      </c>
    </row>
    <row r="858" spans="1:244">
      <c r="A858">
        <v>843</v>
      </c>
      <c r="C858" t="s">
        <v>567</v>
      </c>
      <c r="D858" s="28" t="s">
        <v>861</v>
      </c>
      <c r="E858" s="28" t="s">
        <v>1695</v>
      </c>
      <c r="F858" s="28" t="s">
        <v>2444</v>
      </c>
      <c r="G858" s="27" t="s">
        <v>108</v>
      </c>
      <c r="I858" s="27" t="s">
        <v>226</v>
      </c>
      <c r="J858" s="28">
        <v>21590</v>
      </c>
      <c r="K858" s="27" t="s">
        <v>397</v>
      </c>
      <c r="N858" s="13" t="s">
        <v>2281</v>
      </c>
      <c r="O858" s="13" t="s">
        <v>1763</v>
      </c>
      <c r="P858" s="13" t="s">
        <v>2612</v>
      </c>
      <c r="W858" s="13" t="s">
        <v>2670</v>
      </c>
    </row>
    <row r="859" spans="1:244" ht="30">
      <c r="A859">
        <v>844</v>
      </c>
      <c r="B859" t="s">
        <v>468</v>
      </c>
      <c r="C859" t="s">
        <v>2621</v>
      </c>
      <c r="D859" s="28" t="s">
        <v>1696</v>
      </c>
      <c r="E859" s="28" t="s">
        <v>1697</v>
      </c>
      <c r="F859" s="28" t="s">
        <v>2182</v>
      </c>
      <c r="G859" s="27" t="s">
        <v>108</v>
      </c>
      <c r="I859" s="27" t="s">
        <v>121</v>
      </c>
      <c r="J859" s="28">
        <v>21697</v>
      </c>
      <c r="K859" s="27" t="s">
        <v>227</v>
      </c>
      <c r="L859">
        <v>20089</v>
      </c>
      <c r="M859" t="s">
        <v>121</v>
      </c>
      <c r="Q859" s="13" t="s">
        <v>2497</v>
      </c>
      <c r="R859" s="13" t="s">
        <v>1769</v>
      </c>
      <c r="S859" s="13" t="s">
        <v>2618</v>
      </c>
      <c r="T859" s="13"/>
      <c r="U859" s="13"/>
      <c r="V859" s="72" t="s">
        <v>2486</v>
      </c>
      <c r="W859" s="53" t="s">
        <v>2615</v>
      </c>
      <c r="AA859" s="72" t="s">
        <v>2619</v>
      </c>
      <c r="AB859" s="66">
        <v>124.82</v>
      </c>
      <c r="AC859">
        <v>20</v>
      </c>
      <c r="AD859" t="s">
        <v>2620</v>
      </c>
      <c r="AE859" s="7">
        <f>BA859</f>
        <v>6.5240643999999994</v>
      </c>
      <c r="AF859" s="7">
        <f>DT859</f>
        <v>0</v>
      </c>
      <c r="AG859" s="7">
        <f>EU859+EM859+EP859+EQ859</f>
        <v>1.7448559670781891</v>
      </c>
      <c r="AH859" s="7">
        <f>DM859</f>
        <v>0</v>
      </c>
      <c r="AI859" s="7">
        <f>DO859</f>
        <v>0</v>
      </c>
      <c r="AJ859" s="7">
        <f>GW859</f>
        <v>3.4897119341563781E-2</v>
      </c>
      <c r="AK859" s="7">
        <f>GU859</f>
        <v>0.10336150458847736</v>
      </c>
      <c r="AL859" s="7">
        <f>GS859</f>
        <v>0.91</v>
      </c>
      <c r="AM859" s="7">
        <f>HV859</f>
        <v>6.7708333333333329E-2</v>
      </c>
      <c r="AN859" s="7">
        <f>IG859</f>
        <v>0.05</v>
      </c>
      <c r="AO859" s="7"/>
      <c r="AP859" s="7"/>
      <c r="AQ859" s="7">
        <f>SUM(AE859:AP859)</f>
        <v>9.4348873243415632</v>
      </c>
      <c r="AR859" s="7"/>
      <c r="AS859" s="7"/>
      <c r="AT859" s="7"/>
      <c r="AU859" s="7"/>
      <c r="AV859" s="7">
        <f>AQ859+AU859+AT859+AR859</f>
        <v>9.4348873243415632</v>
      </c>
      <c r="AW859" s="59">
        <v>5.2420000000000001E-2</v>
      </c>
      <c r="AX859" s="59">
        <v>5.1470000000000002E-2</v>
      </c>
      <c r="AY859" s="61">
        <v>1</v>
      </c>
      <c r="AZ859" s="69">
        <f>AW859-AX859</f>
        <v>9.4999999999999946E-4</v>
      </c>
      <c r="BA859" s="62">
        <f>AW859*AB859-(AZ859*AC859)*AY859</f>
        <v>6.5240643999999994</v>
      </c>
      <c r="BB859" s="62"/>
      <c r="BC859" s="62"/>
      <c r="BD859" s="62"/>
      <c r="BE859" s="62"/>
      <c r="BF859" s="62"/>
      <c r="BG859" s="62"/>
      <c r="BH859" s="62"/>
      <c r="BI859" s="62"/>
      <c r="BJ859" s="62"/>
      <c r="BK859" s="62"/>
      <c r="BL859" s="62"/>
      <c r="BM859" s="62"/>
      <c r="BN859" s="62"/>
      <c r="BO859" s="62"/>
      <c r="BP859" s="62"/>
      <c r="BQ859" s="62"/>
      <c r="BR859" s="62"/>
      <c r="BS859" s="62"/>
      <c r="BT859" s="62"/>
      <c r="BU859" s="62"/>
      <c r="BV859" s="62"/>
      <c r="BW859" s="62"/>
      <c r="BX859" s="62"/>
      <c r="BY859" s="62"/>
      <c r="BZ859" s="62"/>
      <c r="CA859" s="62"/>
      <c r="CB859" s="62"/>
      <c r="CC859" s="62"/>
      <c r="CD859" s="59">
        <v>0</v>
      </c>
      <c r="CE859" s="59">
        <v>0</v>
      </c>
      <c r="CF859" s="59">
        <v>0</v>
      </c>
      <c r="CG859" s="59">
        <v>0</v>
      </c>
      <c r="CH859" s="59">
        <v>0</v>
      </c>
      <c r="CI859" s="59"/>
      <c r="CJ859" s="59"/>
      <c r="CK859" s="59"/>
      <c r="CL859" s="59"/>
      <c r="CM859" s="59"/>
      <c r="CN859" s="59"/>
      <c r="CO859" s="59"/>
      <c r="CP859" s="59"/>
      <c r="CQ859" s="59"/>
      <c r="CR859" s="59"/>
      <c r="CS859" s="59"/>
      <c r="CT859" s="59"/>
      <c r="CU859" s="59"/>
      <c r="CV859" s="59"/>
      <c r="CW859" s="59"/>
      <c r="CX859" s="59"/>
      <c r="CY859" s="59"/>
      <c r="CZ859" s="59"/>
      <c r="DA859" s="59"/>
      <c r="DB859" s="59"/>
      <c r="DC859" s="59"/>
      <c r="DD859" s="59"/>
      <c r="DE859" s="59"/>
      <c r="DF859" s="59"/>
      <c r="DG859" s="59"/>
      <c r="DH859" s="59"/>
      <c r="DI859" s="59"/>
      <c r="DJ859" s="59"/>
      <c r="DK859" s="59"/>
      <c r="DL859" s="59"/>
      <c r="DM859" s="62">
        <f>CH859+CM859+CR859+CW859+DB859+DG859+DK859</f>
        <v>0</v>
      </c>
      <c r="DN859" s="64">
        <v>1.2500000000000001E-2</v>
      </c>
      <c r="DO859" s="62">
        <f>DM859*DN859</f>
        <v>0</v>
      </c>
      <c r="DP859" s="62">
        <f>DM859+DO859</f>
        <v>0</v>
      </c>
      <c r="DQ859" s="59"/>
      <c r="DR859" s="59"/>
      <c r="DS859" s="59"/>
      <c r="DT859" s="59"/>
      <c r="DU859" s="59"/>
      <c r="DV859" s="59"/>
      <c r="DW859" s="59"/>
      <c r="DX859" s="59"/>
      <c r="DY859" s="59"/>
      <c r="DZ859" s="59"/>
      <c r="EA859" s="59"/>
      <c r="EB859" s="59"/>
      <c r="EC859" s="59"/>
      <c r="ED859" s="59"/>
      <c r="EE859" s="59"/>
      <c r="EF859" s="59">
        <v>160</v>
      </c>
      <c r="EG859" s="59">
        <v>1600</v>
      </c>
      <c r="EH859" s="59">
        <v>7.5</v>
      </c>
      <c r="EI859" s="61">
        <v>0.9</v>
      </c>
      <c r="EJ859" s="59">
        <v>2</v>
      </c>
      <c r="EK859" s="59">
        <v>53</v>
      </c>
      <c r="EL859" s="65">
        <f>3600/EK859*EH859*EJ859*EI859</f>
        <v>916.98113207547181</v>
      </c>
      <c r="EM859" s="59"/>
      <c r="EN859" s="59"/>
      <c r="EO859" s="59"/>
      <c r="EP859" s="59"/>
      <c r="EQ859" s="59"/>
      <c r="ER859" s="59"/>
      <c r="ES859" s="59"/>
      <c r="ET859" s="59"/>
      <c r="EU859" s="62">
        <f>EG859/EL859+FA859</f>
        <v>1.7448559670781891</v>
      </c>
      <c r="EV859" s="59"/>
      <c r="EW859" s="59"/>
      <c r="EX859" s="59"/>
      <c r="EY859" s="59"/>
      <c r="EZ859" s="59"/>
      <c r="FA859" s="59"/>
      <c r="FB859" s="59"/>
      <c r="FC859" s="59"/>
      <c r="FD859" s="59"/>
      <c r="FE859" s="59"/>
      <c r="FF859" s="59"/>
      <c r="FG859" s="59"/>
      <c r="FH859" s="59"/>
      <c r="FI859" s="59"/>
      <c r="FJ859" s="59"/>
      <c r="FK859" s="59"/>
      <c r="FL859" s="59"/>
      <c r="FM859" s="59"/>
      <c r="FN859" s="59"/>
      <c r="FO859" s="59"/>
      <c r="FP859" s="59"/>
      <c r="FQ859" s="59"/>
      <c r="FR859" s="59"/>
      <c r="FS859" s="59"/>
      <c r="FT859" s="59"/>
      <c r="FU859" s="59"/>
      <c r="FV859" s="59"/>
      <c r="FW859" s="59"/>
      <c r="FX859" s="59"/>
      <c r="FY859" s="59"/>
      <c r="FZ859" s="59"/>
      <c r="GA859" s="59"/>
      <c r="GB859" s="59"/>
      <c r="GC859" s="59"/>
      <c r="GD859" s="59"/>
      <c r="GE859" s="59"/>
      <c r="GF859" s="59"/>
      <c r="GG859" s="59"/>
      <c r="GH859" s="59"/>
      <c r="GI859" s="59"/>
      <c r="GJ859" s="59"/>
      <c r="GK859" s="59"/>
      <c r="GL859" s="59"/>
      <c r="GM859" s="59"/>
      <c r="GN859" s="59"/>
      <c r="GO859" s="59"/>
      <c r="GP859" s="59"/>
      <c r="GQ859" s="59"/>
      <c r="GR859" s="61">
        <v>0.11</v>
      </c>
      <c r="GS859" s="62">
        <f>ROUNDUP(GR859*(BA859+EU859),2)</f>
        <v>0.91</v>
      </c>
      <c r="GT859" s="64">
        <v>1.2500000000000001E-2</v>
      </c>
      <c r="GU859" s="62">
        <f>GT859*(BA859+EU859+EP859+EQ859)</f>
        <v>0.10336150458847736</v>
      </c>
      <c r="GV859" s="61">
        <v>0.02</v>
      </c>
      <c r="GW859" s="62">
        <f>GV859*EU859</f>
        <v>3.4897119341563781E-2</v>
      </c>
      <c r="GX859" s="62">
        <f>GS859+GU859+GW859</f>
        <v>1.0482586239300411</v>
      </c>
      <c r="GY859" s="59" t="s">
        <v>43</v>
      </c>
      <c r="GZ859" s="59" t="s">
        <v>551</v>
      </c>
      <c r="HA859" s="59">
        <v>650</v>
      </c>
      <c r="HB859" s="59">
        <v>450</v>
      </c>
      <c r="HC859" s="59">
        <v>330</v>
      </c>
      <c r="HD859" s="59">
        <v>90</v>
      </c>
      <c r="HE859" s="59">
        <v>160</v>
      </c>
      <c r="HF859" s="62">
        <f>ROUNDUP(HE859/HD859,0)</f>
        <v>2</v>
      </c>
      <c r="HG859" s="59">
        <v>5</v>
      </c>
      <c r="HH859" s="62">
        <f>HF859*HG859</f>
        <v>10</v>
      </c>
      <c r="HI859" s="59">
        <v>650</v>
      </c>
      <c r="HJ859" s="62">
        <f>HH859*HI859</f>
        <v>6500</v>
      </c>
      <c r="HK859" s="59"/>
      <c r="HL859" s="59"/>
      <c r="HM859" s="59">
        <v>2</v>
      </c>
      <c r="HN859" s="62">
        <f>HM859*12*25*HE859</f>
        <v>96000</v>
      </c>
      <c r="HO859" s="62">
        <f>IF(GY859="carton box",HI859/HD859,HJ859/HN859)</f>
        <v>6.7708333333333329E-2</v>
      </c>
      <c r="HP859" s="59">
        <v>160</v>
      </c>
      <c r="HQ859" s="59">
        <v>0</v>
      </c>
      <c r="HR859" s="59">
        <v>0</v>
      </c>
      <c r="HS859" s="59">
        <v>0</v>
      </c>
      <c r="HT859" s="59">
        <v>0</v>
      </c>
      <c r="HU859" s="59"/>
      <c r="HV859" s="62">
        <f>HO859+HT859</f>
        <v>6.7708333333333329E-2</v>
      </c>
      <c r="HW859" s="62"/>
      <c r="HX859" s="59">
        <v>4200</v>
      </c>
      <c r="HY859" s="59">
        <v>1900</v>
      </c>
      <c r="HZ859" s="59">
        <v>1975</v>
      </c>
      <c r="IA859" s="62">
        <f>ROUNDDOWN(HX859/HA859,0)</f>
        <v>6</v>
      </c>
      <c r="IB859" s="62">
        <f>ROUNDDOWN(HY859/HB859,0)</f>
        <v>4</v>
      </c>
      <c r="IC859" s="62">
        <f>ROUNDDOWN(HZ859/HC859,0)</f>
        <v>5</v>
      </c>
      <c r="ID859" s="61">
        <v>0.95</v>
      </c>
      <c r="IE859" s="62">
        <f>PRODUCT(IA859:ID859)</f>
        <v>114</v>
      </c>
      <c r="IF859" s="59">
        <v>500</v>
      </c>
      <c r="IG859" s="62">
        <f>ROUNDUP(IF859/(IE859*HD859),2)</f>
        <v>0.05</v>
      </c>
      <c r="IH859" s="62"/>
    </row>
    <row r="860" spans="1:244" ht="30">
      <c r="A860">
        <v>845</v>
      </c>
      <c r="C860" t="s">
        <v>567</v>
      </c>
      <c r="D860" s="28" t="s">
        <v>1696</v>
      </c>
      <c r="E860" s="28" t="s">
        <v>1697</v>
      </c>
      <c r="F860" s="28" t="s">
        <v>2444</v>
      </c>
      <c r="G860" s="27" t="s">
        <v>108</v>
      </c>
      <c r="I860" s="27" t="s">
        <v>94</v>
      </c>
      <c r="J860" s="28">
        <v>21697</v>
      </c>
      <c r="K860" s="27" t="s">
        <v>227</v>
      </c>
      <c r="N860" s="13" t="s">
        <v>2622</v>
      </c>
      <c r="O860" s="13" t="s">
        <v>1763</v>
      </c>
      <c r="P860" s="13" t="s">
        <v>2623</v>
      </c>
      <c r="S860" s="13"/>
      <c r="T860" s="13"/>
      <c r="U860" s="13"/>
      <c r="V860" s="72" t="s">
        <v>2486</v>
      </c>
      <c r="W860" s="53" t="s">
        <v>2624</v>
      </c>
    </row>
    <row r="861" spans="1:244" ht="30">
      <c r="A861">
        <v>846</v>
      </c>
      <c r="B861" t="s">
        <v>468</v>
      </c>
      <c r="C861" t="s">
        <v>2625</v>
      </c>
      <c r="D861" s="28" t="s">
        <v>1698</v>
      </c>
      <c r="E861" s="28" t="s">
        <v>1699</v>
      </c>
      <c r="F861" s="28" t="s">
        <v>2182</v>
      </c>
      <c r="G861" s="27" t="s">
        <v>108</v>
      </c>
      <c r="I861" s="27" t="s">
        <v>121</v>
      </c>
      <c r="J861" s="28">
        <v>21697</v>
      </c>
      <c r="K861" s="27" t="s">
        <v>227</v>
      </c>
      <c r="L861">
        <v>20089</v>
      </c>
      <c r="M861" t="s">
        <v>121</v>
      </c>
      <c r="Q861" s="13" t="s">
        <v>2497</v>
      </c>
      <c r="R861" s="13" t="s">
        <v>1769</v>
      </c>
      <c r="S861" t="s">
        <v>2618</v>
      </c>
      <c r="V861" s="72" t="s">
        <v>2486</v>
      </c>
      <c r="W861" s="72" t="s">
        <v>2626</v>
      </c>
      <c r="X861"/>
      <c r="Y861"/>
      <c r="Z861"/>
      <c r="AA861" t="s">
        <v>2627</v>
      </c>
      <c r="AB861" s="66">
        <v>124.82</v>
      </c>
      <c r="AC861">
        <v>20</v>
      </c>
      <c r="AD861" t="s">
        <v>2620</v>
      </c>
      <c r="AE861" s="7">
        <f>BA861</f>
        <v>39.619594399999997</v>
      </c>
      <c r="AF861" s="7">
        <f>DT861</f>
        <v>0</v>
      </c>
      <c r="AG861" s="7">
        <f>EU861+EM861+EP861+EQ861</f>
        <v>6.7592592592592586</v>
      </c>
      <c r="AH861" s="7">
        <f>DM861</f>
        <v>0</v>
      </c>
      <c r="AI861" s="7">
        <f>DO861</f>
        <v>0</v>
      </c>
      <c r="AJ861" s="7">
        <f>GW861</f>
        <v>0.13518518518518519</v>
      </c>
      <c r="AK861" s="7">
        <f>GU861</f>
        <v>0.57973567074074073</v>
      </c>
      <c r="AL861" s="7">
        <f>GS861</f>
        <v>5.1016739025185185</v>
      </c>
      <c r="AM861" s="7">
        <f>HV861</f>
        <v>0.22916666666666666</v>
      </c>
      <c r="AN861" s="7">
        <f>IG861</f>
        <v>0.22</v>
      </c>
      <c r="AO861" s="7"/>
      <c r="AP861" s="7"/>
      <c r="AQ861" s="7">
        <f>SUM(AE861:AP861)</f>
        <v>52.644615084370365</v>
      </c>
      <c r="AR861" s="7"/>
      <c r="AS861" s="7"/>
      <c r="AT861" s="7"/>
      <c r="AU861" s="7"/>
      <c r="AV861" s="7">
        <f>AQ861+AU861+AT861+AR861</f>
        <v>52.644615084370365</v>
      </c>
      <c r="AW861" s="59">
        <v>0.31892000000000004</v>
      </c>
      <c r="AX861" s="59">
        <v>0.30952000000000002</v>
      </c>
      <c r="AY861" s="61">
        <v>1</v>
      </c>
      <c r="AZ861" s="69">
        <f>AW861-AX861</f>
        <v>9.4000000000000195E-3</v>
      </c>
      <c r="BA861" s="62">
        <f>AW861*AB861-(AZ861*AC861)*AY861</f>
        <v>39.619594399999997</v>
      </c>
      <c r="BB861" s="62"/>
      <c r="BC861" s="62"/>
      <c r="BD861" s="62"/>
      <c r="BE861" s="62"/>
      <c r="BF861" s="62"/>
      <c r="BG861" s="62"/>
      <c r="BH861" s="62"/>
      <c r="BI861" s="62"/>
      <c r="BJ861" s="62"/>
      <c r="BK861" s="62"/>
      <c r="BL861" s="62"/>
      <c r="BM861" s="62"/>
      <c r="BN861" s="62"/>
      <c r="BO861" s="62"/>
      <c r="BP861" s="62"/>
      <c r="BQ861" s="62"/>
      <c r="BR861" s="62"/>
      <c r="BS861" s="62"/>
      <c r="BT861" s="62"/>
      <c r="BU861" s="62"/>
      <c r="BV861" s="62"/>
      <c r="BW861" s="62"/>
      <c r="BX861" s="62"/>
      <c r="BY861" s="62"/>
      <c r="BZ861" s="62"/>
      <c r="CA861" s="62"/>
      <c r="CB861" s="62"/>
      <c r="CC861" s="62"/>
      <c r="CD861" s="59">
        <v>0</v>
      </c>
      <c r="CE861" s="59">
        <v>0</v>
      </c>
      <c r="CF861" s="59">
        <v>0</v>
      </c>
      <c r="CG861" s="59">
        <v>0</v>
      </c>
      <c r="CH861" s="59">
        <v>0</v>
      </c>
      <c r="CI861" s="59"/>
      <c r="CJ861" s="59"/>
      <c r="CK861" s="59"/>
      <c r="CL861" s="59"/>
      <c r="CM861" s="59"/>
      <c r="CN861" s="59"/>
      <c r="CO861" s="59"/>
      <c r="CP861" s="59"/>
      <c r="CQ861" s="59"/>
      <c r="CR861" s="59"/>
      <c r="CS861" s="59"/>
      <c r="CT861" s="59"/>
      <c r="CU861" s="59"/>
      <c r="CV861" s="59"/>
      <c r="CW861" s="59"/>
      <c r="CX861" s="59"/>
      <c r="CY861" s="59"/>
      <c r="CZ861" s="59"/>
      <c r="DA861" s="59"/>
      <c r="DB861" s="59"/>
      <c r="DC861" s="59"/>
      <c r="DD861" s="59"/>
      <c r="DE861" s="59"/>
      <c r="DF861" s="59"/>
      <c r="DG861" s="59"/>
      <c r="DH861" s="59"/>
      <c r="DI861" s="59"/>
      <c r="DJ861" s="59"/>
      <c r="DK861" s="59"/>
      <c r="DL861" s="59"/>
      <c r="DM861" s="62">
        <v>0</v>
      </c>
      <c r="DN861" s="64">
        <v>1.2500000000000001E-2</v>
      </c>
      <c r="DO861" s="62">
        <f>DM861*DN861</f>
        <v>0</v>
      </c>
      <c r="DP861" s="62">
        <f>DM861+DO861</f>
        <v>0</v>
      </c>
      <c r="DQ861" s="59"/>
      <c r="DR861" s="59"/>
      <c r="DS861" s="59"/>
      <c r="DT861" s="59"/>
      <c r="DU861" s="59"/>
      <c r="DV861" s="59"/>
      <c r="DW861" s="59"/>
      <c r="DX861" s="59"/>
      <c r="DY861" s="59"/>
      <c r="DZ861" s="59"/>
      <c r="EA861" s="59"/>
      <c r="EB861" s="59"/>
      <c r="EC861" s="59"/>
      <c r="ED861" s="59"/>
      <c r="EE861" s="59"/>
      <c r="EF861" s="59">
        <v>450</v>
      </c>
      <c r="EG861" s="59">
        <v>4500</v>
      </c>
      <c r="EH861" s="59">
        <v>7.5</v>
      </c>
      <c r="EI861" s="61">
        <v>0.9</v>
      </c>
      <c r="EJ861" s="59">
        <v>2</v>
      </c>
      <c r="EK861" s="59">
        <v>73</v>
      </c>
      <c r="EL861" s="65">
        <f>3600/EK861*EH861*EJ861*EI861</f>
        <v>665.75342465753431</v>
      </c>
      <c r="EM861" s="59"/>
      <c r="EN861" s="59"/>
      <c r="EO861" s="59"/>
      <c r="EP861" s="59"/>
      <c r="EQ861" s="59"/>
      <c r="ER861" s="59"/>
      <c r="ES861" s="59"/>
      <c r="ET861" s="59"/>
      <c r="EU861" s="62">
        <f>EG861/EL861+FA861</f>
        <v>6.7592592592592586</v>
      </c>
      <c r="EV861" s="59"/>
      <c r="EW861" s="59"/>
      <c r="EX861" s="59"/>
      <c r="EY861" s="59"/>
      <c r="EZ861" s="59"/>
      <c r="FA861" s="59"/>
      <c r="FB861" s="59"/>
      <c r="FC861" s="59"/>
      <c r="FD861" s="59"/>
      <c r="FE861" s="59"/>
      <c r="FF861" s="59"/>
      <c r="FG861" s="59"/>
      <c r="FH861" s="59"/>
      <c r="FI861" s="59"/>
      <c r="FJ861" s="59"/>
      <c r="FK861" s="59"/>
      <c r="FL861" s="59"/>
      <c r="FM861" s="59"/>
      <c r="FN861" s="59"/>
      <c r="FO861" s="59"/>
      <c r="FP861" s="59"/>
      <c r="FQ861" s="59"/>
      <c r="FR861" s="59"/>
      <c r="FS861" s="59"/>
      <c r="FT861" s="59"/>
      <c r="FU861" s="59"/>
      <c r="FV861" s="59"/>
      <c r="FW861" s="59"/>
      <c r="FX861" s="59"/>
      <c r="FY861" s="59"/>
      <c r="FZ861" s="59"/>
      <c r="GA861" s="59"/>
      <c r="GB861" s="59"/>
      <c r="GC861" s="59"/>
      <c r="GD861" s="59"/>
      <c r="GE861" s="59"/>
      <c r="GF861" s="59"/>
      <c r="GG861" s="59"/>
      <c r="GH861" s="59"/>
      <c r="GI861" s="59"/>
      <c r="GJ861" s="59"/>
      <c r="GK861" s="59"/>
      <c r="GL861" s="59"/>
      <c r="GM861" s="59"/>
      <c r="GN861" s="59"/>
      <c r="GO861" s="59"/>
      <c r="GP861" s="59"/>
      <c r="GQ861" s="59"/>
      <c r="GR861" s="61">
        <v>0.11</v>
      </c>
      <c r="GS861" s="62">
        <f>GR861*(BA861+EU861+EP861+EQ861)</f>
        <v>5.1016739025185185</v>
      </c>
      <c r="GT861" s="64">
        <v>1.2500000000000001E-2</v>
      </c>
      <c r="GU861" s="62">
        <f>GT861*(BA861+EU861+EP861+EQ861)</f>
        <v>0.57973567074074073</v>
      </c>
      <c r="GV861" s="61">
        <v>0.02</v>
      </c>
      <c r="GW861" s="62">
        <f>GV861*EU861</f>
        <v>0.13518518518518519</v>
      </c>
      <c r="GX861" s="62">
        <f>GS861+GU861+GW861</f>
        <v>5.8165947584444444</v>
      </c>
      <c r="GY861" s="59" t="s">
        <v>43</v>
      </c>
      <c r="GZ861" s="59" t="s">
        <v>551</v>
      </c>
      <c r="HA861" s="59">
        <v>810</v>
      </c>
      <c r="HB861" s="59">
        <v>568</v>
      </c>
      <c r="HC861" s="59">
        <v>425</v>
      </c>
      <c r="HD861" s="59">
        <v>40</v>
      </c>
      <c r="HE861" s="59">
        <v>160</v>
      </c>
      <c r="HF861" s="62">
        <f>ROUNDUP(HE861/HD861,0)</f>
        <v>4</v>
      </c>
      <c r="HG861" s="59">
        <v>5</v>
      </c>
      <c r="HH861" s="62">
        <f>HF861*HG861</f>
        <v>20</v>
      </c>
      <c r="HI861" s="59">
        <v>1100</v>
      </c>
      <c r="HJ861" s="62">
        <f>HH861*HI861</f>
        <v>22000</v>
      </c>
      <c r="HK861" s="59"/>
      <c r="HL861" s="59"/>
      <c r="HM861" s="59">
        <v>2</v>
      </c>
      <c r="HN861" s="62">
        <f>HM861*12*25*HE861</f>
        <v>96000</v>
      </c>
      <c r="HO861" s="62">
        <f>IF(GY861="carton box",HI861/HD861,HJ861/HN861)</f>
        <v>0.22916666666666666</v>
      </c>
      <c r="HP861" s="59">
        <v>160</v>
      </c>
      <c r="HQ861" s="59">
        <v>0</v>
      </c>
      <c r="HR861" s="59">
        <v>0</v>
      </c>
      <c r="HS861" s="59">
        <v>0</v>
      </c>
      <c r="HT861" s="59">
        <v>0</v>
      </c>
      <c r="HU861" s="59"/>
      <c r="HV861" s="62">
        <f>HO861+HT861</f>
        <v>0.22916666666666666</v>
      </c>
      <c r="HW861" s="62"/>
      <c r="HX861" s="59">
        <v>4200</v>
      </c>
      <c r="HY861" s="59">
        <v>1900</v>
      </c>
      <c r="HZ861" s="59">
        <v>1975</v>
      </c>
      <c r="IA861" s="62">
        <f t="shared" ref="IA861:IC862" si="819">ROUNDDOWN(HX861/HA861,0)</f>
        <v>5</v>
      </c>
      <c r="IB861" s="62">
        <f t="shared" si="819"/>
        <v>3</v>
      </c>
      <c r="IC861" s="62">
        <f t="shared" si="819"/>
        <v>4</v>
      </c>
      <c r="ID861" s="61">
        <v>0.95</v>
      </c>
      <c r="IE861" s="62">
        <f>PRODUCT(IA861:ID861)</f>
        <v>57</v>
      </c>
      <c r="IF861" s="59">
        <v>500</v>
      </c>
      <c r="IG861" s="62">
        <f>ROUNDUP(IF861/(IE861*HD861),2)</f>
        <v>0.22</v>
      </c>
      <c r="IH861" s="62"/>
    </row>
    <row r="862" spans="1:244" ht="30">
      <c r="A862">
        <v>847</v>
      </c>
      <c r="B862" t="s">
        <v>468</v>
      </c>
      <c r="C862" t="s">
        <v>2628</v>
      </c>
      <c r="D862" s="28" t="s">
        <v>1700</v>
      </c>
      <c r="E862" s="28" t="s">
        <v>1701</v>
      </c>
      <c r="F862" s="28" t="s">
        <v>2182</v>
      </c>
      <c r="G862" s="27" t="s">
        <v>108</v>
      </c>
      <c r="I862" s="27" t="s">
        <v>121</v>
      </c>
      <c r="J862" s="28">
        <v>21697</v>
      </c>
      <c r="K862" s="27" t="s">
        <v>227</v>
      </c>
      <c r="L862">
        <v>20089</v>
      </c>
      <c r="M862" t="s">
        <v>121</v>
      </c>
      <c r="Q862" s="13" t="s">
        <v>2497</v>
      </c>
      <c r="R862" s="13" t="s">
        <v>1769</v>
      </c>
      <c r="S862" s="13" t="s">
        <v>2618</v>
      </c>
      <c r="T862" s="13"/>
      <c r="U862" s="13"/>
      <c r="V862" s="72" t="s">
        <v>2486</v>
      </c>
      <c r="W862" s="53" t="s">
        <v>2629</v>
      </c>
      <c r="AA862" t="s">
        <v>2627</v>
      </c>
      <c r="AB862" s="66">
        <v>124.82</v>
      </c>
      <c r="AC862">
        <v>20</v>
      </c>
      <c r="AD862" t="s">
        <v>2620</v>
      </c>
      <c r="AE862" s="7">
        <f>BA862</f>
        <v>7.2818547999999996</v>
      </c>
      <c r="AF862" s="7">
        <f>DT862</f>
        <v>0</v>
      </c>
      <c r="AG862" s="7">
        <f>EU862+EM862+EP862+EQ862</f>
        <v>1.8518518518518519</v>
      </c>
      <c r="AH862" s="7">
        <f>DM862</f>
        <v>0</v>
      </c>
      <c r="AI862" s="7">
        <f>DO862</f>
        <v>0</v>
      </c>
      <c r="AJ862" s="7">
        <f>GW862</f>
        <v>3.7037037037037035E-2</v>
      </c>
      <c r="AK862" s="7">
        <f>GU862</f>
        <v>0.11417133314814815</v>
      </c>
      <c r="AL862" s="7">
        <f>GS862</f>
        <v>1.0047077317037036</v>
      </c>
      <c r="AM862" s="7">
        <f>HV862</f>
        <v>6.7708333333333329E-2</v>
      </c>
      <c r="AN862" s="7">
        <f>IG862</f>
        <v>0.04</v>
      </c>
      <c r="AO862" s="7"/>
      <c r="AP862" s="7"/>
      <c r="AQ862" s="7">
        <f>SUM(AE862:AP862)</f>
        <v>10.397331087074072</v>
      </c>
      <c r="AR862" s="7"/>
      <c r="AS862" s="7"/>
      <c r="AT862" s="7"/>
      <c r="AU862" s="7"/>
      <c r="AV862" s="7">
        <f>AQ862+AU862+AT862+AR862</f>
        <v>10.397331087074072</v>
      </c>
      <c r="AW862" s="59">
        <v>5.9139999999999998E-2</v>
      </c>
      <c r="AX862" s="59">
        <v>5.4140000000000001E-2</v>
      </c>
      <c r="AY862" s="61">
        <v>1</v>
      </c>
      <c r="AZ862" s="69">
        <f>AW862-AX862</f>
        <v>4.9999999999999975E-3</v>
      </c>
      <c r="BA862" s="62">
        <f>AW862*AB862-(AZ862*AC862)*AY862</f>
        <v>7.2818547999999996</v>
      </c>
      <c r="BB862" s="62"/>
      <c r="BC862" s="62"/>
      <c r="BD862" s="62"/>
      <c r="BE862" s="62"/>
      <c r="BF862" s="62"/>
      <c r="BG862" s="62"/>
      <c r="BH862" s="62"/>
      <c r="BI862" s="62"/>
      <c r="BJ862" s="62"/>
      <c r="BK862" s="62"/>
      <c r="BL862" s="62"/>
      <c r="BM862" s="62"/>
      <c r="BN862" s="62"/>
      <c r="BO862" s="62"/>
      <c r="BP862" s="62"/>
      <c r="BQ862" s="62"/>
      <c r="BR862" s="62"/>
      <c r="BS862" s="62"/>
      <c r="BT862" s="62"/>
      <c r="BU862" s="62"/>
      <c r="BV862" s="62"/>
      <c r="BW862" s="62"/>
      <c r="BX862" s="62"/>
      <c r="BY862" s="62"/>
      <c r="BZ862" s="62"/>
      <c r="CA862" s="62"/>
      <c r="CB862" s="62"/>
      <c r="CC862" s="62"/>
      <c r="CD862" s="59">
        <v>0</v>
      </c>
      <c r="CE862" s="59">
        <v>0</v>
      </c>
      <c r="CF862" s="59">
        <v>0</v>
      </c>
      <c r="CG862" s="59">
        <v>0</v>
      </c>
      <c r="CH862" s="59">
        <v>0</v>
      </c>
      <c r="CI862" s="59"/>
      <c r="CJ862" s="59"/>
      <c r="CK862" s="59"/>
      <c r="CL862" s="59"/>
      <c r="CM862" s="59"/>
      <c r="CN862" s="59"/>
      <c r="CO862" s="59"/>
      <c r="CP862" s="59"/>
      <c r="CQ862" s="59"/>
      <c r="CR862" s="59"/>
      <c r="CS862" s="59"/>
      <c r="CT862" s="59"/>
      <c r="CU862" s="59"/>
      <c r="CV862" s="59"/>
      <c r="CW862" s="59"/>
      <c r="CX862" s="59"/>
      <c r="CY862" s="59"/>
      <c r="CZ862" s="59"/>
      <c r="DA862" s="59"/>
      <c r="DB862" s="59"/>
      <c r="DC862" s="59"/>
      <c r="DD862" s="59"/>
      <c r="DE862" s="59"/>
      <c r="DF862" s="59"/>
      <c r="DG862" s="59"/>
      <c r="DH862" s="59"/>
      <c r="DI862" s="59"/>
      <c r="DJ862" s="59"/>
      <c r="DK862" s="59"/>
      <c r="DL862" s="59"/>
      <c r="DM862" s="62">
        <v>0</v>
      </c>
      <c r="DN862" s="64">
        <v>1.2500000000000001E-2</v>
      </c>
      <c r="DO862" s="62">
        <f>DM862*DN862</f>
        <v>0</v>
      </c>
      <c r="DP862" s="62">
        <f>DM862+DO862</f>
        <v>0</v>
      </c>
      <c r="DQ862" s="59"/>
      <c r="DR862" s="59"/>
      <c r="DS862" s="59"/>
      <c r="DT862" s="59"/>
      <c r="DU862" s="59"/>
      <c r="DV862" s="59"/>
      <c r="DW862" s="59"/>
      <c r="DX862" s="59"/>
      <c r="DY862" s="59"/>
      <c r="DZ862" s="59"/>
      <c r="EA862" s="59"/>
      <c r="EB862" s="59"/>
      <c r="EC862" s="59"/>
      <c r="ED862" s="59"/>
      <c r="EE862" s="59"/>
      <c r="EF862" s="59">
        <v>150</v>
      </c>
      <c r="EG862" s="59">
        <v>1500</v>
      </c>
      <c r="EH862" s="59">
        <v>7.5</v>
      </c>
      <c r="EI862" s="61">
        <v>0.9</v>
      </c>
      <c r="EJ862" s="59">
        <v>2</v>
      </c>
      <c r="EK862" s="59">
        <v>60</v>
      </c>
      <c r="EL862" s="65">
        <f>3600/EK862*EH862*EJ862*EI862</f>
        <v>810</v>
      </c>
      <c r="EM862" s="59"/>
      <c r="EN862" s="59"/>
      <c r="EO862" s="59"/>
      <c r="EP862" s="59"/>
      <c r="EQ862" s="59"/>
      <c r="ER862" s="59"/>
      <c r="ES862" s="59"/>
      <c r="ET862" s="59"/>
      <c r="EU862" s="62">
        <f>EG862/EL862+FA862</f>
        <v>1.8518518518518519</v>
      </c>
      <c r="EV862" s="59"/>
      <c r="EW862" s="59"/>
      <c r="EX862" s="59"/>
      <c r="EY862" s="59"/>
      <c r="EZ862" s="59"/>
      <c r="FA862" s="59"/>
      <c r="FB862" s="59"/>
      <c r="FC862" s="59"/>
      <c r="FD862" s="59"/>
      <c r="FE862" s="59"/>
      <c r="FF862" s="59"/>
      <c r="FG862" s="59"/>
      <c r="FH862" s="59"/>
      <c r="FI862" s="59"/>
      <c r="FJ862" s="59"/>
      <c r="FK862" s="59"/>
      <c r="FL862" s="59"/>
      <c r="FM862" s="59"/>
      <c r="FN862" s="59"/>
      <c r="FO862" s="59"/>
      <c r="FP862" s="59"/>
      <c r="FQ862" s="59"/>
      <c r="FR862" s="59"/>
      <c r="FS862" s="59"/>
      <c r="FT862" s="59"/>
      <c r="FU862" s="59"/>
      <c r="FV862" s="59"/>
      <c r="FW862" s="59"/>
      <c r="FX862" s="59"/>
      <c r="FY862" s="59"/>
      <c r="FZ862" s="59"/>
      <c r="GA862" s="59"/>
      <c r="GB862" s="59"/>
      <c r="GC862" s="59"/>
      <c r="GD862" s="59"/>
      <c r="GE862" s="59"/>
      <c r="GF862" s="59"/>
      <c r="GG862" s="59"/>
      <c r="GH862" s="59"/>
      <c r="GI862" s="59"/>
      <c r="GJ862" s="59"/>
      <c r="GK862" s="59"/>
      <c r="GL862" s="59"/>
      <c r="GM862" s="59"/>
      <c r="GN862" s="59"/>
      <c r="GO862" s="59"/>
      <c r="GP862" s="59"/>
      <c r="GQ862" s="59"/>
      <c r="GR862" s="61">
        <v>0.11</v>
      </c>
      <c r="GS862" s="62">
        <f>GR862*(BA862+EU862+EP862+EQ862)</f>
        <v>1.0047077317037036</v>
      </c>
      <c r="GT862" s="64">
        <v>1.2500000000000001E-2</v>
      </c>
      <c r="GU862" s="62">
        <f>GT862*(BA862+EU862+EP862+EQ862)</f>
        <v>0.11417133314814815</v>
      </c>
      <c r="GV862" s="61">
        <v>0.02</v>
      </c>
      <c r="GW862" s="62">
        <f>GV862*EU862</f>
        <v>3.7037037037037035E-2</v>
      </c>
      <c r="GX862" s="62">
        <f>GS862+GU862+GW862</f>
        <v>1.1559161018888888</v>
      </c>
      <c r="GY862" s="59" t="s">
        <v>43</v>
      </c>
      <c r="GZ862" s="59" t="s">
        <v>551</v>
      </c>
      <c r="HA862" s="59">
        <v>650</v>
      </c>
      <c r="HB862" s="59">
        <v>450</v>
      </c>
      <c r="HC862" s="59">
        <v>330</v>
      </c>
      <c r="HD862" s="59">
        <v>125</v>
      </c>
      <c r="HE862" s="59">
        <v>160</v>
      </c>
      <c r="HF862" s="62">
        <f>ROUNDUP(HE862/HD862,0)</f>
        <v>2</v>
      </c>
      <c r="HG862" s="59">
        <v>5</v>
      </c>
      <c r="HH862" s="62">
        <f>HF862*HG862</f>
        <v>10</v>
      </c>
      <c r="HI862" s="59">
        <v>650</v>
      </c>
      <c r="HJ862" s="62">
        <f>HH862*HI862</f>
        <v>6500</v>
      </c>
      <c r="HK862" s="59"/>
      <c r="HL862" s="59"/>
      <c r="HM862" s="59">
        <v>2</v>
      </c>
      <c r="HN862" s="62">
        <f>HM862*12*25*HE862</f>
        <v>96000</v>
      </c>
      <c r="HO862" s="62">
        <f>IF(GY862="carton box",HI862/HD862,HJ862/HN862)</f>
        <v>6.7708333333333329E-2</v>
      </c>
      <c r="HP862" s="59">
        <v>160</v>
      </c>
      <c r="HQ862" s="59">
        <v>0</v>
      </c>
      <c r="HR862" s="59">
        <v>0</v>
      </c>
      <c r="HS862" s="59">
        <v>0</v>
      </c>
      <c r="HT862" s="59">
        <v>0</v>
      </c>
      <c r="HU862" s="59"/>
      <c r="HV862" s="62">
        <f>HO862+HT862</f>
        <v>6.7708333333333329E-2</v>
      </c>
      <c r="HW862" s="62"/>
      <c r="HX862" s="59">
        <v>4200</v>
      </c>
      <c r="HY862" s="59">
        <v>1900</v>
      </c>
      <c r="HZ862" s="59">
        <v>1975</v>
      </c>
      <c r="IA862" s="62">
        <f t="shared" si="819"/>
        <v>6</v>
      </c>
      <c r="IB862" s="62">
        <f t="shared" si="819"/>
        <v>4</v>
      </c>
      <c r="IC862" s="62">
        <f t="shared" si="819"/>
        <v>5</v>
      </c>
      <c r="ID862" s="61">
        <v>0.95</v>
      </c>
      <c r="IE862" s="62">
        <f>PRODUCT(IA862:ID862)</f>
        <v>114</v>
      </c>
      <c r="IF862" s="59">
        <v>500</v>
      </c>
      <c r="IG862" s="62">
        <f>ROUNDUP(IF862/(IE862*HD862),2)</f>
        <v>0.04</v>
      </c>
      <c r="IH862" s="62"/>
    </row>
    <row r="863" spans="1:244" ht="30">
      <c r="A863">
        <v>848</v>
      </c>
      <c r="C863" t="s">
        <v>567</v>
      </c>
      <c r="D863" s="28" t="s">
        <v>1700</v>
      </c>
      <c r="E863" s="28" t="s">
        <v>1701</v>
      </c>
      <c r="F863" s="28" t="s">
        <v>2444</v>
      </c>
      <c r="G863" s="27" t="s">
        <v>108</v>
      </c>
      <c r="I863" s="27" t="s">
        <v>94</v>
      </c>
      <c r="J863" s="28">
        <v>21697</v>
      </c>
      <c r="K863" s="27" t="s">
        <v>227</v>
      </c>
      <c r="N863" s="13" t="s">
        <v>2622</v>
      </c>
      <c r="O863" s="13" t="s">
        <v>1763</v>
      </c>
      <c r="P863" s="13" t="s">
        <v>2623</v>
      </c>
      <c r="S863" s="13"/>
      <c r="T863" s="13"/>
      <c r="U863" s="13"/>
      <c r="V863" s="72" t="s">
        <v>2486</v>
      </c>
      <c r="W863" s="53" t="s">
        <v>2624</v>
      </c>
    </row>
    <row r="864" spans="1:244" ht="45">
      <c r="A864">
        <v>849</v>
      </c>
      <c r="B864" t="s">
        <v>468</v>
      </c>
      <c r="C864" s="187" t="s">
        <v>2630</v>
      </c>
      <c r="D864" s="28" t="s">
        <v>1702</v>
      </c>
      <c r="E864" s="28" t="s">
        <v>1703</v>
      </c>
      <c r="F864" s="28" t="s">
        <v>2182</v>
      </c>
      <c r="G864" s="27" t="s">
        <v>108</v>
      </c>
      <c r="I864" s="27" t="s">
        <v>121</v>
      </c>
      <c r="J864" s="28">
        <v>21697</v>
      </c>
      <c r="K864" s="27" t="s">
        <v>227</v>
      </c>
      <c r="L864">
        <v>20089</v>
      </c>
      <c r="M864" t="s">
        <v>121</v>
      </c>
      <c r="Q864" s="13" t="s">
        <v>2497</v>
      </c>
      <c r="R864" s="13" t="s">
        <v>1769</v>
      </c>
      <c r="S864" s="13" t="s">
        <v>2618</v>
      </c>
      <c r="T864" s="13"/>
      <c r="U864" s="13"/>
      <c r="V864" s="72" t="s">
        <v>2486</v>
      </c>
      <c r="W864" s="53" t="s">
        <v>2631</v>
      </c>
      <c r="AA864" t="s">
        <v>2632</v>
      </c>
      <c r="AB864" s="66">
        <v>155.26</v>
      </c>
      <c r="AC864">
        <v>20</v>
      </c>
      <c r="AD864" t="s">
        <v>2620</v>
      </c>
      <c r="AE864" s="7">
        <f>BA864</f>
        <v>51.226320000000001</v>
      </c>
      <c r="AF864" s="7">
        <f>DT864</f>
        <v>0</v>
      </c>
      <c r="AG864" s="7">
        <f>EU864+EM864+EP864+EQ864</f>
        <v>13.107037037037037</v>
      </c>
      <c r="AH864" s="7">
        <f>DM864</f>
        <v>6.1</v>
      </c>
      <c r="AI864" s="7">
        <f>DO864</f>
        <v>7.6249999999999998E-2</v>
      </c>
      <c r="AJ864" s="7">
        <f>GW864</f>
        <v>0.26214074074074073</v>
      </c>
      <c r="AK864" s="7">
        <f>GU864</f>
        <v>0.80416696296296297</v>
      </c>
      <c r="AL864" s="7">
        <f>GS864</f>
        <v>7.0766692740740735</v>
      </c>
      <c r="AM864" s="7">
        <f>HV864</f>
        <v>3.8975</v>
      </c>
      <c r="AN864" s="7">
        <f>IG864</f>
        <v>0.63</v>
      </c>
      <c r="AO864" s="7"/>
      <c r="AP864" s="7"/>
      <c r="AQ864" s="7">
        <f>SUM(AE864:AP864)</f>
        <v>83.18008401481481</v>
      </c>
      <c r="AR864" s="7"/>
      <c r="AS864" s="7"/>
      <c r="AT864" s="7"/>
      <c r="AU864" s="7">
        <f>83.26-83.18</f>
        <v>7.9999999999998295E-2</v>
      </c>
      <c r="AV864" s="7">
        <f>AQ864+AU864+AT864+AR864</f>
        <v>83.260084014814808</v>
      </c>
      <c r="AW864" s="59">
        <v>0.33200000000000002</v>
      </c>
      <c r="AX864" s="59">
        <v>0.316</v>
      </c>
      <c r="AY864" s="61">
        <v>1</v>
      </c>
      <c r="AZ864" s="69">
        <f>AW864-AX864</f>
        <v>1.6000000000000014E-2</v>
      </c>
      <c r="BA864" s="62">
        <f>AW864*AB864-(AZ864*AC864)*AY864</f>
        <v>51.226320000000001</v>
      </c>
      <c r="BB864" s="62"/>
      <c r="BC864" s="62"/>
      <c r="BD864" s="62"/>
      <c r="BE864" s="62"/>
      <c r="BF864" s="62"/>
      <c r="BG864" s="62"/>
      <c r="BH864" s="62"/>
      <c r="BI864" s="62"/>
      <c r="BJ864" s="62"/>
      <c r="BK864" s="62"/>
      <c r="BL864" s="62"/>
      <c r="BM864" s="62"/>
      <c r="BN864" s="62"/>
      <c r="BO864" s="62"/>
      <c r="BP864" s="62"/>
      <c r="BQ864" s="62"/>
      <c r="BR864" s="62"/>
      <c r="BS864" s="62"/>
      <c r="BT864" s="62"/>
      <c r="BU864" s="62"/>
      <c r="BV864" s="62"/>
      <c r="BW864" s="62"/>
      <c r="BX864" s="62"/>
      <c r="BY864" s="62"/>
      <c r="BZ864" s="62"/>
      <c r="CA864" s="62"/>
      <c r="CB864" s="62"/>
      <c r="CC864" s="62"/>
      <c r="CD864" s="59">
        <v>0</v>
      </c>
      <c r="CE864" s="59">
        <v>0</v>
      </c>
      <c r="CF864" s="59">
        <v>1</v>
      </c>
      <c r="CG864" s="59">
        <v>6.1</v>
      </c>
      <c r="CH864" s="62">
        <f>CF864*CG864</f>
        <v>6.1</v>
      </c>
      <c r="CI864" s="59"/>
      <c r="CJ864" s="59"/>
      <c r="CK864" s="59"/>
      <c r="CL864" s="59"/>
      <c r="CM864" s="59"/>
      <c r="CN864" s="59"/>
      <c r="CO864" s="59"/>
      <c r="CP864" s="59"/>
      <c r="CQ864" s="59"/>
      <c r="CR864" s="59"/>
      <c r="CS864" s="59"/>
      <c r="CT864" s="59"/>
      <c r="CU864" s="59"/>
      <c r="CV864" s="59"/>
      <c r="CW864" s="59"/>
      <c r="CX864" s="59"/>
      <c r="CY864" s="59"/>
      <c r="CZ864" s="59"/>
      <c r="DA864" s="59"/>
      <c r="DB864" s="59"/>
      <c r="DC864" s="59"/>
      <c r="DD864" s="59"/>
      <c r="DE864" s="59"/>
      <c r="DF864" s="59"/>
      <c r="DG864" s="59"/>
      <c r="DH864" s="59"/>
      <c r="DI864" s="59"/>
      <c r="DJ864" s="59"/>
      <c r="DK864" s="59"/>
      <c r="DL864" s="59"/>
      <c r="DM864" s="62">
        <f>CH864+CM864+CR864+CW864+DB864+DG864+DK864</f>
        <v>6.1</v>
      </c>
      <c r="DN864" s="64">
        <v>1.2500000000000001E-2</v>
      </c>
      <c r="DO864" s="62">
        <f>DM864*DN864</f>
        <v>7.6249999999999998E-2</v>
      </c>
      <c r="DP864" s="62">
        <f>DM864+DO864</f>
        <v>6.1762499999999996</v>
      </c>
      <c r="DQ864" s="59"/>
      <c r="DR864" s="59"/>
      <c r="DS864" s="59"/>
      <c r="DT864" s="59"/>
      <c r="DU864" s="59"/>
      <c r="DV864" s="59"/>
      <c r="DW864" s="59"/>
      <c r="DX864" s="59"/>
      <c r="DY864" s="59"/>
      <c r="DZ864" s="59"/>
      <c r="EA864" s="59"/>
      <c r="EB864" s="59"/>
      <c r="EC864" s="59"/>
      <c r="ED864" s="59"/>
      <c r="EE864" s="59"/>
      <c r="EF864" s="59">
        <v>450</v>
      </c>
      <c r="EG864" s="59">
        <v>4500</v>
      </c>
      <c r="EH864" s="59">
        <v>7.5</v>
      </c>
      <c r="EI864" s="61">
        <v>0.9</v>
      </c>
      <c r="EJ864" s="59">
        <v>1</v>
      </c>
      <c r="EK864" s="59">
        <v>65</v>
      </c>
      <c r="EL864" s="65">
        <f>3600/EK864*EH864*EJ864*EI864</f>
        <v>373.84615384615387</v>
      </c>
      <c r="EM864" s="59"/>
      <c r="EN864" s="59"/>
      <c r="EO864" s="59"/>
      <c r="EP864" s="59"/>
      <c r="EQ864" s="59"/>
      <c r="ER864" s="59"/>
      <c r="ES864" s="59"/>
      <c r="ET864" s="59"/>
      <c r="EU864" s="62">
        <f>EG864/EL864+FA864</f>
        <v>13.107037037037037</v>
      </c>
      <c r="EV864" s="59"/>
      <c r="EW864" s="59"/>
      <c r="EX864" s="59"/>
      <c r="EY864" s="59"/>
      <c r="EZ864" s="59"/>
      <c r="FA864" s="59">
        <v>1.07</v>
      </c>
      <c r="FB864" s="59"/>
      <c r="FC864" s="59"/>
      <c r="FD864" s="59"/>
      <c r="FE864" s="59"/>
      <c r="FF864" s="59"/>
      <c r="FG864" s="59"/>
      <c r="FH864" s="59"/>
      <c r="FI864" s="59"/>
      <c r="FJ864" s="59"/>
      <c r="FK864" s="59"/>
      <c r="FL864" s="59"/>
      <c r="FM864" s="59"/>
      <c r="FN864" s="59"/>
      <c r="FO864" s="59"/>
      <c r="FP864" s="59"/>
      <c r="FQ864" s="59"/>
      <c r="FR864" s="59"/>
      <c r="FS864" s="59"/>
      <c r="FT864" s="59"/>
      <c r="FU864" s="59"/>
      <c r="FV864" s="59"/>
      <c r="FW864" s="59"/>
      <c r="FX864" s="59"/>
      <c r="FY864" s="59"/>
      <c r="FZ864" s="59"/>
      <c r="GA864" s="59"/>
      <c r="GB864" s="59"/>
      <c r="GC864" s="59"/>
      <c r="GD864" s="59"/>
      <c r="GE864" s="59"/>
      <c r="GF864" s="59"/>
      <c r="GG864" s="59"/>
      <c r="GH864" s="59"/>
      <c r="GI864" s="59"/>
      <c r="GJ864" s="59"/>
      <c r="GK864" s="59"/>
      <c r="GL864" s="59"/>
      <c r="GM864" s="59"/>
      <c r="GN864" s="59"/>
      <c r="GO864" s="59"/>
      <c r="GP864" s="59"/>
      <c r="GQ864" s="59"/>
      <c r="GR864" s="61">
        <v>0.11</v>
      </c>
      <c r="GS864" s="62">
        <f>GR864*(BA864+EU864+EP864+EQ864)</f>
        <v>7.0766692740740735</v>
      </c>
      <c r="GT864" s="64">
        <v>1.2500000000000001E-2</v>
      </c>
      <c r="GU864" s="62">
        <f>GT864*(BA864+EU864+EP864+EQ864)</f>
        <v>0.80416696296296297</v>
      </c>
      <c r="GV864" s="61">
        <v>0.02</v>
      </c>
      <c r="GW864" s="62">
        <f>GV864*EU864</f>
        <v>0.26214074074074073</v>
      </c>
      <c r="GX864" s="62">
        <f>GS864+GU864+GW864</f>
        <v>8.1429769777777778</v>
      </c>
      <c r="GY864" s="59" t="s">
        <v>43</v>
      </c>
      <c r="GZ864" s="59" t="s">
        <v>551</v>
      </c>
      <c r="HA864" s="59">
        <v>810</v>
      </c>
      <c r="HB864" s="59">
        <v>568</v>
      </c>
      <c r="HC864" s="59">
        <v>425</v>
      </c>
      <c r="HD864" s="59">
        <v>14</v>
      </c>
      <c r="HE864" s="59">
        <v>160</v>
      </c>
      <c r="HF864" s="62">
        <f>ROUNDUP(HE864/HD864,0)</f>
        <v>12</v>
      </c>
      <c r="HG864" s="59">
        <v>5</v>
      </c>
      <c r="HH864" s="62">
        <f>HF864*HG864</f>
        <v>60</v>
      </c>
      <c r="HI864" s="59">
        <v>1100</v>
      </c>
      <c r="HJ864" s="62">
        <f>HH864*HI864</f>
        <v>66000</v>
      </c>
      <c r="HK864" s="59"/>
      <c r="HL864" s="59"/>
      <c r="HM864" s="59">
        <v>2</v>
      </c>
      <c r="HN864" s="62">
        <f>HM864*12*25*HE864</f>
        <v>96000</v>
      </c>
      <c r="HO864" s="62">
        <f>IF(GY864="carton box",HI864/HD864,HJ864/HN864)</f>
        <v>0.6875</v>
      </c>
      <c r="HP864" s="59">
        <v>160</v>
      </c>
      <c r="HQ864" s="59">
        <v>0</v>
      </c>
      <c r="HR864" s="59">
        <v>3.21</v>
      </c>
      <c r="HS864" s="59">
        <v>1</v>
      </c>
      <c r="HT864" s="62">
        <f>HR864/HS864</f>
        <v>3.21</v>
      </c>
      <c r="HU864" s="62"/>
      <c r="HV864" s="62">
        <f>HO864+HT864</f>
        <v>3.8975</v>
      </c>
      <c r="HW864" s="62"/>
      <c r="HX864" s="59">
        <v>4200</v>
      </c>
      <c r="HY864" s="59">
        <v>1900</v>
      </c>
      <c r="HZ864" s="59">
        <v>1975</v>
      </c>
      <c r="IA864" s="62">
        <f>ROUNDDOWN(HX864/HA864,0)</f>
        <v>5</v>
      </c>
      <c r="IB864" s="62">
        <f>ROUNDDOWN(HY864/HB864,0)</f>
        <v>3</v>
      </c>
      <c r="IC864" s="62">
        <f>ROUNDDOWN(HZ864/HC864,0)</f>
        <v>4</v>
      </c>
      <c r="ID864" s="61">
        <v>0.95</v>
      </c>
      <c r="IE864" s="62">
        <f>PRODUCT(IA864:ID864)</f>
        <v>57</v>
      </c>
      <c r="IF864" s="59">
        <v>500</v>
      </c>
      <c r="IG864" s="62">
        <f>ROUNDUP(IF864/(IE864*HD864),2)</f>
        <v>0.63</v>
      </c>
      <c r="IH864" s="62"/>
    </row>
    <row r="865" spans="1:244" ht="30">
      <c r="A865">
        <v>850</v>
      </c>
      <c r="C865" t="s">
        <v>567</v>
      </c>
      <c r="D865" s="28" t="s">
        <v>1702</v>
      </c>
      <c r="E865" s="28" t="s">
        <v>1703</v>
      </c>
      <c r="F865" s="28" t="s">
        <v>2444</v>
      </c>
      <c r="G865" s="27" t="s">
        <v>108</v>
      </c>
      <c r="I865" s="27" t="s">
        <v>94</v>
      </c>
      <c r="J865" s="28">
        <v>21697</v>
      </c>
      <c r="K865" s="27" t="s">
        <v>227</v>
      </c>
      <c r="N865" s="13" t="s">
        <v>2622</v>
      </c>
      <c r="O865" s="13" t="s">
        <v>1763</v>
      </c>
      <c r="P865" s="13" t="s">
        <v>2623</v>
      </c>
      <c r="S865" s="13"/>
      <c r="T865" s="13"/>
      <c r="U865" s="13"/>
      <c r="V865" s="72" t="s">
        <v>2486</v>
      </c>
      <c r="W865" s="53" t="s">
        <v>439</v>
      </c>
    </row>
    <row r="866" spans="1:244" ht="30">
      <c r="A866">
        <v>851</v>
      </c>
      <c r="B866" t="s">
        <v>468</v>
      </c>
      <c r="C866" t="s">
        <v>2633</v>
      </c>
      <c r="D866" s="28" t="s">
        <v>1704</v>
      </c>
      <c r="E866" s="28" t="s">
        <v>1705</v>
      </c>
      <c r="F866" s="28" t="s">
        <v>2182</v>
      </c>
      <c r="G866" s="27" t="s">
        <v>108</v>
      </c>
      <c r="I866" s="27" t="s">
        <v>121</v>
      </c>
      <c r="J866" s="28">
        <v>21697</v>
      </c>
      <c r="K866" s="27" t="s">
        <v>227</v>
      </c>
      <c r="Q866" s="13" t="s">
        <v>2497</v>
      </c>
      <c r="R866" s="13" t="s">
        <v>1769</v>
      </c>
      <c r="S866" s="13" t="s">
        <v>2618</v>
      </c>
      <c r="T866" s="13"/>
      <c r="U866" s="13"/>
      <c r="V866" s="72" t="s">
        <v>2486</v>
      </c>
      <c r="W866" s="53" t="s">
        <v>2626</v>
      </c>
      <c r="AA866" s="72" t="s">
        <v>2634</v>
      </c>
      <c r="AB866" s="66">
        <v>124.82</v>
      </c>
      <c r="AC866">
        <v>20</v>
      </c>
      <c r="AD866" t="s">
        <v>2620</v>
      </c>
      <c r="AE866" s="7">
        <f>BA866</f>
        <v>34.687334</v>
      </c>
      <c r="AF866" s="7">
        <f>DT866</f>
        <v>0</v>
      </c>
      <c r="AG866" s="7">
        <f>EU866+EM866+EP866+EQ866</f>
        <v>4.8971193415637861</v>
      </c>
      <c r="AH866" s="7">
        <f>DM866</f>
        <v>0</v>
      </c>
      <c r="AI866" s="7">
        <f>DO866</f>
        <v>0</v>
      </c>
      <c r="AJ866" s="7">
        <f>GW866</f>
        <v>9.7942386831275721E-2</v>
      </c>
      <c r="AK866" s="7">
        <f>GU866</f>
        <v>0.49480566676954735</v>
      </c>
      <c r="AL866" s="7">
        <f>GS866</f>
        <v>4.3542898675720165</v>
      </c>
      <c r="AM866" s="7">
        <f>HV866</f>
        <v>0.45833333333333331</v>
      </c>
      <c r="AN866" s="7">
        <f>IG866</f>
        <v>0.44</v>
      </c>
      <c r="AO866" s="7"/>
      <c r="AP866" s="7"/>
      <c r="AQ866" s="7">
        <f>SUM(AE866:AP866)</f>
        <v>45.429824596069956</v>
      </c>
      <c r="AR866" s="7"/>
      <c r="AS866" s="7"/>
      <c r="AT866" s="7"/>
      <c r="AU866" s="7"/>
      <c r="AV866" s="7">
        <f>AQ866+AU866+AT866+AR866</f>
        <v>45.429824596069956</v>
      </c>
      <c r="AW866" s="59">
        <v>0.2787</v>
      </c>
      <c r="AX866" s="59">
        <v>0.2737</v>
      </c>
      <c r="AY866" s="61">
        <v>1</v>
      </c>
      <c r="AZ866" s="69">
        <f>AW866-AX866</f>
        <v>5.0000000000000044E-3</v>
      </c>
      <c r="BA866" s="62">
        <f>AW866*AB866-(AZ866*AC866)*AY866</f>
        <v>34.687334</v>
      </c>
      <c r="BB866" s="62"/>
      <c r="BC866" s="62"/>
      <c r="BD866" s="62"/>
      <c r="BE866" s="62"/>
      <c r="BF866" s="62"/>
      <c r="BG866" s="62"/>
      <c r="BH866" s="62"/>
      <c r="BI866" s="62"/>
      <c r="BJ866" s="62"/>
      <c r="BK866" s="62"/>
      <c r="BL866" s="62"/>
      <c r="BM866" s="62"/>
      <c r="BN866" s="62"/>
      <c r="BO866" s="62"/>
      <c r="BP866" s="62"/>
      <c r="BQ866" s="62"/>
      <c r="BR866" s="62"/>
      <c r="BS866" s="62"/>
      <c r="BT866" s="62"/>
      <c r="BU866" s="62"/>
      <c r="BV866" s="62"/>
      <c r="BW866" s="62"/>
      <c r="BX866" s="62"/>
      <c r="BY866" s="62"/>
      <c r="BZ866" s="62"/>
      <c r="CA866" s="62"/>
      <c r="CB866" s="62"/>
      <c r="CC866" s="62"/>
      <c r="CD866" s="59">
        <v>0</v>
      </c>
      <c r="CE866" s="59">
        <v>0</v>
      </c>
      <c r="CF866" s="59">
        <v>0</v>
      </c>
      <c r="CG866" s="59">
        <v>0</v>
      </c>
      <c r="CH866" s="59">
        <v>0</v>
      </c>
      <c r="CI866" s="59"/>
      <c r="CJ866" s="59"/>
      <c r="CK866" s="59"/>
      <c r="CL866" s="59"/>
      <c r="CM866" s="59"/>
      <c r="CN866" s="59"/>
      <c r="CO866" s="59"/>
      <c r="CP866" s="59"/>
      <c r="CQ866" s="59"/>
      <c r="CR866" s="59"/>
      <c r="CS866" s="59"/>
      <c r="CT866" s="59"/>
      <c r="CU866" s="59"/>
      <c r="CV866" s="59"/>
      <c r="CW866" s="59"/>
      <c r="CX866" s="59"/>
      <c r="CY866" s="59"/>
      <c r="CZ866" s="59"/>
      <c r="DA866" s="59"/>
      <c r="DB866" s="59"/>
      <c r="DC866" s="59"/>
      <c r="DD866" s="59"/>
      <c r="DE866" s="59"/>
      <c r="DF866" s="59"/>
      <c r="DG866" s="59"/>
      <c r="DH866" s="59"/>
      <c r="DI866" s="59"/>
      <c r="DJ866" s="59"/>
      <c r="DK866" s="59"/>
      <c r="DL866" s="59"/>
      <c r="DM866" s="62">
        <f>CH866+CM866+CR866+CW866+DB866+DG866+DK866</f>
        <v>0</v>
      </c>
      <c r="DN866" s="64">
        <v>1.2500000000000001E-2</v>
      </c>
      <c r="DO866" s="62">
        <f>DM866*DN866</f>
        <v>0</v>
      </c>
      <c r="DP866" s="62">
        <f>DM866+DO866</f>
        <v>0</v>
      </c>
      <c r="DQ866" s="59"/>
      <c r="DR866" s="59"/>
      <c r="DS866" s="59"/>
      <c r="DT866" s="59"/>
      <c r="DU866" s="59"/>
      <c r="DV866" s="59"/>
      <c r="DW866" s="59"/>
      <c r="DX866" s="59"/>
      <c r="DY866" s="59"/>
      <c r="DZ866" s="59"/>
      <c r="EA866" s="59"/>
      <c r="EB866" s="59"/>
      <c r="EC866" s="59"/>
      <c r="ED866" s="59"/>
      <c r="EE866" s="59"/>
      <c r="EF866" s="59">
        <v>350</v>
      </c>
      <c r="EG866" s="59">
        <v>3500</v>
      </c>
      <c r="EH866" s="59">
        <v>7.5</v>
      </c>
      <c r="EI866" s="61">
        <v>0.9</v>
      </c>
      <c r="EJ866" s="59">
        <v>2</v>
      </c>
      <c r="EK866" s="59">
        <v>68</v>
      </c>
      <c r="EL866" s="65">
        <f>3600/EK866*EH866*EJ866*EI866</f>
        <v>714.7058823529411</v>
      </c>
      <c r="EM866" s="59"/>
      <c r="EN866" s="59"/>
      <c r="EO866" s="59"/>
      <c r="EP866" s="59"/>
      <c r="EQ866" s="59"/>
      <c r="ER866" s="59"/>
      <c r="ES866" s="59"/>
      <c r="ET866" s="59"/>
      <c r="EU866" s="62">
        <f>EG866/EL866+FA866</f>
        <v>4.8971193415637861</v>
      </c>
      <c r="EV866" s="59"/>
      <c r="EW866" s="59"/>
      <c r="EX866" s="59"/>
      <c r="EY866" s="59"/>
      <c r="EZ866" s="59"/>
      <c r="FA866" s="59"/>
      <c r="FB866" s="59"/>
      <c r="FC866" s="59"/>
      <c r="FD866" s="59"/>
      <c r="FE866" s="59"/>
      <c r="FF866" s="59"/>
      <c r="FG866" s="59"/>
      <c r="FH866" s="59"/>
      <c r="FI866" s="59"/>
      <c r="FJ866" s="59"/>
      <c r="FK866" s="59"/>
      <c r="FL866" s="59"/>
      <c r="FM866" s="59"/>
      <c r="FN866" s="59"/>
      <c r="FO866" s="59"/>
      <c r="FP866" s="59"/>
      <c r="FQ866" s="59"/>
      <c r="FR866" s="59"/>
      <c r="FS866" s="59"/>
      <c r="FT866" s="59"/>
      <c r="FU866" s="59"/>
      <c r="FV866" s="59"/>
      <c r="FW866" s="59"/>
      <c r="FX866" s="59"/>
      <c r="FY866" s="59"/>
      <c r="FZ866" s="59"/>
      <c r="GA866" s="59"/>
      <c r="GB866" s="59"/>
      <c r="GC866" s="59"/>
      <c r="GD866" s="59"/>
      <c r="GE866" s="59"/>
      <c r="GF866" s="59"/>
      <c r="GG866" s="59"/>
      <c r="GH866" s="59"/>
      <c r="GI866" s="59"/>
      <c r="GJ866" s="59"/>
      <c r="GK866" s="59"/>
      <c r="GL866" s="59"/>
      <c r="GM866" s="59"/>
      <c r="GN866" s="59"/>
      <c r="GO866" s="59"/>
      <c r="GP866" s="59"/>
      <c r="GQ866" s="59"/>
      <c r="GR866" s="61">
        <v>0.11</v>
      </c>
      <c r="GS866" s="62">
        <f>GR866*(BA866+EU866+EP866+EQ866)</f>
        <v>4.3542898675720165</v>
      </c>
      <c r="GT866" s="64">
        <v>1.2500000000000001E-2</v>
      </c>
      <c r="GU866" s="62">
        <f>GT866*(BA866+EU866+EP866+EQ866)</f>
        <v>0.49480566676954735</v>
      </c>
      <c r="GV866" s="61">
        <v>0.02</v>
      </c>
      <c r="GW866" s="62">
        <f>GV866*EU866</f>
        <v>9.7942386831275721E-2</v>
      </c>
      <c r="GX866" s="62">
        <f>GS866+GU866+GW866</f>
        <v>4.9470379211728401</v>
      </c>
      <c r="GY866" s="59" t="s">
        <v>43</v>
      </c>
      <c r="GZ866" s="59" t="s">
        <v>551</v>
      </c>
      <c r="HA866" s="59">
        <v>810</v>
      </c>
      <c r="HB866" s="59">
        <v>568</v>
      </c>
      <c r="HC866" s="59">
        <v>425</v>
      </c>
      <c r="HD866" s="59">
        <v>20</v>
      </c>
      <c r="HE866" s="59">
        <v>160</v>
      </c>
      <c r="HF866" s="62">
        <f>ROUNDUP(HE866/HD866,0)</f>
        <v>8</v>
      </c>
      <c r="HG866" s="59">
        <v>5</v>
      </c>
      <c r="HH866" s="62">
        <f>HF866*HG866</f>
        <v>40</v>
      </c>
      <c r="HI866" s="59">
        <v>1100</v>
      </c>
      <c r="HJ866" s="62">
        <f>HH866*HI866</f>
        <v>44000</v>
      </c>
      <c r="HK866" s="59"/>
      <c r="HL866" s="59"/>
      <c r="HM866" s="59">
        <v>2</v>
      </c>
      <c r="HN866" s="62">
        <f>HM866*12*25*HE866</f>
        <v>96000</v>
      </c>
      <c r="HO866" s="62">
        <f>IF(GY866="carton box",HI866/HD866,HJ866/HN866)</f>
        <v>0.45833333333333331</v>
      </c>
      <c r="HP866" s="59">
        <v>160</v>
      </c>
      <c r="HQ866" s="59">
        <v>0</v>
      </c>
      <c r="HR866" s="59">
        <v>0</v>
      </c>
      <c r="HS866" s="59">
        <v>0</v>
      </c>
      <c r="HT866" s="59">
        <v>0</v>
      </c>
      <c r="HU866" s="59"/>
      <c r="HV866" s="62">
        <f>HO866+HT866</f>
        <v>0.45833333333333331</v>
      </c>
      <c r="HW866" s="62"/>
      <c r="HX866" s="59">
        <v>4200</v>
      </c>
      <c r="HY866" s="59">
        <v>1900</v>
      </c>
      <c r="HZ866" s="59">
        <v>1975</v>
      </c>
      <c r="IA866" s="62">
        <f>ROUNDDOWN(HX866/HA866,0)</f>
        <v>5</v>
      </c>
      <c r="IB866" s="62">
        <f>ROUNDDOWN(HY866/HB866,0)</f>
        <v>3</v>
      </c>
      <c r="IC866" s="62">
        <f>ROUNDDOWN(HZ866/HC866,0)</f>
        <v>4</v>
      </c>
      <c r="ID866" s="61">
        <v>0.95</v>
      </c>
      <c r="IE866" s="62">
        <f>PRODUCT(IA866:ID866)</f>
        <v>57</v>
      </c>
      <c r="IF866" s="59">
        <v>500</v>
      </c>
      <c r="IG866" s="62">
        <f>ROUNDUP(IF866/(IE866*HD866),2)</f>
        <v>0.44</v>
      </c>
      <c r="IH866" s="62"/>
    </row>
    <row r="867" spans="1:244" ht="30">
      <c r="A867">
        <v>852</v>
      </c>
      <c r="C867" t="s">
        <v>567</v>
      </c>
      <c r="D867" s="28" t="s">
        <v>1704</v>
      </c>
      <c r="E867" s="28" t="s">
        <v>1705</v>
      </c>
      <c r="F867" s="28" t="s">
        <v>2444</v>
      </c>
      <c r="G867" s="27" t="s">
        <v>108</v>
      </c>
      <c r="I867" s="27" t="s">
        <v>94</v>
      </c>
      <c r="J867" s="28">
        <v>21697</v>
      </c>
      <c r="K867" s="27" t="s">
        <v>227</v>
      </c>
      <c r="N867" s="13" t="s">
        <v>2622</v>
      </c>
      <c r="O867" s="13" t="s">
        <v>1763</v>
      </c>
      <c r="P867" s="13" t="s">
        <v>2623</v>
      </c>
      <c r="S867" s="13"/>
      <c r="T867" s="13"/>
      <c r="U867" s="13"/>
      <c r="V867" s="72" t="s">
        <v>2486</v>
      </c>
      <c r="W867" s="53" t="s">
        <v>2624</v>
      </c>
    </row>
    <row r="868" spans="1:244" ht="30">
      <c r="A868">
        <v>853</v>
      </c>
      <c r="B868" t="s">
        <v>468</v>
      </c>
      <c r="C868" t="s">
        <v>2635</v>
      </c>
      <c r="D868" s="28" t="s">
        <v>863</v>
      </c>
      <c r="E868" s="28" t="s">
        <v>864</v>
      </c>
      <c r="F868" s="28" t="s">
        <v>2182</v>
      </c>
      <c r="G868" s="27" t="s">
        <v>108</v>
      </c>
      <c r="I868" s="27" t="s">
        <v>121</v>
      </c>
      <c r="J868" s="28">
        <v>21697</v>
      </c>
      <c r="K868" s="27" t="s">
        <v>227</v>
      </c>
      <c r="L868">
        <v>20089</v>
      </c>
      <c r="M868" t="s">
        <v>121</v>
      </c>
      <c r="Q868" s="13" t="s">
        <v>2497</v>
      </c>
      <c r="R868" s="13" t="s">
        <v>1769</v>
      </c>
      <c r="S868" s="13" t="s">
        <v>2636</v>
      </c>
      <c r="T868" s="13"/>
      <c r="U868" s="13"/>
      <c r="V868" s="72" t="s">
        <v>2486</v>
      </c>
      <c r="W868" s="53" t="s">
        <v>2626</v>
      </c>
      <c r="AA868" s="72" t="s">
        <v>2637</v>
      </c>
      <c r="AB868" s="66">
        <v>127.79</v>
      </c>
      <c r="AC868">
        <v>20</v>
      </c>
      <c r="AD868" t="s">
        <v>2638</v>
      </c>
      <c r="AE868" s="7">
        <f>BA868</f>
        <v>6.6797518</v>
      </c>
      <c r="AF868" s="7">
        <f>DT868</f>
        <v>0</v>
      </c>
      <c r="AG868" s="7">
        <f>EU868+EM868+EP868+EQ868</f>
        <v>2.1265432098765431</v>
      </c>
      <c r="AH868" s="7">
        <f>DM868</f>
        <v>0</v>
      </c>
      <c r="AI868" s="7">
        <f>DO868</f>
        <v>0</v>
      </c>
      <c r="AJ868" s="7">
        <f>GW868</f>
        <v>4.2530864197530861E-2</v>
      </c>
      <c r="AK868" s="7">
        <f>GU868</f>
        <v>0.13209442514814815</v>
      </c>
      <c r="AL868" s="7">
        <f>GS868</f>
        <v>1.1007868762345678</v>
      </c>
      <c r="AM868" s="7">
        <f>HV868</f>
        <v>6.3194444444444442E-2</v>
      </c>
      <c r="AN868" s="7">
        <f>IG868</f>
        <v>0.13</v>
      </c>
      <c r="AO868" s="7"/>
      <c r="AP868" s="7"/>
      <c r="AQ868" s="7">
        <f>SUM(AE868:AP868)</f>
        <v>10.274901619901234</v>
      </c>
      <c r="AR868" s="7">
        <f>IJ868</f>
        <v>8.8062950098765427E-2</v>
      </c>
      <c r="AS868" s="7"/>
      <c r="AT868" s="7"/>
      <c r="AU868" s="7"/>
      <c r="AV868" s="7">
        <f>AQ868+AU868+AT868+AR868</f>
        <v>10.362964569999999</v>
      </c>
      <c r="AW868" s="59">
        <v>5.2420000000000001E-2</v>
      </c>
      <c r="AX868" s="59">
        <v>5.1470000000000002E-2</v>
      </c>
      <c r="AY868" s="61">
        <v>1</v>
      </c>
      <c r="AZ868" s="69">
        <f>AW868-AX868</f>
        <v>9.4999999999999946E-4</v>
      </c>
      <c r="BA868" s="62">
        <f>AW868*AB868-(AZ868*AC868)*AY868</f>
        <v>6.6797518</v>
      </c>
      <c r="BB868" s="62"/>
      <c r="BC868" s="62"/>
      <c r="BD868" s="62"/>
      <c r="BE868" s="62"/>
      <c r="BF868" s="62"/>
      <c r="BG868" s="62"/>
      <c r="BH868" s="62"/>
      <c r="BI868" s="62"/>
      <c r="BJ868" s="62"/>
      <c r="BK868" s="62"/>
      <c r="BL868" s="62"/>
      <c r="BM868" s="62"/>
      <c r="BN868" s="62"/>
      <c r="BO868" s="62"/>
      <c r="BP868" s="62"/>
      <c r="BQ868" s="62"/>
      <c r="BR868" s="62"/>
      <c r="BS868" s="62"/>
      <c r="BT868" s="62"/>
      <c r="BU868" s="62"/>
      <c r="BV868" s="62"/>
      <c r="BW868" s="62"/>
      <c r="BX868" s="62"/>
      <c r="BY868" s="62"/>
      <c r="BZ868" s="62"/>
      <c r="CA868" s="62"/>
      <c r="CB868" s="62"/>
      <c r="CC868" s="62"/>
      <c r="CD868" s="59">
        <v>0</v>
      </c>
      <c r="CE868" s="59">
        <v>0</v>
      </c>
      <c r="CF868" s="59">
        <v>0</v>
      </c>
      <c r="CG868" s="59">
        <v>0</v>
      </c>
      <c r="CH868" s="59">
        <v>0</v>
      </c>
      <c r="CI868" s="59"/>
      <c r="CJ868" s="59"/>
      <c r="CK868" s="59"/>
      <c r="CL868" s="59"/>
      <c r="CM868" s="59"/>
      <c r="CN868" s="59"/>
      <c r="CO868" s="59"/>
      <c r="CP868" s="59"/>
      <c r="CQ868" s="59"/>
      <c r="CR868" s="59"/>
      <c r="CS868" s="59"/>
      <c r="CT868" s="59"/>
      <c r="CU868" s="59"/>
      <c r="CV868" s="59"/>
      <c r="CW868" s="59"/>
      <c r="CX868" s="59"/>
      <c r="CY868" s="59"/>
      <c r="CZ868" s="59"/>
      <c r="DA868" s="59"/>
      <c r="DB868" s="59"/>
      <c r="DC868" s="59"/>
      <c r="DD868" s="59"/>
      <c r="DE868" s="59"/>
      <c r="DF868" s="59"/>
      <c r="DG868" s="59"/>
      <c r="DH868" s="59"/>
      <c r="DI868" s="59"/>
      <c r="DJ868" s="59"/>
      <c r="DK868" s="59"/>
      <c r="DL868" s="59"/>
      <c r="DM868" s="62">
        <f>CH868+CM868+CR868+CW868+DB868+DG868+DK868</f>
        <v>0</v>
      </c>
      <c r="DN868" s="64">
        <v>1.2500000000000001E-2</v>
      </c>
      <c r="DO868" s="62">
        <f>DM868*DN868</f>
        <v>0</v>
      </c>
      <c r="DP868" s="62">
        <f>DM868+DO868</f>
        <v>0</v>
      </c>
      <c r="DQ868" s="59"/>
      <c r="DR868" s="59"/>
      <c r="DS868" s="59"/>
      <c r="DT868" s="59"/>
      <c r="DU868" s="59"/>
      <c r="DV868" s="59"/>
      <c r="DW868" s="59"/>
      <c r="DX868" s="59"/>
      <c r="DY868" s="59"/>
      <c r="DZ868" s="59"/>
      <c r="EA868" s="59"/>
      <c r="EB868" s="59"/>
      <c r="EC868" s="59"/>
      <c r="ED868" s="59"/>
      <c r="EE868" s="59"/>
      <c r="EF868" s="59">
        <v>160</v>
      </c>
      <c r="EG868" s="59">
        <v>1950</v>
      </c>
      <c r="EH868" s="59">
        <v>7.5</v>
      </c>
      <c r="EI868" s="61">
        <v>0.9</v>
      </c>
      <c r="EJ868" s="59">
        <v>2</v>
      </c>
      <c r="EK868" s="59">
        <v>53</v>
      </c>
      <c r="EL868" s="65">
        <f>3600/EK868*EH868*EJ868*EI868</f>
        <v>916.98113207547181</v>
      </c>
      <c r="EM868" s="59"/>
      <c r="EN868" s="59"/>
      <c r="EO868" s="59"/>
      <c r="EP868" s="59"/>
      <c r="EQ868" s="59"/>
      <c r="ER868" s="59"/>
      <c r="ES868" s="59"/>
      <c r="ET868" s="59"/>
      <c r="EU868" s="62">
        <f>EG868/EL868+FA868</f>
        <v>2.1265432098765431</v>
      </c>
      <c r="EV868" s="59"/>
      <c r="EW868" s="59"/>
      <c r="EX868" s="59"/>
      <c r="EY868" s="59"/>
      <c r="EZ868" s="59"/>
      <c r="FA868" s="59"/>
      <c r="FB868" s="59"/>
      <c r="FC868" s="59"/>
      <c r="FD868" s="59"/>
      <c r="FE868" s="59"/>
      <c r="FF868" s="59"/>
      <c r="FG868" s="59"/>
      <c r="FH868" s="59"/>
      <c r="FI868" s="59"/>
      <c r="FJ868" s="59"/>
      <c r="FK868" s="59"/>
      <c r="FL868" s="59"/>
      <c r="FM868" s="59"/>
      <c r="FN868" s="59"/>
      <c r="FO868" s="59"/>
      <c r="FP868" s="59"/>
      <c r="FQ868" s="59"/>
      <c r="FR868" s="59"/>
      <c r="FS868" s="59"/>
      <c r="FT868" s="59"/>
      <c r="FU868" s="59"/>
      <c r="FV868" s="59"/>
      <c r="FW868" s="59"/>
      <c r="FX868" s="59"/>
      <c r="FY868" s="59"/>
      <c r="FZ868" s="59"/>
      <c r="GA868" s="59"/>
      <c r="GB868" s="59"/>
      <c r="GC868" s="59"/>
      <c r="GD868" s="59"/>
      <c r="GE868" s="59"/>
      <c r="GF868" s="59"/>
      <c r="GG868" s="59"/>
      <c r="GH868" s="59"/>
      <c r="GI868" s="59"/>
      <c r="GJ868" s="59"/>
      <c r="GK868" s="59"/>
      <c r="GL868" s="59"/>
      <c r="GM868" s="59"/>
      <c r="GN868" s="59"/>
      <c r="GO868" s="59"/>
      <c r="GP868" s="59"/>
      <c r="GQ868" s="59"/>
      <c r="GR868" s="64">
        <v>0.125</v>
      </c>
      <c r="GS868" s="62">
        <f>GR868*(BA868+EU868+EP868+EQ868)</f>
        <v>1.1007868762345678</v>
      </c>
      <c r="GT868" s="64">
        <v>1.4999999999999999E-2</v>
      </c>
      <c r="GU868" s="62">
        <f>GT868*(BA868+EU868+EP868+EQ868)</f>
        <v>0.13209442514814815</v>
      </c>
      <c r="GV868" s="61">
        <v>0.02</v>
      </c>
      <c r="GW868" s="62">
        <f>GV868*EU868</f>
        <v>4.2530864197530861E-2</v>
      </c>
      <c r="GX868" s="62">
        <f>GS868+GU868+GW868</f>
        <v>1.2754121655802468</v>
      </c>
      <c r="GY868" s="59" t="s">
        <v>43</v>
      </c>
      <c r="GZ868" s="59" t="s">
        <v>551</v>
      </c>
      <c r="HA868" s="59">
        <v>650</v>
      </c>
      <c r="HB868" s="59">
        <v>450</v>
      </c>
      <c r="HC868" s="59">
        <v>330</v>
      </c>
      <c r="HD868" s="59">
        <v>90</v>
      </c>
      <c r="HE868" s="59">
        <v>600</v>
      </c>
      <c r="HF868" s="62">
        <f>ROUNDUP(HE868/HD868,0)</f>
        <v>7</v>
      </c>
      <c r="HG868" s="59">
        <v>5</v>
      </c>
      <c r="HH868" s="62">
        <f>HF868*HG868</f>
        <v>35</v>
      </c>
      <c r="HI868" s="59">
        <v>650</v>
      </c>
      <c r="HJ868" s="62">
        <f>HH868*HI868</f>
        <v>22750</v>
      </c>
      <c r="HK868" s="59"/>
      <c r="HL868" s="59"/>
      <c r="HM868" s="59">
        <v>2</v>
      </c>
      <c r="HN868" s="62">
        <f>HM868*12*25*HE868</f>
        <v>360000</v>
      </c>
      <c r="HO868" s="62">
        <f>IF(GY868="carton box",HI868/HD868,HJ868/HN868)</f>
        <v>6.3194444444444442E-2</v>
      </c>
      <c r="HP868" s="59">
        <v>160</v>
      </c>
      <c r="HQ868" s="59">
        <v>0</v>
      </c>
      <c r="HR868" s="59">
        <v>0</v>
      </c>
      <c r="HS868" s="59">
        <v>0</v>
      </c>
      <c r="HT868" s="59">
        <v>0</v>
      </c>
      <c r="HU868" s="59"/>
      <c r="HV868" s="62">
        <f>HO868+HT868</f>
        <v>6.3194444444444442E-2</v>
      </c>
      <c r="HW868" s="62"/>
      <c r="HX868" s="59">
        <v>4200</v>
      </c>
      <c r="HY868" s="59">
        <v>1900</v>
      </c>
      <c r="HZ868" s="59">
        <v>1975</v>
      </c>
      <c r="IA868" s="62">
        <f t="shared" ref="IA868:IC869" si="820">ROUNDDOWN(HX868/HA868,0)</f>
        <v>6</v>
      </c>
      <c r="IB868" s="62">
        <f t="shared" si="820"/>
        <v>4</v>
      </c>
      <c r="IC868" s="62">
        <f t="shared" si="820"/>
        <v>5</v>
      </c>
      <c r="ID868" s="61">
        <v>0.95</v>
      </c>
      <c r="IE868" s="62">
        <f>PRODUCT(IA868:ID868)</f>
        <v>114</v>
      </c>
      <c r="IF868" s="59">
        <v>1240</v>
      </c>
      <c r="IG868" s="62">
        <f>ROUNDUP(IF868/(IE868*HD868),2)</f>
        <v>0.13</v>
      </c>
      <c r="IH868" s="62"/>
      <c r="II868" s="61">
        <v>0.01</v>
      </c>
      <c r="IJ868" s="62">
        <f>(BA868+EU868)*II868</f>
        <v>8.8062950098765427E-2</v>
      </c>
    </row>
    <row r="869" spans="1:244" ht="30">
      <c r="A869">
        <v>854</v>
      </c>
      <c r="B869" t="s">
        <v>468</v>
      </c>
      <c r="C869" t="s">
        <v>2639</v>
      </c>
      <c r="D869" s="28" t="s">
        <v>1706</v>
      </c>
      <c r="E869" s="28" t="s">
        <v>172</v>
      </c>
      <c r="F869" s="28" t="s">
        <v>2182</v>
      </c>
      <c r="G869" s="27" t="s">
        <v>108</v>
      </c>
      <c r="I869" s="27" t="s">
        <v>121</v>
      </c>
      <c r="J869" s="28">
        <v>21697</v>
      </c>
      <c r="K869" s="27" t="s">
        <v>227</v>
      </c>
      <c r="L869">
        <v>20089</v>
      </c>
      <c r="M869" t="s">
        <v>121</v>
      </c>
      <c r="Q869" s="13" t="s">
        <v>2497</v>
      </c>
      <c r="R869" s="13" t="s">
        <v>1769</v>
      </c>
      <c r="S869" s="13" t="s">
        <v>2618</v>
      </c>
      <c r="T869" s="13"/>
      <c r="U869" s="13"/>
      <c r="V869" s="72" t="s">
        <v>2486</v>
      </c>
      <c r="W869" s="53" t="s">
        <v>2626</v>
      </c>
      <c r="AA869" t="s">
        <v>2356</v>
      </c>
      <c r="AB869" s="66">
        <v>111.8</v>
      </c>
      <c r="AC869">
        <v>20</v>
      </c>
      <c r="AD869" t="s">
        <v>2620</v>
      </c>
      <c r="AE869" s="7">
        <f>BA869</f>
        <v>10.4092</v>
      </c>
      <c r="AF869" s="7">
        <f>DT869</f>
        <v>0</v>
      </c>
      <c r="AG869" s="7">
        <f>EU869+EM869+EP869+EQ869</f>
        <v>3.7448559670781898</v>
      </c>
      <c r="AH869" s="7">
        <f>DM869</f>
        <v>0</v>
      </c>
      <c r="AI869" s="7">
        <f>DO869</f>
        <v>0</v>
      </c>
      <c r="AJ869" s="7">
        <f>GW869</f>
        <v>7.4897119341563803E-2</v>
      </c>
      <c r="AK869" s="7">
        <f>GU869</f>
        <v>0.17692569958847737</v>
      </c>
      <c r="AL869" s="7">
        <f>GS869</f>
        <v>1.5569461563786009</v>
      </c>
      <c r="AM869" s="7">
        <f>HV869</f>
        <v>0.12</v>
      </c>
      <c r="AN869" s="7">
        <f>IG869</f>
        <v>0.08</v>
      </c>
      <c r="AO869" s="7"/>
      <c r="AP869" s="7"/>
      <c r="AQ869" s="7">
        <f>SUM(AE869:AP869)</f>
        <v>16.16282494238683</v>
      </c>
      <c r="AR869" s="7"/>
      <c r="AS869" s="7"/>
      <c r="AT869" s="7"/>
      <c r="AU869" s="7"/>
      <c r="AV869" s="7">
        <f>AQ869+AU869+AT869+AR869</f>
        <v>16.16282494238683</v>
      </c>
      <c r="AW869" s="59">
        <v>9.4E-2</v>
      </c>
      <c r="AX869" s="59">
        <v>8.8999999999999996E-2</v>
      </c>
      <c r="AY869" s="61">
        <v>1</v>
      </c>
      <c r="AZ869" s="69">
        <f>AW869-AX869</f>
        <v>5.0000000000000044E-3</v>
      </c>
      <c r="BA869" s="62">
        <f>AW869*AB869-(AZ869*AC869)*AY869</f>
        <v>10.4092</v>
      </c>
      <c r="BB869" s="62"/>
      <c r="BC869" s="62"/>
      <c r="BD869" s="62"/>
      <c r="BE869" s="62"/>
      <c r="BF869" s="62"/>
      <c r="BG869" s="62"/>
      <c r="BH869" s="62"/>
      <c r="BI869" s="62"/>
      <c r="BJ869" s="62"/>
      <c r="BK869" s="62"/>
      <c r="BL869" s="62"/>
      <c r="BM869" s="62"/>
      <c r="BN869" s="62"/>
      <c r="BO869" s="62"/>
      <c r="BP869" s="62"/>
      <c r="BQ869" s="62"/>
      <c r="BR869" s="62"/>
      <c r="BS869" s="62"/>
      <c r="BT869" s="62"/>
      <c r="BU869" s="62"/>
      <c r="BV869" s="62"/>
      <c r="BW869" s="62"/>
      <c r="BX869" s="62"/>
      <c r="BY869" s="62"/>
      <c r="BZ869" s="62"/>
      <c r="CA869" s="62"/>
      <c r="CB869" s="62"/>
      <c r="CC869" s="62"/>
      <c r="CD869" s="59">
        <v>0</v>
      </c>
      <c r="CE869" s="59">
        <v>0</v>
      </c>
      <c r="CF869" s="59">
        <v>0</v>
      </c>
      <c r="CG869" s="59">
        <v>0</v>
      </c>
      <c r="CH869" s="59">
        <v>0</v>
      </c>
      <c r="CI869" s="59"/>
      <c r="CJ869" s="59"/>
      <c r="CK869" s="59"/>
      <c r="CL869" s="59"/>
      <c r="CM869" s="59"/>
      <c r="CN869" s="59"/>
      <c r="CO869" s="59"/>
      <c r="CP869" s="59"/>
      <c r="CQ869" s="59"/>
      <c r="CR869" s="59"/>
      <c r="CS869" s="59"/>
      <c r="CT869" s="59"/>
      <c r="CU869" s="59"/>
      <c r="CV869" s="59"/>
      <c r="CW869" s="59"/>
      <c r="CX869" s="59"/>
      <c r="CY869" s="59"/>
      <c r="CZ869" s="59"/>
      <c r="DA869" s="59"/>
      <c r="DB869" s="59"/>
      <c r="DC869" s="59"/>
      <c r="DD869" s="59"/>
      <c r="DE869" s="59"/>
      <c r="DF869" s="59"/>
      <c r="DG869" s="59"/>
      <c r="DH869" s="59"/>
      <c r="DI869" s="59"/>
      <c r="DJ869" s="59"/>
      <c r="DK869" s="59"/>
      <c r="DL869" s="59"/>
      <c r="DM869" s="62">
        <f>CH869+CM869+CR869+CW869+DB869+DG869+DK869</f>
        <v>0</v>
      </c>
      <c r="DN869" s="64">
        <v>1.2500000000000001E-2</v>
      </c>
      <c r="DO869" s="62">
        <f>DM869*DN869</f>
        <v>0</v>
      </c>
      <c r="DP869" s="62">
        <f>DM869+DO869</f>
        <v>0</v>
      </c>
      <c r="DQ869" s="59"/>
      <c r="DR869" s="59"/>
      <c r="DS869" s="59"/>
      <c r="DT869" s="59"/>
      <c r="DU869" s="59"/>
      <c r="DV869" s="59"/>
      <c r="DW869" s="59"/>
      <c r="DX869" s="59"/>
      <c r="DY869" s="59"/>
      <c r="DZ869" s="59"/>
      <c r="EA869" s="59"/>
      <c r="EB869" s="59"/>
      <c r="EC869" s="59"/>
      <c r="ED869" s="59"/>
      <c r="EE869" s="59"/>
      <c r="EF869" s="59">
        <v>350</v>
      </c>
      <c r="EG869" s="59">
        <v>3500</v>
      </c>
      <c r="EH869" s="59">
        <v>7.5</v>
      </c>
      <c r="EI869" s="61">
        <v>0.9</v>
      </c>
      <c r="EJ869" s="59">
        <v>2</v>
      </c>
      <c r="EK869" s="59">
        <v>52</v>
      </c>
      <c r="EL869" s="65">
        <f>3600/EK869*EH869*EJ869*EI869</f>
        <v>934.61538461538453</v>
      </c>
      <c r="EM869" s="59"/>
      <c r="EN869" s="59"/>
      <c r="EO869" s="59"/>
      <c r="EP869" s="59"/>
      <c r="EQ869" s="59"/>
      <c r="ER869" s="59"/>
      <c r="ES869" s="59"/>
      <c r="ET869" s="59"/>
      <c r="EU869" s="62">
        <f>EG869/EL869+FA869</f>
        <v>3.7448559670781898</v>
      </c>
      <c r="EV869" s="59"/>
      <c r="EW869" s="59"/>
      <c r="EX869" s="59"/>
      <c r="EY869" s="59"/>
      <c r="EZ869" s="59"/>
      <c r="FA869" s="59"/>
      <c r="FB869" s="59"/>
      <c r="FC869" s="59"/>
      <c r="FD869" s="59"/>
      <c r="FE869" s="59"/>
      <c r="FF869" s="59"/>
      <c r="FG869" s="59"/>
      <c r="FH869" s="59"/>
      <c r="FI869" s="59"/>
      <c r="FJ869" s="59"/>
      <c r="FK869" s="59"/>
      <c r="FL869" s="59"/>
      <c r="FM869" s="59"/>
      <c r="FN869" s="59"/>
      <c r="FO869" s="59"/>
      <c r="FP869" s="59"/>
      <c r="FQ869" s="59"/>
      <c r="FR869" s="59"/>
      <c r="FS869" s="59"/>
      <c r="FT869" s="59"/>
      <c r="FU869" s="59"/>
      <c r="FV869" s="59"/>
      <c r="FW869" s="59"/>
      <c r="FX869" s="59"/>
      <c r="FY869" s="59"/>
      <c r="FZ869" s="59"/>
      <c r="GA869" s="59"/>
      <c r="GB869" s="59"/>
      <c r="GC869" s="59"/>
      <c r="GD869" s="59"/>
      <c r="GE869" s="59"/>
      <c r="GF869" s="59"/>
      <c r="GG869" s="59"/>
      <c r="GH869" s="59"/>
      <c r="GI869" s="59"/>
      <c r="GJ869" s="59"/>
      <c r="GK869" s="59"/>
      <c r="GL869" s="59"/>
      <c r="GM869" s="59"/>
      <c r="GN869" s="59"/>
      <c r="GO869" s="59"/>
      <c r="GP869" s="59"/>
      <c r="GQ869" s="59"/>
      <c r="GR869" s="61">
        <v>0.11</v>
      </c>
      <c r="GS869" s="62">
        <f>GR869*(BA869+EU869+EP869+EQ869)</f>
        <v>1.5569461563786009</v>
      </c>
      <c r="GT869" s="64">
        <v>1.2500000000000001E-2</v>
      </c>
      <c r="GU869" s="62">
        <f>GT869*(BA869+EU869+EP869+EQ869)</f>
        <v>0.17692569958847737</v>
      </c>
      <c r="GV869" s="61">
        <v>0.02</v>
      </c>
      <c r="GW869" s="62">
        <f>GV869*EU869</f>
        <v>7.4897119341563803E-2</v>
      </c>
      <c r="GX869" s="62">
        <f>GS869+GU869+GW869</f>
        <v>1.808768975308642</v>
      </c>
      <c r="GY869" s="59" t="s">
        <v>43</v>
      </c>
      <c r="GZ869" s="59" t="s">
        <v>551</v>
      </c>
      <c r="HA869" s="59">
        <v>810</v>
      </c>
      <c r="HB869" s="59">
        <v>568</v>
      </c>
      <c r="HC869" s="59">
        <v>425</v>
      </c>
      <c r="HD869" s="59">
        <v>120</v>
      </c>
      <c r="HE869" s="59">
        <v>160</v>
      </c>
      <c r="HF869" s="62">
        <f>ROUNDUP(HE869/HD869,0)</f>
        <v>2</v>
      </c>
      <c r="HG869" s="59">
        <v>5</v>
      </c>
      <c r="HH869" s="62">
        <f>HF869*HG869</f>
        <v>10</v>
      </c>
      <c r="HI869" s="59">
        <v>1100</v>
      </c>
      <c r="HJ869" s="62">
        <f>HH869*HI869</f>
        <v>11000</v>
      </c>
      <c r="HK869" s="59"/>
      <c r="HL869" s="59"/>
      <c r="HM869" s="59">
        <v>2</v>
      </c>
      <c r="HN869" s="62">
        <f>HM869*12*25*HE869</f>
        <v>96000</v>
      </c>
      <c r="HO869" s="62">
        <f>IF(GY869="carton box",HI869/HD869,HJ869/HN869)</f>
        <v>0.11458333333333333</v>
      </c>
      <c r="HP869" s="59">
        <v>160</v>
      </c>
      <c r="HQ869" s="59">
        <v>0</v>
      </c>
      <c r="HR869" s="59">
        <v>0</v>
      </c>
      <c r="HS869" s="59">
        <v>0</v>
      </c>
      <c r="HT869" s="59">
        <v>0</v>
      </c>
      <c r="HU869" s="59"/>
      <c r="HV869" s="62">
        <f>ROUNDUP(HO869+HT869,2)</f>
        <v>0.12</v>
      </c>
      <c r="HW869" s="62"/>
      <c r="HX869" s="59">
        <v>4200</v>
      </c>
      <c r="HY869" s="59">
        <v>1900</v>
      </c>
      <c r="HZ869" s="59">
        <v>1975</v>
      </c>
      <c r="IA869" s="62">
        <f t="shared" si="820"/>
        <v>5</v>
      </c>
      <c r="IB869" s="62">
        <f t="shared" si="820"/>
        <v>3</v>
      </c>
      <c r="IC869" s="62">
        <f t="shared" si="820"/>
        <v>4</v>
      </c>
      <c r="ID869" s="61">
        <v>0.95</v>
      </c>
      <c r="IE869" s="62">
        <f>PRODUCT(IA869:ID869)</f>
        <v>57</v>
      </c>
      <c r="IF869" s="59">
        <v>500</v>
      </c>
      <c r="IG869" s="62">
        <f>ROUNDUP(IF869/(IE869*HD869),2)</f>
        <v>0.08</v>
      </c>
      <c r="IH869" s="62"/>
    </row>
    <row r="870" spans="1:244" ht="30">
      <c r="A870">
        <v>855</v>
      </c>
      <c r="C870" t="s">
        <v>567</v>
      </c>
      <c r="D870" s="28" t="s">
        <v>1706</v>
      </c>
      <c r="E870" s="28" t="s">
        <v>172</v>
      </c>
      <c r="F870" s="28" t="s">
        <v>2444</v>
      </c>
      <c r="G870" s="27" t="s">
        <v>108</v>
      </c>
      <c r="I870" s="27" t="s">
        <v>94</v>
      </c>
      <c r="J870" s="28">
        <v>21697</v>
      </c>
      <c r="K870" s="27" t="s">
        <v>227</v>
      </c>
      <c r="N870" s="13" t="s">
        <v>2622</v>
      </c>
      <c r="O870" s="13" t="s">
        <v>1763</v>
      </c>
      <c r="P870" s="13" t="s">
        <v>2623</v>
      </c>
      <c r="S870" s="13"/>
      <c r="T870" s="13"/>
      <c r="U870" s="13"/>
      <c r="V870" s="72" t="s">
        <v>2486</v>
      </c>
      <c r="W870" s="53" t="s">
        <v>2624</v>
      </c>
    </row>
    <row r="871" spans="1:244" ht="30">
      <c r="A871">
        <v>856</v>
      </c>
      <c r="B871" t="s">
        <v>468</v>
      </c>
      <c r="C871" t="s">
        <v>2640</v>
      </c>
      <c r="D871" s="28" t="s">
        <v>1707</v>
      </c>
      <c r="E871" s="28" t="s">
        <v>174</v>
      </c>
      <c r="F871" s="28" t="s">
        <v>2182</v>
      </c>
      <c r="G871" s="27" t="s">
        <v>108</v>
      </c>
      <c r="I871" s="27" t="s">
        <v>121</v>
      </c>
      <c r="J871" s="28">
        <v>21697</v>
      </c>
      <c r="K871" s="27" t="s">
        <v>227</v>
      </c>
      <c r="L871">
        <v>20089</v>
      </c>
      <c r="M871" t="s">
        <v>121</v>
      </c>
      <c r="Q871" s="13" t="s">
        <v>2497</v>
      </c>
      <c r="R871" s="13" t="s">
        <v>1769</v>
      </c>
      <c r="S871" s="13" t="s">
        <v>2618</v>
      </c>
      <c r="T871" s="13"/>
      <c r="U871" s="13"/>
      <c r="V871" s="72" t="s">
        <v>2486</v>
      </c>
      <c r="W871" s="53" t="s">
        <v>2626</v>
      </c>
      <c r="AA871" t="s">
        <v>2404</v>
      </c>
      <c r="AB871" s="66">
        <v>355</v>
      </c>
      <c r="AC871">
        <v>20</v>
      </c>
      <c r="AD871" t="s">
        <v>2620</v>
      </c>
      <c r="AE871" s="7">
        <f>BA871</f>
        <v>38.949999999999996</v>
      </c>
      <c r="AF871" s="7">
        <f>DT871</f>
        <v>0</v>
      </c>
      <c r="AG871" s="7">
        <f>EU871+EM871+EP871+EQ871</f>
        <v>4.3209876543209873</v>
      </c>
      <c r="AH871" s="7">
        <f>DM871</f>
        <v>0</v>
      </c>
      <c r="AI871" s="7">
        <f>DO871</f>
        <v>0</v>
      </c>
      <c r="AJ871" s="7">
        <f>GW871</f>
        <v>8.6419753086419748E-2</v>
      </c>
      <c r="AK871" s="7">
        <f>GU871</f>
        <v>0.54088734567901231</v>
      </c>
      <c r="AL871" s="7">
        <f>GS871</f>
        <v>4.7598086419753081</v>
      </c>
      <c r="AM871" s="7">
        <f>HV871</f>
        <v>1.75</v>
      </c>
      <c r="AN871" s="7">
        <f>IG871</f>
        <v>0.22</v>
      </c>
      <c r="AO871" s="7"/>
      <c r="AP871" s="7"/>
      <c r="AQ871" s="7">
        <f>SUM(AE871:AP871)</f>
        <v>50.628103395061714</v>
      </c>
      <c r="AR871" s="7"/>
      <c r="AS871" s="7"/>
      <c r="AT871" s="7"/>
      <c r="AU871" s="7"/>
      <c r="AV871" s="7">
        <f>AQ871+AU871+AT871+AR871</f>
        <v>50.628103395061714</v>
      </c>
      <c r="AW871" s="69">
        <v>0.11</v>
      </c>
      <c r="AX871" s="59">
        <v>0.105</v>
      </c>
      <c r="AY871" s="61">
        <v>1</v>
      </c>
      <c r="AZ871" s="69">
        <f>AW871-AX871</f>
        <v>5.0000000000000044E-3</v>
      </c>
      <c r="BA871" s="62">
        <f>AW871*AB871-(AZ871*AC871)*AY871</f>
        <v>38.949999999999996</v>
      </c>
      <c r="BB871" s="62"/>
      <c r="BC871" s="62"/>
      <c r="BD871" s="62"/>
      <c r="BE871" s="62"/>
      <c r="BF871" s="62"/>
      <c r="BG871" s="62"/>
      <c r="BH871" s="62"/>
      <c r="BI871" s="62"/>
      <c r="BJ871" s="62"/>
      <c r="BK871" s="62"/>
      <c r="BL871" s="62"/>
      <c r="BM871" s="62"/>
      <c r="BN871" s="62"/>
      <c r="BO871" s="62"/>
      <c r="BP871" s="62"/>
      <c r="BQ871" s="62"/>
      <c r="BR871" s="62"/>
      <c r="BS871" s="62"/>
      <c r="BT871" s="62"/>
      <c r="BU871" s="62"/>
      <c r="BV871" s="62"/>
      <c r="BW871" s="62"/>
      <c r="BX871" s="62"/>
      <c r="BY871" s="62"/>
      <c r="BZ871" s="62"/>
      <c r="CA871" s="62"/>
      <c r="CB871" s="62"/>
      <c r="CC871" s="62"/>
      <c r="CD871" s="59">
        <v>0</v>
      </c>
      <c r="CE871" s="59">
        <v>0</v>
      </c>
      <c r="CF871" s="59">
        <v>0</v>
      </c>
      <c r="CG871" s="59">
        <v>0</v>
      </c>
      <c r="CH871" s="59">
        <v>0</v>
      </c>
      <c r="CI871" s="59"/>
      <c r="CJ871" s="59"/>
      <c r="CK871" s="59"/>
      <c r="CL871" s="59"/>
      <c r="CM871" s="59"/>
      <c r="CN871" s="59"/>
      <c r="CO871" s="59"/>
      <c r="CP871" s="59"/>
      <c r="CQ871" s="59"/>
      <c r="CR871" s="59"/>
      <c r="CS871" s="59"/>
      <c r="CT871" s="59"/>
      <c r="CU871" s="59"/>
      <c r="CV871" s="59"/>
      <c r="CW871" s="59"/>
      <c r="CX871" s="59"/>
      <c r="CY871" s="59"/>
      <c r="CZ871" s="59"/>
      <c r="DA871" s="59"/>
      <c r="DB871" s="59"/>
      <c r="DC871" s="59"/>
      <c r="DD871" s="59"/>
      <c r="DE871" s="59"/>
      <c r="DF871" s="59"/>
      <c r="DG871" s="59"/>
      <c r="DH871" s="59"/>
      <c r="DI871" s="59"/>
      <c r="DJ871" s="59"/>
      <c r="DK871" s="59"/>
      <c r="DL871" s="59"/>
      <c r="DM871" s="62">
        <f>CH871+CM871+CR871+CW871+DB871+DG871+DK871</f>
        <v>0</v>
      </c>
      <c r="DN871" s="64">
        <v>1.2500000000000001E-2</v>
      </c>
      <c r="DO871" s="62">
        <f>DM871*DN871</f>
        <v>0</v>
      </c>
      <c r="DP871" s="62">
        <f>DM871+DO871</f>
        <v>0</v>
      </c>
      <c r="DQ871" s="59"/>
      <c r="DR871" s="59"/>
      <c r="DS871" s="59"/>
      <c r="DT871" s="59"/>
      <c r="DU871" s="59"/>
      <c r="DV871" s="59"/>
      <c r="DW871" s="59"/>
      <c r="DX871" s="59"/>
      <c r="DY871" s="59"/>
      <c r="DZ871" s="59"/>
      <c r="EA871" s="59"/>
      <c r="EB871" s="59"/>
      <c r="EC871" s="59"/>
      <c r="ED871" s="59"/>
      <c r="EE871" s="59"/>
      <c r="EF871" s="59">
        <v>350</v>
      </c>
      <c r="EG871" s="59">
        <v>3500</v>
      </c>
      <c r="EH871" s="59">
        <v>7.5</v>
      </c>
      <c r="EI871" s="61">
        <v>0.9</v>
      </c>
      <c r="EJ871" s="59">
        <v>2</v>
      </c>
      <c r="EK871" s="59">
        <v>60</v>
      </c>
      <c r="EL871" s="65">
        <f>3600/EK871*EH871*EJ871*EI871</f>
        <v>810</v>
      </c>
      <c r="EM871" s="59"/>
      <c r="EN871" s="59"/>
      <c r="EO871" s="59"/>
      <c r="EP871" s="59"/>
      <c r="EQ871" s="59"/>
      <c r="ER871" s="59"/>
      <c r="ES871" s="59"/>
      <c r="ET871" s="59"/>
      <c r="EU871" s="62">
        <f>EG871/EL871+FA871</f>
        <v>4.3209876543209873</v>
      </c>
      <c r="EV871" s="59"/>
      <c r="EW871" s="59"/>
      <c r="EX871" s="59"/>
      <c r="EY871" s="59"/>
      <c r="EZ871" s="59"/>
      <c r="FA871" s="59"/>
      <c r="FB871" s="59"/>
      <c r="FC871" s="59"/>
      <c r="FD871" s="59"/>
      <c r="FE871" s="59"/>
      <c r="FF871" s="59"/>
      <c r="FG871" s="59"/>
      <c r="FH871" s="59"/>
      <c r="FI871" s="59"/>
      <c r="FJ871" s="59"/>
      <c r="FK871" s="59"/>
      <c r="FL871" s="59"/>
      <c r="FM871" s="59"/>
      <c r="FN871" s="59"/>
      <c r="FO871" s="59"/>
      <c r="FP871" s="59"/>
      <c r="FQ871" s="59"/>
      <c r="FR871" s="59"/>
      <c r="FS871" s="59"/>
      <c r="FT871" s="59"/>
      <c r="FU871" s="59"/>
      <c r="FV871" s="59"/>
      <c r="FW871" s="59"/>
      <c r="FX871" s="59"/>
      <c r="FY871" s="59"/>
      <c r="FZ871" s="59"/>
      <c r="GA871" s="59"/>
      <c r="GB871" s="59"/>
      <c r="GC871" s="59"/>
      <c r="GD871" s="59"/>
      <c r="GE871" s="59"/>
      <c r="GF871" s="59"/>
      <c r="GG871" s="59"/>
      <c r="GH871" s="59"/>
      <c r="GI871" s="59"/>
      <c r="GJ871" s="59"/>
      <c r="GK871" s="59"/>
      <c r="GL871" s="59"/>
      <c r="GM871" s="59"/>
      <c r="GN871" s="59"/>
      <c r="GO871" s="59"/>
      <c r="GP871" s="59"/>
      <c r="GQ871" s="59"/>
      <c r="GR871" s="61">
        <v>0.11</v>
      </c>
      <c r="GS871" s="62">
        <f>GR871*(BA871+EU871+EP871+EQ871)</f>
        <v>4.7598086419753081</v>
      </c>
      <c r="GT871" s="64">
        <v>1.2500000000000001E-2</v>
      </c>
      <c r="GU871" s="62">
        <f>GT871*(BA871+EU871+EP871+EQ871)</f>
        <v>0.54088734567901231</v>
      </c>
      <c r="GV871" s="61">
        <v>0.02</v>
      </c>
      <c r="GW871" s="62">
        <f>GV871*EU871</f>
        <v>8.6419753086419748E-2</v>
      </c>
      <c r="GX871" s="62">
        <f>GS871+GU871+GW871</f>
        <v>5.3871157407407404</v>
      </c>
      <c r="GY871" s="59" t="s">
        <v>43</v>
      </c>
      <c r="GZ871" s="59" t="s">
        <v>551</v>
      </c>
      <c r="HA871" s="59">
        <v>650</v>
      </c>
      <c r="HB871" s="59">
        <v>450</v>
      </c>
      <c r="HC871" s="59">
        <v>330</v>
      </c>
      <c r="HD871" s="59">
        <v>20</v>
      </c>
      <c r="HE871" s="59">
        <v>160</v>
      </c>
      <c r="HF871" s="62">
        <f>ROUNDUP(HE871/HD871,0)</f>
        <v>8</v>
      </c>
      <c r="HG871" s="59">
        <v>5</v>
      </c>
      <c r="HH871" s="62">
        <f>HF871*HG871</f>
        <v>40</v>
      </c>
      <c r="HI871" s="59">
        <v>650</v>
      </c>
      <c r="HJ871" s="62">
        <f>HH871*HI871</f>
        <v>26000</v>
      </c>
      <c r="HK871" s="59"/>
      <c r="HL871" s="59"/>
      <c r="HM871" s="59">
        <v>2</v>
      </c>
      <c r="HN871" s="62">
        <f>HM871*12*25*HE871</f>
        <v>96000</v>
      </c>
      <c r="HO871" s="62">
        <f>IF(GY871="carton box",HI871/HD871,HJ871/HN871)</f>
        <v>0.27083333333333331</v>
      </c>
      <c r="HP871" s="59">
        <v>160</v>
      </c>
      <c r="HQ871" s="59">
        <v>0</v>
      </c>
      <c r="HR871" s="59">
        <v>1.47</v>
      </c>
      <c r="HS871" s="59">
        <v>1</v>
      </c>
      <c r="HT871" s="62">
        <f>HR871/HS871</f>
        <v>1.47</v>
      </c>
      <c r="HU871" s="62"/>
      <c r="HV871" s="62">
        <f>ROUNDUP(HO871+HT871,2)</f>
        <v>1.75</v>
      </c>
      <c r="HW871" s="62"/>
      <c r="HX871" s="59">
        <v>4200</v>
      </c>
      <c r="HY871" s="59">
        <v>1900</v>
      </c>
      <c r="HZ871" s="59">
        <v>1975</v>
      </c>
      <c r="IA871" s="62">
        <f>ROUNDDOWN(HX871/HA871,0)</f>
        <v>6</v>
      </c>
      <c r="IB871" s="62">
        <f>ROUNDDOWN(HY871/HB871,0)</f>
        <v>4</v>
      </c>
      <c r="IC871" s="62">
        <f>ROUNDDOWN(HZ871/HC871,0)</f>
        <v>5</v>
      </c>
      <c r="ID871" s="61">
        <v>0.95</v>
      </c>
      <c r="IE871" s="62">
        <f>PRODUCT(IA871:ID871)</f>
        <v>114</v>
      </c>
      <c r="IF871" s="59">
        <v>500</v>
      </c>
      <c r="IG871" s="62">
        <f>ROUNDUP(IF871/(IE871*HD871),2)</f>
        <v>0.22</v>
      </c>
      <c r="IH871" s="62"/>
    </row>
    <row r="872" spans="1:244" ht="30">
      <c r="A872">
        <v>857</v>
      </c>
      <c r="C872" t="s">
        <v>567</v>
      </c>
      <c r="D872" s="28" t="s">
        <v>1707</v>
      </c>
      <c r="E872" s="28" t="s">
        <v>174</v>
      </c>
      <c r="F872" s="28" t="s">
        <v>2444</v>
      </c>
      <c r="G872" s="27" t="s">
        <v>108</v>
      </c>
      <c r="I872" s="27" t="s">
        <v>94</v>
      </c>
      <c r="J872" s="28">
        <v>21697</v>
      </c>
      <c r="K872" s="27" t="s">
        <v>227</v>
      </c>
      <c r="N872" s="13" t="s">
        <v>2622</v>
      </c>
      <c r="O872" s="13" t="s">
        <v>1763</v>
      </c>
      <c r="P872" s="13" t="s">
        <v>2623</v>
      </c>
      <c r="S872" s="13"/>
      <c r="T872" s="13"/>
      <c r="U872" s="13"/>
      <c r="V872" s="72" t="s">
        <v>2486</v>
      </c>
      <c r="W872" s="53" t="s">
        <v>2624</v>
      </c>
    </row>
    <row r="873" spans="1:244" ht="45">
      <c r="A873">
        <v>858</v>
      </c>
      <c r="B873" t="s">
        <v>468</v>
      </c>
      <c r="C873" t="s">
        <v>2641</v>
      </c>
      <c r="D873" s="28" t="s">
        <v>865</v>
      </c>
      <c r="E873" s="28" t="s">
        <v>866</v>
      </c>
      <c r="F873" s="28" t="s">
        <v>2182</v>
      </c>
      <c r="G873" s="27" t="s">
        <v>108</v>
      </c>
      <c r="I873" s="27" t="s">
        <v>121</v>
      </c>
      <c r="J873" s="28">
        <v>21697</v>
      </c>
      <c r="K873" s="27" t="s">
        <v>227</v>
      </c>
      <c r="L873">
        <v>20089</v>
      </c>
      <c r="M873" t="s">
        <v>121</v>
      </c>
      <c r="Q873" s="13" t="s">
        <v>2497</v>
      </c>
      <c r="R873" s="13" t="s">
        <v>1769</v>
      </c>
      <c r="S873" s="13" t="s">
        <v>2636</v>
      </c>
      <c r="T873" s="13"/>
      <c r="U873" s="13"/>
      <c r="V873" s="72" t="s">
        <v>2486</v>
      </c>
      <c r="W873" s="53" t="s">
        <v>2642</v>
      </c>
      <c r="AA873" t="s">
        <v>2643</v>
      </c>
      <c r="AB873" s="66">
        <v>127.79</v>
      </c>
      <c r="AC873">
        <v>20</v>
      </c>
      <c r="AD873" t="s">
        <v>2638</v>
      </c>
      <c r="AE873" s="7">
        <f>BA873</f>
        <v>35.553410000000007</v>
      </c>
      <c r="AF873" s="7">
        <f>DT873</f>
        <v>0</v>
      </c>
      <c r="AG873" s="7">
        <f>EU873+EM873+EP873+EQ873</f>
        <v>5.5939094650205767</v>
      </c>
      <c r="AH873" s="7">
        <f>DM873</f>
        <v>0</v>
      </c>
      <c r="AI873" s="7">
        <f>DO873</f>
        <v>0</v>
      </c>
      <c r="AJ873" s="7">
        <f>GW873</f>
        <v>0.11187818930041153</v>
      </c>
      <c r="AK873" s="7">
        <f>GU873</f>
        <v>0.61720979197530879</v>
      </c>
      <c r="AL873" s="7">
        <f>GS873</f>
        <v>5.1434149331275734</v>
      </c>
      <c r="AM873" s="7">
        <f>HV873</f>
        <v>0.46</v>
      </c>
      <c r="AN873" s="7">
        <f>IG873</f>
        <v>1.0900000000000001</v>
      </c>
      <c r="AO873" s="7"/>
      <c r="AP873" s="7"/>
      <c r="AQ873" s="7">
        <f>SUM(AE873:AP873)</f>
        <v>48.569822379423883</v>
      </c>
      <c r="AR873" s="7">
        <f>IJ873</f>
        <v>0.41147319465020588</v>
      </c>
      <c r="AS873" s="7"/>
      <c r="AT873" s="7"/>
      <c r="AU873" s="7">
        <f>48.94-48.98</f>
        <v>-3.9999999999999147E-2</v>
      </c>
      <c r="AV873" s="7">
        <f>AQ873+AU873+AT873+AR873</f>
        <v>48.94129557407409</v>
      </c>
      <c r="AW873" s="59">
        <v>0.27900000000000003</v>
      </c>
      <c r="AX873" s="59">
        <v>0.27400000000000002</v>
      </c>
      <c r="AY873" s="61">
        <v>1</v>
      </c>
      <c r="AZ873" s="69">
        <f>AW873-AX873</f>
        <v>5.0000000000000044E-3</v>
      </c>
      <c r="BA873" s="62">
        <f>AW873*AB873-(AZ873*AC873)*AY873</f>
        <v>35.553410000000007</v>
      </c>
      <c r="BB873" s="62"/>
      <c r="BC873" s="62"/>
      <c r="BD873" s="62"/>
      <c r="BE873" s="62"/>
      <c r="BF873" s="62"/>
      <c r="BG873" s="62"/>
      <c r="BH873" s="62"/>
      <c r="BI873" s="62"/>
      <c r="BJ873" s="62"/>
      <c r="BK873" s="62"/>
      <c r="BL873" s="62"/>
      <c r="BM873" s="62"/>
      <c r="BN873" s="62"/>
      <c r="BO873" s="62"/>
      <c r="BP873" s="62"/>
      <c r="BQ873" s="62"/>
      <c r="BR873" s="62"/>
      <c r="BS873" s="62"/>
      <c r="BT873" s="62"/>
      <c r="BU873" s="62"/>
      <c r="BV873" s="62"/>
      <c r="BW873" s="62"/>
      <c r="BX873" s="62"/>
      <c r="BY873" s="62"/>
      <c r="BZ873" s="62"/>
      <c r="CA873" s="62"/>
      <c r="CB873" s="62"/>
      <c r="CC873" s="62"/>
      <c r="CD873" s="59">
        <v>0</v>
      </c>
      <c r="CE873" s="59">
        <v>0</v>
      </c>
      <c r="CF873" s="59">
        <v>0</v>
      </c>
      <c r="CG873" s="59">
        <v>0</v>
      </c>
      <c r="CH873" s="59">
        <v>0</v>
      </c>
      <c r="CI873" s="59"/>
      <c r="CJ873" s="59"/>
      <c r="CK873" s="59"/>
      <c r="CL873" s="59"/>
      <c r="CM873" s="59"/>
      <c r="CN873" s="59"/>
      <c r="CO873" s="59"/>
      <c r="CP873" s="59"/>
      <c r="CQ873" s="59"/>
      <c r="CR873" s="59"/>
      <c r="CS873" s="59"/>
      <c r="CT873" s="59"/>
      <c r="CU873" s="59"/>
      <c r="CV873" s="59"/>
      <c r="CW873" s="59"/>
      <c r="CX873" s="59"/>
      <c r="CY873" s="59"/>
      <c r="CZ873" s="59"/>
      <c r="DA873" s="59"/>
      <c r="DB873" s="59"/>
      <c r="DC873" s="59"/>
      <c r="DD873" s="59"/>
      <c r="DE873" s="59"/>
      <c r="DF873" s="59"/>
      <c r="DG873" s="59"/>
      <c r="DH873" s="59"/>
      <c r="DI873" s="59"/>
      <c r="DJ873" s="59"/>
      <c r="DK873" s="59"/>
      <c r="DL873" s="59"/>
      <c r="DM873" s="62">
        <f>CH873+CM873+CR873+CW873+DB873+DG873+DK873</f>
        <v>0</v>
      </c>
      <c r="DN873" s="64">
        <v>2.5000000000000001E-2</v>
      </c>
      <c r="DO873" s="62">
        <f>DM873*DN873</f>
        <v>0</v>
      </c>
      <c r="DP873" s="62">
        <f>DM873+DO873</f>
        <v>0</v>
      </c>
      <c r="DQ873" s="59"/>
      <c r="DR873" s="59"/>
      <c r="DS873" s="59"/>
      <c r="DT873" s="59"/>
      <c r="DU873" s="59"/>
      <c r="DV873" s="59"/>
      <c r="DW873" s="59"/>
      <c r="DX873" s="59"/>
      <c r="DY873" s="59"/>
      <c r="DZ873" s="59"/>
      <c r="EA873" s="59"/>
      <c r="EB873" s="59"/>
      <c r="EC873" s="59"/>
      <c r="ED873" s="59"/>
      <c r="EE873" s="59"/>
      <c r="EF873" s="59">
        <v>350</v>
      </c>
      <c r="EG873" s="59">
        <v>3998</v>
      </c>
      <c r="EH873" s="59">
        <v>7.5</v>
      </c>
      <c r="EI873" s="61">
        <v>0.9</v>
      </c>
      <c r="EJ873" s="59">
        <v>2</v>
      </c>
      <c r="EK873" s="59">
        <v>68</v>
      </c>
      <c r="EL873" s="65">
        <f>3600/EK873*EH873*EJ873*EI873</f>
        <v>714.7058823529411</v>
      </c>
      <c r="EM873" s="59"/>
      <c r="EN873" s="59"/>
      <c r="EO873" s="59"/>
      <c r="EP873" s="59"/>
      <c r="EQ873" s="59"/>
      <c r="ER873" s="59"/>
      <c r="ES873" s="59"/>
      <c r="ET873" s="59"/>
      <c r="EU873" s="62">
        <f>EG873/EL873+FA873</f>
        <v>5.5939094650205767</v>
      </c>
      <c r="EV873" s="59"/>
      <c r="EW873" s="59"/>
      <c r="EX873" s="59"/>
      <c r="EY873" s="59"/>
      <c r="EZ873" s="59"/>
      <c r="FA873" s="59"/>
      <c r="FB873" s="59"/>
      <c r="FC873" s="59"/>
      <c r="FD873" s="59"/>
      <c r="FE873" s="59"/>
      <c r="FF873" s="59"/>
      <c r="FG873" s="59"/>
      <c r="FH873" s="59"/>
      <c r="FI873" s="59"/>
      <c r="FJ873" s="59"/>
      <c r="FK873" s="59"/>
      <c r="FL873" s="59"/>
      <c r="FM873" s="59"/>
      <c r="FN873" s="59"/>
      <c r="FO873" s="59"/>
      <c r="FP873" s="59"/>
      <c r="FQ873" s="59"/>
      <c r="FR873" s="59"/>
      <c r="FS873" s="59"/>
      <c r="FT873" s="59"/>
      <c r="FU873" s="59"/>
      <c r="FV873" s="59"/>
      <c r="FW873" s="59"/>
      <c r="FX873" s="59"/>
      <c r="FY873" s="59"/>
      <c r="FZ873" s="59"/>
      <c r="GA873" s="59"/>
      <c r="GB873" s="59"/>
      <c r="GC873" s="59"/>
      <c r="GD873" s="59"/>
      <c r="GE873" s="59"/>
      <c r="GF873" s="59"/>
      <c r="GG873" s="59"/>
      <c r="GH873" s="59"/>
      <c r="GI873" s="59"/>
      <c r="GJ873" s="59"/>
      <c r="GK873" s="59"/>
      <c r="GL873" s="59"/>
      <c r="GM873" s="59"/>
      <c r="GN873" s="59"/>
      <c r="GO873" s="59"/>
      <c r="GP873" s="59"/>
      <c r="GQ873" s="59"/>
      <c r="GR873" s="322">
        <v>0.125</v>
      </c>
      <c r="GS873" s="62">
        <f>GR873*(BA873+EU873+EP873+EQ873)</f>
        <v>5.1434149331275734</v>
      </c>
      <c r="GT873" s="64">
        <v>1.4999999999999999E-2</v>
      </c>
      <c r="GU873" s="62">
        <f>GT873*(BA873+EU873+EP873+EQ873)</f>
        <v>0.61720979197530879</v>
      </c>
      <c r="GV873" s="61">
        <v>0.02</v>
      </c>
      <c r="GW873" s="62">
        <f>GV873*EU873</f>
        <v>0.11187818930041153</v>
      </c>
      <c r="GX873" s="62">
        <f>GS873+GU873+GW873</f>
        <v>5.8725029144032943</v>
      </c>
      <c r="GY873" s="59" t="s">
        <v>43</v>
      </c>
      <c r="GZ873" s="59" t="s">
        <v>551</v>
      </c>
      <c r="HA873" s="59">
        <v>810</v>
      </c>
      <c r="HB873" s="59">
        <v>568</v>
      </c>
      <c r="HC873" s="59">
        <v>425</v>
      </c>
      <c r="HD873" s="59">
        <v>20</v>
      </c>
      <c r="HE873" s="59">
        <v>600</v>
      </c>
      <c r="HF873" s="62">
        <f>ROUNDUP(HE873/HD873,0)</f>
        <v>30</v>
      </c>
      <c r="HG873" s="59">
        <v>5</v>
      </c>
      <c r="HH873" s="62">
        <f>HF873*HG873</f>
        <v>150</v>
      </c>
      <c r="HI873" s="59">
        <v>1100</v>
      </c>
      <c r="HJ873" s="62">
        <f>HH873*HI873</f>
        <v>165000</v>
      </c>
      <c r="HK873" s="59"/>
      <c r="HL873" s="59"/>
      <c r="HM873" s="59">
        <v>2</v>
      </c>
      <c r="HN873" s="62">
        <f>HM873*12*25*HE873</f>
        <v>360000</v>
      </c>
      <c r="HO873" s="62">
        <f>IF(GY873="carton box",HI873/HD873,HJ873/HN873)</f>
        <v>0.45833333333333331</v>
      </c>
      <c r="HP873" s="59">
        <v>160</v>
      </c>
      <c r="HQ873" s="59">
        <v>0</v>
      </c>
      <c r="HR873" s="59">
        <v>0</v>
      </c>
      <c r="HS873" s="59">
        <v>0</v>
      </c>
      <c r="HT873" s="59">
        <v>0</v>
      </c>
      <c r="HU873" s="59"/>
      <c r="HV873" s="62">
        <f>ROUNDUP(HO873+HT873,2)</f>
        <v>0.46</v>
      </c>
      <c r="HW873" s="62"/>
      <c r="HX873" s="59">
        <v>4200</v>
      </c>
      <c r="HY873" s="59">
        <v>1900</v>
      </c>
      <c r="HZ873" s="59">
        <v>1975</v>
      </c>
      <c r="IA873" s="62">
        <f t="shared" ref="IA873:IC875" si="821">ROUNDDOWN(HX873/HA873,0)</f>
        <v>5</v>
      </c>
      <c r="IB873" s="62">
        <f t="shared" si="821"/>
        <v>3</v>
      </c>
      <c r="IC873" s="62">
        <f t="shared" si="821"/>
        <v>4</v>
      </c>
      <c r="ID873" s="61">
        <v>0.95</v>
      </c>
      <c r="IE873" s="62">
        <f>PRODUCT(IA873:ID873)</f>
        <v>57</v>
      </c>
      <c r="IF873" s="59">
        <v>1240</v>
      </c>
      <c r="IG873" s="62">
        <f>ROUNDUP(IF873/(IE873*HD873),2)</f>
        <v>1.0900000000000001</v>
      </c>
      <c r="IH873" s="62"/>
      <c r="II873" s="61">
        <v>0.01</v>
      </c>
      <c r="IJ873" s="62">
        <f>(BA873+EU873)*II873</f>
        <v>0.41147319465020588</v>
      </c>
    </row>
    <row r="874" spans="1:244" ht="30">
      <c r="A874">
        <v>859</v>
      </c>
      <c r="B874" t="s">
        <v>468</v>
      </c>
      <c r="C874" t="s">
        <v>2644</v>
      </c>
      <c r="D874" s="28" t="s">
        <v>867</v>
      </c>
      <c r="E874" s="28" t="s">
        <v>868</v>
      </c>
      <c r="F874" s="28" t="s">
        <v>2182</v>
      </c>
      <c r="G874" s="27" t="s">
        <v>108</v>
      </c>
      <c r="I874" s="27" t="s">
        <v>121</v>
      </c>
      <c r="J874" s="28">
        <v>21697</v>
      </c>
      <c r="K874" s="27" t="s">
        <v>227</v>
      </c>
      <c r="L874">
        <v>20089</v>
      </c>
      <c r="M874" t="s">
        <v>121</v>
      </c>
      <c r="Q874" s="13" t="s">
        <v>2497</v>
      </c>
      <c r="R874" s="13" t="s">
        <v>1769</v>
      </c>
      <c r="S874" s="13" t="s">
        <v>2636</v>
      </c>
      <c r="T874" s="13"/>
      <c r="U874" s="13"/>
      <c r="V874" s="72" t="s">
        <v>2486</v>
      </c>
      <c r="W874" s="53" t="s">
        <v>2626</v>
      </c>
      <c r="AA874" s="72" t="s">
        <v>2645</v>
      </c>
      <c r="AB874" s="66">
        <v>127.79</v>
      </c>
      <c r="AC874">
        <v>20</v>
      </c>
      <c r="AD874" t="s">
        <v>2638</v>
      </c>
      <c r="AE874" s="7">
        <f>BA874</f>
        <v>7.4396100000000001</v>
      </c>
      <c r="AF874" s="7">
        <f>DT874</f>
        <v>0</v>
      </c>
      <c r="AG874" s="7">
        <f>EU874+EM874+EP874+EQ874</f>
        <v>2.4074074074074074</v>
      </c>
      <c r="AH874" s="7">
        <f>DM874</f>
        <v>0</v>
      </c>
      <c r="AI874" s="7">
        <f>DO874</f>
        <v>0</v>
      </c>
      <c r="AJ874" s="7">
        <f>GW874</f>
        <v>4.8148148148148148E-2</v>
      </c>
      <c r="AK874" s="7">
        <f>GU874</f>
        <v>0.1477052611111111</v>
      </c>
      <c r="AL874" s="7">
        <f>GS874</f>
        <v>1.2308771759259258</v>
      </c>
      <c r="AM874" s="7">
        <f>HV874</f>
        <v>0.05</v>
      </c>
      <c r="AN874" s="7">
        <f>IG874</f>
        <v>0.09</v>
      </c>
      <c r="AO874" s="7"/>
      <c r="AP874" s="7"/>
      <c r="AQ874" s="7">
        <f>SUM(AE874:AP874)</f>
        <v>11.413747992592592</v>
      </c>
      <c r="AR874" s="7">
        <f>IJ874</f>
        <v>9.8470174074074074E-2</v>
      </c>
      <c r="AS874" s="7"/>
      <c r="AT874" s="7"/>
      <c r="AU874" s="7"/>
      <c r="AV874" s="7">
        <f>AQ874+AU874+AT874+AR874</f>
        <v>11.512218166666665</v>
      </c>
      <c r="AW874" s="59">
        <v>5.8999999999999997E-2</v>
      </c>
      <c r="AX874" s="59">
        <v>5.3999999999999999E-2</v>
      </c>
      <c r="AY874" s="61">
        <v>1</v>
      </c>
      <c r="AZ874" s="69">
        <f>AW874-AX874</f>
        <v>4.9999999999999975E-3</v>
      </c>
      <c r="BA874" s="62">
        <f>AW874*AB874-(AZ874*AC874)*AY874</f>
        <v>7.4396100000000001</v>
      </c>
      <c r="BB874" s="62"/>
      <c r="BC874" s="62"/>
      <c r="BD874" s="62"/>
      <c r="BE874" s="62"/>
      <c r="BF874" s="62"/>
      <c r="BG874" s="62"/>
      <c r="BH874" s="62"/>
      <c r="BI874" s="62"/>
      <c r="BJ874" s="62"/>
      <c r="BK874" s="62"/>
      <c r="BL874" s="62"/>
      <c r="BM874" s="62"/>
      <c r="BN874" s="62"/>
      <c r="BO874" s="62"/>
      <c r="BP874" s="62"/>
      <c r="BQ874" s="62"/>
      <c r="BR874" s="62"/>
      <c r="BS874" s="62"/>
      <c r="BT874" s="62"/>
      <c r="BU874" s="62"/>
      <c r="BV874" s="62"/>
      <c r="BW874" s="62"/>
      <c r="BX874" s="62"/>
      <c r="BY874" s="62"/>
      <c r="BZ874" s="62"/>
      <c r="CA874" s="62"/>
      <c r="CB874" s="62"/>
      <c r="CC874" s="62"/>
      <c r="CD874" s="59">
        <v>0</v>
      </c>
      <c r="CE874" s="59">
        <v>0</v>
      </c>
      <c r="CF874" s="59">
        <v>0</v>
      </c>
      <c r="CG874" s="59">
        <v>0</v>
      </c>
      <c r="CH874" s="59">
        <v>0</v>
      </c>
      <c r="CI874" s="59"/>
      <c r="CJ874" s="59"/>
      <c r="CK874" s="59"/>
      <c r="CL874" s="59"/>
      <c r="CM874" s="59"/>
      <c r="CN874" s="59"/>
      <c r="CO874" s="59"/>
      <c r="CP874" s="59"/>
      <c r="CQ874" s="59"/>
      <c r="CR874" s="59"/>
      <c r="CS874" s="59"/>
      <c r="CT874" s="59"/>
      <c r="CU874" s="59"/>
      <c r="CV874" s="59"/>
      <c r="CW874" s="59"/>
      <c r="CX874" s="59"/>
      <c r="CY874" s="59"/>
      <c r="CZ874" s="59"/>
      <c r="DA874" s="59"/>
      <c r="DB874" s="59"/>
      <c r="DC874" s="59"/>
      <c r="DD874" s="59"/>
      <c r="DE874" s="59"/>
      <c r="DF874" s="59"/>
      <c r="DG874" s="59"/>
      <c r="DH874" s="59"/>
      <c r="DI874" s="59"/>
      <c r="DJ874" s="59"/>
      <c r="DK874" s="59"/>
      <c r="DL874" s="59"/>
      <c r="DM874" s="62">
        <f>CH874+CM874+CR874+CW874+DB874+DG874+DK874</f>
        <v>0</v>
      </c>
      <c r="DN874" s="64">
        <v>2.5000000000000001E-2</v>
      </c>
      <c r="DO874" s="62">
        <f>DM874*DN874</f>
        <v>0</v>
      </c>
      <c r="DP874" s="62">
        <f>DM874+DO874</f>
        <v>0</v>
      </c>
      <c r="DQ874" s="59"/>
      <c r="DR874" s="59"/>
      <c r="DS874" s="59"/>
      <c r="DT874" s="59"/>
      <c r="DU874" s="59"/>
      <c r="DV874" s="59"/>
      <c r="DW874" s="59"/>
      <c r="DX874" s="59"/>
      <c r="DY874" s="59"/>
      <c r="DZ874" s="59"/>
      <c r="EA874" s="59"/>
      <c r="EB874" s="59"/>
      <c r="EC874" s="59"/>
      <c r="ED874" s="59"/>
      <c r="EE874" s="59"/>
      <c r="EF874" s="59">
        <v>150</v>
      </c>
      <c r="EG874" s="59">
        <v>1950</v>
      </c>
      <c r="EH874" s="59">
        <v>7.5</v>
      </c>
      <c r="EI874" s="61">
        <v>0.9</v>
      </c>
      <c r="EJ874" s="59">
        <v>2</v>
      </c>
      <c r="EK874" s="59">
        <v>60</v>
      </c>
      <c r="EL874" s="65">
        <f>3600/EK874*EH874*EJ874*EI874</f>
        <v>810</v>
      </c>
      <c r="EM874" s="59"/>
      <c r="EN874" s="59"/>
      <c r="EO874" s="59"/>
      <c r="EP874" s="59"/>
      <c r="EQ874" s="59"/>
      <c r="ER874" s="59"/>
      <c r="ES874" s="59"/>
      <c r="ET874" s="59"/>
      <c r="EU874" s="62">
        <f>EG874/EL874+FA874</f>
        <v>2.4074074074074074</v>
      </c>
      <c r="EV874" s="59"/>
      <c r="EW874" s="59"/>
      <c r="EX874" s="59"/>
      <c r="EY874" s="59"/>
      <c r="EZ874" s="59"/>
      <c r="FA874" s="59"/>
      <c r="FB874" s="59"/>
      <c r="FC874" s="59"/>
      <c r="FD874" s="59"/>
      <c r="FE874" s="59"/>
      <c r="FF874" s="59"/>
      <c r="FG874" s="59"/>
      <c r="FH874" s="59"/>
      <c r="FI874" s="59"/>
      <c r="FJ874" s="59"/>
      <c r="FK874" s="59"/>
      <c r="FL874" s="59"/>
      <c r="FM874" s="59"/>
      <c r="FN874" s="59"/>
      <c r="FO874" s="59"/>
      <c r="FP874" s="59"/>
      <c r="FQ874" s="59"/>
      <c r="FR874" s="59"/>
      <c r="FS874" s="59"/>
      <c r="FT874" s="59"/>
      <c r="FU874" s="59"/>
      <c r="FV874" s="59"/>
      <c r="FW874" s="59"/>
      <c r="FX874" s="59"/>
      <c r="FY874" s="59"/>
      <c r="FZ874" s="59"/>
      <c r="GA874" s="59"/>
      <c r="GB874" s="59"/>
      <c r="GC874" s="59"/>
      <c r="GD874" s="59"/>
      <c r="GE874" s="59"/>
      <c r="GF874" s="59"/>
      <c r="GG874" s="59"/>
      <c r="GH874" s="59"/>
      <c r="GI874" s="59"/>
      <c r="GJ874" s="59"/>
      <c r="GK874" s="59"/>
      <c r="GL874" s="59"/>
      <c r="GM874" s="59"/>
      <c r="GN874" s="59"/>
      <c r="GO874" s="59"/>
      <c r="GP874" s="59"/>
      <c r="GQ874" s="59"/>
      <c r="GR874" s="64">
        <v>0.125</v>
      </c>
      <c r="GS874" s="62">
        <f>GR874*(BA874+EU874+EP874+EQ874)</f>
        <v>1.2308771759259258</v>
      </c>
      <c r="GT874" s="64">
        <v>1.4999999999999999E-2</v>
      </c>
      <c r="GU874" s="62">
        <f>GT874*(BA874+EU874+EP874+EQ874)</f>
        <v>0.1477052611111111</v>
      </c>
      <c r="GV874" s="61">
        <v>0.02</v>
      </c>
      <c r="GW874" s="62">
        <f>GV874*EU874</f>
        <v>4.8148148148148148E-2</v>
      </c>
      <c r="GX874" s="62">
        <f>GS874+GU874+GW874</f>
        <v>1.426730585185185</v>
      </c>
      <c r="GY874" s="59" t="s">
        <v>43</v>
      </c>
      <c r="GZ874" s="59" t="s">
        <v>551</v>
      </c>
      <c r="HA874" s="59">
        <v>650</v>
      </c>
      <c r="HB874" s="59">
        <v>450</v>
      </c>
      <c r="HC874" s="59">
        <v>330</v>
      </c>
      <c r="HD874" s="59">
        <v>125</v>
      </c>
      <c r="HE874" s="59">
        <v>600</v>
      </c>
      <c r="HF874" s="62">
        <f>ROUNDUP(HE874/HD874,0)</f>
        <v>5</v>
      </c>
      <c r="HG874" s="59">
        <v>5</v>
      </c>
      <c r="HH874" s="62">
        <f>HF874*HG874</f>
        <v>25</v>
      </c>
      <c r="HI874" s="59">
        <v>650</v>
      </c>
      <c r="HJ874" s="62">
        <f>HH874*HI874</f>
        <v>16250</v>
      </c>
      <c r="HK874" s="59"/>
      <c r="HL874" s="59"/>
      <c r="HM874" s="59">
        <v>2</v>
      </c>
      <c r="HN874" s="62">
        <f>HM874*12*25*HE874</f>
        <v>360000</v>
      </c>
      <c r="HO874" s="62">
        <f>IF(GY874="carton box",HI874/HD874,HJ874/HN874)</f>
        <v>4.5138888888888888E-2</v>
      </c>
      <c r="HP874" s="59">
        <v>160</v>
      </c>
      <c r="HQ874" s="59">
        <v>0</v>
      </c>
      <c r="HR874" s="59">
        <v>0</v>
      </c>
      <c r="HS874" s="59">
        <v>0</v>
      </c>
      <c r="HT874" s="59">
        <v>0</v>
      </c>
      <c r="HU874" s="59"/>
      <c r="HV874" s="62">
        <f>ROUNDUP(HO874+HT874,2)</f>
        <v>0.05</v>
      </c>
      <c r="HW874" s="62"/>
      <c r="HX874" s="59">
        <v>4200</v>
      </c>
      <c r="HY874" s="59">
        <v>1900</v>
      </c>
      <c r="HZ874" s="59">
        <v>1975</v>
      </c>
      <c r="IA874" s="62">
        <f t="shared" si="821"/>
        <v>6</v>
      </c>
      <c r="IB874" s="62">
        <f t="shared" si="821"/>
        <v>4</v>
      </c>
      <c r="IC874" s="62">
        <f t="shared" si="821"/>
        <v>5</v>
      </c>
      <c r="ID874" s="61">
        <v>0.95</v>
      </c>
      <c r="IE874" s="62">
        <f>PRODUCT(IA874:ID874)</f>
        <v>114</v>
      </c>
      <c r="IF874" s="59">
        <v>1240</v>
      </c>
      <c r="IG874" s="62">
        <f>ROUNDUP(IF874/(IE874*HD874),2)</f>
        <v>0.09</v>
      </c>
      <c r="IH874" s="62"/>
      <c r="II874" s="61">
        <v>0.01</v>
      </c>
      <c r="IJ874" s="62">
        <f>(BA874+EU874)*II874</f>
        <v>9.8470174074074074E-2</v>
      </c>
    </row>
    <row r="875" spans="1:244" ht="30">
      <c r="A875">
        <v>860</v>
      </c>
      <c r="B875" t="s">
        <v>468</v>
      </c>
      <c r="C875" t="s">
        <v>2646</v>
      </c>
      <c r="D875" s="28" t="s">
        <v>869</v>
      </c>
      <c r="E875" s="28" t="s">
        <v>1708</v>
      </c>
      <c r="F875" s="28" t="s">
        <v>2182</v>
      </c>
      <c r="G875" s="27" t="s">
        <v>108</v>
      </c>
      <c r="I875" s="27" t="s">
        <v>121</v>
      </c>
      <c r="J875" s="28">
        <v>21697</v>
      </c>
      <c r="K875" s="27" t="s">
        <v>227</v>
      </c>
      <c r="L875">
        <v>20089</v>
      </c>
      <c r="M875" t="s">
        <v>121</v>
      </c>
      <c r="Q875" s="13" t="s">
        <v>1786</v>
      </c>
      <c r="R875" s="13" t="s">
        <v>1769</v>
      </c>
      <c r="S875" s="13" t="s">
        <v>2647</v>
      </c>
      <c r="T875" s="13"/>
      <c r="U875" s="13"/>
      <c r="V875" s="72" t="s">
        <v>2486</v>
      </c>
      <c r="W875" s="53" t="s">
        <v>2626</v>
      </c>
      <c r="AA875" t="s">
        <v>2356</v>
      </c>
      <c r="AB875" s="66">
        <v>96.83</v>
      </c>
      <c r="AC875">
        <v>20</v>
      </c>
      <c r="AD875" t="s">
        <v>2648</v>
      </c>
      <c r="AE875" s="7">
        <f>BA875</f>
        <v>31.853899999999999</v>
      </c>
      <c r="AF875" s="7">
        <f>DT875</f>
        <v>0</v>
      </c>
      <c r="AG875" s="7">
        <f>EU875+EM875+EP875+EQ875</f>
        <v>6.9444444444444446</v>
      </c>
      <c r="AH875" s="7">
        <f>DM875</f>
        <v>0</v>
      </c>
      <c r="AI875" s="7">
        <f>DO875</f>
        <v>0</v>
      </c>
      <c r="AJ875" s="7">
        <f>GW875</f>
        <v>0.1388888888888889</v>
      </c>
      <c r="AK875" s="7">
        <f>GU875</f>
        <v>0.48497930555555557</v>
      </c>
      <c r="AL875" s="7">
        <f>GS875</f>
        <v>4.2678178888888887</v>
      </c>
      <c r="AM875" s="7">
        <f>HV875</f>
        <v>0.22</v>
      </c>
      <c r="AN875" s="7">
        <f>IG875</f>
        <v>0.21000000000000002</v>
      </c>
      <c r="AO875" s="7"/>
      <c r="AP875" s="7"/>
      <c r="AQ875" s="7">
        <f>SUM(AE875:AP875)</f>
        <v>44.120030527777779</v>
      </c>
      <c r="AR875" s="7"/>
      <c r="AS875" s="7"/>
      <c r="AT875" s="7"/>
      <c r="AU875" s="7"/>
      <c r="AV875" s="7">
        <f>AQ875+AU875+AT875+AR875</f>
        <v>44.120030527777779</v>
      </c>
      <c r="AW875" s="59">
        <v>0.33</v>
      </c>
      <c r="AX875" s="59">
        <v>0.32500000000000001</v>
      </c>
      <c r="AY875" s="61">
        <v>1</v>
      </c>
      <c r="AZ875" s="69">
        <f>AW875-AX875</f>
        <v>5.0000000000000044E-3</v>
      </c>
      <c r="BA875" s="62">
        <f>AW875*AB875-(AZ875*AC875)*AY875</f>
        <v>31.853899999999999</v>
      </c>
      <c r="BB875" s="62"/>
      <c r="BC875" s="62"/>
      <c r="BD875" s="62"/>
      <c r="BE875" s="62"/>
      <c r="BF875" s="62"/>
      <c r="BG875" s="62"/>
      <c r="BH875" s="62"/>
      <c r="BI875" s="62"/>
      <c r="BJ875" s="62"/>
      <c r="BK875" s="62"/>
      <c r="BL875" s="62"/>
      <c r="BM875" s="62"/>
      <c r="BN875" s="62"/>
      <c r="BO875" s="62"/>
      <c r="BP875" s="62"/>
      <c r="BQ875" s="62"/>
      <c r="BR875" s="62"/>
      <c r="BS875" s="62"/>
      <c r="BT875" s="62"/>
      <c r="BU875" s="62"/>
      <c r="BV875" s="62"/>
      <c r="BW875" s="62"/>
      <c r="BX875" s="62"/>
      <c r="BY875" s="62"/>
      <c r="BZ875" s="62"/>
      <c r="CA875" s="62"/>
      <c r="CB875" s="62"/>
      <c r="CC875" s="62"/>
      <c r="CD875" s="59">
        <v>0</v>
      </c>
      <c r="CE875" s="59">
        <v>0</v>
      </c>
      <c r="CF875" s="59">
        <v>0</v>
      </c>
      <c r="CG875" s="59">
        <v>0</v>
      </c>
      <c r="CH875" s="59">
        <v>0</v>
      </c>
      <c r="CI875" s="59"/>
      <c r="CJ875" s="59"/>
      <c r="CK875" s="59"/>
      <c r="CL875" s="59"/>
      <c r="CM875" s="59"/>
      <c r="CN875" s="59"/>
      <c r="CO875" s="59"/>
      <c r="CP875" s="59"/>
      <c r="CQ875" s="59"/>
      <c r="CR875" s="59"/>
      <c r="CS875" s="59"/>
      <c r="CT875" s="59"/>
      <c r="CU875" s="59"/>
      <c r="CV875" s="59"/>
      <c r="CW875" s="59"/>
      <c r="CX875" s="59"/>
      <c r="CY875" s="59"/>
      <c r="CZ875" s="59"/>
      <c r="DA875" s="59"/>
      <c r="DB875" s="59"/>
      <c r="DC875" s="59"/>
      <c r="DD875" s="59"/>
      <c r="DE875" s="59"/>
      <c r="DF875" s="59"/>
      <c r="DG875" s="59"/>
      <c r="DH875" s="59"/>
      <c r="DI875" s="59"/>
      <c r="DJ875" s="59"/>
      <c r="DK875" s="59"/>
      <c r="DL875" s="59"/>
      <c r="DM875" s="62">
        <f>CH875+CM875+CR875+CW875+DB875+DG875+DK875</f>
        <v>0</v>
      </c>
      <c r="DN875" s="64">
        <v>1.2500000000000001E-2</v>
      </c>
      <c r="DO875" s="62">
        <f>DM875*DN875</f>
        <v>0</v>
      </c>
      <c r="DP875" s="62">
        <f>DM875+DO875</f>
        <v>0</v>
      </c>
      <c r="DQ875" s="59"/>
      <c r="DR875" s="59"/>
      <c r="DS875" s="59"/>
      <c r="DT875" s="59"/>
      <c r="DU875" s="59"/>
      <c r="DV875" s="59"/>
      <c r="DW875" s="59"/>
      <c r="DX875" s="59"/>
      <c r="DY875" s="59"/>
      <c r="DZ875" s="59"/>
      <c r="EA875" s="59"/>
      <c r="EB875" s="59"/>
      <c r="EC875" s="59"/>
      <c r="ED875" s="59"/>
      <c r="EE875" s="59"/>
      <c r="EF875" s="59">
        <v>450</v>
      </c>
      <c r="EG875" s="59">
        <v>4500</v>
      </c>
      <c r="EH875" s="59">
        <v>7.5</v>
      </c>
      <c r="EI875" s="61">
        <v>0.9</v>
      </c>
      <c r="EJ875" s="59">
        <v>2</v>
      </c>
      <c r="EK875" s="59">
        <v>75</v>
      </c>
      <c r="EL875" s="65">
        <f>3600/EK875*EH875*EJ875*EI875</f>
        <v>648</v>
      </c>
      <c r="EM875" s="59"/>
      <c r="EN875" s="59"/>
      <c r="EO875" s="59"/>
      <c r="EP875" s="59"/>
      <c r="EQ875" s="59"/>
      <c r="ER875" s="59"/>
      <c r="ES875" s="59"/>
      <c r="ET875" s="59"/>
      <c r="EU875" s="62">
        <f>EG875/EL875+FA875</f>
        <v>6.9444444444444446</v>
      </c>
      <c r="EV875" s="59"/>
      <c r="EW875" s="59"/>
      <c r="EX875" s="59"/>
      <c r="EY875" s="59"/>
      <c r="EZ875" s="59"/>
      <c r="FA875" s="59"/>
      <c r="FB875" s="59"/>
      <c r="FC875" s="59"/>
      <c r="FD875" s="59"/>
      <c r="FE875" s="59"/>
      <c r="FF875" s="59"/>
      <c r="FG875" s="59"/>
      <c r="FH875" s="59"/>
      <c r="FI875" s="59"/>
      <c r="FJ875" s="59"/>
      <c r="FK875" s="59"/>
      <c r="FL875" s="59"/>
      <c r="FM875" s="59"/>
      <c r="FN875" s="59"/>
      <c r="FO875" s="59"/>
      <c r="FP875" s="59"/>
      <c r="FQ875" s="59"/>
      <c r="FR875" s="59"/>
      <c r="FS875" s="59"/>
      <c r="FT875" s="59"/>
      <c r="FU875" s="59"/>
      <c r="FV875" s="59"/>
      <c r="FW875" s="59"/>
      <c r="FX875" s="59"/>
      <c r="FY875" s="59"/>
      <c r="FZ875" s="59"/>
      <c r="GA875" s="59"/>
      <c r="GB875" s="59"/>
      <c r="GC875" s="59"/>
      <c r="GD875" s="59"/>
      <c r="GE875" s="59"/>
      <c r="GF875" s="59"/>
      <c r="GG875" s="59"/>
      <c r="GH875" s="59"/>
      <c r="GI875" s="59"/>
      <c r="GJ875" s="59"/>
      <c r="GK875" s="59"/>
      <c r="GL875" s="59"/>
      <c r="GM875" s="59"/>
      <c r="GN875" s="59"/>
      <c r="GO875" s="59"/>
      <c r="GP875" s="59"/>
      <c r="GQ875" s="59"/>
      <c r="GR875" s="61">
        <v>0.11</v>
      </c>
      <c r="GS875" s="62">
        <f>GR875*(BA875+EU875+EP875+EQ875)</f>
        <v>4.2678178888888887</v>
      </c>
      <c r="GT875" s="64">
        <v>1.2500000000000001E-2</v>
      </c>
      <c r="GU875" s="62">
        <f>GT875*(BA875+EU875+EP875+EQ875)</f>
        <v>0.48497930555555557</v>
      </c>
      <c r="GV875" s="61">
        <v>0.02</v>
      </c>
      <c r="GW875" s="62">
        <f>GV875*EU875</f>
        <v>0.1388888888888889</v>
      </c>
      <c r="GX875" s="62">
        <f>GS875+GU875+GW875</f>
        <v>4.8916860833333331</v>
      </c>
      <c r="GY875" s="59" t="s">
        <v>43</v>
      </c>
      <c r="GZ875" s="59" t="s">
        <v>551</v>
      </c>
      <c r="HA875" s="59">
        <v>810</v>
      </c>
      <c r="HB875" s="59">
        <v>568</v>
      </c>
      <c r="HC875" s="59">
        <v>425</v>
      </c>
      <c r="HD875" s="59">
        <v>42</v>
      </c>
      <c r="HE875" s="59">
        <v>2000</v>
      </c>
      <c r="HF875" s="62">
        <f>ROUNDUP(HE875/HD875,0)</f>
        <v>48</v>
      </c>
      <c r="HG875" s="59">
        <v>5</v>
      </c>
      <c r="HH875" s="62">
        <f>HF875*HG875</f>
        <v>240</v>
      </c>
      <c r="HI875" s="59">
        <v>1100</v>
      </c>
      <c r="HJ875" s="62">
        <f>HH875*HI875</f>
        <v>264000</v>
      </c>
      <c r="HK875" s="59"/>
      <c r="HL875" s="59"/>
      <c r="HM875" s="59">
        <v>2</v>
      </c>
      <c r="HN875" s="62">
        <f>HM875*12*25*HE875</f>
        <v>1200000</v>
      </c>
      <c r="HO875" s="62">
        <f>IF(GY875="carton box",HI875/HD875,HJ875/HN875)</f>
        <v>0.22</v>
      </c>
      <c r="HP875" s="59">
        <v>160</v>
      </c>
      <c r="HQ875" s="59">
        <v>0</v>
      </c>
      <c r="HR875" s="59">
        <v>0</v>
      </c>
      <c r="HS875" s="59">
        <v>0</v>
      </c>
      <c r="HT875" s="59">
        <v>0</v>
      </c>
      <c r="HU875" s="59"/>
      <c r="HV875" s="62">
        <f>ROUNDUP(HO875+HT875,2)</f>
        <v>0.22</v>
      </c>
      <c r="HW875" s="62"/>
      <c r="HX875" s="59">
        <v>4200</v>
      </c>
      <c r="HY875" s="59">
        <v>1900</v>
      </c>
      <c r="HZ875" s="59">
        <v>1975</v>
      </c>
      <c r="IA875" s="62">
        <f t="shared" si="821"/>
        <v>5</v>
      </c>
      <c r="IB875" s="62">
        <f t="shared" si="821"/>
        <v>3</v>
      </c>
      <c r="IC875" s="62">
        <f t="shared" si="821"/>
        <v>4</v>
      </c>
      <c r="ID875" s="61">
        <v>0.95</v>
      </c>
      <c r="IE875" s="62">
        <f>PRODUCT(IA875:ID875)</f>
        <v>57</v>
      </c>
      <c r="IF875" s="59">
        <v>500</v>
      </c>
      <c r="IG875" s="62">
        <f>ROUNDUP(IF875/(IE875*HD875),2)</f>
        <v>0.21000000000000002</v>
      </c>
      <c r="IH875" s="62"/>
    </row>
    <row r="876" spans="1:244" ht="30">
      <c r="A876">
        <v>861</v>
      </c>
      <c r="C876" t="s">
        <v>2649</v>
      </c>
      <c r="D876" s="28" t="s">
        <v>869</v>
      </c>
      <c r="E876" s="28" t="s">
        <v>1708</v>
      </c>
      <c r="F876" s="28" t="s">
        <v>2444</v>
      </c>
      <c r="G876" s="27" t="s">
        <v>108</v>
      </c>
      <c r="I876" s="27" t="s">
        <v>226</v>
      </c>
      <c r="J876" s="28">
        <v>21691</v>
      </c>
      <c r="K876" s="27" t="s">
        <v>404</v>
      </c>
      <c r="Q876" s="13" t="s">
        <v>1786</v>
      </c>
      <c r="R876" s="13" t="s">
        <v>1769</v>
      </c>
      <c r="S876" s="13"/>
      <c r="T876" s="13"/>
      <c r="U876" s="13"/>
      <c r="V876" s="72" t="s">
        <v>2486</v>
      </c>
      <c r="W876" s="53" t="s">
        <v>2650</v>
      </c>
    </row>
    <row r="877" spans="1:244" ht="30">
      <c r="A877">
        <v>862</v>
      </c>
      <c r="C877" t="s">
        <v>2651</v>
      </c>
      <c r="D877" s="28" t="s">
        <v>1709</v>
      </c>
      <c r="E877" s="28" t="s">
        <v>1710</v>
      </c>
      <c r="F877" s="28" t="s">
        <v>2444</v>
      </c>
      <c r="G877" s="27" t="s">
        <v>108</v>
      </c>
      <c r="I877" s="27" t="s">
        <v>121</v>
      </c>
      <c r="J877" s="28">
        <v>21697</v>
      </c>
      <c r="K877" s="27" t="s">
        <v>227</v>
      </c>
      <c r="Q877" s="13" t="s">
        <v>1786</v>
      </c>
      <c r="R877" s="13" t="s">
        <v>1769</v>
      </c>
      <c r="S877" s="13"/>
      <c r="T877" s="13"/>
      <c r="U877" s="13"/>
      <c r="V877" s="72" t="s">
        <v>2486</v>
      </c>
      <c r="W877" s="53" t="s">
        <v>2650</v>
      </c>
    </row>
    <row r="878" spans="1:244" ht="30">
      <c r="A878">
        <v>863</v>
      </c>
      <c r="C878" t="s">
        <v>2652</v>
      </c>
      <c r="D878" s="28" t="s">
        <v>1711</v>
      </c>
      <c r="E878" s="28" t="s">
        <v>1712</v>
      </c>
      <c r="F878" s="28" t="s">
        <v>2444</v>
      </c>
      <c r="G878" s="27" t="s">
        <v>108</v>
      </c>
      <c r="I878" s="27" t="s">
        <v>121</v>
      </c>
      <c r="J878" s="28">
        <v>21697</v>
      </c>
      <c r="K878" s="27" t="s">
        <v>227</v>
      </c>
      <c r="Q878" s="13" t="s">
        <v>1786</v>
      </c>
      <c r="R878" s="13" t="s">
        <v>1769</v>
      </c>
      <c r="S878" s="13"/>
      <c r="T878" s="13"/>
      <c r="U878" s="13"/>
      <c r="V878" s="72" t="s">
        <v>2486</v>
      </c>
      <c r="W878" s="53" t="s">
        <v>2650</v>
      </c>
    </row>
    <row r="879" spans="1:244" ht="30">
      <c r="A879">
        <v>864</v>
      </c>
      <c r="B879" t="s">
        <v>468</v>
      </c>
      <c r="C879" t="s">
        <v>2653</v>
      </c>
      <c r="D879" s="28" t="s">
        <v>870</v>
      </c>
      <c r="E879" s="28" t="s">
        <v>1713</v>
      </c>
      <c r="F879" s="28" t="s">
        <v>2182</v>
      </c>
      <c r="G879" s="27" t="s">
        <v>108</v>
      </c>
      <c r="I879" s="27" t="s">
        <v>121</v>
      </c>
      <c r="J879" s="28">
        <v>21697</v>
      </c>
      <c r="K879" s="27" t="s">
        <v>227</v>
      </c>
      <c r="L879">
        <v>20089</v>
      </c>
      <c r="M879" t="s">
        <v>121</v>
      </c>
      <c r="Q879" s="13" t="s">
        <v>1786</v>
      </c>
      <c r="R879" s="13" t="s">
        <v>1769</v>
      </c>
      <c r="S879" s="13" t="s">
        <v>2654</v>
      </c>
      <c r="T879" s="13"/>
      <c r="U879" s="13"/>
      <c r="V879" s="72" t="s">
        <v>2486</v>
      </c>
      <c r="W879" s="53" t="s">
        <v>2626</v>
      </c>
      <c r="AA879" s="72" t="s">
        <v>2655</v>
      </c>
      <c r="AB879" s="66">
        <v>118.76</v>
      </c>
      <c r="AC879">
        <v>20</v>
      </c>
      <c r="AD879" t="s">
        <v>2656</v>
      </c>
      <c r="AE879" s="7">
        <f>BA879</f>
        <v>39.135335000000005</v>
      </c>
      <c r="AF879" s="7">
        <f>DT879</f>
        <v>0</v>
      </c>
      <c r="AG879" s="7">
        <f>EU879+EM879+EP879+EQ879</f>
        <v>6.95</v>
      </c>
      <c r="AH879" s="7">
        <f>DM879</f>
        <v>0</v>
      </c>
      <c r="AI879" s="7">
        <f>DO879</f>
        <v>0</v>
      </c>
      <c r="AJ879" s="7">
        <f>GW879</f>
        <v>0.14000000000000001</v>
      </c>
      <c r="AK879" s="7">
        <f>GU879</f>
        <v>0.57999999999999996</v>
      </c>
      <c r="AL879" s="7">
        <f>GS879</f>
        <v>5.0699999999999994</v>
      </c>
      <c r="AM879" s="7">
        <f>HV879</f>
        <v>0.23</v>
      </c>
      <c r="AN879" s="7">
        <f>IG879</f>
        <v>0.21000000000000002</v>
      </c>
      <c r="AO879" s="7"/>
      <c r="AP879" s="7"/>
      <c r="AQ879" s="7">
        <f>SUM(AE879:AP879)</f>
        <v>52.315335000000005</v>
      </c>
      <c r="AR879" s="7"/>
      <c r="AS879" s="7"/>
      <c r="AT879" s="7"/>
      <c r="AU879" s="7"/>
      <c r="AV879" s="7">
        <f>AQ879+AU879+AT879+AR879</f>
        <v>52.315335000000005</v>
      </c>
      <c r="AW879" s="59">
        <v>0.33037500000000003</v>
      </c>
      <c r="AX879" s="59">
        <v>0.32537500000000003</v>
      </c>
      <c r="AY879" s="61">
        <v>1</v>
      </c>
      <c r="AZ879" s="69">
        <f>AW879-AX879</f>
        <v>5.0000000000000044E-3</v>
      </c>
      <c r="BA879" s="62">
        <f>AW879*AB879-(AZ879*AC879)*AY879</f>
        <v>39.135335000000005</v>
      </c>
      <c r="BB879" s="62"/>
      <c r="BC879" s="62"/>
      <c r="BD879" s="62"/>
      <c r="BE879" s="62"/>
      <c r="BF879" s="62"/>
      <c r="BG879" s="62"/>
      <c r="BH879" s="62"/>
      <c r="BI879" s="62"/>
      <c r="BJ879" s="62"/>
      <c r="BK879" s="62"/>
      <c r="BL879" s="62"/>
      <c r="BM879" s="62"/>
      <c r="BN879" s="62"/>
      <c r="BO879" s="62"/>
      <c r="BP879" s="62"/>
      <c r="BQ879" s="62"/>
      <c r="BR879" s="62"/>
      <c r="BS879" s="62"/>
      <c r="BT879" s="62"/>
      <c r="BU879" s="62"/>
      <c r="BV879" s="62"/>
      <c r="BW879" s="62"/>
      <c r="BX879" s="62"/>
      <c r="BY879" s="62"/>
      <c r="BZ879" s="62"/>
      <c r="CA879" s="62"/>
      <c r="CB879" s="62"/>
      <c r="CC879" s="62"/>
      <c r="CD879" s="59">
        <v>0</v>
      </c>
      <c r="CE879" s="59">
        <v>0</v>
      </c>
      <c r="CF879" s="59">
        <v>0</v>
      </c>
      <c r="CG879" s="59">
        <v>0</v>
      </c>
      <c r="CH879" s="59">
        <v>0</v>
      </c>
      <c r="CI879" s="59"/>
      <c r="CJ879" s="59"/>
      <c r="CK879" s="59"/>
      <c r="CL879" s="59"/>
      <c r="CM879" s="59"/>
      <c r="CN879" s="59"/>
      <c r="CO879" s="59"/>
      <c r="CP879" s="59"/>
      <c r="CQ879" s="59"/>
      <c r="CR879" s="59"/>
      <c r="CS879" s="59"/>
      <c r="CT879" s="59"/>
      <c r="CU879" s="59"/>
      <c r="CV879" s="59"/>
      <c r="CW879" s="59"/>
      <c r="CX879" s="59"/>
      <c r="CY879" s="59"/>
      <c r="CZ879" s="59"/>
      <c r="DA879" s="59"/>
      <c r="DB879" s="59"/>
      <c r="DC879" s="59"/>
      <c r="DD879" s="59"/>
      <c r="DE879" s="59"/>
      <c r="DF879" s="59"/>
      <c r="DG879" s="59"/>
      <c r="DH879" s="59"/>
      <c r="DI879" s="59"/>
      <c r="DJ879" s="59"/>
      <c r="DK879" s="59"/>
      <c r="DL879" s="59"/>
      <c r="DM879" s="62">
        <f>CH879+CM879+CR879+CW879+DB879+DG879+DK879</f>
        <v>0</v>
      </c>
      <c r="DN879" s="64">
        <v>1.2500000000000001E-2</v>
      </c>
      <c r="DO879" s="62">
        <f>DM879*DN879</f>
        <v>0</v>
      </c>
      <c r="DP879" s="62">
        <f>DM879+DO879</f>
        <v>0</v>
      </c>
      <c r="DQ879" s="59"/>
      <c r="DR879" s="59"/>
      <c r="DS879" s="59"/>
      <c r="DT879" s="59"/>
      <c r="DU879" s="59"/>
      <c r="DV879" s="59"/>
      <c r="DW879" s="59"/>
      <c r="DX879" s="59"/>
      <c r="DY879" s="59"/>
      <c r="DZ879" s="59"/>
      <c r="EA879" s="59"/>
      <c r="EB879" s="59"/>
      <c r="EC879" s="59"/>
      <c r="ED879" s="59"/>
      <c r="EE879" s="59"/>
      <c r="EF879" s="59">
        <v>450</v>
      </c>
      <c r="EG879" s="59">
        <v>4500</v>
      </c>
      <c r="EH879" s="59">
        <v>7.5</v>
      </c>
      <c r="EI879" s="61">
        <v>0.9</v>
      </c>
      <c r="EJ879" s="59">
        <v>2</v>
      </c>
      <c r="EK879" s="59">
        <v>75</v>
      </c>
      <c r="EL879" s="65">
        <f>3600/EK879*EH879*EJ879*EI879</f>
        <v>648</v>
      </c>
      <c r="EM879" s="59"/>
      <c r="EN879" s="59"/>
      <c r="EO879" s="59"/>
      <c r="EP879" s="59"/>
      <c r="EQ879" s="59"/>
      <c r="ER879" s="59"/>
      <c r="ES879" s="59"/>
      <c r="ET879" s="59"/>
      <c r="EU879" s="62">
        <f>ROUNDUP((EG879/EL879+FA879),2)</f>
        <v>6.95</v>
      </c>
      <c r="EV879" s="59"/>
      <c r="EW879" s="59"/>
      <c r="EX879" s="59"/>
      <c r="EY879" s="59"/>
      <c r="EZ879" s="59"/>
      <c r="FA879" s="59"/>
      <c r="FB879" s="59"/>
      <c r="FC879" s="59"/>
      <c r="FD879" s="59"/>
      <c r="FE879" s="59"/>
      <c r="FF879" s="59"/>
      <c r="FG879" s="59"/>
      <c r="FH879" s="59"/>
      <c r="FI879" s="59"/>
      <c r="FJ879" s="59"/>
      <c r="FK879" s="59"/>
      <c r="FL879" s="59"/>
      <c r="FM879" s="59"/>
      <c r="FN879" s="59"/>
      <c r="FO879" s="59"/>
      <c r="FP879" s="59"/>
      <c r="FQ879" s="59"/>
      <c r="FR879" s="59"/>
      <c r="FS879" s="59"/>
      <c r="FT879" s="59"/>
      <c r="FU879" s="59"/>
      <c r="FV879" s="59"/>
      <c r="FW879" s="59"/>
      <c r="FX879" s="59"/>
      <c r="FY879" s="59"/>
      <c r="FZ879" s="59"/>
      <c r="GA879" s="59"/>
      <c r="GB879" s="59"/>
      <c r="GC879" s="59"/>
      <c r="GD879" s="59"/>
      <c r="GE879" s="59"/>
      <c r="GF879" s="59"/>
      <c r="GG879" s="59"/>
      <c r="GH879" s="59"/>
      <c r="GI879" s="59"/>
      <c r="GJ879" s="59"/>
      <c r="GK879" s="59"/>
      <c r="GL879" s="59"/>
      <c r="GM879" s="59"/>
      <c r="GN879" s="59"/>
      <c r="GO879" s="59"/>
      <c r="GP879" s="59"/>
      <c r="GQ879" s="59"/>
      <c r="GR879" s="61">
        <v>0.11</v>
      </c>
      <c r="GS879" s="62">
        <f>ROUNDUP(GR879*(BA879+EU879),2)</f>
        <v>5.0699999999999994</v>
      </c>
      <c r="GT879" s="64">
        <v>1.2500000000000001E-2</v>
      </c>
      <c r="GU879" s="62">
        <f>ROUNDUP(GT879*(BA879+EU879),2)</f>
        <v>0.57999999999999996</v>
      </c>
      <c r="GV879" s="61">
        <v>0.02</v>
      </c>
      <c r="GW879" s="62">
        <f>ROUNDUP(GV879*EU879,2)</f>
        <v>0.14000000000000001</v>
      </c>
      <c r="GX879" s="62">
        <f>GS879+GU879+GW879</f>
        <v>5.7899999999999991</v>
      </c>
      <c r="GY879" s="59" t="s">
        <v>43</v>
      </c>
      <c r="GZ879" s="59" t="s">
        <v>551</v>
      </c>
      <c r="HA879" s="59">
        <v>810</v>
      </c>
      <c r="HB879" s="59">
        <v>568</v>
      </c>
      <c r="HC879" s="59">
        <v>425</v>
      </c>
      <c r="HD879" s="59">
        <v>42</v>
      </c>
      <c r="HE879" s="59">
        <v>200</v>
      </c>
      <c r="HF879" s="62">
        <f>ROUNDUP(HE879/HD879,0)</f>
        <v>5</v>
      </c>
      <c r="HG879" s="59">
        <v>5</v>
      </c>
      <c r="HH879" s="62">
        <f>HF879*HG879</f>
        <v>25</v>
      </c>
      <c r="HI879" s="59">
        <v>1100</v>
      </c>
      <c r="HJ879" s="62">
        <f>HH879*HI879</f>
        <v>27500</v>
      </c>
      <c r="HK879" s="59"/>
      <c r="HL879" s="59"/>
      <c r="HM879" s="59">
        <v>2</v>
      </c>
      <c r="HN879" s="62">
        <f>HM879*12*25*HE879</f>
        <v>120000</v>
      </c>
      <c r="HO879" s="62">
        <f>IF(GY879="carton box",HI879/HD879,HJ879/HN879)</f>
        <v>0.22916666666666666</v>
      </c>
      <c r="HP879" s="59">
        <v>160</v>
      </c>
      <c r="HQ879" s="59">
        <v>0</v>
      </c>
      <c r="HR879" s="59">
        <v>0</v>
      </c>
      <c r="HS879" s="59">
        <v>0</v>
      </c>
      <c r="HT879" s="62">
        <v>0</v>
      </c>
      <c r="HU879" s="62"/>
      <c r="HV879" s="62">
        <f>ROUNDUP(HO879+HT879,2)</f>
        <v>0.23</v>
      </c>
      <c r="HW879" s="62"/>
      <c r="HX879" s="59">
        <v>4700</v>
      </c>
      <c r="HY879" s="59">
        <v>1900</v>
      </c>
      <c r="HZ879" s="59">
        <v>1975</v>
      </c>
      <c r="IA879" s="62">
        <f t="shared" ref="IA879:IC883" si="822">ROUNDDOWN(HX879/HA879,0)</f>
        <v>5</v>
      </c>
      <c r="IB879" s="62">
        <f t="shared" si="822"/>
        <v>3</v>
      </c>
      <c r="IC879" s="62">
        <f t="shared" si="822"/>
        <v>4</v>
      </c>
      <c r="ID879" s="61">
        <v>0.95</v>
      </c>
      <c r="IE879" s="62">
        <f>PRODUCT(IA879:ID879)</f>
        <v>57</v>
      </c>
      <c r="IF879" s="59">
        <v>500</v>
      </c>
      <c r="IG879" s="62">
        <f>ROUNDUP(IF879/(IE879*HD879),2)</f>
        <v>0.21000000000000002</v>
      </c>
      <c r="IH879" s="62"/>
    </row>
    <row r="880" spans="1:244" ht="30">
      <c r="A880">
        <v>865</v>
      </c>
      <c r="B880" t="s">
        <v>468</v>
      </c>
      <c r="C880" t="s">
        <v>2657</v>
      </c>
      <c r="D880" s="28" t="s">
        <v>872</v>
      </c>
      <c r="E880" s="28" t="s">
        <v>873</v>
      </c>
      <c r="F880" s="28" t="s">
        <v>2182</v>
      </c>
      <c r="G880" s="27" t="s">
        <v>108</v>
      </c>
      <c r="I880" s="27" t="s">
        <v>121</v>
      </c>
      <c r="J880" s="28">
        <v>21697</v>
      </c>
      <c r="K880" s="27" t="s">
        <v>227</v>
      </c>
      <c r="L880">
        <v>20089</v>
      </c>
      <c r="M880" t="s">
        <v>121</v>
      </c>
      <c r="Q880" s="13" t="s">
        <v>1039</v>
      </c>
      <c r="R880" s="13" t="s">
        <v>1769</v>
      </c>
      <c r="S880" s="13" t="s">
        <v>2658</v>
      </c>
      <c r="T880" s="13"/>
      <c r="U880" s="13"/>
      <c r="V880" s="72" t="s">
        <v>2486</v>
      </c>
      <c r="W880" s="53" t="s">
        <v>2626</v>
      </c>
      <c r="AA880" t="s">
        <v>2659</v>
      </c>
      <c r="AB880" s="66">
        <v>190.5</v>
      </c>
      <c r="AC880">
        <v>20</v>
      </c>
      <c r="AD880" t="s">
        <v>2660</v>
      </c>
      <c r="AE880" s="7">
        <f>BA880</f>
        <v>1.6202062500000001</v>
      </c>
      <c r="AF880" s="7">
        <f>DT880</f>
        <v>0</v>
      </c>
      <c r="AG880" s="7">
        <f>EU880+EM880+EP880+EQ880</f>
        <v>0.69444444444444442</v>
      </c>
      <c r="AH880" s="7">
        <f>DM880</f>
        <v>0</v>
      </c>
      <c r="AI880" s="7">
        <f>DO880</f>
        <v>0</v>
      </c>
      <c r="AJ880" s="7">
        <f>GW880</f>
        <v>1.3888888888888888E-2</v>
      </c>
      <c r="AK880" s="7">
        <f>GU880</f>
        <v>2.8933133680555556E-2</v>
      </c>
      <c r="AL880" s="7">
        <f>GS880</f>
        <v>0.25461157638888887</v>
      </c>
      <c r="AM880" s="7">
        <f>HV880</f>
        <v>0.02</v>
      </c>
      <c r="AN880" s="7">
        <f>IG880</f>
        <v>0.01</v>
      </c>
      <c r="AO880" s="7"/>
      <c r="AP880" s="7"/>
      <c r="AQ880" s="7">
        <f>SUM(AE880:AP880)</f>
        <v>2.6420842934027773</v>
      </c>
      <c r="AR880" s="7"/>
      <c r="AS880" s="7"/>
      <c r="AT880" s="7"/>
      <c r="AU880" s="7"/>
      <c r="AV880" s="7">
        <f>AQ880+AU880+AT880+AR880</f>
        <v>2.6420842934027773</v>
      </c>
      <c r="AW880" s="59">
        <v>8.6625000000000001E-3</v>
      </c>
      <c r="AX880" s="59">
        <v>7.1625000000000005E-3</v>
      </c>
      <c r="AY880" s="61">
        <v>1</v>
      </c>
      <c r="AZ880" s="69">
        <f>AW880-AX880</f>
        <v>1.4999999999999996E-3</v>
      </c>
      <c r="BA880" s="62">
        <f>AW880*AB880-(AZ880*AC880)*AY880</f>
        <v>1.6202062500000001</v>
      </c>
      <c r="BB880" s="62"/>
      <c r="BC880" s="62"/>
      <c r="BD880" s="62"/>
      <c r="BE880" s="62"/>
      <c r="BF880" s="62"/>
      <c r="BG880" s="62"/>
      <c r="BH880" s="62"/>
      <c r="BI880" s="62"/>
      <c r="BJ880" s="62"/>
      <c r="BK880" s="62"/>
      <c r="BL880" s="62"/>
      <c r="BM880" s="62"/>
      <c r="BN880" s="62"/>
      <c r="BO880" s="62"/>
      <c r="BP880" s="62"/>
      <c r="BQ880" s="62"/>
      <c r="BR880" s="62"/>
      <c r="BS880" s="62"/>
      <c r="BT880" s="62"/>
      <c r="BU880" s="62"/>
      <c r="BV880" s="62"/>
      <c r="BW880" s="62"/>
      <c r="BX880" s="62"/>
      <c r="BY880" s="62"/>
      <c r="BZ880" s="62"/>
      <c r="CA880" s="62"/>
      <c r="CB880" s="62"/>
      <c r="CC880" s="62"/>
      <c r="CD880" s="59">
        <v>0</v>
      </c>
      <c r="CE880" s="59">
        <v>0</v>
      </c>
      <c r="CF880" s="59">
        <v>0</v>
      </c>
      <c r="CG880" s="59">
        <v>0</v>
      </c>
      <c r="CH880" s="59">
        <v>0</v>
      </c>
      <c r="CI880" s="59"/>
      <c r="CJ880" s="59"/>
      <c r="CK880" s="59"/>
      <c r="CL880" s="59"/>
      <c r="CM880" s="59"/>
      <c r="CN880" s="59"/>
      <c r="CO880" s="59"/>
      <c r="CP880" s="59"/>
      <c r="CQ880" s="59"/>
      <c r="CR880" s="59"/>
      <c r="CS880" s="59"/>
      <c r="CT880" s="59"/>
      <c r="CU880" s="59"/>
      <c r="CV880" s="59"/>
      <c r="CW880" s="59"/>
      <c r="CX880" s="59"/>
      <c r="CY880" s="59"/>
      <c r="CZ880" s="59"/>
      <c r="DA880" s="59"/>
      <c r="DB880" s="59"/>
      <c r="DC880" s="59"/>
      <c r="DD880" s="59"/>
      <c r="DE880" s="59"/>
      <c r="DF880" s="59"/>
      <c r="DG880" s="59"/>
      <c r="DH880" s="59"/>
      <c r="DI880" s="59"/>
      <c r="DJ880" s="59"/>
      <c r="DK880" s="59"/>
      <c r="DL880" s="59"/>
      <c r="DM880" s="62">
        <f>CH880+CM880+CR880+CW880+DB880+DG880+DK880</f>
        <v>0</v>
      </c>
      <c r="DN880" s="64">
        <v>1.2500000000000001E-2</v>
      </c>
      <c r="DO880" s="62">
        <f>DM880*DN880</f>
        <v>0</v>
      </c>
      <c r="DP880" s="62">
        <f>DM880+DO880</f>
        <v>0</v>
      </c>
      <c r="DQ880" s="59"/>
      <c r="DR880" s="59"/>
      <c r="DS880" s="59"/>
      <c r="DT880" s="59"/>
      <c r="DU880" s="59"/>
      <c r="DV880" s="59"/>
      <c r="DW880" s="59"/>
      <c r="DX880" s="59"/>
      <c r="DY880" s="59"/>
      <c r="DZ880" s="59"/>
      <c r="EA880" s="59"/>
      <c r="EB880" s="59"/>
      <c r="EC880" s="59"/>
      <c r="ED880" s="59"/>
      <c r="EE880" s="59"/>
      <c r="EF880" s="59">
        <v>150</v>
      </c>
      <c r="EG880" s="59">
        <v>1500</v>
      </c>
      <c r="EH880" s="59">
        <v>7.5</v>
      </c>
      <c r="EI880" s="61">
        <v>0.9</v>
      </c>
      <c r="EJ880" s="59">
        <v>4</v>
      </c>
      <c r="EK880" s="59">
        <v>45</v>
      </c>
      <c r="EL880" s="65">
        <f>3600/EK880*EH880*EJ880*EI880</f>
        <v>2160</v>
      </c>
      <c r="EM880" s="59"/>
      <c r="EN880" s="59"/>
      <c r="EO880" s="59"/>
      <c r="EP880" s="59"/>
      <c r="EQ880" s="59"/>
      <c r="ER880" s="59"/>
      <c r="ES880" s="59"/>
      <c r="ET880" s="59"/>
      <c r="EU880" s="62">
        <f>EG880/EL880+FA880</f>
        <v>0.69444444444444442</v>
      </c>
      <c r="EV880" s="59"/>
      <c r="EW880" s="59"/>
      <c r="EX880" s="59"/>
      <c r="EY880" s="59"/>
      <c r="EZ880" s="59"/>
      <c r="FA880" s="59"/>
      <c r="FB880" s="59"/>
      <c r="FC880" s="59"/>
      <c r="FD880" s="59"/>
      <c r="FE880" s="59"/>
      <c r="FF880" s="59"/>
      <c r="FG880" s="59"/>
      <c r="FH880" s="59"/>
      <c r="FI880" s="59"/>
      <c r="FJ880" s="59"/>
      <c r="FK880" s="59"/>
      <c r="FL880" s="59"/>
      <c r="FM880" s="59"/>
      <c r="FN880" s="59"/>
      <c r="FO880" s="59"/>
      <c r="FP880" s="59"/>
      <c r="FQ880" s="59"/>
      <c r="FR880" s="59"/>
      <c r="FS880" s="59"/>
      <c r="FT880" s="59"/>
      <c r="FU880" s="59"/>
      <c r="FV880" s="59"/>
      <c r="FW880" s="59"/>
      <c r="FX880" s="59"/>
      <c r="FY880" s="59"/>
      <c r="FZ880" s="59"/>
      <c r="GA880" s="59"/>
      <c r="GB880" s="59"/>
      <c r="GC880" s="59"/>
      <c r="GD880" s="59"/>
      <c r="GE880" s="59"/>
      <c r="GF880" s="59"/>
      <c r="GG880" s="59"/>
      <c r="GH880" s="59"/>
      <c r="GI880" s="59"/>
      <c r="GJ880" s="59"/>
      <c r="GK880" s="59"/>
      <c r="GL880" s="59"/>
      <c r="GM880" s="59"/>
      <c r="GN880" s="59"/>
      <c r="GO880" s="59"/>
      <c r="GP880" s="59"/>
      <c r="GQ880" s="59"/>
      <c r="GR880" s="61">
        <v>0.11</v>
      </c>
      <c r="GS880" s="62">
        <f>GR880*(BA880+EU880+EP880+EQ880)</f>
        <v>0.25461157638888887</v>
      </c>
      <c r="GT880" s="64">
        <v>1.2500000000000001E-2</v>
      </c>
      <c r="GU880" s="62">
        <f>GT880*(BA880+EU880+EP880+EQ880)</f>
        <v>2.8933133680555556E-2</v>
      </c>
      <c r="GV880" s="61">
        <v>0.02</v>
      </c>
      <c r="GW880" s="62">
        <f>GV880*EU880</f>
        <v>1.3888888888888888E-2</v>
      </c>
      <c r="GX880" s="62">
        <f>GS880+GU880+GW880</f>
        <v>0.29743359895833332</v>
      </c>
      <c r="GY880" s="59" t="s">
        <v>43</v>
      </c>
      <c r="GZ880" s="59" t="s">
        <v>551</v>
      </c>
      <c r="HA880" s="59">
        <v>650</v>
      </c>
      <c r="HB880" s="59">
        <v>450</v>
      </c>
      <c r="HC880" s="59">
        <v>330</v>
      </c>
      <c r="HD880" s="59">
        <v>500</v>
      </c>
      <c r="HE880" s="59">
        <v>4000</v>
      </c>
      <c r="HF880" s="62">
        <f>ROUNDUP(HE880/HD880,0)</f>
        <v>8</v>
      </c>
      <c r="HG880" s="59">
        <v>5</v>
      </c>
      <c r="HH880" s="62">
        <f>HF880*HG880</f>
        <v>40</v>
      </c>
      <c r="HI880" s="59">
        <v>650</v>
      </c>
      <c r="HJ880" s="62">
        <f>HH880*HI880</f>
        <v>26000</v>
      </c>
      <c r="HK880" s="59"/>
      <c r="HL880" s="59"/>
      <c r="HM880" s="59">
        <v>2</v>
      </c>
      <c r="HN880" s="62">
        <f>HM880*12*25*HE880</f>
        <v>2400000</v>
      </c>
      <c r="HO880" s="62">
        <f>IF(GY880="carton box",HI880/HD880,HJ880/HN880)</f>
        <v>1.0833333333333334E-2</v>
      </c>
      <c r="HP880" s="59">
        <v>160</v>
      </c>
      <c r="HQ880" s="59">
        <v>0</v>
      </c>
      <c r="HR880" s="59">
        <v>0</v>
      </c>
      <c r="HS880" s="59">
        <v>0</v>
      </c>
      <c r="HT880" s="59">
        <v>0</v>
      </c>
      <c r="HU880" s="59"/>
      <c r="HV880" s="62">
        <f>ROUNDUP(HO880+HT880,2)</f>
        <v>0.02</v>
      </c>
      <c r="HW880" s="62"/>
      <c r="HX880" s="59">
        <v>4200</v>
      </c>
      <c r="HY880" s="59">
        <v>1900</v>
      </c>
      <c r="HZ880" s="59">
        <v>1975</v>
      </c>
      <c r="IA880" s="62">
        <f t="shared" si="822"/>
        <v>6</v>
      </c>
      <c r="IB880" s="62">
        <f t="shared" si="822"/>
        <v>4</v>
      </c>
      <c r="IC880" s="62">
        <f t="shared" si="822"/>
        <v>5</v>
      </c>
      <c r="ID880" s="61">
        <v>0.95</v>
      </c>
      <c r="IE880" s="62">
        <f>PRODUCT(IA880:ID880)</f>
        <v>114</v>
      </c>
      <c r="IF880" s="59">
        <v>500</v>
      </c>
      <c r="IG880" s="62">
        <f>ROUNDUP(IF880/(IE880*HD880),2)</f>
        <v>0.01</v>
      </c>
      <c r="IH880" s="62"/>
    </row>
    <row r="881" spans="1:244" ht="30">
      <c r="A881">
        <v>866</v>
      </c>
      <c r="B881" t="s">
        <v>468</v>
      </c>
      <c r="C881" t="s">
        <v>2657</v>
      </c>
      <c r="D881" s="28" t="s">
        <v>872</v>
      </c>
      <c r="E881" s="28" t="s">
        <v>873</v>
      </c>
      <c r="F881" s="28" t="s">
        <v>2182</v>
      </c>
      <c r="G881" s="27" t="s">
        <v>108</v>
      </c>
      <c r="I881" s="27" t="s">
        <v>226</v>
      </c>
      <c r="J881" s="28">
        <v>21590</v>
      </c>
      <c r="K881" s="27" t="s">
        <v>397</v>
      </c>
      <c r="L881">
        <v>20089</v>
      </c>
      <c r="M881" t="s">
        <v>121</v>
      </c>
      <c r="Q881" s="13" t="s">
        <v>1039</v>
      </c>
      <c r="R881" s="13" t="s">
        <v>1769</v>
      </c>
      <c r="S881" s="13" t="s">
        <v>2658</v>
      </c>
      <c r="T881" s="13"/>
      <c r="U881" s="13"/>
      <c r="V881" s="72" t="s">
        <v>2486</v>
      </c>
      <c r="W881" s="53" t="s">
        <v>2661</v>
      </c>
      <c r="AA881" t="s">
        <v>2659</v>
      </c>
      <c r="AB881" s="66">
        <v>190.5</v>
      </c>
      <c r="AC881">
        <v>20</v>
      </c>
      <c r="AD881" t="s">
        <v>2660</v>
      </c>
      <c r="AE881" s="7">
        <f>BA881</f>
        <v>1.6202062500000001</v>
      </c>
      <c r="AF881" s="7">
        <f>DT881</f>
        <v>0</v>
      </c>
      <c r="AG881" s="7">
        <f>EU881+EM881+EP881+EQ881</f>
        <v>0.69444444444444442</v>
      </c>
      <c r="AH881" s="7">
        <f>DM881</f>
        <v>0</v>
      </c>
      <c r="AI881" s="7">
        <f>DO881</f>
        <v>0</v>
      </c>
      <c r="AJ881" s="7">
        <f>GW881</f>
        <v>1.3888888888888888E-2</v>
      </c>
      <c r="AK881" s="7">
        <f>GU881</f>
        <v>2.8933133680555556E-2</v>
      </c>
      <c r="AL881" s="7">
        <f>GS881</f>
        <v>0.25461157638888887</v>
      </c>
      <c r="AM881" s="7">
        <f>HV881</f>
        <v>0.02</v>
      </c>
      <c r="AN881" s="7">
        <f>IG881</f>
        <v>0.01</v>
      </c>
      <c r="AO881" s="7"/>
      <c r="AP881" s="7"/>
      <c r="AQ881" s="7">
        <f>SUM(AE881:AP881)</f>
        <v>2.6420842934027773</v>
      </c>
      <c r="AR881" s="7"/>
      <c r="AS881" s="7"/>
      <c r="AT881" s="7"/>
      <c r="AU881" s="7"/>
      <c r="AV881" s="7">
        <f>AQ881+AU881+AT881+AR881</f>
        <v>2.6420842934027773</v>
      </c>
      <c r="AW881" s="59">
        <v>8.6625000000000001E-3</v>
      </c>
      <c r="AX881" s="59">
        <v>7.1625000000000005E-3</v>
      </c>
      <c r="AY881" s="61">
        <v>1</v>
      </c>
      <c r="AZ881" s="69">
        <f>AW881-AX881</f>
        <v>1.4999999999999996E-3</v>
      </c>
      <c r="BA881" s="62">
        <f>AW881*AB881-(AZ881*AC881)*AY881</f>
        <v>1.6202062500000001</v>
      </c>
      <c r="BB881" s="62"/>
      <c r="BC881" s="62"/>
      <c r="BD881" s="62"/>
      <c r="BE881" s="62"/>
      <c r="BF881" s="62"/>
      <c r="BG881" s="62"/>
      <c r="BH881" s="62"/>
      <c r="BI881" s="62"/>
      <c r="BJ881" s="62"/>
      <c r="BK881" s="62"/>
      <c r="BL881" s="62"/>
      <c r="BM881" s="62"/>
      <c r="BN881" s="62"/>
      <c r="BO881" s="62"/>
      <c r="BP881" s="62"/>
      <c r="BQ881" s="62"/>
      <c r="BR881" s="62"/>
      <c r="BS881" s="62"/>
      <c r="BT881" s="62"/>
      <c r="BU881" s="62"/>
      <c r="BV881" s="62"/>
      <c r="BW881" s="62"/>
      <c r="BX881" s="62"/>
      <c r="BY881" s="62"/>
      <c r="BZ881" s="62"/>
      <c r="CA881" s="62"/>
      <c r="CB881" s="62"/>
      <c r="CC881" s="62"/>
      <c r="CD881" s="59">
        <v>0</v>
      </c>
      <c r="CE881" s="59">
        <v>0</v>
      </c>
      <c r="CF881" s="59">
        <v>0</v>
      </c>
      <c r="CG881" s="59">
        <v>0</v>
      </c>
      <c r="CH881" s="59">
        <v>0</v>
      </c>
      <c r="CI881" s="59"/>
      <c r="CJ881" s="59"/>
      <c r="CK881" s="59"/>
      <c r="CL881" s="59"/>
      <c r="CM881" s="59"/>
      <c r="CN881" s="59"/>
      <c r="CO881" s="59"/>
      <c r="CP881" s="59"/>
      <c r="CQ881" s="59"/>
      <c r="CR881" s="59"/>
      <c r="CS881" s="59"/>
      <c r="CT881" s="59"/>
      <c r="CU881" s="59"/>
      <c r="CV881" s="59"/>
      <c r="CW881" s="59"/>
      <c r="CX881" s="59"/>
      <c r="CY881" s="59"/>
      <c r="CZ881" s="59"/>
      <c r="DA881" s="59"/>
      <c r="DB881" s="59"/>
      <c r="DC881" s="59"/>
      <c r="DD881" s="59"/>
      <c r="DE881" s="59"/>
      <c r="DF881" s="59"/>
      <c r="DG881" s="59"/>
      <c r="DH881" s="59"/>
      <c r="DI881" s="59"/>
      <c r="DJ881" s="59"/>
      <c r="DK881" s="59"/>
      <c r="DL881" s="59"/>
      <c r="DM881" s="62">
        <f>CH881+CM881+CR881+CW881+DB881+DG881+DK881</f>
        <v>0</v>
      </c>
      <c r="DN881" s="64">
        <v>1.2500000000000001E-2</v>
      </c>
      <c r="DO881" s="62">
        <f>DM881*DN881</f>
        <v>0</v>
      </c>
      <c r="DP881" s="62">
        <f>DM881+DO881</f>
        <v>0</v>
      </c>
      <c r="DQ881" s="59"/>
      <c r="DR881" s="59"/>
      <c r="DS881" s="59"/>
      <c r="DT881" s="59"/>
      <c r="DU881" s="59"/>
      <c r="DV881" s="59"/>
      <c r="DW881" s="59"/>
      <c r="DX881" s="59"/>
      <c r="DY881" s="59"/>
      <c r="DZ881" s="59"/>
      <c r="EA881" s="59"/>
      <c r="EB881" s="59"/>
      <c r="EC881" s="59"/>
      <c r="ED881" s="59"/>
      <c r="EE881" s="59"/>
      <c r="EF881" s="59">
        <v>150</v>
      </c>
      <c r="EG881" s="59">
        <v>1500</v>
      </c>
      <c r="EH881" s="59">
        <v>7.5</v>
      </c>
      <c r="EI881" s="61">
        <v>0.9</v>
      </c>
      <c r="EJ881" s="59">
        <v>4</v>
      </c>
      <c r="EK881" s="59">
        <v>45</v>
      </c>
      <c r="EL881" s="65">
        <f>3600/EK881*EH881*EJ881*EI881</f>
        <v>2160</v>
      </c>
      <c r="EM881" s="59"/>
      <c r="EN881" s="59"/>
      <c r="EO881" s="59"/>
      <c r="EP881" s="59"/>
      <c r="EQ881" s="59"/>
      <c r="ER881" s="59"/>
      <c r="ES881" s="59"/>
      <c r="ET881" s="59"/>
      <c r="EU881" s="62">
        <f>EG881/EL881+FA881</f>
        <v>0.69444444444444442</v>
      </c>
      <c r="EV881" s="59"/>
      <c r="EW881" s="59"/>
      <c r="EX881" s="59"/>
      <c r="EY881" s="59"/>
      <c r="EZ881" s="59"/>
      <c r="FA881" s="59"/>
      <c r="FB881" s="59"/>
      <c r="FC881" s="59"/>
      <c r="FD881" s="59"/>
      <c r="FE881" s="59"/>
      <c r="FF881" s="59"/>
      <c r="FG881" s="59"/>
      <c r="FH881" s="59"/>
      <c r="FI881" s="59"/>
      <c r="FJ881" s="59"/>
      <c r="FK881" s="59"/>
      <c r="FL881" s="59"/>
      <c r="FM881" s="59"/>
      <c r="FN881" s="59"/>
      <c r="FO881" s="59"/>
      <c r="FP881" s="59"/>
      <c r="FQ881" s="59"/>
      <c r="FR881" s="59"/>
      <c r="FS881" s="59"/>
      <c r="FT881" s="59"/>
      <c r="FU881" s="59"/>
      <c r="FV881" s="59"/>
      <c r="FW881" s="59"/>
      <c r="FX881" s="59"/>
      <c r="FY881" s="59"/>
      <c r="FZ881" s="59"/>
      <c r="GA881" s="59"/>
      <c r="GB881" s="59"/>
      <c r="GC881" s="59"/>
      <c r="GD881" s="59"/>
      <c r="GE881" s="59"/>
      <c r="GF881" s="59"/>
      <c r="GG881" s="59"/>
      <c r="GH881" s="59"/>
      <c r="GI881" s="59"/>
      <c r="GJ881" s="59"/>
      <c r="GK881" s="59"/>
      <c r="GL881" s="59"/>
      <c r="GM881" s="59"/>
      <c r="GN881" s="59"/>
      <c r="GO881" s="59"/>
      <c r="GP881" s="59"/>
      <c r="GQ881" s="59"/>
      <c r="GR881" s="61">
        <v>0.11</v>
      </c>
      <c r="GS881" s="62">
        <f>GR881*(BA881+EU881+EP881+EQ881)</f>
        <v>0.25461157638888887</v>
      </c>
      <c r="GT881" s="64">
        <v>1.2500000000000001E-2</v>
      </c>
      <c r="GU881" s="62">
        <f>GT881*(BA881+EU881+EP881+EQ881)</f>
        <v>2.8933133680555556E-2</v>
      </c>
      <c r="GV881" s="61">
        <v>0.02</v>
      </c>
      <c r="GW881" s="62">
        <f>GV881*EU881</f>
        <v>1.3888888888888888E-2</v>
      </c>
      <c r="GX881" s="62">
        <f>GS881+GU881+GW881</f>
        <v>0.29743359895833332</v>
      </c>
      <c r="GY881" s="59" t="s">
        <v>43</v>
      </c>
      <c r="GZ881" s="59" t="s">
        <v>551</v>
      </c>
      <c r="HA881" s="59">
        <v>650</v>
      </c>
      <c r="HB881" s="59">
        <v>450</v>
      </c>
      <c r="HC881" s="59">
        <v>330</v>
      </c>
      <c r="HD881" s="59">
        <v>500</v>
      </c>
      <c r="HE881" s="59">
        <v>4000</v>
      </c>
      <c r="HF881" s="62">
        <f>ROUNDUP(HE881/HD881,0)</f>
        <v>8</v>
      </c>
      <c r="HG881" s="59">
        <v>5</v>
      </c>
      <c r="HH881" s="62">
        <f>HF881*HG881</f>
        <v>40</v>
      </c>
      <c r="HI881" s="59">
        <v>650</v>
      </c>
      <c r="HJ881" s="62">
        <f>HH881*HI881</f>
        <v>26000</v>
      </c>
      <c r="HK881" s="59"/>
      <c r="HL881" s="59"/>
      <c r="HM881" s="59">
        <v>2</v>
      </c>
      <c r="HN881" s="62">
        <f>HM881*12*25*HE881</f>
        <v>2400000</v>
      </c>
      <c r="HO881" s="62">
        <f>IF(GY881="carton box",HI881/HD881,HJ881/HN881)</f>
        <v>1.0833333333333334E-2</v>
      </c>
      <c r="HP881" s="59">
        <v>160</v>
      </c>
      <c r="HQ881" s="59">
        <v>0</v>
      </c>
      <c r="HR881" s="59">
        <v>0</v>
      </c>
      <c r="HS881" s="59">
        <v>0</v>
      </c>
      <c r="HT881" s="59">
        <v>0</v>
      </c>
      <c r="HU881" s="59"/>
      <c r="HV881" s="62">
        <f>ROUNDUP(HO881+HT881,2)</f>
        <v>0.02</v>
      </c>
      <c r="HW881" s="62"/>
      <c r="HX881" s="59">
        <v>4200</v>
      </c>
      <c r="HY881" s="59">
        <v>1900</v>
      </c>
      <c r="HZ881" s="59">
        <v>1975</v>
      </c>
      <c r="IA881" s="62">
        <f t="shared" si="822"/>
        <v>6</v>
      </c>
      <c r="IB881" s="62">
        <f t="shared" si="822"/>
        <v>4</v>
      </c>
      <c r="IC881" s="62">
        <f t="shared" si="822"/>
        <v>5</v>
      </c>
      <c r="ID881" s="61">
        <v>0.95</v>
      </c>
      <c r="IE881" s="62">
        <f>PRODUCT(IA881:ID881)</f>
        <v>114</v>
      </c>
      <c r="IF881" s="59">
        <v>500</v>
      </c>
      <c r="IG881" s="62">
        <f>ROUNDUP(IF881/(IE881*HD881),2)</f>
        <v>0.01</v>
      </c>
      <c r="IH881" s="62"/>
    </row>
    <row r="882" spans="1:244" ht="30">
      <c r="A882">
        <v>867</v>
      </c>
      <c r="B882" t="s">
        <v>468</v>
      </c>
      <c r="C882" t="s">
        <v>2662</v>
      </c>
      <c r="D882" s="28" t="s">
        <v>1714</v>
      </c>
      <c r="E882" s="28" t="s">
        <v>1715</v>
      </c>
      <c r="F882" s="28" t="s">
        <v>2182</v>
      </c>
      <c r="G882" s="27" t="s">
        <v>108</v>
      </c>
      <c r="I882" s="27" t="s">
        <v>121</v>
      </c>
      <c r="J882" s="28">
        <v>21697</v>
      </c>
      <c r="K882" s="27" t="s">
        <v>227</v>
      </c>
      <c r="L882">
        <v>20089</v>
      </c>
      <c r="M882" t="s">
        <v>121</v>
      </c>
      <c r="Q882" s="13" t="s">
        <v>1039</v>
      </c>
      <c r="R882" s="13" t="s">
        <v>1769</v>
      </c>
      <c r="S882" s="13" t="s">
        <v>2658</v>
      </c>
      <c r="T882" s="13"/>
      <c r="U882" s="13"/>
      <c r="V882" s="72" t="s">
        <v>2486</v>
      </c>
      <c r="W882" s="53" t="s">
        <v>2626</v>
      </c>
      <c r="AA882" t="s">
        <v>2659</v>
      </c>
      <c r="AB882" s="66">
        <v>190.5</v>
      </c>
      <c r="AC882">
        <v>20</v>
      </c>
      <c r="AD882" t="s">
        <v>2660</v>
      </c>
      <c r="AE882" s="7">
        <f>BA882</f>
        <v>1.2515875000000001</v>
      </c>
      <c r="AF882" s="7">
        <f>DT882</f>
        <v>0</v>
      </c>
      <c r="AG882" s="7">
        <f>EU882+EM882+EP882+EQ882</f>
        <v>0.69444444444444442</v>
      </c>
      <c r="AH882" s="7">
        <f>DM882</f>
        <v>0</v>
      </c>
      <c r="AI882" s="7">
        <f>DO882</f>
        <v>0</v>
      </c>
      <c r="AJ882" s="7">
        <f>GW882</f>
        <v>1.3888888888888888E-2</v>
      </c>
      <c r="AK882" s="7">
        <f>GU882</f>
        <v>2.4325399305555558E-2</v>
      </c>
      <c r="AL882" s="7">
        <f>GS882</f>
        <v>0.21406351388888889</v>
      </c>
      <c r="AM882" s="7">
        <f>HV882</f>
        <v>0.02</v>
      </c>
      <c r="AN882" s="7">
        <f>IG882</f>
        <v>0.01</v>
      </c>
      <c r="AO882" s="7"/>
      <c r="AP882" s="7"/>
      <c r="AQ882" s="7">
        <f>SUM(AE882:AP882)</f>
        <v>2.2283097465277777</v>
      </c>
      <c r="AR882" s="7"/>
      <c r="AS882" s="7"/>
      <c r="AT882" s="7"/>
      <c r="AU882" s="7"/>
      <c r="AV882" s="7">
        <f>AQ882+AU882+AT882+AR882</f>
        <v>2.2283097465277777</v>
      </c>
      <c r="AW882" s="59">
        <v>6.6750000000000004E-3</v>
      </c>
      <c r="AX882" s="59">
        <v>5.6750000000000004E-3</v>
      </c>
      <c r="AY882" s="61">
        <v>1</v>
      </c>
      <c r="AZ882" s="69">
        <f>AW882-AX882</f>
        <v>1E-3</v>
      </c>
      <c r="BA882" s="62">
        <f>AW882*AB882-(AZ882*AC882)*AY882</f>
        <v>1.2515875000000001</v>
      </c>
      <c r="BB882" s="62"/>
      <c r="BC882" s="62"/>
      <c r="BD882" s="62"/>
      <c r="BE882" s="62"/>
      <c r="BF882" s="62"/>
      <c r="BG882" s="62"/>
      <c r="BH882" s="62"/>
      <c r="BI882" s="62"/>
      <c r="BJ882" s="62"/>
      <c r="BK882" s="62"/>
      <c r="BL882" s="62"/>
      <c r="BM882" s="62"/>
      <c r="BN882" s="62"/>
      <c r="BO882" s="62"/>
      <c r="BP882" s="62"/>
      <c r="BQ882" s="62"/>
      <c r="BR882" s="62"/>
      <c r="BS882" s="62"/>
      <c r="BT882" s="62"/>
      <c r="BU882" s="62"/>
      <c r="BV882" s="62"/>
      <c r="BW882" s="62"/>
      <c r="BX882" s="62"/>
      <c r="BY882" s="62"/>
      <c r="BZ882" s="62"/>
      <c r="CA882" s="62"/>
      <c r="CB882" s="62"/>
      <c r="CC882" s="62"/>
      <c r="CD882" s="59">
        <v>0</v>
      </c>
      <c r="CE882" s="59">
        <v>0</v>
      </c>
      <c r="CF882" s="59">
        <v>0</v>
      </c>
      <c r="CG882" s="59">
        <v>0</v>
      </c>
      <c r="CH882" s="59">
        <v>0</v>
      </c>
      <c r="CI882" s="59"/>
      <c r="CJ882" s="59"/>
      <c r="CK882" s="59"/>
      <c r="CL882" s="59"/>
      <c r="CM882" s="59"/>
      <c r="CN882" s="59"/>
      <c r="CO882" s="59"/>
      <c r="CP882" s="59"/>
      <c r="CQ882" s="59"/>
      <c r="CR882" s="59"/>
      <c r="CS882" s="59"/>
      <c r="CT882" s="59"/>
      <c r="CU882" s="59"/>
      <c r="CV882" s="59"/>
      <c r="CW882" s="59"/>
      <c r="CX882" s="59"/>
      <c r="CY882" s="59"/>
      <c r="CZ882" s="59"/>
      <c r="DA882" s="59"/>
      <c r="DB882" s="59"/>
      <c r="DC882" s="59"/>
      <c r="DD882" s="59"/>
      <c r="DE882" s="59"/>
      <c r="DF882" s="59"/>
      <c r="DG882" s="59"/>
      <c r="DH882" s="59"/>
      <c r="DI882" s="59"/>
      <c r="DJ882" s="59"/>
      <c r="DK882" s="59"/>
      <c r="DL882" s="59"/>
      <c r="DM882" s="62">
        <f>CH882+CM882+CR882+CW882+DB882+DG882+DK882</f>
        <v>0</v>
      </c>
      <c r="DN882" s="64">
        <v>1.2500000000000001E-2</v>
      </c>
      <c r="DO882" s="62">
        <f>DM882*DN882</f>
        <v>0</v>
      </c>
      <c r="DP882" s="62">
        <f>DM882+DO882</f>
        <v>0</v>
      </c>
      <c r="DQ882" s="59"/>
      <c r="DR882" s="59"/>
      <c r="DS882" s="59"/>
      <c r="DT882" s="59"/>
      <c r="DU882" s="59"/>
      <c r="DV882" s="59"/>
      <c r="DW882" s="59"/>
      <c r="DX882" s="59"/>
      <c r="DY882" s="59"/>
      <c r="DZ882" s="59"/>
      <c r="EA882" s="59"/>
      <c r="EB882" s="59"/>
      <c r="EC882" s="59"/>
      <c r="ED882" s="59"/>
      <c r="EE882" s="59"/>
      <c r="EF882" s="59">
        <v>150</v>
      </c>
      <c r="EG882" s="59">
        <v>1500</v>
      </c>
      <c r="EH882" s="59">
        <v>7.5</v>
      </c>
      <c r="EI882" s="61">
        <v>0.9</v>
      </c>
      <c r="EJ882" s="59">
        <v>4</v>
      </c>
      <c r="EK882" s="59">
        <v>45</v>
      </c>
      <c r="EL882" s="65">
        <f>3600/EK882*EH882*EJ882*EI882</f>
        <v>2160</v>
      </c>
      <c r="EM882" s="59"/>
      <c r="EN882" s="59"/>
      <c r="EO882" s="59"/>
      <c r="EP882" s="59"/>
      <c r="EQ882" s="59"/>
      <c r="ER882" s="59"/>
      <c r="ES882" s="59"/>
      <c r="ET882" s="59"/>
      <c r="EU882" s="62">
        <f>EG882/EL882+FA882</f>
        <v>0.69444444444444442</v>
      </c>
      <c r="EV882" s="59"/>
      <c r="EW882" s="59"/>
      <c r="EX882" s="59"/>
      <c r="EY882" s="59"/>
      <c r="EZ882" s="59"/>
      <c r="FA882" s="59"/>
      <c r="FB882" s="59"/>
      <c r="FC882" s="59"/>
      <c r="FD882" s="59"/>
      <c r="FE882" s="59"/>
      <c r="FF882" s="59"/>
      <c r="FG882" s="59"/>
      <c r="FH882" s="59"/>
      <c r="FI882" s="59"/>
      <c r="FJ882" s="59"/>
      <c r="FK882" s="59"/>
      <c r="FL882" s="59"/>
      <c r="FM882" s="59"/>
      <c r="FN882" s="59"/>
      <c r="FO882" s="59"/>
      <c r="FP882" s="59"/>
      <c r="FQ882" s="59"/>
      <c r="FR882" s="59"/>
      <c r="FS882" s="59"/>
      <c r="FT882" s="59"/>
      <c r="FU882" s="59"/>
      <c r="FV882" s="59"/>
      <c r="FW882" s="59"/>
      <c r="FX882" s="59"/>
      <c r="FY882" s="59"/>
      <c r="FZ882" s="59"/>
      <c r="GA882" s="59"/>
      <c r="GB882" s="59"/>
      <c r="GC882" s="59"/>
      <c r="GD882" s="59"/>
      <c r="GE882" s="59"/>
      <c r="GF882" s="59"/>
      <c r="GG882" s="59"/>
      <c r="GH882" s="59"/>
      <c r="GI882" s="59"/>
      <c r="GJ882" s="59"/>
      <c r="GK882" s="59"/>
      <c r="GL882" s="59"/>
      <c r="GM882" s="59"/>
      <c r="GN882" s="59"/>
      <c r="GO882" s="59"/>
      <c r="GP882" s="59"/>
      <c r="GQ882" s="59"/>
      <c r="GR882" s="61">
        <v>0.11</v>
      </c>
      <c r="GS882" s="62">
        <f>GR882*(BA882+EU882+EP882+EQ882)</f>
        <v>0.21406351388888889</v>
      </c>
      <c r="GT882" s="64">
        <v>1.2500000000000001E-2</v>
      </c>
      <c r="GU882" s="62">
        <f>GT882*(BA882+EU882+EP882+EQ882)</f>
        <v>2.4325399305555558E-2</v>
      </c>
      <c r="GV882" s="61">
        <v>0.02</v>
      </c>
      <c r="GW882" s="62">
        <f>GV882*EU882</f>
        <v>1.3888888888888888E-2</v>
      </c>
      <c r="GX882" s="62">
        <f>GS882+GU882+GW882</f>
        <v>0.25227780208333334</v>
      </c>
      <c r="GY882" s="59" t="s">
        <v>43</v>
      </c>
      <c r="GZ882" s="59" t="s">
        <v>551</v>
      </c>
      <c r="HA882" s="59">
        <v>650</v>
      </c>
      <c r="HB882" s="59">
        <v>450</v>
      </c>
      <c r="HC882" s="59">
        <v>330</v>
      </c>
      <c r="HD882" s="59">
        <v>500</v>
      </c>
      <c r="HE882" s="59">
        <v>4000</v>
      </c>
      <c r="HF882" s="62">
        <f>ROUNDUP(HE882/HD882,0)</f>
        <v>8</v>
      </c>
      <c r="HG882" s="59">
        <v>5</v>
      </c>
      <c r="HH882" s="62">
        <f>HF882*HG882</f>
        <v>40</v>
      </c>
      <c r="HI882" s="59">
        <v>650</v>
      </c>
      <c r="HJ882" s="62">
        <f>HH882*HI882</f>
        <v>26000</v>
      </c>
      <c r="HK882" s="59"/>
      <c r="HL882" s="59"/>
      <c r="HM882" s="59">
        <v>2</v>
      </c>
      <c r="HN882" s="62">
        <f>HM882*12*25*HE882</f>
        <v>2400000</v>
      </c>
      <c r="HO882" s="62">
        <f>IF(GY882="carton box",HI882/HD882,HJ882/HN882)</f>
        <v>1.0833333333333334E-2</v>
      </c>
      <c r="HP882" s="59">
        <v>160</v>
      </c>
      <c r="HQ882" s="59">
        <v>0</v>
      </c>
      <c r="HR882" s="59">
        <v>0</v>
      </c>
      <c r="HS882" s="59">
        <v>0</v>
      </c>
      <c r="HT882" s="59">
        <v>0</v>
      </c>
      <c r="HU882" s="59"/>
      <c r="HV882" s="62">
        <f>ROUNDUP(HO882+HT882,2)</f>
        <v>0.02</v>
      </c>
      <c r="HW882" s="62"/>
      <c r="HX882" s="59">
        <v>4200</v>
      </c>
      <c r="HY882" s="59">
        <v>1900</v>
      </c>
      <c r="HZ882" s="59">
        <v>1975</v>
      </c>
      <c r="IA882" s="62">
        <f t="shared" si="822"/>
        <v>6</v>
      </c>
      <c r="IB882" s="62">
        <f t="shared" si="822"/>
        <v>4</v>
      </c>
      <c r="IC882" s="62">
        <f t="shared" si="822"/>
        <v>5</v>
      </c>
      <c r="ID882" s="61">
        <v>0.95</v>
      </c>
      <c r="IE882" s="62">
        <f>PRODUCT(IA882:ID882)</f>
        <v>114</v>
      </c>
      <c r="IF882" s="59">
        <v>500</v>
      </c>
      <c r="IG882" s="62">
        <f>ROUNDUP(IF882/(IE882*HD882),2)</f>
        <v>0.01</v>
      </c>
      <c r="IH882" s="62"/>
    </row>
    <row r="883" spans="1:244" ht="30">
      <c r="A883">
        <v>868</v>
      </c>
      <c r="B883" t="s">
        <v>468</v>
      </c>
      <c r="C883" t="s">
        <v>2663</v>
      </c>
      <c r="D883" s="28" t="s">
        <v>874</v>
      </c>
      <c r="E883" s="28" t="s">
        <v>875</v>
      </c>
      <c r="F883" s="28" t="s">
        <v>2182</v>
      </c>
      <c r="G883" s="27" t="s">
        <v>108</v>
      </c>
      <c r="I883" s="27" t="s">
        <v>121</v>
      </c>
      <c r="J883" s="28">
        <v>21697</v>
      </c>
      <c r="K883" s="27" t="s">
        <v>227</v>
      </c>
      <c r="Q883" s="13" t="s">
        <v>1768</v>
      </c>
      <c r="R883" s="13" t="s">
        <v>1194</v>
      </c>
      <c r="S883" s="13" t="s">
        <v>2664</v>
      </c>
      <c r="T883" s="13"/>
      <c r="U883" s="13"/>
      <c r="V883" s="72" t="s">
        <v>2486</v>
      </c>
      <c r="W883" s="53" t="s">
        <v>2665</v>
      </c>
      <c r="AA883" t="s">
        <v>2666</v>
      </c>
      <c r="AB883" s="66">
        <v>131.96</v>
      </c>
      <c r="AC883">
        <v>20</v>
      </c>
      <c r="AD883" t="s">
        <v>2667</v>
      </c>
      <c r="AE883" s="7">
        <f>BA883</f>
        <v>3.5948800000000003</v>
      </c>
      <c r="AF883" s="7">
        <f>DT883</f>
        <v>0</v>
      </c>
      <c r="AG883" s="7">
        <f>EU883+EM883+EP883+EQ883</f>
        <v>2.2222222222222223</v>
      </c>
      <c r="AH883" s="7">
        <f>DM883</f>
        <v>0</v>
      </c>
      <c r="AI883" s="7">
        <f>DO883</f>
        <v>0</v>
      </c>
      <c r="AJ883" s="7">
        <f>GW883</f>
        <v>4.4444444444444446E-2</v>
      </c>
      <c r="AK883" s="7">
        <f>GU883</f>
        <v>7.2713777777777794E-2</v>
      </c>
      <c r="AL883" s="7">
        <f>GS883</f>
        <v>0.6398812444444445</v>
      </c>
      <c r="AM883" s="7">
        <f>HV883</f>
        <v>6.0000000000000005E-2</v>
      </c>
      <c r="AN883" s="7">
        <f>IG883</f>
        <v>0.05</v>
      </c>
      <c r="AO883" s="7"/>
      <c r="AP883" s="7"/>
      <c r="AQ883" s="7">
        <f>SUM(AE883:AP883)</f>
        <v>6.6841416888888885</v>
      </c>
      <c r="AR883" s="7"/>
      <c r="AS883" s="7"/>
      <c r="AT883" s="7"/>
      <c r="AU883" s="7">
        <f>6.7-6.68</f>
        <v>2.0000000000000462E-2</v>
      </c>
      <c r="AV883" s="7">
        <f>AQ883+AU883+AT883+AR883</f>
        <v>6.704141688888889</v>
      </c>
      <c r="AW883" s="59">
        <v>2.8000000000000001E-2</v>
      </c>
      <c r="AX883" s="59">
        <v>2.3E-2</v>
      </c>
      <c r="AY883" s="61">
        <v>1</v>
      </c>
      <c r="AZ883" s="69">
        <f>AW883-AX883</f>
        <v>5.000000000000001E-3</v>
      </c>
      <c r="BA883" s="62">
        <f>AW883*AB883-(AZ883*AC883)*AY883</f>
        <v>3.5948800000000003</v>
      </c>
      <c r="BB883" s="62"/>
      <c r="BC883" s="62"/>
      <c r="BD883" s="62"/>
      <c r="BE883" s="62"/>
      <c r="BF883" s="62"/>
      <c r="BG883" s="62"/>
      <c r="BH883" s="62"/>
      <c r="BI883" s="62"/>
      <c r="BJ883" s="62"/>
      <c r="BK883" s="62"/>
      <c r="BL883" s="62"/>
      <c r="BM883" s="62"/>
      <c r="BN883" s="62"/>
      <c r="BO883" s="62"/>
      <c r="BP883" s="62"/>
      <c r="BQ883" s="62"/>
      <c r="BR883" s="62"/>
      <c r="BS883" s="62"/>
      <c r="BT883" s="62"/>
      <c r="BU883" s="62"/>
      <c r="BV883" s="62"/>
      <c r="BW883" s="62"/>
      <c r="BX883" s="62"/>
      <c r="BY883" s="62"/>
      <c r="BZ883" s="62"/>
      <c r="CA883" s="62"/>
      <c r="CB883" s="62"/>
      <c r="CC883" s="62"/>
      <c r="CD883" s="59">
        <v>0</v>
      </c>
      <c r="CE883" s="59">
        <v>0</v>
      </c>
      <c r="CF883" s="59">
        <v>0</v>
      </c>
      <c r="CG883" s="59">
        <v>0</v>
      </c>
      <c r="CH883" s="59">
        <v>0</v>
      </c>
      <c r="CI883" s="59"/>
      <c r="CJ883" s="59"/>
      <c r="CK883" s="59"/>
      <c r="CL883" s="59"/>
      <c r="CM883" s="59"/>
      <c r="CN883" s="59"/>
      <c r="CO883" s="59"/>
      <c r="CP883" s="59"/>
      <c r="CQ883" s="59"/>
      <c r="CR883" s="59"/>
      <c r="CS883" s="59"/>
      <c r="CT883" s="59"/>
      <c r="CU883" s="59"/>
      <c r="CV883" s="59"/>
      <c r="CW883" s="59"/>
      <c r="CX883" s="59"/>
      <c r="CY883" s="59"/>
      <c r="CZ883" s="59"/>
      <c r="DA883" s="59"/>
      <c r="DB883" s="59"/>
      <c r="DC883" s="59"/>
      <c r="DD883" s="59"/>
      <c r="DE883" s="59"/>
      <c r="DF883" s="59"/>
      <c r="DG883" s="59"/>
      <c r="DH883" s="59"/>
      <c r="DI883" s="59"/>
      <c r="DJ883" s="59"/>
      <c r="DK883" s="59"/>
      <c r="DL883" s="59"/>
      <c r="DM883" s="62">
        <f>CH883+CM883+CR883+CW883+DB883+DG883+DK883</f>
        <v>0</v>
      </c>
      <c r="DN883" s="64">
        <v>1.2500000000000001E-2</v>
      </c>
      <c r="DO883" s="62">
        <f>DM883*DN883</f>
        <v>0</v>
      </c>
      <c r="DP883" s="62">
        <f>DM883+DO883</f>
        <v>0</v>
      </c>
      <c r="DQ883" s="59"/>
      <c r="DR883" s="59"/>
      <c r="DS883" s="59"/>
      <c r="DT883" s="59"/>
      <c r="DU883" s="59"/>
      <c r="DV883" s="59"/>
      <c r="DW883" s="59"/>
      <c r="DX883" s="59"/>
      <c r="DY883" s="59"/>
      <c r="DZ883" s="59"/>
      <c r="EA883" s="59"/>
      <c r="EB883" s="59"/>
      <c r="EC883" s="59"/>
      <c r="ED883" s="59"/>
      <c r="EE883" s="59"/>
      <c r="EF883" s="59">
        <v>180</v>
      </c>
      <c r="EG883" s="59">
        <v>1800</v>
      </c>
      <c r="EH883" s="59">
        <v>7.5</v>
      </c>
      <c r="EI883" s="61">
        <v>0.9</v>
      </c>
      <c r="EJ883" s="59">
        <v>2</v>
      </c>
      <c r="EK883" s="59">
        <v>60</v>
      </c>
      <c r="EL883" s="65">
        <f>3600/EK883*EH883*EJ883*EI883</f>
        <v>810</v>
      </c>
      <c r="EM883" s="59"/>
      <c r="EN883" s="59"/>
      <c r="EO883" s="59"/>
      <c r="EP883" s="59"/>
      <c r="EQ883" s="59"/>
      <c r="ER883" s="59"/>
      <c r="ES883" s="59"/>
      <c r="ET883" s="59"/>
      <c r="EU883" s="62">
        <f>EG883/EL883+FA883</f>
        <v>2.2222222222222223</v>
      </c>
      <c r="EV883" s="59"/>
      <c r="EW883" s="59"/>
      <c r="EX883" s="59"/>
      <c r="EY883" s="59"/>
      <c r="EZ883" s="59"/>
      <c r="FA883" s="59"/>
      <c r="FB883" s="59"/>
      <c r="FC883" s="59"/>
      <c r="FD883" s="59"/>
      <c r="FE883" s="59"/>
      <c r="FF883" s="59"/>
      <c r="FG883" s="59"/>
      <c r="FH883" s="59"/>
      <c r="FI883" s="59"/>
      <c r="FJ883" s="59"/>
      <c r="FK883" s="59"/>
      <c r="FL883" s="59"/>
      <c r="FM883" s="59"/>
      <c r="FN883" s="59"/>
      <c r="FO883" s="59"/>
      <c r="FP883" s="59"/>
      <c r="FQ883" s="59"/>
      <c r="FR883" s="59"/>
      <c r="FS883" s="59"/>
      <c r="FT883" s="59"/>
      <c r="FU883" s="59"/>
      <c r="FV883" s="59"/>
      <c r="FW883" s="59"/>
      <c r="FX883" s="59"/>
      <c r="FY883" s="59"/>
      <c r="FZ883" s="59"/>
      <c r="GA883" s="59"/>
      <c r="GB883" s="59"/>
      <c r="GC883" s="59"/>
      <c r="GD883" s="59"/>
      <c r="GE883" s="59"/>
      <c r="GF883" s="59"/>
      <c r="GG883" s="59"/>
      <c r="GH883" s="59"/>
      <c r="GI883" s="59"/>
      <c r="GJ883" s="59"/>
      <c r="GK883" s="59"/>
      <c r="GL883" s="59"/>
      <c r="GM883" s="59"/>
      <c r="GN883" s="59"/>
      <c r="GO883" s="59"/>
      <c r="GP883" s="59"/>
      <c r="GQ883" s="59"/>
      <c r="GR883" s="61">
        <v>0.11</v>
      </c>
      <c r="GS883" s="62">
        <f>GR883*(BA883+EU883+EP883+EQ883)</f>
        <v>0.6398812444444445</v>
      </c>
      <c r="GT883" s="64">
        <v>1.2500000000000001E-2</v>
      </c>
      <c r="GU883" s="62">
        <f>GT883*(BA883+EU883+EP883+EQ883)</f>
        <v>7.2713777777777794E-2</v>
      </c>
      <c r="GV883" s="61">
        <v>0.02</v>
      </c>
      <c r="GW883" s="62">
        <f>GV883*EU883</f>
        <v>4.4444444444444446E-2</v>
      </c>
      <c r="GX883" s="62">
        <f>GS883+GU883+GW883</f>
        <v>0.75703946666666666</v>
      </c>
      <c r="GY883" s="59" t="s">
        <v>43</v>
      </c>
      <c r="GZ883" s="59" t="s">
        <v>551</v>
      </c>
      <c r="HA883" s="59">
        <v>650</v>
      </c>
      <c r="HB883" s="59">
        <v>450</v>
      </c>
      <c r="HC883" s="59">
        <v>330</v>
      </c>
      <c r="HD883" s="59">
        <v>100</v>
      </c>
      <c r="HE883" s="59">
        <v>1000</v>
      </c>
      <c r="HF883" s="62">
        <f>ROUNDUP(HE883/HD883,0)</f>
        <v>10</v>
      </c>
      <c r="HG883" s="59">
        <v>5</v>
      </c>
      <c r="HH883" s="62">
        <f>HF883*HG883</f>
        <v>50</v>
      </c>
      <c r="HI883" s="59">
        <v>650</v>
      </c>
      <c r="HJ883" s="62">
        <f>HH883*HI883</f>
        <v>32500</v>
      </c>
      <c r="HK883" s="59"/>
      <c r="HL883" s="59"/>
      <c r="HM883" s="59">
        <v>2</v>
      </c>
      <c r="HN883" s="62">
        <f>HM883*12*25*HE883</f>
        <v>600000</v>
      </c>
      <c r="HO883" s="62">
        <f>IF(GY883="carton box",HI883/HD883,HJ883/HN883)</f>
        <v>5.4166666666666669E-2</v>
      </c>
      <c r="HP883" s="59">
        <v>160</v>
      </c>
      <c r="HQ883" s="59">
        <v>0</v>
      </c>
      <c r="HR883" s="59">
        <v>0</v>
      </c>
      <c r="HS883" s="59">
        <v>0</v>
      </c>
      <c r="HT883" s="59">
        <v>0</v>
      </c>
      <c r="HU883" s="59"/>
      <c r="HV883" s="62">
        <f>ROUNDUP(HO883+HT883,2)</f>
        <v>6.0000000000000005E-2</v>
      </c>
      <c r="HW883" s="62"/>
      <c r="HX883" s="59">
        <v>4200</v>
      </c>
      <c r="HY883" s="59">
        <v>1900</v>
      </c>
      <c r="HZ883" s="59">
        <v>1975</v>
      </c>
      <c r="IA883" s="62">
        <f t="shared" si="822"/>
        <v>6</v>
      </c>
      <c r="IB883" s="62">
        <f t="shared" si="822"/>
        <v>4</v>
      </c>
      <c r="IC883" s="62">
        <f t="shared" si="822"/>
        <v>5</v>
      </c>
      <c r="ID883" s="61">
        <v>0.95</v>
      </c>
      <c r="IE883" s="62">
        <f>PRODUCT(IA883:ID883)</f>
        <v>114</v>
      </c>
      <c r="IF883" s="59">
        <v>500</v>
      </c>
      <c r="IG883" s="62">
        <f>ROUNDUP(IF883/(IE883*HD883),2)</f>
        <v>0.05</v>
      </c>
      <c r="IH883" s="62"/>
    </row>
    <row r="884" spans="1:244">
      <c r="A884">
        <v>869</v>
      </c>
      <c r="C884" t="s">
        <v>567</v>
      </c>
      <c r="D884" s="28" t="s">
        <v>874</v>
      </c>
      <c r="E884" s="28" t="s">
        <v>875</v>
      </c>
      <c r="F884" s="28" t="s">
        <v>2444</v>
      </c>
      <c r="G884" s="27" t="s">
        <v>108</v>
      </c>
      <c r="I884" s="27" t="s">
        <v>94</v>
      </c>
      <c r="J884" s="28">
        <v>21591</v>
      </c>
      <c r="K884" s="27" t="s">
        <v>97</v>
      </c>
      <c r="N884" s="13" t="s">
        <v>1835</v>
      </c>
      <c r="O884" s="13" t="s">
        <v>2603</v>
      </c>
      <c r="P884" s="13" t="s">
        <v>2673</v>
      </c>
      <c r="S884" s="13"/>
      <c r="T884" s="13"/>
      <c r="U884" s="13"/>
      <c r="W884" s="53"/>
    </row>
    <row r="885" spans="1:244" ht="30">
      <c r="A885">
        <v>870</v>
      </c>
      <c r="C885" t="s">
        <v>567</v>
      </c>
      <c r="D885" s="28" t="s">
        <v>874</v>
      </c>
      <c r="E885" s="28" t="s">
        <v>875</v>
      </c>
      <c r="F885" s="28" t="s">
        <v>2444</v>
      </c>
      <c r="G885" s="27" t="s">
        <v>108</v>
      </c>
      <c r="I885" s="27" t="s">
        <v>94</v>
      </c>
      <c r="J885" s="28">
        <v>21697</v>
      </c>
      <c r="K885" s="27" t="s">
        <v>227</v>
      </c>
      <c r="N885" s="13" t="s">
        <v>2677</v>
      </c>
      <c r="O885" s="13" t="s">
        <v>2603</v>
      </c>
      <c r="P885" s="13" t="s">
        <v>2678</v>
      </c>
      <c r="V885" s="72" t="s">
        <v>2486</v>
      </c>
      <c r="W885" s="53" t="s">
        <v>2674</v>
      </c>
    </row>
    <row r="886" spans="1:244" ht="30">
      <c r="A886">
        <v>871</v>
      </c>
      <c r="C886" t="s">
        <v>567</v>
      </c>
      <c r="D886" s="28" t="s">
        <v>874</v>
      </c>
      <c r="E886" s="28" t="s">
        <v>875</v>
      </c>
      <c r="F886" s="28" t="s">
        <v>2444</v>
      </c>
      <c r="G886" s="27" t="s">
        <v>108</v>
      </c>
      <c r="I886" s="27" t="s">
        <v>226</v>
      </c>
      <c r="J886" s="28">
        <v>21590</v>
      </c>
      <c r="K886" s="27" t="s">
        <v>397</v>
      </c>
      <c r="N886" s="13" t="s">
        <v>2675</v>
      </c>
      <c r="O886" s="13" t="s">
        <v>1791</v>
      </c>
      <c r="P886" s="13" t="s">
        <v>2676</v>
      </c>
      <c r="S886" s="13"/>
      <c r="T886" s="13"/>
      <c r="U886" s="13"/>
      <c r="V886" s="72" t="s">
        <v>2486</v>
      </c>
      <c r="W886" s="53" t="s">
        <v>439</v>
      </c>
    </row>
    <row r="887" spans="1:244">
      <c r="A887">
        <v>872</v>
      </c>
      <c r="B887" s="301" t="s">
        <v>1947</v>
      </c>
      <c r="D887" s="28" t="s">
        <v>1716</v>
      </c>
      <c r="E887" s="28" t="s">
        <v>1717</v>
      </c>
      <c r="F887" s="28" t="s">
        <v>1947</v>
      </c>
      <c r="G887" s="27" t="s">
        <v>108</v>
      </c>
      <c r="I887" s="27" t="s">
        <v>121</v>
      </c>
      <c r="J887" s="28">
        <v>21697</v>
      </c>
      <c r="K887" s="27" t="s">
        <v>227</v>
      </c>
    </row>
    <row r="888" spans="1:244" ht="45">
      <c r="A888">
        <v>873</v>
      </c>
      <c r="B888" t="s">
        <v>468</v>
      </c>
      <c r="C888" t="s">
        <v>2679</v>
      </c>
      <c r="D888" s="28" t="s">
        <v>876</v>
      </c>
      <c r="E888" s="28" t="s">
        <v>84</v>
      </c>
      <c r="F888" s="28" t="s">
        <v>2182</v>
      </c>
      <c r="G888" s="27" t="s">
        <v>108</v>
      </c>
      <c r="I888" s="27" t="s">
        <v>121</v>
      </c>
      <c r="J888" s="28">
        <v>21697</v>
      </c>
      <c r="K888" s="27" t="s">
        <v>227</v>
      </c>
      <c r="L888">
        <v>20089</v>
      </c>
      <c r="M888" t="s">
        <v>121</v>
      </c>
      <c r="Q888" s="13" t="s">
        <v>1786</v>
      </c>
      <c r="R888" s="13" t="s">
        <v>1769</v>
      </c>
      <c r="S888" s="13" t="s">
        <v>2680</v>
      </c>
      <c r="T888" s="13"/>
      <c r="U888" s="13"/>
      <c r="V888" s="72" t="s">
        <v>2486</v>
      </c>
      <c r="W888" s="53" t="s">
        <v>2681</v>
      </c>
      <c r="AA888" t="s">
        <v>2682</v>
      </c>
      <c r="AB888" s="66">
        <v>118.25</v>
      </c>
      <c r="AC888">
        <v>20</v>
      </c>
      <c r="AD888" t="s">
        <v>2620</v>
      </c>
      <c r="AE888" s="7">
        <f>BA888</f>
        <v>9.1549150000000008</v>
      </c>
      <c r="AF888" s="7">
        <f>DT888</f>
        <v>0</v>
      </c>
      <c r="AG888" s="7">
        <f>EU888+EM888+EP888+EQ888</f>
        <v>1.4711934156378601</v>
      </c>
      <c r="AH888" s="7">
        <f>DM888</f>
        <v>10.5</v>
      </c>
      <c r="AI888" s="7">
        <f>DO888</f>
        <v>0.13125000000000001</v>
      </c>
      <c r="AJ888" s="7">
        <f>GW888</f>
        <v>0.03</v>
      </c>
      <c r="AK888" s="7">
        <f>GU888</f>
        <v>0.13282635519547326</v>
      </c>
      <c r="AL888" s="7">
        <f>GS888</f>
        <v>1.17</v>
      </c>
      <c r="AM888" s="7">
        <f>HV888</f>
        <v>5.1458333333333335E-2</v>
      </c>
      <c r="AN888" s="7">
        <f>IG888</f>
        <v>0.05</v>
      </c>
      <c r="AO888" s="7"/>
      <c r="AP888" s="7"/>
      <c r="AQ888" s="7">
        <f>SUM(AE888:AP888)</f>
        <v>22.691643104166666</v>
      </c>
      <c r="AR888" s="7"/>
      <c r="AS888" s="7"/>
      <c r="AT888" s="7"/>
      <c r="AU888" s="7">
        <f>22.83-22.69</f>
        <v>0.13999999999999702</v>
      </c>
      <c r="AV888" s="7">
        <f>AQ888+AU888+AT888+AR888</f>
        <v>22.831643104166663</v>
      </c>
      <c r="AW888" s="59">
        <v>7.7420000000000003E-2</v>
      </c>
      <c r="AX888" s="59">
        <v>7.7420000000000003E-2</v>
      </c>
      <c r="AY888" s="61">
        <v>1</v>
      </c>
      <c r="AZ888" s="69">
        <f>AW888-AX888</f>
        <v>0</v>
      </c>
      <c r="BA888" s="62">
        <f>AW888*AB888-(AZ888*AC888)*AY888</f>
        <v>9.1549150000000008</v>
      </c>
      <c r="BB888" s="62"/>
      <c r="BC888" s="62"/>
      <c r="BD888" s="62"/>
      <c r="BE888" s="62"/>
      <c r="BF888" s="62"/>
      <c r="BG888" s="62"/>
      <c r="BH888" s="62"/>
      <c r="BI888" s="62"/>
      <c r="BJ888" s="62"/>
      <c r="BK888" s="62"/>
      <c r="BL888" s="62"/>
      <c r="BM888" s="62"/>
      <c r="BN888" s="62"/>
      <c r="BO888" s="62"/>
      <c r="BP888" s="62"/>
      <c r="BQ888" s="62"/>
      <c r="BR888" s="62"/>
      <c r="BS888" s="62"/>
      <c r="BT888" s="62"/>
      <c r="BU888" s="62"/>
      <c r="BV888" s="62"/>
      <c r="BW888" s="62"/>
      <c r="BX888" s="62"/>
      <c r="BY888" s="62"/>
      <c r="BZ888" s="62"/>
      <c r="CA888" s="62"/>
      <c r="CB888" s="62"/>
      <c r="CC888" s="62"/>
      <c r="CD888" s="59">
        <v>0</v>
      </c>
      <c r="CE888" s="59">
        <v>0</v>
      </c>
      <c r="CF888" s="59">
        <v>3</v>
      </c>
      <c r="CG888" s="59">
        <v>3.5</v>
      </c>
      <c r="CH888" s="62">
        <f>CF888*CG888</f>
        <v>10.5</v>
      </c>
      <c r="CI888" s="59"/>
      <c r="CJ888" s="59"/>
      <c r="CK888" s="59"/>
      <c r="CL888" s="59"/>
      <c r="CM888" s="59"/>
      <c r="CN888" s="59"/>
      <c r="CO888" s="59"/>
      <c r="CP888" s="59"/>
      <c r="CQ888" s="59"/>
      <c r="CR888" s="59"/>
      <c r="CS888" s="59"/>
      <c r="CT888" s="59"/>
      <c r="CU888" s="59"/>
      <c r="CV888" s="59"/>
      <c r="CW888" s="59"/>
      <c r="CX888" s="59"/>
      <c r="CY888" s="59"/>
      <c r="CZ888" s="59"/>
      <c r="DA888" s="59"/>
      <c r="DB888" s="59"/>
      <c r="DC888" s="59"/>
      <c r="DD888" s="59"/>
      <c r="DE888" s="59"/>
      <c r="DF888" s="59"/>
      <c r="DG888" s="59"/>
      <c r="DH888" s="59"/>
      <c r="DI888" s="59"/>
      <c r="DJ888" s="59"/>
      <c r="DK888" s="59"/>
      <c r="DL888" s="59"/>
      <c r="DM888" s="62">
        <f>CH888+CM888+CR888+CW888+DB888+DG888+DK888</f>
        <v>10.5</v>
      </c>
      <c r="DN888" s="64">
        <v>1.2500000000000001E-2</v>
      </c>
      <c r="DO888" s="62">
        <f>DM888*DN888</f>
        <v>0.13125000000000001</v>
      </c>
      <c r="DP888" s="62">
        <f>DM888+DO888</f>
        <v>10.63125</v>
      </c>
      <c r="DQ888" s="59"/>
      <c r="DR888" s="59"/>
      <c r="DS888" s="59"/>
      <c r="DT888" s="59"/>
      <c r="DU888" s="59"/>
      <c r="DV888" s="59"/>
      <c r="DW888" s="59"/>
      <c r="DX888" s="59"/>
      <c r="DY888" s="59"/>
      <c r="DZ888" s="59"/>
      <c r="EA888" s="59"/>
      <c r="EB888" s="59"/>
      <c r="EC888" s="59"/>
      <c r="ED888" s="59"/>
      <c r="EE888" s="59"/>
      <c r="EF888" s="59">
        <v>220</v>
      </c>
      <c r="EG888" s="59">
        <v>2200</v>
      </c>
      <c r="EH888" s="59">
        <v>7.5</v>
      </c>
      <c r="EI888" s="61">
        <v>0.9</v>
      </c>
      <c r="EJ888" s="59">
        <v>4</v>
      </c>
      <c r="EK888" s="59">
        <v>65</v>
      </c>
      <c r="EL888" s="65">
        <f>3600/EK888*EH888*EJ888*EI888</f>
        <v>1495.3846153846155</v>
      </c>
      <c r="EM888" s="59"/>
      <c r="EN888" s="59"/>
      <c r="EO888" s="59"/>
      <c r="EP888" s="59"/>
      <c r="EQ888" s="59"/>
      <c r="ER888" s="59"/>
      <c r="ES888" s="59"/>
      <c r="ET888" s="59"/>
      <c r="EU888" s="62">
        <f>EG888/EL888+FA888</f>
        <v>1.4711934156378601</v>
      </c>
      <c r="EV888" s="59"/>
      <c r="EW888" s="59"/>
      <c r="EX888" s="59"/>
      <c r="EY888" s="59"/>
      <c r="EZ888" s="59"/>
      <c r="FA888" s="59"/>
      <c r="FB888" s="59"/>
      <c r="FC888" s="59"/>
      <c r="FD888" s="59"/>
      <c r="FE888" s="59"/>
      <c r="FF888" s="59"/>
      <c r="FG888" s="59"/>
      <c r="FH888" s="59"/>
      <c r="FI888" s="59"/>
      <c r="FJ888" s="59"/>
      <c r="FK888" s="59"/>
      <c r="FL888" s="59"/>
      <c r="FM888" s="59"/>
      <c r="FN888" s="59"/>
      <c r="FO888" s="59"/>
      <c r="FP888" s="59"/>
      <c r="FQ888" s="59"/>
      <c r="FR888" s="59"/>
      <c r="FS888" s="59"/>
      <c r="FT888" s="59"/>
      <c r="FU888" s="59"/>
      <c r="FV888" s="59"/>
      <c r="FW888" s="59"/>
      <c r="FX888" s="59"/>
      <c r="FY888" s="59"/>
      <c r="FZ888" s="59"/>
      <c r="GA888" s="59"/>
      <c r="GB888" s="59"/>
      <c r="GC888" s="59"/>
      <c r="GD888" s="59"/>
      <c r="GE888" s="59"/>
      <c r="GF888" s="59"/>
      <c r="GG888" s="59"/>
      <c r="GH888" s="59"/>
      <c r="GI888" s="59"/>
      <c r="GJ888" s="59"/>
      <c r="GK888" s="59"/>
      <c r="GL888" s="59"/>
      <c r="GM888" s="59"/>
      <c r="GN888" s="59"/>
      <c r="GO888" s="59"/>
      <c r="GP888" s="59"/>
      <c r="GQ888" s="59"/>
      <c r="GR888" s="61">
        <v>0.11</v>
      </c>
      <c r="GS888" s="62">
        <f>ROUNDUP(GR888*(BA888+EU888),2)</f>
        <v>1.17</v>
      </c>
      <c r="GT888" s="64">
        <v>1.2500000000000001E-2</v>
      </c>
      <c r="GU888" s="62">
        <f>GT888*(BA888+EU888+EP888+EQ888)</f>
        <v>0.13282635519547326</v>
      </c>
      <c r="GV888" s="61">
        <v>0.02</v>
      </c>
      <c r="GW888" s="62">
        <f>ROUNDUP(GV888*EU888,2)</f>
        <v>0.03</v>
      </c>
      <c r="GX888" s="62">
        <f>GS888+GU888+GW888</f>
        <v>1.3328263551954731</v>
      </c>
      <c r="GY888" s="59" t="s">
        <v>43</v>
      </c>
      <c r="GZ888" s="59" t="s">
        <v>551</v>
      </c>
      <c r="HA888" s="59">
        <v>650</v>
      </c>
      <c r="HB888" s="59">
        <v>450</v>
      </c>
      <c r="HC888" s="59">
        <v>330</v>
      </c>
      <c r="HD888" s="59">
        <v>108</v>
      </c>
      <c r="HE888" s="59">
        <v>2000</v>
      </c>
      <c r="HF888" s="62">
        <f>ROUNDUP(HE888/HD888,0)</f>
        <v>19</v>
      </c>
      <c r="HG888" s="59">
        <v>5</v>
      </c>
      <c r="HH888" s="62">
        <f>HF888*HG888</f>
        <v>95</v>
      </c>
      <c r="HI888" s="59">
        <v>650</v>
      </c>
      <c r="HJ888" s="62">
        <f>HH888*HI888</f>
        <v>61750</v>
      </c>
      <c r="HK888" s="59"/>
      <c r="HL888" s="59"/>
      <c r="HM888" s="59">
        <v>2</v>
      </c>
      <c r="HN888" s="62">
        <f>HM888*12*25*HE888</f>
        <v>1200000</v>
      </c>
      <c r="HO888" s="62">
        <f>IF(GY888="carton box",HI888/HD888,HJ888/HN888)</f>
        <v>5.1458333333333335E-2</v>
      </c>
      <c r="HP888" s="59">
        <v>160</v>
      </c>
      <c r="HQ888" s="59">
        <v>0</v>
      </c>
      <c r="HR888" s="59">
        <v>0</v>
      </c>
      <c r="HS888" s="59">
        <v>0</v>
      </c>
      <c r="HT888" s="59">
        <v>0</v>
      </c>
      <c r="HU888" s="59"/>
      <c r="HV888" s="62">
        <f>HO888+HT888</f>
        <v>5.1458333333333335E-2</v>
      </c>
      <c r="HW888" s="62"/>
      <c r="HX888" s="59">
        <v>4200</v>
      </c>
      <c r="HY888" s="59">
        <v>1900</v>
      </c>
      <c r="HZ888" s="59">
        <v>1975</v>
      </c>
      <c r="IA888" s="62">
        <f t="shared" ref="IA888:IC891" si="823">ROUNDDOWN(HX888/HA888,0)</f>
        <v>6</v>
      </c>
      <c r="IB888" s="62">
        <f t="shared" si="823"/>
        <v>4</v>
      </c>
      <c r="IC888" s="62">
        <f t="shared" si="823"/>
        <v>5</v>
      </c>
      <c r="ID888" s="61">
        <v>0.95</v>
      </c>
      <c r="IE888" s="62">
        <f>PRODUCT(IA888:ID888)</f>
        <v>114</v>
      </c>
      <c r="IF888" s="59">
        <v>500</v>
      </c>
      <c r="IG888" s="62">
        <f>ROUNDUP(IF888/(IE888*HD888),2)</f>
        <v>0.05</v>
      </c>
      <c r="IH888" s="62"/>
    </row>
    <row r="889" spans="1:244" ht="30">
      <c r="A889">
        <v>874</v>
      </c>
      <c r="B889" t="s">
        <v>468</v>
      </c>
      <c r="C889" t="s">
        <v>2683</v>
      </c>
      <c r="D889" s="28" t="s">
        <v>876</v>
      </c>
      <c r="E889" s="28" t="s">
        <v>84</v>
      </c>
      <c r="F889" s="28" t="s">
        <v>2182</v>
      </c>
      <c r="G889" s="27" t="s">
        <v>108</v>
      </c>
      <c r="I889" s="27" t="s">
        <v>226</v>
      </c>
      <c r="J889" s="28">
        <v>21691</v>
      </c>
      <c r="K889" s="27" t="s">
        <v>404</v>
      </c>
      <c r="L889">
        <v>21401</v>
      </c>
      <c r="M889" t="s">
        <v>226</v>
      </c>
      <c r="Q889" s="13" t="s">
        <v>1786</v>
      </c>
      <c r="R889" s="13" t="s">
        <v>1769</v>
      </c>
      <c r="S889" s="13" t="s">
        <v>2684</v>
      </c>
      <c r="T889" s="13"/>
      <c r="U889" s="13"/>
      <c r="V889" s="72" t="s">
        <v>2486</v>
      </c>
      <c r="W889" s="53" t="s">
        <v>2685</v>
      </c>
      <c r="AA889" t="s">
        <v>2686</v>
      </c>
      <c r="AB889" s="66">
        <v>118.25</v>
      </c>
      <c r="AC889">
        <v>20</v>
      </c>
      <c r="AD889" t="s">
        <v>2687</v>
      </c>
      <c r="AE889" s="7">
        <f>BA889</f>
        <v>9.1549150000000008</v>
      </c>
      <c r="AF889" s="7">
        <f>DT889</f>
        <v>0</v>
      </c>
      <c r="AG889" s="7">
        <f>EU889+EM889+EP889+EQ889</f>
        <v>1.2061403508771931</v>
      </c>
      <c r="AH889" s="7">
        <f>DM889</f>
        <v>10.5</v>
      </c>
      <c r="AI889" s="7">
        <f>DO889</f>
        <v>0.13125000000000001</v>
      </c>
      <c r="AJ889" s="7">
        <f>GW889</f>
        <v>2.4122807017543862E-2</v>
      </c>
      <c r="AK889" s="7">
        <f>GU889</f>
        <v>0.12951319188596494</v>
      </c>
      <c r="AL889" s="7">
        <f>GS889</f>
        <v>1.1397160885964914</v>
      </c>
      <c r="AM889" s="7">
        <f>HV889</f>
        <v>5.1458333333333335E-2</v>
      </c>
      <c r="AN889" s="7">
        <f>IG889</f>
        <v>3.5612535612535613E-2</v>
      </c>
      <c r="AO889" s="7"/>
      <c r="AP889" s="7"/>
      <c r="AQ889" s="7">
        <f>SUM(AE889:AP889)</f>
        <v>22.372728307323065</v>
      </c>
      <c r="AR889" s="7"/>
      <c r="AS889" s="7"/>
      <c r="AT889" s="7"/>
      <c r="AU889" s="7"/>
      <c r="AV889" s="7">
        <f>AQ889+AU889+AT889+AR889</f>
        <v>22.372728307323065</v>
      </c>
      <c r="AW889" s="59">
        <v>7.7420000000000003E-2</v>
      </c>
      <c r="AX889" s="59">
        <v>7.7420000000000003E-2</v>
      </c>
      <c r="AY889" s="61">
        <v>1</v>
      </c>
      <c r="AZ889" s="69">
        <f>AW889-AX889</f>
        <v>0</v>
      </c>
      <c r="BA889" s="62">
        <f>AW889*AB889-(AZ889*AC889)*AY889</f>
        <v>9.1549150000000008</v>
      </c>
      <c r="BB889" s="62"/>
      <c r="BC889" s="62"/>
      <c r="BD889" s="62"/>
      <c r="BE889" s="62"/>
      <c r="BF889" s="62"/>
      <c r="BG889" s="62"/>
      <c r="BH889" s="62"/>
      <c r="BI889" s="62"/>
      <c r="BJ889" s="62"/>
      <c r="BK889" s="62"/>
      <c r="BL889" s="62"/>
      <c r="BM889" s="62"/>
      <c r="BN889" s="62"/>
      <c r="BO889" s="62"/>
      <c r="BP889" s="62"/>
      <c r="BQ889" s="62"/>
      <c r="BR889" s="62"/>
      <c r="BS889" s="62"/>
      <c r="BT889" s="62"/>
      <c r="BU889" s="62"/>
      <c r="BV889" s="62"/>
      <c r="BW889" s="62"/>
      <c r="BX889" s="62"/>
      <c r="BY889" s="62"/>
      <c r="BZ889" s="62"/>
      <c r="CA889" s="62"/>
      <c r="CB889" s="62"/>
      <c r="CC889" s="62"/>
      <c r="CD889" s="59">
        <v>0</v>
      </c>
      <c r="CE889" s="59">
        <v>0</v>
      </c>
      <c r="CF889" s="59">
        <v>3</v>
      </c>
      <c r="CG889" s="59">
        <v>3.5</v>
      </c>
      <c r="CH889" s="62">
        <f>CF889*CG889</f>
        <v>10.5</v>
      </c>
      <c r="CI889" s="59"/>
      <c r="CJ889" s="59"/>
      <c r="CK889" s="59"/>
      <c r="CL889" s="59"/>
      <c r="CM889" s="59"/>
      <c r="CN889" s="59"/>
      <c r="CO889" s="59"/>
      <c r="CP889" s="59"/>
      <c r="CQ889" s="59"/>
      <c r="CR889" s="59"/>
      <c r="CS889" s="59"/>
      <c r="CT889" s="59"/>
      <c r="CU889" s="59"/>
      <c r="CV889" s="59"/>
      <c r="CW889" s="59"/>
      <c r="CX889" s="59"/>
      <c r="CY889" s="59"/>
      <c r="CZ889" s="59"/>
      <c r="DA889" s="59"/>
      <c r="DB889" s="59"/>
      <c r="DC889" s="59"/>
      <c r="DD889" s="59"/>
      <c r="DE889" s="59"/>
      <c r="DF889" s="59"/>
      <c r="DG889" s="59"/>
      <c r="DH889" s="59"/>
      <c r="DI889" s="59"/>
      <c r="DJ889" s="59"/>
      <c r="DK889" s="59"/>
      <c r="DL889" s="59"/>
      <c r="DM889" s="62">
        <f>CH889+CM889+CR889+CW889+DB889+DG889+DK889</f>
        <v>10.5</v>
      </c>
      <c r="DN889" s="64">
        <v>1.2500000000000001E-2</v>
      </c>
      <c r="DO889" s="62">
        <f>DM889*DN889</f>
        <v>0.13125000000000001</v>
      </c>
      <c r="DP889" s="62">
        <f>DM889+DO889</f>
        <v>10.63125</v>
      </c>
      <c r="DQ889" s="59"/>
      <c r="DR889" s="59"/>
      <c r="DS889" s="59"/>
      <c r="DT889" s="59"/>
      <c r="DU889" s="59"/>
      <c r="DV889" s="59"/>
      <c r="DW889" s="59"/>
      <c r="DX889" s="59"/>
      <c r="DY889" s="59"/>
      <c r="DZ889" s="59"/>
      <c r="EA889" s="59"/>
      <c r="EB889" s="59"/>
      <c r="EC889" s="59"/>
      <c r="ED889" s="59"/>
      <c r="EE889" s="59"/>
      <c r="EF889" s="59">
        <v>220</v>
      </c>
      <c r="EG889" s="59">
        <v>2200</v>
      </c>
      <c r="EH889" s="59">
        <v>8</v>
      </c>
      <c r="EI889" s="61">
        <v>0.95</v>
      </c>
      <c r="EJ889" s="59">
        <v>4</v>
      </c>
      <c r="EK889" s="59">
        <v>60</v>
      </c>
      <c r="EL889" s="65">
        <f>3600/EK889*EH889*EJ889*EI889</f>
        <v>1824</v>
      </c>
      <c r="EM889" s="59"/>
      <c r="EN889" s="59"/>
      <c r="EO889" s="59"/>
      <c r="EP889" s="59"/>
      <c r="EQ889" s="59"/>
      <c r="ER889" s="59"/>
      <c r="ES889" s="59"/>
      <c r="ET889" s="59"/>
      <c r="EU889" s="62">
        <f>EG889/EL889+FA889</f>
        <v>1.2061403508771931</v>
      </c>
      <c r="EV889" s="59"/>
      <c r="EW889" s="59"/>
      <c r="EX889" s="59"/>
      <c r="EY889" s="59"/>
      <c r="EZ889" s="59"/>
      <c r="FA889" s="59"/>
      <c r="FB889" s="59"/>
      <c r="FC889" s="59"/>
      <c r="FD889" s="59"/>
      <c r="FE889" s="59"/>
      <c r="FF889" s="59"/>
      <c r="FG889" s="59"/>
      <c r="FH889" s="59"/>
      <c r="FI889" s="59"/>
      <c r="FJ889" s="59"/>
      <c r="FK889" s="59"/>
      <c r="FL889" s="59"/>
      <c r="FM889" s="59"/>
      <c r="FN889" s="59"/>
      <c r="FO889" s="59"/>
      <c r="FP889" s="59"/>
      <c r="FQ889" s="59"/>
      <c r="FR889" s="59"/>
      <c r="FS889" s="59"/>
      <c r="FT889" s="59"/>
      <c r="FU889" s="59"/>
      <c r="FV889" s="59"/>
      <c r="FW889" s="59"/>
      <c r="FX889" s="59"/>
      <c r="FY889" s="59"/>
      <c r="FZ889" s="59"/>
      <c r="GA889" s="59"/>
      <c r="GB889" s="59"/>
      <c r="GC889" s="59"/>
      <c r="GD889" s="59"/>
      <c r="GE889" s="59"/>
      <c r="GF889" s="59"/>
      <c r="GG889" s="59"/>
      <c r="GH889" s="59"/>
      <c r="GI889" s="59"/>
      <c r="GJ889" s="59"/>
      <c r="GK889" s="59"/>
      <c r="GL889" s="59"/>
      <c r="GM889" s="59"/>
      <c r="GN889" s="59"/>
      <c r="GO889" s="59"/>
      <c r="GP889" s="59"/>
      <c r="GQ889" s="59"/>
      <c r="GR889" s="61">
        <v>0.11</v>
      </c>
      <c r="GS889" s="62">
        <f>GR889*(BA889+EU889+EP889+EQ889)</f>
        <v>1.1397160885964914</v>
      </c>
      <c r="GT889" s="64">
        <v>1.2500000000000001E-2</v>
      </c>
      <c r="GU889" s="62">
        <f>GT889*(BA889+EU889+EP889+EQ889)</f>
        <v>0.12951319188596494</v>
      </c>
      <c r="GV889" s="61">
        <v>0.02</v>
      </c>
      <c r="GW889" s="62">
        <f>GV889*EU889</f>
        <v>2.4122807017543862E-2</v>
      </c>
      <c r="GX889" s="62">
        <f>GS889+GU889+GW889</f>
        <v>1.2933520875000002</v>
      </c>
      <c r="GY889" s="59" t="s">
        <v>43</v>
      </c>
      <c r="GZ889" s="59" t="s">
        <v>551</v>
      </c>
      <c r="HA889" s="59">
        <v>650</v>
      </c>
      <c r="HB889" s="59">
        <v>450</v>
      </c>
      <c r="HC889" s="59">
        <v>300</v>
      </c>
      <c r="HD889" s="59">
        <v>108</v>
      </c>
      <c r="HE889" s="59">
        <v>2000</v>
      </c>
      <c r="HF889" s="62">
        <f>ROUNDUP(HE889/HD889,0)</f>
        <v>19</v>
      </c>
      <c r="HG889" s="59">
        <v>5</v>
      </c>
      <c r="HH889" s="62">
        <f>HF889*HG889</f>
        <v>95</v>
      </c>
      <c r="HI889" s="59">
        <v>650</v>
      </c>
      <c r="HJ889" s="62">
        <f>HH889*HI889</f>
        <v>61750</v>
      </c>
      <c r="HK889" s="59"/>
      <c r="HL889" s="59"/>
      <c r="HM889" s="59">
        <v>2</v>
      </c>
      <c r="HN889" s="62">
        <f>HM889*12*25*HE889</f>
        <v>1200000</v>
      </c>
      <c r="HO889" s="62">
        <f>IF(GY889="carton box",HI889/HD889,HJ889/HN889)</f>
        <v>5.1458333333333335E-2</v>
      </c>
      <c r="HP889" s="59">
        <v>160</v>
      </c>
      <c r="HQ889" s="59">
        <v>0</v>
      </c>
      <c r="HR889" s="59">
        <v>0</v>
      </c>
      <c r="HS889" s="59">
        <v>0</v>
      </c>
      <c r="HT889" s="59">
        <v>0</v>
      </c>
      <c r="HU889" s="59"/>
      <c r="HV889" s="62">
        <f>HO889+HT889</f>
        <v>5.1458333333333335E-2</v>
      </c>
      <c r="HW889" s="62"/>
      <c r="HX889" s="59">
        <v>5016</v>
      </c>
      <c r="HY889" s="59">
        <v>1976</v>
      </c>
      <c r="HZ889" s="59">
        <v>2280</v>
      </c>
      <c r="IA889" s="62">
        <f t="shared" si="823"/>
        <v>7</v>
      </c>
      <c r="IB889" s="62">
        <f t="shared" si="823"/>
        <v>4</v>
      </c>
      <c r="IC889" s="62">
        <f t="shared" si="823"/>
        <v>7</v>
      </c>
      <c r="ID889" s="61">
        <v>0.95</v>
      </c>
      <c r="IE889" s="62">
        <f>PRODUCT(IA889:ID889)-56.2</f>
        <v>130</v>
      </c>
      <c r="IF889" s="59">
        <v>500</v>
      </c>
      <c r="IG889" s="62">
        <f>IF889/(IE889*HD889)</f>
        <v>3.5612535612535613E-2</v>
      </c>
      <c r="IH889" s="62"/>
    </row>
    <row r="890" spans="1:244" ht="45">
      <c r="A890">
        <v>875</v>
      </c>
      <c r="B890" t="s">
        <v>468</v>
      </c>
      <c r="C890" t="s">
        <v>2688</v>
      </c>
      <c r="D890" s="28" t="s">
        <v>1718</v>
      </c>
      <c r="E890" s="28" t="s">
        <v>1719</v>
      </c>
      <c r="F890" s="28" t="s">
        <v>2182</v>
      </c>
      <c r="G890" s="27" t="s">
        <v>108</v>
      </c>
      <c r="I890" s="27" t="s">
        <v>226</v>
      </c>
      <c r="J890" s="28">
        <v>21590</v>
      </c>
      <c r="K890" s="27" t="s">
        <v>397</v>
      </c>
      <c r="L890">
        <v>20089</v>
      </c>
      <c r="M890" t="s">
        <v>121</v>
      </c>
      <c r="Q890" s="13" t="s">
        <v>1786</v>
      </c>
      <c r="R890" s="13" t="s">
        <v>1769</v>
      </c>
      <c r="S890" s="13" t="s">
        <v>2689</v>
      </c>
      <c r="T890" s="13"/>
      <c r="U890" s="13"/>
      <c r="V890" s="72" t="s">
        <v>2486</v>
      </c>
      <c r="W890" s="53" t="s">
        <v>2690</v>
      </c>
      <c r="AA890" t="s">
        <v>2691</v>
      </c>
      <c r="AB890" s="66">
        <v>121.68</v>
      </c>
      <c r="AC890">
        <v>20</v>
      </c>
      <c r="AD890" t="s">
        <v>2620</v>
      </c>
      <c r="AE890" s="7">
        <f>BA890</f>
        <v>18.37368</v>
      </c>
      <c r="AF890" s="7">
        <f>DT890</f>
        <v>0</v>
      </c>
      <c r="AG890" s="7">
        <f>EU890+EM890+EP890+EQ890</f>
        <v>2.8806584362139915</v>
      </c>
      <c r="AH890" s="7">
        <f>DM890</f>
        <v>9.5</v>
      </c>
      <c r="AI890" s="7">
        <f>DO890</f>
        <v>0.11875000000000001</v>
      </c>
      <c r="AJ890" s="7">
        <f>GW890</f>
        <v>5.761316872427983E-2</v>
      </c>
      <c r="AK890" s="7">
        <f>GU890</f>
        <v>0.26567923045267489</v>
      </c>
      <c r="AL890" s="7">
        <f>GS890</f>
        <v>2.3379772279835391</v>
      </c>
      <c r="AM890" s="7">
        <f>HV890</f>
        <v>0.22916666666666666</v>
      </c>
      <c r="AN890" s="7">
        <f>IG890</f>
        <v>0.22</v>
      </c>
      <c r="AO890" s="7"/>
      <c r="AP890" s="7"/>
      <c r="AQ890" s="7">
        <f>SUM(AE890:AP890)</f>
        <v>33.983524730041147</v>
      </c>
      <c r="AR890" s="7"/>
      <c r="AS890" s="7"/>
      <c r="AT890" s="7"/>
      <c r="AU890" s="7">
        <f>34.1-33.98</f>
        <v>0.12000000000000455</v>
      </c>
      <c r="AV890" s="7">
        <f>AQ890+AU890+AT890+AR890</f>
        <v>34.103524730041151</v>
      </c>
      <c r="AW890" s="59">
        <v>0.151</v>
      </c>
      <c r="AX890" s="59">
        <v>0.151</v>
      </c>
      <c r="AY890" s="61">
        <v>1</v>
      </c>
      <c r="AZ890" s="69">
        <f>AW890-AX890</f>
        <v>0</v>
      </c>
      <c r="BA890" s="62">
        <f>AW890*AB890-(AZ890*AC890)*AY890</f>
        <v>18.37368</v>
      </c>
      <c r="BB890" s="62"/>
      <c r="BC890" s="62"/>
      <c r="BD890" s="62"/>
      <c r="BE890" s="62"/>
      <c r="BF890" s="62"/>
      <c r="BG890" s="62"/>
      <c r="BH890" s="62"/>
      <c r="BI890" s="62"/>
      <c r="BJ890" s="62"/>
      <c r="BK890" s="62"/>
      <c r="BL890" s="62"/>
      <c r="BM890" s="62"/>
      <c r="BN890" s="62"/>
      <c r="BO890" s="62"/>
      <c r="BP890" s="62"/>
      <c r="BQ890" s="62"/>
      <c r="BR890" s="62"/>
      <c r="BS890" s="62"/>
      <c r="BT890" s="62"/>
      <c r="BU890" s="62"/>
      <c r="BV890" s="62"/>
      <c r="BW890" s="62"/>
      <c r="BX890" s="62"/>
      <c r="BY890" s="62"/>
      <c r="BZ890" s="62"/>
      <c r="CA890" s="62"/>
      <c r="CB890" s="62"/>
      <c r="CC890" s="62"/>
      <c r="CD890" s="59">
        <v>0</v>
      </c>
      <c r="CE890" s="59">
        <v>0</v>
      </c>
      <c r="CF890" s="59">
        <v>0</v>
      </c>
      <c r="CG890" s="59">
        <v>0</v>
      </c>
      <c r="CH890" s="59">
        <v>0</v>
      </c>
      <c r="CI890" s="59" t="s">
        <v>2692</v>
      </c>
      <c r="CJ890" s="59" t="s">
        <v>2693</v>
      </c>
      <c r="CK890" s="59">
        <v>5</v>
      </c>
      <c r="CL890" s="59">
        <v>1.1500000000000001</v>
      </c>
      <c r="CM890" s="59">
        <f>CL890*CK890</f>
        <v>5.7500000000000009</v>
      </c>
      <c r="CN890" s="59" t="s">
        <v>1718</v>
      </c>
      <c r="CO890" s="59" t="s">
        <v>2694</v>
      </c>
      <c r="CP890" s="59">
        <v>3</v>
      </c>
      <c r="CQ890" s="59">
        <v>1.25</v>
      </c>
      <c r="CR890" s="59">
        <f>CQ890*CP890</f>
        <v>3.75</v>
      </c>
      <c r="CS890" s="59"/>
      <c r="CT890" s="59"/>
      <c r="CU890" s="59"/>
      <c r="CV890" s="59"/>
      <c r="CW890" s="59"/>
      <c r="CX890" s="59"/>
      <c r="CY890" s="59"/>
      <c r="CZ890" s="59"/>
      <c r="DA890" s="59"/>
      <c r="DB890" s="59"/>
      <c r="DC890" s="59"/>
      <c r="DD890" s="59"/>
      <c r="DE890" s="59"/>
      <c r="DF890" s="59"/>
      <c r="DG890" s="59"/>
      <c r="DH890" s="59"/>
      <c r="DI890" s="59"/>
      <c r="DJ890" s="59"/>
      <c r="DK890" s="59"/>
      <c r="DL890" s="59"/>
      <c r="DM890" s="62">
        <f>CH890+CM890+CR890+CW890+DB890+DG890+DK890</f>
        <v>9.5</v>
      </c>
      <c r="DN890" s="64">
        <v>1.2500000000000001E-2</v>
      </c>
      <c r="DO890" s="62">
        <f>DM890*DN890</f>
        <v>0.11875000000000001</v>
      </c>
      <c r="DP890" s="62">
        <f>DM890+DO890</f>
        <v>9.6187500000000004</v>
      </c>
      <c r="DQ890" s="59"/>
      <c r="DR890" s="59"/>
      <c r="DS890" s="59"/>
      <c r="DT890" s="59"/>
      <c r="DU890" s="59"/>
      <c r="DV890" s="59"/>
      <c r="DW890" s="59"/>
      <c r="DX890" s="59"/>
      <c r="DY890" s="59"/>
      <c r="DZ890" s="59"/>
      <c r="EA890" s="59"/>
      <c r="EB890" s="59"/>
      <c r="EC890" s="59"/>
      <c r="ED890" s="59"/>
      <c r="EE890" s="59"/>
      <c r="EF890" s="59">
        <v>200</v>
      </c>
      <c r="EG890" s="59">
        <v>2000</v>
      </c>
      <c r="EH890" s="59">
        <v>7.5</v>
      </c>
      <c r="EI890" s="61">
        <v>0.9</v>
      </c>
      <c r="EJ890" s="59">
        <v>1</v>
      </c>
      <c r="EK890" s="59">
        <v>35</v>
      </c>
      <c r="EL890" s="65">
        <f>3600/EK890*EH890*EJ890*EI890</f>
        <v>694.28571428571433</v>
      </c>
      <c r="EM890" s="59"/>
      <c r="EN890" s="59"/>
      <c r="EO890" s="59"/>
      <c r="EP890" s="59"/>
      <c r="EQ890" s="59"/>
      <c r="ER890" s="59"/>
      <c r="ES890" s="59"/>
      <c r="ET890" s="59"/>
      <c r="EU890" s="62">
        <f>EG890/EL890+FA890</f>
        <v>2.8806584362139915</v>
      </c>
      <c r="EV890" s="59"/>
      <c r="EW890" s="59"/>
      <c r="EX890" s="59"/>
      <c r="EY890" s="59"/>
      <c r="EZ890" s="59"/>
      <c r="FA890" s="59"/>
      <c r="FB890" s="59"/>
      <c r="FC890" s="59"/>
      <c r="FD890" s="59"/>
      <c r="FE890" s="59"/>
      <c r="FF890" s="59"/>
      <c r="FG890" s="59"/>
      <c r="FH890" s="59"/>
      <c r="FI890" s="59"/>
      <c r="FJ890" s="59"/>
      <c r="FK890" s="59"/>
      <c r="FL890" s="59"/>
      <c r="FM890" s="59"/>
      <c r="FN890" s="59"/>
      <c r="FO890" s="59"/>
      <c r="FP890" s="59"/>
      <c r="FQ890" s="59"/>
      <c r="FR890" s="59"/>
      <c r="FS890" s="59"/>
      <c r="FT890" s="59"/>
      <c r="FU890" s="59"/>
      <c r="FV890" s="59"/>
      <c r="FW890" s="59"/>
      <c r="FX890" s="59"/>
      <c r="FY890" s="59"/>
      <c r="FZ890" s="59"/>
      <c r="GA890" s="59"/>
      <c r="GB890" s="59"/>
      <c r="GC890" s="59"/>
      <c r="GD890" s="59"/>
      <c r="GE890" s="59"/>
      <c r="GF890" s="59"/>
      <c r="GG890" s="59"/>
      <c r="GH890" s="59"/>
      <c r="GI890" s="59"/>
      <c r="GJ890" s="59"/>
      <c r="GK890" s="59"/>
      <c r="GL890" s="59"/>
      <c r="GM890" s="59"/>
      <c r="GN890" s="59"/>
      <c r="GO890" s="59"/>
      <c r="GP890" s="59"/>
      <c r="GQ890" s="59"/>
      <c r="GR890" s="61">
        <v>0.11</v>
      </c>
      <c r="GS890" s="62">
        <f>GR890*(BA890+EU890+EP890+EQ890)</f>
        <v>2.3379772279835391</v>
      </c>
      <c r="GT890" s="64">
        <v>1.2500000000000001E-2</v>
      </c>
      <c r="GU890" s="62">
        <f>GT890*(BA890+EU890+EP890+EQ890)</f>
        <v>0.26567923045267489</v>
      </c>
      <c r="GV890" s="61">
        <v>0.02</v>
      </c>
      <c r="GW890" s="62">
        <f>GV890*EU890</f>
        <v>5.761316872427983E-2</v>
      </c>
      <c r="GX890" s="62">
        <f>GS890+GU890+GW890</f>
        <v>2.6612696271604936</v>
      </c>
      <c r="GY890" s="59" t="s">
        <v>43</v>
      </c>
      <c r="GZ890" s="59" t="s">
        <v>551</v>
      </c>
      <c r="HA890" s="59">
        <v>810</v>
      </c>
      <c r="HB890" s="59">
        <v>568</v>
      </c>
      <c r="HC890" s="59">
        <v>425</v>
      </c>
      <c r="HD890" s="59">
        <v>40</v>
      </c>
      <c r="HE890" s="59">
        <v>2000</v>
      </c>
      <c r="HF890" s="62">
        <f>ROUNDUP(HE890/HD890,0)</f>
        <v>50</v>
      </c>
      <c r="HG890" s="59">
        <v>5</v>
      </c>
      <c r="HH890" s="62">
        <f>HF890*HG890</f>
        <v>250</v>
      </c>
      <c r="HI890" s="59">
        <v>1100</v>
      </c>
      <c r="HJ890" s="62">
        <f>HH890*HI890</f>
        <v>275000</v>
      </c>
      <c r="HK890" s="59"/>
      <c r="HL890" s="59"/>
      <c r="HM890" s="59">
        <v>2</v>
      </c>
      <c r="HN890" s="62">
        <f>HM890*12*25*HE890</f>
        <v>1200000</v>
      </c>
      <c r="HO890" s="62">
        <f>IF(GY890="carton box",HI890/HD890,HJ890/HN890)</f>
        <v>0.22916666666666666</v>
      </c>
      <c r="HP890" s="59">
        <v>160</v>
      </c>
      <c r="HQ890" s="59">
        <v>0</v>
      </c>
      <c r="HR890" s="59">
        <v>0</v>
      </c>
      <c r="HS890" s="59">
        <v>0</v>
      </c>
      <c r="HT890" s="59">
        <v>0</v>
      </c>
      <c r="HU890" s="59"/>
      <c r="HV890" s="62">
        <f>HO890+HT890</f>
        <v>0.22916666666666666</v>
      </c>
      <c r="HW890" s="62"/>
      <c r="HX890" s="59">
        <v>4200</v>
      </c>
      <c r="HY890" s="59">
        <v>1900</v>
      </c>
      <c r="HZ890" s="59">
        <v>1975</v>
      </c>
      <c r="IA890" s="62">
        <f t="shared" si="823"/>
        <v>5</v>
      </c>
      <c r="IB890" s="62">
        <f t="shared" si="823"/>
        <v>3</v>
      </c>
      <c r="IC890" s="62">
        <f t="shared" si="823"/>
        <v>4</v>
      </c>
      <c r="ID890" s="61">
        <v>0.95</v>
      </c>
      <c r="IE890" s="62">
        <f>PRODUCT(IA890:ID890)</f>
        <v>57</v>
      </c>
      <c r="IF890" s="59">
        <v>500</v>
      </c>
      <c r="IG890" s="62">
        <f>ROUNDUP(IF890/(IE890*HD890),2)</f>
        <v>0.22</v>
      </c>
      <c r="IH890" s="62"/>
    </row>
    <row r="891" spans="1:244" ht="60">
      <c r="A891">
        <v>876</v>
      </c>
      <c r="B891" t="s">
        <v>468</v>
      </c>
      <c r="C891" t="s">
        <v>2695</v>
      </c>
      <c r="D891" s="28" t="s">
        <v>877</v>
      </c>
      <c r="E891" s="28" t="s">
        <v>1720</v>
      </c>
      <c r="F891" s="28" t="s">
        <v>2182</v>
      </c>
      <c r="G891" s="27" t="s">
        <v>108</v>
      </c>
      <c r="I891" s="27" t="s">
        <v>121</v>
      </c>
      <c r="J891" s="28">
        <v>21697</v>
      </c>
      <c r="K891" s="27" t="s">
        <v>227</v>
      </c>
      <c r="L891">
        <v>20089</v>
      </c>
      <c r="M891" t="s">
        <v>121</v>
      </c>
      <c r="Q891" s="13" t="s">
        <v>2497</v>
      </c>
      <c r="R891" s="13" t="s">
        <v>1769</v>
      </c>
      <c r="S891" s="13"/>
      <c r="T891" s="13"/>
      <c r="U891" s="13"/>
      <c r="V891" s="72" t="s">
        <v>2486</v>
      </c>
      <c r="W891" s="53" t="s">
        <v>2696</v>
      </c>
      <c r="AA891" t="s">
        <v>2490</v>
      </c>
      <c r="AB891" s="66">
        <v>95.35</v>
      </c>
      <c r="AC891">
        <v>20</v>
      </c>
      <c r="AD891" t="s">
        <v>2697</v>
      </c>
      <c r="AE891" s="7">
        <f>BA891</f>
        <v>5.5399525000000001</v>
      </c>
      <c r="AF891" s="7">
        <f>DT891</f>
        <v>0</v>
      </c>
      <c r="AG891" s="7">
        <f>EU891+EM891+EP891+EQ891</f>
        <v>2.4074074074074074</v>
      </c>
      <c r="AH891" s="7">
        <f>DM891</f>
        <v>0</v>
      </c>
      <c r="AI891" s="7">
        <f>DO891</f>
        <v>0</v>
      </c>
      <c r="AJ891" s="7">
        <f>GW891</f>
        <v>4.8148148148148148E-2</v>
      </c>
      <c r="AK891" s="7">
        <f>GU891</f>
        <v>0.1192103986111111</v>
      </c>
      <c r="AL891" s="7">
        <f>GS891</f>
        <v>0.99341998842592594</v>
      </c>
      <c r="AM891" s="7">
        <f>HV891</f>
        <v>4.3333333333333335E-2</v>
      </c>
      <c r="AN891" s="7">
        <f>IG891</f>
        <v>0.09</v>
      </c>
      <c r="AO891" s="7"/>
      <c r="AP891" s="7"/>
      <c r="AQ891" s="7">
        <f>SUM(AE891:AP891)</f>
        <v>9.2414717759259251</v>
      </c>
      <c r="AR891" s="7">
        <f>IJ891</f>
        <v>7.9473599074074072E-2</v>
      </c>
      <c r="AS891" s="7"/>
      <c r="AT891" s="7"/>
      <c r="AU891" s="7"/>
      <c r="AV891" s="7">
        <f>AQ891+AU891+AT891+AR891</f>
        <v>9.3209453749999991</v>
      </c>
      <c r="AW891" s="59">
        <v>5.9150000000000001E-2</v>
      </c>
      <c r="AX891" s="59">
        <v>5.4150000000000004E-2</v>
      </c>
      <c r="AY891" s="61">
        <v>1</v>
      </c>
      <c r="AZ891" s="69">
        <f>AW891-AX891</f>
        <v>4.9999999999999975E-3</v>
      </c>
      <c r="BA891" s="62">
        <f>AW891*AB891-(AZ891*AC891)*AY891</f>
        <v>5.5399525000000001</v>
      </c>
      <c r="BB891" s="62"/>
      <c r="BC891" s="62"/>
      <c r="BD891" s="62"/>
      <c r="BE891" s="62"/>
      <c r="BF891" s="62"/>
      <c r="BG891" s="62"/>
      <c r="BH891" s="62"/>
      <c r="BI891" s="62"/>
      <c r="BJ891" s="62"/>
      <c r="BK891" s="62"/>
      <c r="BL891" s="62"/>
      <c r="BM891" s="62"/>
      <c r="BN891" s="62"/>
      <c r="BO891" s="62"/>
      <c r="BP891" s="62"/>
      <c r="BQ891" s="62"/>
      <c r="BR891" s="62"/>
      <c r="BS891" s="62"/>
      <c r="BT891" s="62"/>
      <c r="BU891" s="62"/>
      <c r="BV891" s="62"/>
      <c r="BW891" s="62"/>
      <c r="BX891" s="62"/>
      <c r="BY891" s="62"/>
      <c r="BZ891" s="62"/>
      <c r="CA891" s="62"/>
      <c r="CB891" s="62"/>
      <c r="CC891" s="62"/>
      <c r="CD891" s="59">
        <v>0</v>
      </c>
      <c r="CE891" s="59">
        <v>0</v>
      </c>
      <c r="CF891" s="59">
        <v>0</v>
      </c>
      <c r="CG891" s="59">
        <v>0</v>
      </c>
      <c r="CH891" s="59">
        <v>0</v>
      </c>
      <c r="CI891" s="59"/>
      <c r="CJ891" s="59"/>
      <c r="CK891" s="59"/>
      <c r="CL891" s="59"/>
      <c r="CM891" s="59"/>
      <c r="CN891" s="59"/>
      <c r="CO891" s="59"/>
      <c r="CP891" s="59"/>
      <c r="CQ891" s="59"/>
      <c r="CR891" s="59"/>
      <c r="CS891" s="59"/>
      <c r="CT891" s="59"/>
      <c r="CU891" s="59"/>
      <c r="CV891" s="59"/>
      <c r="CW891" s="59"/>
      <c r="CX891" s="59"/>
      <c r="CY891" s="59"/>
      <c r="CZ891" s="59"/>
      <c r="DA891" s="59"/>
      <c r="DB891" s="59"/>
      <c r="DC891" s="59"/>
      <c r="DD891" s="59"/>
      <c r="DE891" s="59"/>
      <c r="DF891" s="59"/>
      <c r="DG891" s="59"/>
      <c r="DH891" s="59"/>
      <c r="DI891" s="59"/>
      <c r="DJ891" s="59"/>
      <c r="DK891" s="59"/>
      <c r="DL891" s="59"/>
      <c r="DM891" s="62">
        <f>CH891+CM891+CR891+CW891+DB891+DG891+DK891</f>
        <v>0</v>
      </c>
      <c r="DN891" s="64">
        <v>2.5000000000000001E-2</v>
      </c>
      <c r="DO891" s="62">
        <f>DM891*DN891</f>
        <v>0</v>
      </c>
      <c r="DP891" s="62">
        <f>DM891+DO891</f>
        <v>0</v>
      </c>
      <c r="DQ891" s="59"/>
      <c r="DR891" s="59"/>
      <c r="DS891" s="59"/>
      <c r="DT891" s="59"/>
      <c r="DU891" s="59"/>
      <c r="DV891" s="59"/>
      <c r="DW891" s="59"/>
      <c r="DX891" s="59"/>
      <c r="DY891" s="59"/>
      <c r="DZ891" s="59"/>
      <c r="EA891" s="59"/>
      <c r="EB891" s="59"/>
      <c r="EC891" s="59"/>
      <c r="ED891" s="59"/>
      <c r="EE891" s="59"/>
      <c r="EF891" s="59">
        <v>150</v>
      </c>
      <c r="EG891" s="59">
        <v>1950</v>
      </c>
      <c r="EH891" s="59">
        <v>7.5</v>
      </c>
      <c r="EI891" s="61">
        <v>0.9</v>
      </c>
      <c r="EJ891" s="59">
        <v>2</v>
      </c>
      <c r="EK891" s="59">
        <v>60</v>
      </c>
      <c r="EL891" s="65">
        <f>3600/EK891*EH891*EJ891*EI891</f>
        <v>810</v>
      </c>
      <c r="EM891" s="59"/>
      <c r="EN891" s="59"/>
      <c r="EO891" s="59"/>
      <c r="EP891" s="59"/>
      <c r="EQ891" s="59"/>
      <c r="ER891" s="59"/>
      <c r="ES891" s="59"/>
      <c r="ET891" s="59"/>
      <c r="EU891" s="62">
        <f>EG891/EL891+FA891</f>
        <v>2.4074074074074074</v>
      </c>
      <c r="EV891" s="59"/>
      <c r="EW891" s="59"/>
      <c r="EX891" s="59"/>
      <c r="EY891" s="59"/>
      <c r="EZ891" s="59"/>
      <c r="FA891" s="59"/>
      <c r="FB891" s="59"/>
      <c r="FC891" s="59"/>
      <c r="FD891" s="59"/>
      <c r="FE891" s="59"/>
      <c r="FF891" s="59"/>
      <c r="FG891" s="59"/>
      <c r="FH891" s="59"/>
      <c r="FI891" s="59"/>
      <c r="FJ891" s="59"/>
      <c r="FK891" s="59"/>
      <c r="FL891" s="59"/>
      <c r="FM891" s="59"/>
      <c r="FN891" s="59"/>
      <c r="FO891" s="59"/>
      <c r="FP891" s="59"/>
      <c r="FQ891" s="59"/>
      <c r="FR891" s="59"/>
      <c r="FS891" s="59"/>
      <c r="FT891" s="59"/>
      <c r="FU891" s="59"/>
      <c r="FV891" s="59"/>
      <c r="FW891" s="59"/>
      <c r="FX891" s="59"/>
      <c r="FY891" s="59"/>
      <c r="FZ891" s="59"/>
      <c r="GA891" s="59"/>
      <c r="GB891" s="59"/>
      <c r="GC891" s="59"/>
      <c r="GD891" s="59"/>
      <c r="GE891" s="59"/>
      <c r="GF891" s="59"/>
      <c r="GG891" s="59"/>
      <c r="GH891" s="59"/>
      <c r="GI891" s="59"/>
      <c r="GJ891" s="59"/>
      <c r="GK891" s="59"/>
      <c r="GL891" s="59"/>
      <c r="GM891" s="59"/>
      <c r="GN891" s="59"/>
      <c r="GO891" s="59"/>
      <c r="GP891" s="59"/>
      <c r="GQ891" s="59"/>
      <c r="GR891" s="64">
        <v>0.125</v>
      </c>
      <c r="GS891" s="62">
        <f>GR891*(BA891+EU891+EP891+EQ891)</f>
        <v>0.99341998842592594</v>
      </c>
      <c r="GT891" s="64">
        <v>1.4999999999999999E-2</v>
      </c>
      <c r="GU891" s="62">
        <f>GT891*(BA891+EU891+EP891+EQ891)</f>
        <v>0.1192103986111111</v>
      </c>
      <c r="GV891" s="61">
        <v>0.02</v>
      </c>
      <c r="GW891" s="62">
        <f>GV891*EU891</f>
        <v>4.8148148148148148E-2</v>
      </c>
      <c r="GX891" s="62">
        <f>GS891+GU891+GW891</f>
        <v>1.1607785351851851</v>
      </c>
      <c r="GY891" s="59" t="s">
        <v>43</v>
      </c>
      <c r="GZ891" s="59" t="s">
        <v>551</v>
      </c>
      <c r="HA891" s="59">
        <v>650</v>
      </c>
      <c r="HB891" s="59">
        <v>450</v>
      </c>
      <c r="HC891" s="59">
        <v>330</v>
      </c>
      <c r="HD891" s="59">
        <v>125</v>
      </c>
      <c r="HE891" s="59">
        <v>1000</v>
      </c>
      <c r="HF891" s="62">
        <f>ROUNDUP(HE891/HD891,0)</f>
        <v>8</v>
      </c>
      <c r="HG891" s="59">
        <v>5</v>
      </c>
      <c r="HH891" s="62">
        <f>HF891*HG891</f>
        <v>40</v>
      </c>
      <c r="HI891" s="59">
        <v>650</v>
      </c>
      <c r="HJ891" s="62">
        <f>HH891*HI891</f>
        <v>26000</v>
      </c>
      <c r="HK891" s="59"/>
      <c r="HL891" s="59"/>
      <c r="HM891" s="59">
        <v>2</v>
      </c>
      <c r="HN891" s="62">
        <f>HM891*12*25*HE891</f>
        <v>600000</v>
      </c>
      <c r="HO891" s="62">
        <f>IF(GY891="carton box",HI891/HD891,HJ891/HN891)</f>
        <v>4.3333333333333335E-2</v>
      </c>
      <c r="HP891" s="59">
        <v>160</v>
      </c>
      <c r="HQ891" s="59">
        <v>0</v>
      </c>
      <c r="HR891" s="59">
        <v>0</v>
      </c>
      <c r="HS891" s="59">
        <v>0</v>
      </c>
      <c r="HT891" s="59">
        <v>0</v>
      </c>
      <c r="HU891" s="59"/>
      <c r="HV891" s="62">
        <f>HO891+HT891</f>
        <v>4.3333333333333335E-2</v>
      </c>
      <c r="HW891" s="62"/>
      <c r="HX891" s="59">
        <v>4200</v>
      </c>
      <c r="HY891" s="59">
        <v>1900</v>
      </c>
      <c r="HZ891" s="59">
        <v>1975</v>
      </c>
      <c r="IA891" s="62">
        <f t="shared" si="823"/>
        <v>6</v>
      </c>
      <c r="IB891" s="62">
        <f t="shared" si="823"/>
        <v>4</v>
      </c>
      <c r="IC891" s="62">
        <f t="shared" si="823"/>
        <v>5</v>
      </c>
      <c r="ID891" s="61">
        <v>0.95</v>
      </c>
      <c r="IE891" s="62">
        <f>PRODUCT(IA891:ID891)</f>
        <v>114</v>
      </c>
      <c r="IF891" s="59">
        <v>1240</v>
      </c>
      <c r="IG891" s="62">
        <f>ROUNDUP(IF891/(IE891*HD891),2)</f>
        <v>0.09</v>
      </c>
      <c r="IH891" s="62"/>
      <c r="II891" s="61">
        <v>0.01</v>
      </c>
      <c r="IJ891" s="62">
        <f>(BA891+EU891)*II891</f>
        <v>7.9473599074074072E-2</v>
      </c>
    </row>
    <row r="892" spans="1:244" ht="30">
      <c r="A892">
        <v>877</v>
      </c>
      <c r="C892" t="s">
        <v>567</v>
      </c>
      <c r="D892" s="28" t="s">
        <v>877</v>
      </c>
      <c r="E892" s="28" t="s">
        <v>1720</v>
      </c>
      <c r="F892" s="28" t="s">
        <v>2444</v>
      </c>
      <c r="G892" s="27" t="s">
        <v>108</v>
      </c>
      <c r="I892" s="27" t="s">
        <v>226</v>
      </c>
      <c r="J892" s="28">
        <v>21590</v>
      </c>
      <c r="K892" s="27" t="s">
        <v>397</v>
      </c>
      <c r="N892" s="13" t="s">
        <v>2281</v>
      </c>
      <c r="O892" s="13" t="s">
        <v>1763</v>
      </c>
      <c r="P892" s="13" t="s">
        <v>2612</v>
      </c>
      <c r="S892" s="13"/>
      <c r="T892" s="13"/>
      <c r="U892" s="13"/>
      <c r="V892" s="72" t="s">
        <v>2486</v>
      </c>
      <c r="W892" s="53" t="s">
        <v>2624</v>
      </c>
    </row>
    <row r="893" spans="1:244" ht="60">
      <c r="A893">
        <v>878</v>
      </c>
      <c r="B893" t="s">
        <v>468</v>
      </c>
      <c r="C893" t="s">
        <v>2698</v>
      </c>
      <c r="D893" s="28" t="s">
        <v>879</v>
      </c>
      <c r="E893" s="28" t="s">
        <v>1721</v>
      </c>
      <c r="F893" s="28" t="s">
        <v>2182</v>
      </c>
      <c r="G893" s="27" t="s">
        <v>108</v>
      </c>
      <c r="I893" s="27" t="s">
        <v>121</v>
      </c>
      <c r="J893" s="28">
        <v>21697</v>
      </c>
      <c r="K893" s="27" t="s">
        <v>227</v>
      </c>
      <c r="L893">
        <v>20089</v>
      </c>
      <c r="M893" t="s">
        <v>121</v>
      </c>
      <c r="Q893" s="13" t="s">
        <v>2497</v>
      </c>
      <c r="R893" s="13" t="s">
        <v>1769</v>
      </c>
      <c r="S893" s="13" t="s">
        <v>2699</v>
      </c>
      <c r="T893" s="13"/>
      <c r="U893" s="13"/>
      <c r="V893" s="72" t="s">
        <v>2486</v>
      </c>
      <c r="W893" s="53" t="s">
        <v>2696</v>
      </c>
      <c r="AA893" t="s">
        <v>2356</v>
      </c>
      <c r="AB893" s="66">
        <v>105.03</v>
      </c>
      <c r="AC893">
        <v>20</v>
      </c>
      <c r="AD893" t="s">
        <v>2697</v>
      </c>
      <c r="AE893" s="7">
        <f>BA893</f>
        <v>29.171861</v>
      </c>
      <c r="AF893" s="7">
        <f>DT893</f>
        <v>0</v>
      </c>
      <c r="AG893" s="7">
        <f>EU893+EM893+EP893+EQ893</f>
        <v>5.5939094650205767</v>
      </c>
      <c r="AH893" s="7">
        <f>DM893</f>
        <v>0</v>
      </c>
      <c r="AI893" s="7">
        <f>DO893</f>
        <v>0</v>
      </c>
      <c r="AJ893" s="7">
        <f>GW893</f>
        <v>0.11187818930041153</v>
      </c>
      <c r="AK893" s="7">
        <f>GU893</f>
        <v>0.52148655697530866</v>
      </c>
      <c r="AL893" s="7">
        <f>GS893</f>
        <v>4.3457213081275725</v>
      </c>
      <c r="AM893" s="7">
        <f>HV893</f>
        <v>0.45833333333333331</v>
      </c>
      <c r="AN893" s="7">
        <f>IG893</f>
        <v>1.0900000000000001</v>
      </c>
      <c r="AO893" s="7"/>
      <c r="AP893" s="7"/>
      <c r="AQ893" s="7">
        <f>SUM(AE893:AP893)</f>
        <v>41.293189852757216</v>
      </c>
      <c r="AR893" s="7">
        <f>IJ893</f>
        <v>0.34765770465020579</v>
      </c>
      <c r="AS893" s="7"/>
      <c r="AT893" s="7"/>
      <c r="AU893" s="7"/>
      <c r="AV893" s="7">
        <f>AQ893+AU893+AT893+AR893</f>
        <v>41.640847557407419</v>
      </c>
      <c r="AW893" s="59">
        <v>0.2787</v>
      </c>
      <c r="AX893" s="59">
        <v>0.2737</v>
      </c>
      <c r="AY893" s="61">
        <v>1</v>
      </c>
      <c r="AZ893" s="69">
        <f>AW893-AX893</f>
        <v>5.0000000000000044E-3</v>
      </c>
      <c r="BA893" s="62">
        <f>AW893*AB893-(AZ893*AC893)*AY893</f>
        <v>29.171861</v>
      </c>
      <c r="BB893" s="62"/>
      <c r="BC893" s="62"/>
      <c r="BD893" s="62"/>
      <c r="BE893" s="62"/>
      <c r="BF893" s="62"/>
      <c r="BG893" s="62"/>
      <c r="BH893" s="62"/>
      <c r="BI893" s="62"/>
      <c r="BJ893" s="62"/>
      <c r="BK893" s="62"/>
      <c r="BL893" s="62"/>
      <c r="BM893" s="62"/>
      <c r="BN893" s="62"/>
      <c r="BO893" s="62"/>
      <c r="BP893" s="62"/>
      <c r="BQ893" s="62"/>
      <c r="BR893" s="62"/>
      <c r="BS893" s="62"/>
      <c r="BT893" s="62"/>
      <c r="BU893" s="62"/>
      <c r="BV893" s="62"/>
      <c r="BW893" s="62"/>
      <c r="BX893" s="62"/>
      <c r="BY893" s="62"/>
      <c r="BZ893" s="62"/>
      <c r="CA893" s="62"/>
      <c r="CB893" s="62"/>
      <c r="CC893" s="62"/>
      <c r="CD893" s="59">
        <v>0</v>
      </c>
      <c r="CE893" s="59">
        <v>0</v>
      </c>
      <c r="CF893" s="59">
        <v>0</v>
      </c>
      <c r="CG893" s="59">
        <v>0</v>
      </c>
      <c r="CH893" s="62">
        <f>CF893*CG893</f>
        <v>0</v>
      </c>
      <c r="CI893" s="59"/>
      <c r="CJ893" s="59"/>
      <c r="CK893" s="59"/>
      <c r="CL893" s="59"/>
      <c r="CM893" s="59"/>
      <c r="CN893" s="59"/>
      <c r="CO893" s="59"/>
      <c r="CP893" s="59"/>
      <c r="CQ893" s="59"/>
      <c r="CR893" s="59"/>
      <c r="CS893" s="59"/>
      <c r="CT893" s="59"/>
      <c r="CU893" s="59"/>
      <c r="CV893" s="59"/>
      <c r="CW893" s="59"/>
      <c r="CX893" s="59"/>
      <c r="CY893" s="59"/>
      <c r="CZ893" s="59"/>
      <c r="DA893" s="59"/>
      <c r="DB893" s="59"/>
      <c r="DC893" s="59"/>
      <c r="DD893" s="59"/>
      <c r="DE893" s="59"/>
      <c r="DF893" s="59"/>
      <c r="DG893" s="59"/>
      <c r="DH893" s="59"/>
      <c r="DI893" s="59"/>
      <c r="DJ893" s="59"/>
      <c r="DK893" s="59"/>
      <c r="DL893" s="59"/>
      <c r="DM893" s="62">
        <f>CH893+CM893+CR893+CW893+DB893+DG893+DK893</f>
        <v>0</v>
      </c>
      <c r="DN893" s="64">
        <v>2.5000000000000001E-2</v>
      </c>
      <c r="DO893" s="62">
        <f>DM893*DN893</f>
        <v>0</v>
      </c>
      <c r="DP893" s="62">
        <f>DM893+DO893</f>
        <v>0</v>
      </c>
      <c r="DQ893" s="59"/>
      <c r="DR893" s="59"/>
      <c r="DS893" s="59"/>
      <c r="DT893" s="59"/>
      <c r="DU893" s="59"/>
      <c r="DV893" s="59"/>
      <c r="DW893" s="59"/>
      <c r="DX893" s="59"/>
      <c r="DY893" s="59"/>
      <c r="DZ893" s="59"/>
      <c r="EA893" s="59"/>
      <c r="EB893" s="59"/>
      <c r="EC893" s="59"/>
      <c r="ED893" s="59"/>
      <c r="EE893" s="59"/>
      <c r="EF893" s="59">
        <v>350</v>
      </c>
      <c r="EG893" s="59">
        <v>3998</v>
      </c>
      <c r="EH893" s="59">
        <v>7.5</v>
      </c>
      <c r="EI893" s="61">
        <v>0.9</v>
      </c>
      <c r="EJ893" s="59">
        <v>2</v>
      </c>
      <c r="EK893" s="59">
        <v>68</v>
      </c>
      <c r="EL893" s="65">
        <f>3600/EK893*EH893*EJ893*EI893</f>
        <v>714.7058823529411</v>
      </c>
      <c r="EM893" s="59"/>
      <c r="EN893" s="59"/>
      <c r="EO893" s="59"/>
      <c r="EP893" s="59"/>
      <c r="EQ893" s="59"/>
      <c r="ER893" s="59"/>
      <c r="ES893" s="59"/>
      <c r="ET893" s="59"/>
      <c r="EU893" s="62">
        <f>EG893/EL893+FA893</f>
        <v>5.5939094650205767</v>
      </c>
      <c r="EV893" s="59"/>
      <c r="EW893" s="59"/>
      <c r="EX893" s="59"/>
      <c r="EY893" s="59"/>
      <c r="EZ893" s="59"/>
      <c r="FA893" s="59"/>
      <c r="FB893" s="59"/>
      <c r="FC893" s="59"/>
      <c r="FD893" s="59"/>
      <c r="FE893" s="59"/>
      <c r="FF893" s="59"/>
      <c r="FG893" s="59"/>
      <c r="FH893" s="59"/>
      <c r="FI893" s="59"/>
      <c r="FJ893" s="59"/>
      <c r="FK893" s="59"/>
      <c r="FL893" s="59"/>
      <c r="FM893" s="59"/>
      <c r="FN893" s="59"/>
      <c r="FO893" s="59"/>
      <c r="FP893" s="59"/>
      <c r="FQ893" s="59"/>
      <c r="FR893" s="59"/>
      <c r="FS893" s="59"/>
      <c r="FT893" s="59"/>
      <c r="FU893" s="59"/>
      <c r="FV893" s="59"/>
      <c r="FW893" s="59"/>
      <c r="FX893" s="59"/>
      <c r="FY893" s="59"/>
      <c r="FZ893" s="59"/>
      <c r="GA893" s="59"/>
      <c r="GB893" s="59"/>
      <c r="GC893" s="59"/>
      <c r="GD893" s="59"/>
      <c r="GE893" s="59"/>
      <c r="GF893" s="59"/>
      <c r="GG893" s="59"/>
      <c r="GH893" s="59"/>
      <c r="GI893" s="59"/>
      <c r="GJ893" s="59"/>
      <c r="GK893" s="59"/>
      <c r="GL893" s="59"/>
      <c r="GM893" s="59"/>
      <c r="GN893" s="59"/>
      <c r="GO893" s="59"/>
      <c r="GP893" s="59"/>
      <c r="GQ893" s="59"/>
      <c r="GR893" s="64">
        <v>0.125</v>
      </c>
      <c r="GS893" s="62">
        <f>GR893*(BA893+EU893+EP893+EQ893)</f>
        <v>4.3457213081275725</v>
      </c>
      <c r="GT893" s="64">
        <v>1.4999999999999999E-2</v>
      </c>
      <c r="GU893" s="62">
        <f>GT893*(BA893+EU893+EP893+EQ893)</f>
        <v>0.52148655697530866</v>
      </c>
      <c r="GV893" s="61">
        <v>0.02</v>
      </c>
      <c r="GW893" s="62">
        <f>GV893*EU893</f>
        <v>0.11187818930041153</v>
      </c>
      <c r="GX893" s="62">
        <f>GS893+GU893+GW893</f>
        <v>4.9790860544032931</v>
      </c>
      <c r="GY893" s="59" t="s">
        <v>43</v>
      </c>
      <c r="GZ893" s="59" t="s">
        <v>551</v>
      </c>
      <c r="HA893" s="59">
        <v>810</v>
      </c>
      <c r="HB893" s="59">
        <v>568</v>
      </c>
      <c r="HC893" s="59">
        <v>425</v>
      </c>
      <c r="HD893" s="59">
        <v>20</v>
      </c>
      <c r="HE893" s="59">
        <v>1000</v>
      </c>
      <c r="HF893" s="62">
        <f>ROUNDUP(HE893/HD893,0)</f>
        <v>50</v>
      </c>
      <c r="HG893" s="59">
        <v>5</v>
      </c>
      <c r="HH893" s="62">
        <f>HF893*HG893</f>
        <v>250</v>
      </c>
      <c r="HI893" s="59">
        <v>1100</v>
      </c>
      <c r="HJ893" s="62">
        <f>HH893*HI893</f>
        <v>275000</v>
      </c>
      <c r="HK893" s="59"/>
      <c r="HL893" s="59"/>
      <c r="HM893" s="59">
        <v>2</v>
      </c>
      <c r="HN893" s="62">
        <f>HM893*12*25*HE893</f>
        <v>600000</v>
      </c>
      <c r="HO893" s="62">
        <f>IF(GY893="carton box",HI893/HD893,HJ893/HN893)</f>
        <v>0.45833333333333331</v>
      </c>
      <c r="HP893" s="59">
        <v>160</v>
      </c>
      <c r="HQ893" s="59">
        <v>0</v>
      </c>
      <c r="HR893" s="59">
        <v>0</v>
      </c>
      <c r="HS893" s="59">
        <v>0</v>
      </c>
      <c r="HT893" s="59">
        <v>0</v>
      </c>
      <c r="HU893" s="59"/>
      <c r="HV893" s="62">
        <f>HO893+HT893</f>
        <v>0.45833333333333331</v>
      </c>
      <c r="HW893" s="62"/>
      <c r="HX893" s="59">
        <v>4200</v>
      </c>
      <c r="HY893" s="59">
        <v>1900</v>
      </c>
      <c r="HZ893" s="59">
        <v>1975</v>
      </c>
      <c r="IA893" s="62">
        <f>ROUNDDOWN(HX893/HA893,0)</f>
        <v>5</v>
      </c>
      <c r="IB893" s="62">
        <f>ROUNDDOWN(HY893/HB893,0)</f>
        <v>3</v>
      </c>
      <c r="IC893" s="62">
        <f>ROUNDDOWN(HZ893/HC893,0)</f>
        <v>4</v>
      </c>
      <c r="ID893" s="61">
        <v>0.95</v>
      </c>
      <c r="IE893" s="62">
        <f>PRODUCT(IA893:ID893)</f>
        <v>57</v>
      </c>
      <c r="IF893" s="59">
        <v>1240</v>
      </c>
      <c r="IG893" s="62">
        <f>ROUNDUP(IF893/(IE893*HD893),2)</f>
        <v>1.0900000000000001</v>
      </c>
      <c r="IH893" s="62"/>
      <c r="II893" s="61">
        <v>0.01</v>
      </c>
      <c r="IJ893" s="62">
        <f>(BA893+EU893)*II893</f>
        <v>0.34765770465020579</v>
      </c>
    </row>
    <row r="894" spans="1:244" ht="30">
      <c r="A894">
        <v>879</v>
      </c>
      <c r="C894" t="s">
        <v>567</v>
      </c>
      <c r="D894" s="28" t="s">
        <v>879</v>
      </c>
      <c r="E894" s="28" t="s">
        <v>1721</v>
      </c>
      <c r="F894" s="28" t="s">
        <v>2444</v>
      </c>
      <c r="G894" s="27" t="s">
        <v>108</v>
      </c>
      <c r="I894" s="27" t="s">
        <v>226</v>
      </c>
      <c r="J894" s="28">
        <v>21590</v>
      </c>
      <c r="K894" s="27" t="s">
        <v>397</v>
      </c>
      <c r="N894" s="13" t="s">
        <v>2675</v>
      </c>
      <c r="O894" s="13" t="s">
        <v>1763</v>
      </c>
      <c r="P894" s="13" t="s">
        <v>1763</v>
      </c>
      <c r="S894" s="13"/>
      <c r="T894" s="13"/>
      <c r="U894" s="13"/>
      <c r="V894" s="72" t="s">
        <v>2486</v>
      </c>
      <c r="W894" s="53" t="s">
        <v>2700</v>
      </c>
    </row>
    <row r="895" spans="1:244" ht="75">
      <c r="A895">
        <v>880</v>
      </c>
      <c r="B895" t="s">
        <v>468</v>
      </c>
      <c r="C895" t="s">
        <v>2701</v>
      </c>
      <c r="D895" s="28" t="s">
        <v>1722</v>
      </c>
      <c r="E895" s="28" t="s">
        <v>1723</v>
      </c>
      <c r="F895" s="28" t="s">
        <v>2182</v>
      </c>
      <c r="G895" s="27" t="s">
        <v>108</v>
      </c>
      <c r="I895" s="27" t="s">
        <v>121</v>
      </c>
      <c r="J895" s="28">
        <v>21697</v>
      </c>
      <c r="K895" s="27" t="s">
        <v>227</v>
      </c>
      <c r="L895">
        <v>20089</v>
      </c>
      <c r="M895" t="s">
        <v>121</v>
      </c>
      <c r="Q895" s="13" t="s">
        <v>2497</v>
      </c>
      <c r="R895" s="13" t="s">
        <v>1769</v>
      </c>
      <c r="S895" s="13" t="s">
        <v>2699</v>
      </c>
      <c r="T895" s="13"/>
      <c r="U895" s="13"/>
      <c r="V895" s="72" t="s">
        <v>2486</v>
      </c>
      <c r="W895" s="53" t="s">
        <v>2702</v>
      </c>
      <c r="AA895" t="s">
        <v>2315</v>
      </c>
      <c r="AB895" s="66">
        <v>95.35</v>
      </c>
      <c r="AC895">
        <v>20</v>
      </c>
      <c r="AD895" t="s">
        <v>2697</v>
      </c>
      <c r="AE895" s="7">
        <f>BA895</f>
        <v>32.97645</v>
      </c>
      <c r="AF895" s="7">
        <f>DT895</f>
        <v>0</v>
      </c>
      <c r="AG895" s="7">
        <f>EU895+EM895+EP895+EQ895</f>
        <v>6.5810699588477366</v>
      </c>
      <c r="AH895" s="7">
        <f>DM895</f>
        <v>10</v>
      </c>
      <c r="AI895" s="7">
        <f>DO895</f>
        <v>0.25</v>
      </c>
      <c r="AJ895" s="7">
        <f>GW895</f>
        <v>0.13162139917695473</v>
      </c>
      <c r="AK895" s="7">
        <f>GU895</f>
        <v>0.59336279938271597</v>
      </c>
      <c r="AL895" s="7">
        <f>GS895</f>
        <v>4.9446899948559668</v>
      </c>
      <c r="AM895" s="7">
        <f>HV895</f>
        <v>1.0266666666666666</v>
      </c>
      <c r="AN895" s="7">
        <f>IG895</f>
        <v>2.42</v>
      </c>
      <c r="AO895" s="7"/>
      <c r="AP895" s="7"/>
      <c r="AQ895" s="7">
        <f>SUM(AE895:AP895)</f>
        <v>58.923860818930045</v>
      </c>
      <c r="AR895" s="7">
        <f>IJ895</f>
        <v>0.39557519958847737</v>
      </c>
      <c r="AS895" s="7"/>
      <c r="AT895" s="7"/>
      <c r="AU895" s="7">
        <f>59.57-59.32</f>
        <v>0.25</v>
      </c>
      <c r="AV895" s="7">
        <f>AQ895+AU895+AT895+AR895</f>
        <v>59.569436018518523</v>
      </c>
      <c r="AW895" s="59">
        <v>0.34700000000000003</v>
      </c>
      <c r="AX895" s="59">
        <v>0.34150000000000003</v>
      </c>
      <c r="AY895" s="61">
        <v>1</v>
      </c>
      <c r="AZ895" s="69">
        <f>AW895-AX895</f>
        <v>5.5000000000000049E-3</v>
      </c>
      <c r="BA895" s="62">
        <f>AW895*AB895-(AZ895*AC895)*AY895</f>
        <v>32.97645</v>
      </c>
      <c r="BB895" s="62"/>
      <c r="BC895" s="62"/>
      <c r="BD895" s="62"/>
      <c r="BE895" s="62"/>
      <c r="BF895" s="62"/>
      <c r="BG895" s="62"/>
      <c r="BH895" s="62"/>
      <c r="BI895" s="62"/>
      <c r="BJ895" s="62"/>
      <c r="BK895" s="62"/>
      <c r="BL895" s="62"/>
      <c r="BM895" s="62"/>
      <c r="BN895" s="62"/>
      <c r="BO895" s="62"/>
      <c r="BP895" s="62"/>
      <c r="BQ895" s="62"/>
      <c r="BR895" s="62"/>
      <c r="BS895" s="62"/>
      <c r="BT895" s="62"/>
      <c r="BU895" s="62"/>
      <c r="BV895" s="62"/>
      <c r="BW895" s="62"/>
      <c r="BX895" s="62"/>
      <c r="BY895" s="62"/>
      <c r="BZ895" s="62"/>
      <c r="CA895" s="62"/>
      <c r="CB895" s="62"/>
      <c r="CC895" s="62"/>
      <c r="CD895" s="59">
        <v>0</v>
      </c>
      <c r="CE895" s="59">
        <v>0</v>
      </c>
      <c r="CF895" s="59">
        <v>4</v>
      </c>
      <c r="CG895" s="59">
        <v>2.5</v>
      </c>
      <c r="CH895" s="62">
        <f>CF895*CG895</f>
        <v>10</v>
      </c>
      <c r="CI895" s="59"/>
      <c r="CJ895" s="59"/>
      <c r="CK895" s="59"/>
      <c r="CL895" s="59"/>
      <c r="CM895" s="59"/>
      <c r="CN895" s="59"/>
      <c r="CO895" s="59"/>
      <c r="CP895" s="59"/>
      <c r="CQ895" s="59"/>
      <c r="CR895" s="59"/>
      <c r="CS895" s="59"/>
      <c r="CT895" s="59"/>
      <c r="CU895" s="59"/>
      <c r="CV895" s="59"/>
      <c r="CW895" s="59"/>
      <c r="CX895" s="59"/>
      <c r="CY895" s="59"/>
      <c r="CZ895" s="59"/>
      <c r="DA895" s="59"/>
      <c r="DB895" s="59"/>
      <c r="DC895" s="59"/>
      <c r="DD895" s="59"/>
      <c r="DE895" s="59"/>
      <c r="DF895" s="59"/>
      <c r="DG895" s="59"/>
      <c r="DH895" s="59"/>
      <c r="DI895" s="59"/>
      <c r="DJ895" s="59"/>
      <c r="DK895" s="59"/>
      <c r="DL895" s="59"/>
      <c r="DM895" s="62">
        <f>CH895+CM895+CR895+CW895+DB895+DG895+DK895</f>
        <v>10</v>
      </c>
      <c r="DN895" s="64">
        <v>2.5000000000000001E-2</v>
      </c>
      <c r="DO895" s="62">
        <f>DM895*DN895</f>
        <v>0.25</v>
      </c>
      <c r="DP895" s="62">
        <f>DM895+DO895</f>
        <v>10.25</v>
      </c>
      <c r="DQ895" s="59"/>
      <c r="DR895" s="59"/>
      <c r="DS895" s="59"/>
      <c r="DT895" s="59"/>
      <c r="DU895" s="59"/>
      <c r="DV895" s="59"/>
      <c r="DW895" s="59"/>
      <c r="DX895" s="59"/>
      <c r="DY895" s="59"/>
      <c r="DZ895" s="59"/>
      <c r="EA895" s="59"/>
      <c r="EB895" s="59"/>
      <c r="EC895" s="59"/>
      <c r="ED895" s="59"/>
      <c r="EE895" s="59"/>
      <c r="EF895" s="59">
        <v>350</v>
      </c>
      <c r="EG895" s="59">
        <v>3998</v>
      </c>
      <c r="EH895" s="59">
        <v>7.5</v>
      </c>
      <c r="EI895" s="61">
        <v>0.9</v>
      </c>
      <c r="EJ895" s="59">
        <v>2</v>
      </c>
      <c r="EK895" s="59">
        <v>80</v>
      </c>
      <c r="EL895" s="65">
        <f>3600/EK895*EH895*EJ895*EI895</f>
        <v>607.5</v>
      </c>
      <c r="EM895" s="59"/>
      <c r="EN895" s="59"/>
      <c r="EO895" s="59"/>
      <c r="EP895" s="59"/>
      <c r="EQ895" s="59"/>
      <c r="ER895" s="59"/>
      <c r="ES895" s="59"/>
      <c r="ET895" s="59"/>
      <c r="EU895" s="62">
        <f>EG895/EL895+FA895</f>
        <v>6.5810699588477366</v>
      </c>
      <c r="EV895" s="59"/>
      <c r="EW895" s="59"/>
      <c r="EX895" s="59"/>
      <c r="EY895" s="59"/>
      <c r="EZ895" s="59"/>
      <c r="FA895" s="59"/>
      <c r="FB895" s="59"/>
      <c r="FC895" s="59"/>
      <c r="FD895" s="59"/>
      <c r="FE895" s="59"/>
      <c r="FF895" s="59"/>
      <c r="FG895" s="59"/>
      <c r="FH895" s="59"/>
      <c r="FI895" s="59"/>
      <c r="FJ895" s="59"/>
      <c r="FK895" s="59"/>
      <c r="FL895" s="59"/>
      <c r="FM895" s="59"/>
      <c r="FN895" s="59"/>
      <c r="FO895" s="59"/>
      <c r="FP895" s="59"/>
      <c r="FQ895" s="59"/>
      <c r="FR895" s="59"/>
      <c r="FS895" s="59"/>
      <c r="FT895" s="59"/>
      <c r="FU895" s="59"/>
      <c r="FV895" s="59"/>
      <c r="FW895" s="59"/>
      <c r="FX895" s="59"/>
      <c r="FY895" s="59"/>
      <c r="FZ895" s="59"/>
      <c r="GA895" s="59"/>
      <c r="GB895" s="59"/>
      <c r="GC895" s="59"/>
      <c r="GD895" s="59"/>
      <c r="GE895" s="59"/>
      <c r="GF895" s="59"/>
      <c r="GG895" s="59"/>
      <c r="GH895" s="59"/>
      <c r="GI895" s="59"/>
      <c r="GJ895" s="59"/>
      <c r="GK895" s="59"/>
      <c r="GL895" s="59"/>
      <c r="GM895" s="59"/>
      <c r="GN895" s="59"/>
      <c r="GO895" s="59"/>
      <c r="GP895" s="59"/>
      <c r="GQ895" s="59"/>
      <c r="GR895" s="322">
        <v>0.125</v>
      </c>
      <c r="GS895" s="62">
        <f>GR895*(BA895+EU895+EP895+EQ895)</f>
        <v>4.9446899948559668</v>
      </c>
      <c r="GT895" s="64">
        <v>1.4999999999999999E-2</v>
      </c>
      <c r="GU895" s="62">
        <f>GT895*(BA895+EU895+EP895+EQ895)</f>
        <v>0.59336279938271597</v>
      </c>
      <c r="GV895" s="61">
        <v>0.02</v>
      </c>
      <c r="GW895" s="62">
        <f>GV895*EU895</f>
        <v>0.13162139917695473</v>
      </c>
      <c r="GX895" s="62">
        <f>GS895+GU895+GW895</f>
        <v>5.6696741934156369</v>
      </c>
      <c r="GY895" s="59" t="s">
        <v>43</v>
      </c>
      <c r="GZ895" s="59" t="s">
        <v>551</v>
      </c>
      <c r="HA895" s="59">
        <v>810</v>
      </c>
      <c r="HB895" s="59">
        <v>568</v>
      </c>
      <c r="HC895" s="59">
        <v>425</v>
      </c>
      <c r="HD895" s="59">
        <v>9</v>
      </c>
      <c r="HE895" s="59">
        <v>1000</v>
      </c>
      <c r="HF895" s="62">
        <f>ROUNDUP(HE895/HD895,0)</f>
        <v>112</v>
      </c>
      <c r="HG895" s="59">
        <v>5</v>
      </c>
      <c r="HH895" s="62">
        <f>HF895*HG895</f>
        <v>560</v>
      </c>
      <c r="HI895" s="59">
        <v>1100</v>
      </c>
      <c r="HJ895" s="62">
        <f>HH895*HI895</f>
        <v>616000</v>
      </c>
      <c r="HK895" s="59"/>
      <c r="HL895" s="59"/>
      <c r="HM895" s="59">
        <v>2</v>
      </c>
      <c r="HN895" s="62">
        <f>HM895*12*25*HE895</f>
        <v>600000</v>
      </c>
      <c r="HO895" s="62">
        <f>IF(GY895="carton box",HI895/HD895,HJ895/HN895)</f>
        <v>1.0266666666666666</v>
      </c>
      <c r="HP895" s="59">
        <v>160</v>
      </c>
      <c r="HQ895" s="59">
        <v>0</v>
      </c>
      <c r="HR895" s="59">
        <v>0</v>
      </c>
      <c r="HS895" s="59">
        <v>0</v>
      </c>
      <c r="HT895" s="59">
        <v>0</v>
      </c>
      <c r="HU895" s="59"/>
      <c r="HV895" s="62">
        <f>HO895+HT895</f>
        <v>1.0266666666666666</v>
      </c>
      <c r="HW895" s="62"/>
      <c r="HX895" s="59">
        <v>4200</v>
      </c>
      <c r="HY895" s="59">
        <v>1900</v>
      </c>
      <c r="HZ895" s="59">
        <v>1975</v>
      </c>
      <c r="IA895" s="62">
        <f t="shared" ref="IA895:IC896" si="824">ROUNDDOWN(HX895/HA895,0)</f>
        <v>5</v>
      </c>
      <c r="IB895" s="62">
        <f t="shared" si="824"/>
        <v>3</v>
      </c>
      <c r="IC895" s="62">
        <f t="shared" si="824"/>
        <v>4</v>
      </c>
      <c r="ID895" s="61">
        <v>0.95</v>
      </c>
      <c r="IE895" s="62">
        <f>PRODUCT(IA895:ID895)</f>
        <v>57</v>
      </c>
      <c r="IF895" s="59">
        <v>1240</v>
      </c>
      <c r="IG895" s="62">
        <f>ROUNDUP(IF895/(IE895*HD895),2)</f>
        <v>2.42</v>
      </c>
      <c r="IH895" s="62"/>
      <c r="II895" s="61">
        <v>0.01</v>
      </c>
      <c r="IJ895" s="62">
        <f>(BA895+EU895)*II895</f>
        <v>0.39557519958847737</v>
      </c>
    </row>
    <row r="896" spans="1:244" ht="60">
      <c r="A896">
        <v>881</v>
      </c>
      <c r="B896" t="s">
        <v>468</v>
      </c>
      <c r="C896" t="s">
        <v>2703</v>
      </c>
      <c r="D896" s="28" t="s">
        <v>881</v>
      </c>
      <c r="E896" s="28" t="s">
        <v>882</v>
      </c>
      <c r="F896" s="28" t="s">
        <v>2182</v>
      </c>
      <c r="G896" s="27" t="s">
        <v>108</v>
      </c>
      <c r="I896" s="27" t="s">
        <v>121</v>
      </c>
      <c r="J896" s="28">
        <v>21697</v>
      </c>
      <c r="K896" s="27" t="s">
        <v>227</v>
      </c>
      <c r="L896">
        <v>20089</v>
      </c>
      <c r="M896" t="s">
        <v>121</v>
      </c>
      <c r="Q896" s="13" t="s">
        <v>2497</v>
      </c>
      <c r="R896" s="13" t="s">
        <v>1769</v>
      </c>
      <c r="S896" s="13" t="s">
        <v>2699</v>
      </c>
      <c r="T896" s="13"/>
      <c r="U896" s="13"/>
      <c r="V896" s="72" t="s">
        <v>2486</v>
      </c>
      <c r="W896" s="53" t="s">
        <v>2704</v>
      </c>
      <c r="AA896" t="s">
        <v>2315</v>
      </c>
      <c r="AB896" s="66">
        <v>95.35</v>
      </c>
      <c r="AC896">
        <v>20</v>
      </c>
      <c r="AD896" t="s">
        <v>2697</v>
      </c>
      <c r="AE896" s="7">
        <f>BA896</f>
        <v>2.8395699999999997</v>
      </c>
      <c r="AF896" s="7">
        <f>DT896</f>
        <v>0</v>
      </c>
      <c r="AG896" s="7">
        <f>EU896+EM896+EP896+EQ896</f>
        <v>1.5731481481481482</v>
      </c>
      <c r="AH896" s="7">
        <f>DM896</f>
        <v>0</v>
      </c>
      <c r="AI896" s="7">
        <f>DO896</f>
        <v>0</v>
      </c>
      <c r="AJ896" s="7">
        <f>GW896</f>
        <v>3.1462962962962963E-2</v>
      </c>
      <c r="AK896" s="7">
        <f>GU896</f>
        <v>6.6190772222222222E-2</v>
      </c>
      <c r="AL896" s="7">
        <f>GS896</f>
        <v>0.55158976851851849</v>
      </c>
      <c r="AM896" s="7">
        <f>HV896</f>
        <v>2.1666666666666667E-2</v>
      </c>
      <c r="AN896" s="7">
        <f>IG896</f>
        <v>0.05</v>
      </c>
      <c r="AO896" s="7"/>
      <c r="AP896" s="7"/>
      <c r="AQ896" s="7">
        <f>SUM(AE896:AP896)</f>
        <v>5.1336283185185172</v>
      </c>
      <c r="AR896" s="7">
        <f>IJ896</f>
        <v>4.4127181481481481E-2</v>
      </c>
      <c r="AS896" s="7"/>
      <c r="AT896" s="7"/>
      <c r="AU896" s="7"/>
      <c r="AV896" s="7">
        <f>AQ896+AU896+AT896+AR896</f>
        <v>5.1777554999999991</v>
      </c>
      <c r="AW896" s="59">
        <v>3.0199999999999998E-2</v>
      </c>
      <c r="AX896" s="59">
        <v>2.8199999999999999E-2</v>
      </c>
      <c r="AY896" s="61">
        <v>1</v>
      </c>
      <c r="AZ896" s="69">
        <f>AW896-AX896</f>
        <v>1.9999999999999983E-3</v>
      </c>
      <c r="BA896" s="62">
        <f>AW896*AB896-(AZ896*AC896)*AY896</f>
        <v>2.8395699999999997</v>
      </c>
      <c r="BB896" s="62"/>
      <c r="BC896" s="62"/>
      <c r="BD896" s="62"/>
      <c r="BE896" s="62"/>
      <c r="BF896" s="62"/>
      <c r="BG896" s="62"/>
      <c r="BH896" s="62"/>
      <c r="BI896" s="62"/>
      <c r="BJ896" s="62"/>
      <c r="BK896" s="62"/>
      <c r="BL896" s="62"/>
      <c r="BM896" s="62"/>
      <c r="BN896" s="62"/>
      <c r="BO896" s="62"/>
      <c r="BP896" s="62"/>
      <c r="BQ896" s="62"/>
      <c r="BR896" s="62"/>
      <c r="BS896" s="62"/>
      <c r="BT896" s="62"/>
      <c r="BU896" s="62"/>
      <c r="BV896" s="62"/>
      <c r="BW896" s="62"/>
      <c r="BX896" s="62"/>
      <c r="BY896" s="62"/>
      <c r="BZ896" s="62"/>
      <c r="CA896" s="62"/>
      <c r="CB896" s="62"/>
      <c r="CC896" s="62"/>
      <c r="CD896" s="59">
        <v>0</v>
      </c>
      <c r="CE896" s="59">
        <v>0</v>
      </c>
      <c r="CF896" s="59">
        <v>0</v>
      </c>
      <c r="CG896" s="59">
        <v>0</v>
      </c>
      <c r="CH896" s="59">
        <v>0</v>
      </c>
      <c r="CI896" s="59"/>
      <c r="CJ896" s="59"/>
      <c r="CK896" s="59"/>
      <c r="CL896" s="59"/>
      <c r="CM896" s="59"/>
      <c r="CN896" s="59"/>
      <c r="CO896" s="59"/>
      <c r="CP896" s="59"/>
      <c r="CQ896" s="59"/>
      <c r="CR896" s="59"/>
      <c r="CS896" s="59"/>
      <c r="CT896" s="59"/>
      <c r="CU896" s="59"/>
      <c r="CV896" s="59"/>
      <c r="CW896" s="59"/>
      <c r="CX896" s="59"/>
      <c r="CY896" s="59"/>
      <c r="CZ896" s="59"/>
      <c r="DA896" s="59"/>
      <c r="DB896" s="59"/>
      <c r="DC896" s="59"/>
      <c r="DD896" s="59"/>
      <c r="DE896" s="59"/>
      <c r="DF896" s="59"/>
      <c r="DG896" s="59"/>
      <c r="DH896" s="59"/>
      <c r="DI896" s="59"/>
      <c r="DJ896" s="59"/>
      <c r="DK896" s="59"/>
      <c r="DL896" s="59"/>
      <c r="DM896" s="62">
        <f>CH896+CM896+CR896+CW896+DB896+DG896+DK896</f>
        <v>0</v>
      </c>
      <c r="DN896" s="64">
        <v>2.5000000000000001E-2</v>
      </c>
      <c r="DO896" s="62">
        <f>DM896*DN896</f>
        <v>0</v>
      </c>
      <c r="DP896" s="62">
        <f>DM896+DO896</f>
        <v>0</v>
      </c>
      <c r="DQ896" s="59"/>
      <c r="DR896" s="59"/>
      <c r="DS896" s="59"/>
      <c r="DT896" s="59"/>
      <c r="DU896" s="59"/>
      <c r="DV896" s="59"/>
      <c r="DW896" s="59"/>
      <c r="DX896" s="59"/>
      <c r="DY896" s="59"/>
      <c r="DZ896" s="59"/>
      <c r="EA896" s="59"/>
      <c r="EB896" s="59"/>
      <c r="EC896" s="59"/>
      <c r="ED896" s="59"/>
      <c r="EE896" s="59"/>
      <c r="EF896" s="59">
        <v>90</v>
      </c>
      <c r="EG896" s="59">
        <v>1699</v>
      </c>
      <c r="EH896" s="59">
        <v>7.5</v>
      </c>
      <c r="EI896" s="61">
        <v>0.9</v>
      </c>
      <c r="EJ896" s="59">
        <v>2</v>
      </c>
      <c r="EK896" s="59">
        <v>45</v>
      </c>
      <c r="EL896" s="65">
        <f>3600/EK896*EH896*EJ896*EI896</f>
        <v>1080</v>
      </c>
      <c r="EM896" s="59"/>
      <c r="EN896" s="59"/>
      <c r="EO896" s="59"/>
      <c r="EP896" s="59"/>
      <c r="EQ896" s="59"/>
      <c r="ER896" s="59"/>
      <c r="ES896" s="59"/>
      <c r="ET896" s="59"/>
      <c r="EU896" s="62">
        <f>EG896/EL896+FA896</f>
        <v>1.5731481481481482</v>
      </c>
      <c r="EV896" s="59"/>
      <c r="EW896" s="59"/>
      <c r="EX896" s="59"/>
      <c r="EY896" s="59"/>
      <c r="EZ896" s="59"/>
      <c r="FA896" s="59"/>
      <c r="FB896" s="59"/>
      <c r="FC896" s="59"/>
      <c r="FD896" s="59"/>
      <c r="FE896" s="59"/>
      <c r="FF896" s="59"/>
      <c r="FG896" s="59"/>
      <c r="FH896" s="59"/>
      <c r="FI896" s="59"/>
      <c r="FJ896" s="59"/>
      <c r="FK896" s="59"/>
      <c r="FL896" s="59"/>
      <c r="FM896" s="59"/>
      <c r="FN896" s="59"/>
      <c r="FO896" s="59"/>
      <c r="FP896" s="59"/>
      <c r="FQ896" s="59"/>
      <c r="FR896" s="59"/>
      <c r="FS896" s="59"/>
      <c r="FT896" s="59"/>
      <c r="FU896" s="59"/>
      <c r="FV896" s="59"/>
      <c r="FW896" s="59"/>
      <c r="FX896" s="59"/>
      <c r="FY896" s="59"/>
      <c r="FZ896" s="59"/>
      <c r="GA896" s="59"/>
      <c r="GB896" s="59"/>
      <c r="GC896" s="59"/>
      <c r="GD896" s="59"/>
      <c r="GE896" s="59"/>
      <c r="GF896" s="59"/>
      <c r="GG896" s="59"/>
      <c r="GH896" s="59"/>
      <c r="GI896" s="59"/>
      <c r="GJ896" s="59"/>
      <c r="GK896" s="59"/>
      <c r="GL896" s="59"/>
      <c r="GM896" s="59"/>
      <c r="GN896" s="59"/>
      <c r="GO896" s="59"/>
      <c r="GP896" s="59"/>
      <c r="GQ896" s="59"/>
      <c r="GR896" s="64">
        <v>0.125</v>
      </c>
      <c r="GS896" s="62">
        <f>GR896*(BA896+EU896+EP896+EQ896)</f>
        <v>0.55158976851851849</v>
      </c>
      <c r="GT896" s="64">
        <v>1.4999999999999999E-2</v>
      </c>
      <c r="GU896" s="62">
        <f>GT896*(BA896+EU896+EP896+EQ896)</f>
        <v>6.6190772222222222E-2</v>
      </c>
      <c r="GV896" s="61">
        <v>0.02</v>
      </c>
      <c r="GW896" s="62">
        <f>GV896*EU896</f>
        <v>3.1462962962962963E-2</v>
      </c>
      <c r="GX896" s="62">
        <f>GS896+GU896+GW896</f>
        <v>0.64924350370370365</v>
      </c>
      <c r="GY896" s="59" t="s">
        <v>43</v>
      </c>
      <c r="GZ896" s="59" t="s">
        <v>551</v>
      </c>
      <c r="HA896" s="59">
        <v>650</v>
      </c>
      <c r="HB896" s="59">
        <v>450</v>
      </c>
      <c r="HC896" s="59">
        <v>330</v>
      </c>
      <c r="HD896" s="59">
        <v>250</v>
      </c>
      <c r="HE896" s="59">
        <v>1000</v>
      </c>
      <c r="HF896" s="62">
        <f>ROUNDUP(HE896/HD896,0)</f>
        <v>4</v>
      </c>
      <c r="HG896" s="59">
        <v>5</v>
      </c>
      <c r="HH896" s="62">
        <f>HF896*HG896</f>
        <v>20</v>
      </c>
      <c r="HI896" s="59">
        <v>650</v>
      </c>
      <c r="HJ896" s="62">
        <f>HH896*HI896</f>
        <v>13000</v>
      </c>
      <c r="HK896" s="59"/>
      <c r="HL896" s="59"/>
      <c r="HM896" s="59">
        <v>2</v>
      </c>
      <c r="HN896" s="62">
        <f>HM896*12*25*HE896</f>
        <v>600000</v>
      </c>
      <c r="HO896" s="62">
        <f>IF(GY896="carton box",HI896/HD896,HJ896/HN896)</f>
        <v>2.1666666666666667E-2</v>
      </c>
      <c r="HP896" s="59">
        <v>160</v>
      </c>
      <c r="HQ896" s="59">
        <v>0</v>
      </c>
      <c r="HR896" s="59">
        <v>0</v>
      </c>
      <c r="HS896" s="59">
        <v>0</v>
      </c>
      <c r="HT896" s="59">
        <v>0</v>
      </c>
      <c r="HU896" s="59"/>
      <c r="HV896" s="62">
        <f>HO896+HT896</f>
        <v>2.1666666666666667E-2</v>
      </c>
      <c r="HW896" s="62"/>
      <c r="HX896" s="59">
        <v>4200</v>
      </c>
      <c r="HY896" s="59">
        <v>1900</v>
      </c>
      <c r="HZ896" s="59">
        <v>1975</v>
      </c>
      <c r="IA896" s="62">
        <f t="shared" si="824"/>
        <v>6</v>
      </c>
      <c r="IB896" s="62">
        <f t="shared" si="824"/>
        <v>4</v>
      </c>
      <c r="IC896" s="62">
        <f t="shared" si="824"/>
        <v>5</v>
      </c>
      <c r="ID896" s="61">
        <v>0.95</v>
      </c>
      <c r="IE896" s="62">
        <f>PRODUCT(IA896:ID896)</f>
        <v>114</v>
      </c>
      <c r="IF896" s="59">
        <v>1240</v>
      </c>
      <c r="IG896" s="62">
        <f>ROUNDUP(IF896/(IE896*HD896),2)</f>
        <v>0.05</v>
      </c>
      <c r="IH896" s="62"/>
      <c r="II896" s="61">
        <v>0.01</v>
      </c>
      <c r="IJ896" s="62">
        <f>(BA896+EU896)*II896</f>
        <v>4.4127181481481481E-2</v>
      </c>
    </row>
    <row r="897" spans="1:244" ht="30">
      <c r="A897">
        <v>882</v>
      </c>
      <c r="C897" t="s">
        <v>567</v>
      </c>
      <c r="D897" s="28" t="s">
        <v>881</v>
      </c>
      <c r="E897" s="28" t="s">
        <v>882</v>
      </c>
      <c r="F897" s="28" t="s">
        <v>2444</v>
      </c>
      <c r="G897" s="27" t="s">
        <v>108</v>
      </c>
      <c r="I897" s="27" t="s">
        <v>226</v>
      </c>
      <c r="J897" s="28">
        <v>21590</v>
      </c>
      <c r="K897" s="27" t="s">
        <v>397</v>
      </c>
      <c r="N897" s="13" t="s">
        <v>2675</v>
      </c>
      <c r="O897" s="13" t="s">
        <v>1763</v>
      </c>
      <c r="P897" s="13" t="s">
        <v>2612</v>
      </c>
      <c r="S897" s="13"/>
      <c r="T897" s="13"/>
      <c r="U897" s="13"/>
      <c r="V897" s="72" t="s">
        <v>2486</v>
      </c>
      <c r="W897" s="53" t="s">
        <v>2700</v>
      </c>
    </row>
    <row r="898" spans="1:244" ht="60">
      <c r="A898">
        <v>883</v>
      </c>
      <c r="B898" t="s">
        <v>468</v>
      </c>
      <c r="C898" t="s">
        <v>2705</v>
      </c>
      <c r="D898" s="28" t="s">
        <v>883</v>
      </c>
      <c r="E898" s="28" t="s">
        <v>158</v>
      </c>
      <c r="F898" s="28" t="s">
        <v>2182</v>
      </c>
      <c r="G898" s="27" t="s">
        <v>108</v>
      </c>
      <c r="I898" s="27" t="s">
        <v>121</v>
      </c>
      <c r="J898" s="28">
        <v>21697</v>
      </c>
      <c r="K898" s="27" t="s">
        <v>227</v>
      </c>
      <c r="L898">
        <v>20089</v>
      </c>
      <c r="M898" t="s">
        <v>121</v>
      </c>
      <c r="Q898" s="13" t="s">
        <v>2497</v>
      </c>
      <c r="R898" s="13" t="s">
        <v>1769</v>
      </c>
      <c r="S898" s="13" t="s">
        <v>2699</v>
      </c>
      <c r="T898" s="13"/>
      <c r="U898" s="13"/>
      <c r="V898" s="72" t="s">
        <v>2486</v>
      </c>
      <c r="W898" s="53" t="s">
        <v>2706</v>
      </c>
      <c r="AA898" t="s">
        <v>2315</v>
      </c>
      <c r="AB898" s="66">
        <v>95.35</v>
      </c>
      <c r="AC898">
        <v>20</v>
      </c>
      <c r="AD898" t="s">
        <v>2697</v>
      </c>
      <c r="AE898" s="7">
        <f>BA898</f>
        <v>1.9051400000000001</v>
      </c>
      <c r="AF898" s="7">
        <f>DT898</f>
        <v>0</v>
      </c>
      <c r="AG898" s="7">
        <f>EU898+EM898+EP898+EQ898</f>
        <v>1.6780246913580248</v>
      </c>
      <c r="AH898" s="7">
        <f>DM898</f>
        <v>0</v>
      </c>
      <c r="AI898" s="7">
        <f>DO898</f>
        <v>0</v>
      </c>
      <c r="AJ898" s="7">
        <f>GW898</f>
        <v>3.3560493827160497E-2</v>
      </c>
      <c r="AK898" s="7">
        <f>GU898</f>
        <v>5.3747470370370372E-2</v>
      </c>
      <c r="AL898" s="7">
        <f>GS898</f>
        <v>0.44789558641975313</v>
      </c>
      <c r="AM898" s="7">
        <f>HV898</f>
        <v>2.1666666666666667E-2</v>
      </c>
      <c r="AN898" s="7">
        <f>IG898</f>
        <v>0.05</v>
      </c>
      <c r="AO898" s="7"/>
      <c r="AP898" s="7"/>
      <c r="AQ898" s="7">
        <f>SUM(AE898:AP898)</f>
        <v>4.1900349086419757</v>
      </c>
      <c r="AR898" s="7">
        <f>IJ898</f>
        <v>3.5831646913580255E-2</v>
      </c>
      <c r="AS898" s="7"/>
      <c r="AT898" s="7"/>
      <c r="AU898" s="7"/>
      <c r="AV898" s="7">
        <f>AQ898+AU898+AT898+AR898</f>
        <v>4.2258665555555561</v>
      </c>
      <c r="AW898" s="59">
        <v>2.0400000000000001E-2</v>
      </c>
      <c r="AX898" s="59">
        <v>1.84E-2</v>
      </c>
      <c r="AY898" s="61">
        <v>1</v>
      </c>
      <c r="AZ898" s="69">
        <f>AW898-AX898</f>
        <v>2.0000000000000018E-3</v>
      </c>
      <c r="BA898" s="62">
        <f>AW898*AB898-(AZ898*AC898)*AY898</f>
        <v>1.9051400000000001</v>
      </c>
      <c r="BB898" s="62"/>
      <c r="BC898" s="62"/>
      <c r="BD898" s="62"/>
      <c r="BE898" s="62"/>
      <c r="BF898" s="62"/>
      <c r="BG898" s="62"/>
      <c r="BH898" s="62"/>
      <c r="BI898" s="62"/>
      <c r="BJ898" s="62"/>
      <c r="BK898" s="62"/>
      <c r="BL898" s="62"/>
      <c r="BM898" s="62"/>
      <c r="BN898" s="62"/>
      <c r="BO898" s="62"/>
      <c r="BP898" s="62"/>
      <c r="BQ898" s="62"/>
      <c r="BR898" s="62"/>
      <c r="BS898" s="62"/>
      <c r="BT898" s="62"/>
      <c r="BU898" s="62"/>
      <c r="BV898" s="62"/>
      <c r="BW898" s="62"/>
      <c r="BX898" s="62"/>
      <c r="BY898" s="62"/>
      <c r="BZ898" s="62"/>
      <c r="CA898" s="62"/>
      <c r="CB898" s="62"/>
      <c r="CC898" s="62"/>
      <c r="CD898" s="59">
        <v>0</v>
      </c>
      <c r="CE898" s="59">
        <v>0</v>
      </c>
      <c r="CF898" s="59">
        <v>0</v>
      </c>
      <c r="CG898" s="59">
        <v>0</v>
      </c>
      <c r="CH898" s="59">
        <v>0</v>
      </c>
      <c r="CI898" s="59"/>
      <c r="CJ898" s="59"/>
      <c r="CK898" s="59"/>
      <c r="CL898" s="59"/>
      <c r="CM898" s="59"/>
      <c r="CN898" s="59"/>
      <c r="CO898" s="59"/>
      <c r="CP898" s="59"/>
      <c r="CQ898" s="59"/>
      <c r="CR898" s="59"/>
      <c r="CS898" s="59"/>
      <c r="CT898" s="59"/>
      <c r="CU898" s="59"/>
      <c r="CV898" s="59"/>
      <c r="CW898" s="59"/>
      <c r="CX898" s="59"/>
      <c r="CY898" s="59"/>
      <c r="CZ898" s="59"/>
      <c r="DA898" s="59"/>
      <c r="DB898" s="59"/>
      <c r="DC898" s="59"/>
      <c r="DD898" s="59"/>
      <c r="DE898" s="59"/>
      <c r="DF898" s="59"/>
      <c r="DG898" s="59"/>
      <c r="DH898" s="59"/>
      <c r="DI898" s="59"/>
      <c r="DJ898" s="59"/>
      <c r="DK898" s="59"/>
      <c r="DL898" s="59"/>
      <c r="DM898" s="62">
        <f>CH898+CM898+CR898+CW898+DB898+DG898+DK898</f>
        <v>0</v>
      </c>
      <c r="DN898" s="64">
        <v>2.5000000000000001E-2</v>
      </c>
      <c r="DO898" s="62">
        <f>DM898*DN898</f>
        <v>0</v>
      </c>
      <c r="DP898" s="62">
        <f>DM898+DO898</f>
        <v>0</v>
      </c>
      <c r="DQ898" s="59"/>
      <c r="DR898" s="59"/>
      <c r="DS898" s="59"/>
      <c r="DT898" s="59"/>
      <c r="DU898" s="59"/>
      <c r="DV898" s="59"/>
      <c r="DW898" s="59"/>
      <c r="DX898" s="59"/>
      <c r="DY898" s="59"/>
      <c r="DZ898" s="59"/>
      <c r="EA898" s="59"/>
      <c r="EB898" s="59"/>
      <c r="EC898" s="59"/>
      <c r="ED898" s="59"/>
      <c r="EE898" s="59"/>
      <c r="EF898" s="59">
        <v>90</v>
      </c>
      <c r="EG898" s="59">
        <v>1699</v>
      </c>
      <c r="EH898" s="59">
        <v>7.5</v>
      </c>
      <c r="EI898" s="61">
        <v>0.9</v>
      </c>
      <c r="EJ898" s="59">
        <v>2</v>
      </c>
      <c r="EK898" s="59">
        <v>48</v>
      </c>
      <c r="EL898" s="65">
        <f>3600/EK898*EH898*EJ898*EI898</f>
        <v>1012.5</v>
      </c>
      <c r="EM898" s="59"/>
      <c r="EN898" s="59"/>
      <c r="EO898" s="59"/>
      <c r="EP898" s="59"/>
      <c r="EQ898" s="59"/>
      <c r="ER898" s="59"/>
      <c r="ES898" s="59"/>
      <c r="ET898" s="59"/>
      <c r="EU898" s="62">
        <f>EG898/EL898+FA898</f>
        <v>1.6780246913580248</v>
      </c>
      <c r="EV898" s="59"/>
      <c r="EW898" s="59"/>
      <c r="EX898" s="59"/>
      <c r="EY898" s="59"/>
      <c r="EZ898" s="59"/>
      <c r="FA898" s="59"/>
      <c r="FB898" s="59"/>
      <c r="FC898" s="59"/>
      <c r="FD898" s="59"/>
      <c r="FE898" s="59"/>
      <c r="FF898" s="59"/>
      <c r="FG898" s="59"/>
      <c r="FH898" s="59"/>
      <c r="FI898" s="59"/>
      <c r="FJ898" s="59"/>
      <c r="FK898" s="59"/>
      <c r="FL898" s="59"/>
      <c r="FM898" s="59"/>
      <c r="FN898" s="59"/>
      <c r="FO898" s="59"/>
      <c r="FP898" s="59"/>
      <c r="FQ898" s="59"/>
      <c r="FR898" s="59"/>
      <c r="FS898" s="59"/>
      <c r="FT898" s="59"/>
      <c r="FU898" s="59"/>
      <c r="FV898" s="59"/>
      <c r="FW898" s="59"/>
      <c r="FX898" s="59"/>
      <c r="FY898" s="59"/>
      <c r="FZ898" s="59"/>
      <c r="GA898" s="59"/>
      <c r="GB898" s="59"/>
      <c r="GC898" s="59"/>
      <c r="GD898" s="59"/>
      <c r="GE898" s="59"/>
      <c r="GF898" s="59"/>
      <c r="GG898" s="59"/>
      <c r="GH898" s="59"/>
      <c r="GI898" s="59"/>
      <c r="GJ898" s="59"/>
      <c r="GK898" s="59"/>
      <c r="GL898" s="59"/>
      <c r="GM898" s="59"/>
      <c r="GN898" s="59"/>
      <c r="GO898" s="59"/>
      <c r="GP898" s="59"/>
      <c r="GQ898" s="59"/>
      <c r="GR898" s="64">
        <v>0.125</v>
      </c>
      <c r="GS898" s="62">
        <f>GR898*(BA898+EU898+EP898+EQ898)</f>
        <v>0.44789558641975313</v>
      </c>
      <c r="GT898" s="64">
        <v>1.4999999999999999E-2</v>
      </c>
      <c r="GU898" s="62">
        <f>GT898*(BA898+EU898+EP898+EQ898)</f>
        <v>5.3747470370370372E-2</v>
      </c>
      <c r="GV898" s="61">
        <v>0.02</v>
      </c>
      <c r="GW898" s="62">
        <f>GV898*EU898</f>
        <v>3.3560493827160497E-2</v>
      </c>
      <c r="GX898" s="62">
        <f>GS898+GU898+GW898</f>
        <v>0.53520355061728409</v>
      </c>
      <c r="GY898" s="59" t="s">
        <v>43</v>
      </c>
      <c r="GZ898" s="59" t="s">
        <v>551</v>
      </c>
      <c r="HA898" s="59">
        <v>650</v>
      </c>
      <c r="HB898" s="59">
        <v>450</v>
      </c>
      <c r="HC898" s="59">
        <v>330</v>
      </c>
      <c r="HD898" s="59">
        <v>250</v>
      </c>
      <c r="HE898" s="59">
        <v>1000</v>
      </c>
      <c r="HF898" s="62">
        <f>ROUNDUP(HE898/HD898,0)</f>
        <v>4</v>
      </c>
      <c r="HG898" s="59">
        <v>5</v>
      </c>
      <c r="HH898" s="62">
        <f>HF898*HG898</f>
        <v>20</v>
      </c>
      <c r="HI898" s="59">
        <v>650</v>
      </c>
      <c r="HJ898" s="62">
        <f>HH898*HI898</f>
        <v>13000</v>
      </c>
      <c r="HK898" s="59"/>
      <c r="HL898" s="59"/>
      <c r="HM898" s="59">
        <v>2</v>
      </c>
      <c r="HN898" s="62">
        <f>HM898*12*25*HE898</f>
        <v>600000</v>
      </c>
      <c r="HO898" s="62">
        <f>IF(GY898="carton box",HI898/HD898,HJ898/HN898)</f>
        <v>2.1666666666666667E-2</v>
      </c>
      <c r="HP898" s="59">
        <v>160</v>
      </c>
      <c r="HQ898" s="59">
        <v>0</v>
      </c>
      <c r="HR898" s="59">
        <v>0</v>
      </c>
      <c r="HS898" s="59">
        <v>0</v>
      </c>
      <c r="HT898" s="59">
        <v>0</v>
      </c>
      <c r="HU898" s="59"/>
      <c r="HV898" s="62">
        <f>HO898+HT898</f>
        <v>2.1666666666666667E-2</v>
      </c>
      <c r="HW898" s="62"/>
      <c r="HX898" s="59">
        <v>4200</v>
      </c>
      <c r="HY898" s="59">
        <v>1900</v>
      </c>
      <c r="HZ898" s="59">
        <v>1975</v>
      </c>
      <c r="IA898" s="62">
        <f>ROUNDDOWN(HX898/HA898,0)</f>
        <v>6</v>
      </c>
      <c r="IB898" s="62">
        <f>ROUNDDOWN(HY898/HB898,0)</f>
        <v>4</v>
      </c>
      <c r="IC898" s="62">
        <f>ROUNDDOWN(HZ898/HC898,0)</f>
        <v>5</v>
      </c>
      <c r="ID898" s="61">
        <v>0.95</v>
      </c>
      <c r="IE898" s="62">
        <f>PRODUCT(IA898:ID898)</f>
        <v>114</v>
      </c>
      <c r="IF898" s="59">
        <v>1240</v>
      </c>
      <c r="IG898" s="62">
        <f>ROUNDUP(IF898/(IE898*HD898),2)</f>
        <v>0.05</v>
      </c>
      <c r="IH898" s="62"/>
      <c r="II898" s="61">
        <v>0.01</v>
      </c>
      <c r="IJ898" s="62">
        <f>(BA898+EU898)*II898</f>
        <v>3.5831646913580255E-2</v>
      </c>
    </row>
    <row r="899" spans="1:244" ht="30">
      <c r="A899">
        <v>884</v>
      </c>
      <c r="C899" t="s">
        <v>567</v>
      </c>
      <c r="D899" s="28" t="s">
        <v>883</v>
      </c>
      <c r="E899" s="28" t="s">
        <v>158</v>
      </c>
      <c r="F899" s="28" t="s">
        <v>2444</v>
      </c>
      <c r="G899" s="27" t="s">
        <v>108</v>
      </c>
      <c r="I899" s="27" t="s">
        <v>226</v>
      </c>
      <c r="J899" s="28">
        <v>21590</v>
      </c>
      <c r="K899" s="27" t="s">
        <v>397</v>
      </c>
      <c r="N899" s="13" t="s">
        <v>2675</v>
      </c>
      <c r="O899" s="13" t="s">
        <v>1763</v>
      </c>
      <c r="P899" s="13" t="s">
        <v>2612</v>
      </c>
      <c r="S899" s="13"/>
      <c r="T899" s="13"/>
      <c r="U899" s="13"/>
      <c r="V899" s="72" t="s">
        <v>2486</v>
      </c>
      <c r="W899" s="53" t="s">
        <v>2700</v>
      </c>
    </row>
    <row r="900" spans="1:244" ht="60">
      <c r="A900">
        <v>885</v>
      </c>
      <c r="B900" t="s">
        <v>468</v>
      </c>
      <c r="C900" t="s">
        <v>2707</v>
      </c>
      <c r="D900" s="28" t="s">
        <v>1724</v>
      </c>
      <c r="E900" s="28" t="s">
        <v>1723</v>
      </c>
      <c r="F900" s="28" t="s">
        <v>2182</v>
      </c>
      <c r="G900" s="27" t="s">
        <v>108</v>
      </c>
      <c r="I900" s="27" t="s">
        <v>121</v>
      </c>
      <c r="J900" s="28">
        <v>21697</v>
      </c>
      <c r="K900" s="27" t="s">
        <v>227</v>
      </c>
      <c r="L900">
        <v>20089</v>
      </c>
      <c r="M900" t="s">
        <v>121</v>
      </c>
      <c r="Q900" s="13" t="s">
        <v>1786</v>
      </c>
      <c r="R900" s="13" t="s">
        <v>1769</v>
      </c>
      <c r="S900" s="13" t="s">
        <v>2647</v>
      </c>
      <c r="T900" s="13"/>
      <c r="U900" s="13"/>
      <c r="V900" s="72" t="s">
        <v>2486</v>
      </c>
      <c r="W900" s="53" t="s">
        <v>2708</v>
      </c>
      <c r="AA900" t="s">
        <v>2315</v>
      </c>
      <c r="AB900" s="66">
        <v>98.97</v>
      </c>
      <c r="AC900">
        <v>20</v>
      </c>
      <c r="AD900" t="s">
        <v>2648</v>
      </c>
      <c r="AE900" s="7">
        <f>BA900</f>
        <v>36.395547999999998</v>
      </c>
      <c r="AF900" s="7">
        <f>DT900</f>
        <v>0</v>
      </c>
      <c r="AG900" s="7">
        <f>EU900+EM900+EP900+EQ900</f>
        <v>5.761316872427984</v>
      </c>
      <c r="AH900" s="7">
        <f>DM900</f>
        <v>10.199999999999999</v>
      </c>
      <c r="AI900" s="7">
        <f>DO900</f>
        <v>0.1275</v>
      </c>
      <c r="AJ900" s="7">
        <f>GW900</f>
        <v>0.11522633744855969</v>
      </c>
      <c r="AK900" s="7">
        <f>GU900</f>
        <v>0.52696081090534974</v>
      </c>
      <c r="AL900" s="7">
        <f>GS900</f>
        <v>4.6372551359670782</v>
      </c>
      <c r="AM900" s="7">
        <f>HV900</f>
        <v>0.45833333333333331</v>
      </c>
      <c r="AN900" s="7">
        <f>IG900</f>
        <v>0.43859649122807015</v>
      </c>
      <c r="AO900" s="7"/>
      <c r="AP900" s="7"/>
      <c r="AQ900" s="7">
        <f>SUM(AE900:AP900)</f>
        <v>58.660736981310372</v>
      </c>
      <c r="AR900" s="7"/>
      <c r="AS900" s="7"/>
      <c r="AT900" s="7"/>
      <c r="AU900" s="7">
        <f>58.77-58.66</f>
        <v>0.11000000000000654</v>
      </c>
      <c r="AV900" s="7">
        <f>AQ900+AU900+AT900+AR900</f>
        <v>58.770736981310378</v>
      </c>
      <c r="AW900" s="59">
        <v>0.36839999999999995</v>
      </c>
      <c r="AX900" s="59">
        <v>0.36514999999999997</v>
      </c>
      <c r="AY900" s="61">
        <v>1</v>
      </c>
      <c r="AZ900" s="69">
        <f>AW900-AX900</f>
        <v>3.2499999999999751E-3</v>
      </c>
      <c r="BA900" s="62">
        <f>AW900*AB900-(AZ900*AC900)*AY900</f>
        <v>36.395547999999998</v>
      </c>
      <c r="BB900" s="62"/>
      <c r="BC900" s="62"/>
      <c r="BD900" s="62"/>
      <c r="BE900" s="62"/>
      <c r="BF900" s="62"/>
      <c r="BG900" s="62"/>
      <c r="BH900" s="62"/>
      <c r="BI900" s="62"/>
      <c r="BJ900" s="62"/>
      <c r="BK900" s="62"/>
      <c r="BL900" s="62"/>
      <c r="BM900" s="62"/>
      <c r="BN900" s="62"/>
      <c r="BO900" s="62"/>
      <c r="BP900" s="62"/>
      <c r="BQ900" s="62"/>
      <c r="BR900" s="62"/>
      <c r="BS900" s="62"/>
      <c r="BT900" s="62"/>
      <c r="BU900" s="62"/>
      <c r="BV900" s="62"/>
      <c r="BW900" s="62"/>
      <c r="BX900" s="62"/>
      <c r="BY900" s="62"/>
      <c r="BZ900" s="62"/>
      <c r="CA900" s="62"/>
      <c r="CB900" s="62"/>
      <c r="CC900" s="62"/>
      <c r="CD900" s="59">
        <v>0</v>
      </c>
      <c r="CE900" s="59">
        <v>0</v>
      </c>
      <c r="CF900" s="59">
        <v>4</v>
      </c>
      <c r="CG900" s="59">
        <v>2.5499999999999998</v>
      </c>
      <c r="CH900" s="62">
        <f>CF900*CG900</f>
        <v>10.199999999999999</v>
      </c>
      <c r="CI900" s="59"/>
      <c r="CJ900" s="59"/>
      <c r="CK900" s="59"/>
      <c r="CL900" s="59"/>
      <c r="CM900" s="59"/>
      <c r="CN900" s="59"/>
      <c r="CO900" s="59"/>
      <c r="CP900" s="59"/>
      <c r="CQ900" s="59"/>
      <c r="CR900" s="59"/>
      <c r="CS900" s="59"/>
      <c r="CT900" s="59"/>
      <c r="CU900" s="59"/>
      <c r="CV900" s="59"/>
      <c r="CW900" s="59"/>
      <c r="CX900" s="59"/>
      <c r="CY900" s="59"/>
      <c r="CZ900" s="59"/>
      <c r="DA900" s="59"/>
      <c r="DB900" s="59"/>
      <c r="DC900" s="59"/>
      <c r="DD900" s="59"/>
      <c r="DE900" s="59"/>
      <c r="DF900" s="59"/>
      <c r="DG900" s="59"/>
      <c r="DH900" s="59"/>
      <c r="DI900" s="59"/>
      <c r="DJ900" s="59"/>
      <c r="DK900" s="59"/>
      <c r="DL900" s="59"/>
      <c r="DM900" s="62">
        <f>CH900+CM900+CR900+CW900+DB900+DG900+DK900</f>
        <v>10.199999999999999</v>
      </c>
      <c r="DN900" s="64">
        <v>1.2500000000000001E-2</v>
      </c>
      <c r="DO900" s="62">
        <f>DM900*DN900</f>
        <v>0.1275</v>
      </c>
      <c r="DP900" s="62">
        <f>DM900+DO900</f>
        <v>10.327499999999999</v>
      </c>
      <c r="DQ900" s="59"/>
      <c r="DR900" s="59"/>
      <c r="DS900" s="59"/>
      <c r="DT900" s="59"/>
      <c r="DU900" s="59"/>
      <c r="DV900" s="59"/>
      <c r="DW900" s="59"/>
      <c r="DX900" s="59"/>
      <c r="DY900" s="59"/>
      <c r="DZ900" s="59"/>
      <c r="EA900" s="59"/>
      <c r="EB900" s="59"/>
      <c r="EC900" s="59"/>
      <c r="ED900" s="59"/>
      <c r="EE900" s="59"/>
      <c r="EF900" s="59">
        <v>350</v>
      </c>
      <c r="EG900" s="59">
        <v>3500</v>
      </c>
      <c r="EH900" s="59">
        <v>7.5</v>
      </c>
      <c r="EI900" s="61">
        <v>0.9</v>
      </c>
      <c r="EJ900" s="59">
        <v>2</v>
      </c>
      <c r="EK900" s="59">
        <v>80</v>
      </c>
      <c r="EL900" s="65">
        <f>3600/EK900*EH900*EJ900*EI900</f>
        <v>607.5</v>
      </c>
      <c r="EM900" s="59"/>
      <c r="EN900" s="59"/>
      <c r="EO900" s="59"/>
      <c r="EP900" s="59"/>
      <c r="EQ900" s="59"/>
      <c r="ER900" s="59"/>
      <c r="ES900" s="59"/>
      <c r="ET900" s="59"/>
      <c r="EU900" s="62">
        <f>EG900/EL900+FA900</f>
        <v>5.761316872427984</v>
      </c>
      <c r="EV900" s="59"/>
      <c r="EW900" s="59"/>
      <c r="EX900" s="59"/>
      <c r="EY900" s="59"/>
      <c r="EZ900" s="59"/>
      <c r="FA900" s="59"/>
      <c r="FB900" s="59"/>
      <c r="FC900" s="59"/>
      <c r="FD900" s="59"/>
      <c r="FE900" s="59"/>
      <c r="FF900" s="59"/>
      <c r="FG900" s="59"/>
      <c r="FH900" s="59"/>
      <c r="FI900" s="59"/>
      <c r="FJ900" s="59"/>
      <c r="FK900" s="59"/>
      <c r="FL900" s="59"/>
      <c r="FM900" s="59"/>
      <c r="FN900" s="59"/>
      <c r="FO900" s="59"/>
      <c r="FP900" s="59"/>
      <c r="FQ900" s="59"/>
      <c r="FR900" s="59"/>
      <c r="FS900" s="59"/>
      <c r="FT900" s="59"/>
      <c r="FU900" s="59"/>
      <c r="FV900" s="59"/>
      <c r="FW900" s="59"/>
      <c r="FX900" s="59"/>
      <c r="FY900" s="59"/>
      <c r="FZ900" s="59"/>
      <c r="GA900" s="59"/>
      <c r="GB900" s="59"/>
      <c r="GC900" s="59"/>
      <c r="GD900" s="59"/>
      <c r="GE900" s="59"/>
      <c r="GF900" s="59"/>
      <c r="GG900" s="59"/>
      <c r="GH900" s="59"/>
      <c r="GI900" s="59"/>
      <c r="GJ900" s="59"/>
      <c r="GK900" s="59"/>
      <c r="GL900" s="59"/>
      <c r="GM900" s="59"/>
      <c r="GN900" s="59"/>
      <c r="GO900" s="59"/>
      <c r="GP900" s="59"/>
      <c r="GQ900" s="59"/>
      <c r="GR900" s="61">
        <v>0.11</v>
      </c>
      <c r="GS900" s="62">
        <f>GR900*(BA900+EU900+EP900+EQ900)</f>
        <v>4.6372551359670782</v>
      </c>
      <c r="GT900" s="64">
        <v>1.2500000000000001E-2</v>
      </c>
      <c r="GU900" s="62">
        <f>GT900*(BA900+EU900+EP900+EQ900)</f>
        <v>0.52696081090534974</v>
      </c>
      <c r="GV900" s="61">
        <v>0.02</v>
      </c>
      <c r="GW900" s="62">
        <f>GV900*EU900</f>
        <v>0.11522633744855969</v>
      </c>
      <c r="GX900" s="62">
        <f>GS900+GU900+GW900</f>
        <v>5.2794422843209876</v>
      </c>
      <c r="GY900" s="59" t="s">
        <v>43</v>
      </c>
      <c r="GZ900" s="59" t="s">
        <v>551</v>
      </c>
      <c r="HA900" s="59">
        <v>810</v>
      </c>
      <c r="HB900" s="59">
        <v>568</v>
      </c>
      <c r="HC900" s="59">
        <v>425</v>
      </c>
      <c r="HD900" s="59">
        <v>20</v>
      </c>
      <c r="HE900" s="59">
        <v>2000</v>
      </c>
      <c r="HF900" s="62">
        <f>ROUNDUP(HE900/HD900,0)</f>
        <v>100</v>
      </c>
      <c r="HG900" s="59">
        <v>5</v>
      </c>
      <c r="HH900" s="62">
        <f>HF900*HG900</f>
        <v>500</v>
      </c>
      <c r="HI900" s="59">
        <v>1100</v>
      </c>
      <c r="HJ900" s="62">
        <f>HH900*HI900</f>
        <v>550000</v>
      </c>
      <c r="HK900" s="59"/>
      <c r="HL900" s="59"/>
      <c r="HM900" s="59">
        <v>2</v>
      </c>
      <c r="HN900" s="62">
        <f>HM900*12*25*HE900</f>
        <v>1200000</v>
      </c>
      <c r="HO900" s="62">
        <f>IF(GY900="carton box",HI900/HD900,HJ900/HN900)</f>
        <v>0.45833333333333331</v>
      </c>
      <c r="HP900" s="59">
        <v>160</v>
      </c>
      <c r="HQ900" s="59">
        <v>0</v>
      </c>
      <c r="HR900" s="59">
        <v>0</v>
      </c>
      <c r="HS900" s="59">
        <v>0</v>
      </c>
      <c r="HT900" s="59">
        <v>0</v>
      </c>
      <c r="HU900" s="59"/>
      <c r="HV900" s="62">
        <f>HO900+HT900</f>
        <v>0.45833333333333331</v>
      </c>
      <c r="HW900" s="62"/>
      <c r="HX900" s="59">
        <v>4200</v>
      </c>
      <c r="HY900" s="59">
        <v>1900</v>
      </c>
      <c r="HZ900" s="59">
        <v>1975</v>
      </c>
      <c r="IA900" s="62">
        <f t="shared" ref="IA900:IC902" si="825">ROUNDDOWN(HX900/HA900,0)</f>
        <v>5</v>
      </c>
      <c r="IB900" s="62">
        <f t="shared" si="825"/>
        <v>3</v>
      </c>
      <c r="IC900" s="62">
        <f t="shared" si="825"/>
        <v>4</v>
      </c>
      <c r="ID900" s="61">
        <v>0.95</v>
      </c>
      <c r="IE900" s="62">
        <f>PRODUCT(IA900:ID900)</f>
        <v>57</v>
      </c>
      <c r="IF900" s="59">
        <v>500</v>
      </c>
      <c r="IG900" s="62">
        <f>IF900/(IE900*HD900)</f>
        <v>0.43859649122807015</v>
      </c>
      <c r="IH900" s="62"/>
    </row>
    <row r="901" spans="1:244" ht="45">
      <c r="A901">
        <v>886</v>
      </c>
      <c r="B901" t="s">
        <v>468</v>
      </c>
      <c r="C901" t="s">
        <v>2710</v>
      </c>
      <c r="D901" s="28" t="s">
        <v>1724</v>
      </c>
      <c r="E901" s="28" t="s">
        <v>1723</v>
      </c>
      <c r="F901" s="28" t="s">
        <v>2182</v>
      </c>
      <c r="G901" s="27" t="s">
        <v>108</v>
      </c>
      <c r="I901" s="27" t="s">
        <v>226</v>
      </c>
      <c r="J901" s="28">
        <v>21691</v>
      </c>
      <c r="K901" s="27" t="s">
        <v>404</v>
      </c>
      <c r="L901">
        <v>21401</v>
      </c>
      <c r="M901" t="s">
        <v>226</v>
      </c>
      <c r="Q901" s="13" t="s">
        <v>1786</v>
      </c>
      <c r="R901" s="13" t="s">
        <v>1769</v>
      </c>
      <c r="S901" s="13" t="s">
        <v>2647</v>
      </c>
      <c r="T901" s="13"/>
      <c r="U901" s="13"/>
      <c r="V901" s="72" t="s">
        <v>2486</v>
      </c>
      <c r="W901" s="53" t="s">
        <v>2709</v>
      </c>
      <c r="AA901" t="s">
        <v>2315</v>
      </c>
      <c r="AB901" s="66">
        <v>84.6</v>
      </c>
      <c r="AC901">
        <f>AB901-5</f>
        <v>79.599999999999994</v>
      </c>
      <c r="AD901"/>
      <c r="AE901" s="7">
        <f>BA901</f>
        <v>30.895249999999997</v>
      </c>
      <c r="AF901" s="7">
        <f>DT901</f>
        <v>0</v>
      </c>
      <c r="AG901" s="7">
        <f>EU901+EM901+EP901+EQ901</f>
        <v>5.1169590643274852</v>
      </c>
      <c r="AH901" s="7">
        <f>DM901</f>
        <v>10.199999999999999</v>
      </c>
      <c r="AI901" s="7">
        <f>DO901</f>
        <v>0.1275</v>
      </c>
      <c r="AJ901" s="7">
        <f>GW901</f>
        <v>0.1023391812865497</v>
      </c>
      <c r="AK901" s="7">
        <f>GU901</f>
        <v>0.45015261330409351</v>
      </c>
      <c r="AL901" s="7">
        <f>GS901</f>
        <v>3.9613429970760228</v>
      </c>
      <c r="AM901" s="7">
        <f>HV901</f>
        <v>0.45833333333333331</v>
      </c>
      <c r="AN901" s="7">
        <f>IG901</f>
        <v>0.27777777777777779</v>
      </c>
      <c r="AO901" s="7"/>
      <c r="AP901" s="7"/>
      <c r="AQ901" s="7">
        <f>SUM(AE901:AP901)</f>
        <v>51.589654967105261</v>
      </c>
      <c r="AR901" s="7"/>
      <c r="AS901" s="7"/>
      <c r="AT901" s="7"/>
      <c r="AU901" s="7">
        <f>51.58-51.59</f>
        <v>-1.0000000000005116E-2</v>
      </c>
      <c r="AV901" s="7">
        <f>AQ901+AU901+AT901+AR901</f>
        <v>51.579654967105256</v>
      </c>
      <c r="AW901" s="59">
        <v>0.36824999999999997</v>
      </c>
      <c r="AX901" s="59">
        <v>0.36499999999999999</v>
      </c>
      <c r="AY901" s="61">
        <v>1</v>
      </c>
      <c r="AZ901" s="69">
        <f>AW901-AX901</f>
        <v>3.2499999999999751E-3</v>
      </c>
      <c r="BA901" s="62">
        <f>AW901*AB901-(AZ901*AC901)*AY901</f>
        <v>30.895249999999997</v>
      </c>
      <c r="BB901" s="62"/>
      <c r="BC901" s="62"/>
      <c r="BD901" s="62"/>
      <c r="BE901" s="62"/>
      <c r="BF901" s="62"/>
      <c r="BG901" s="62"/>
      <c r="BH901" s="62"/>
      <c r="BI901" s="62"/>
      <c r="BJ901" s="62"/>
      <c r="BK901" s="62"/>
      <c r="BL901" s="62"/>
      <c r="BM901" s="62"/>
      <c r="BN901" s="62"/>
      <c r="BO901" s="62"/>
      <c r="BP901" s="62"/>
      <c r="BQ901" s="62"/>
      <c r="BR901" s="62"/>
      <c r="BS901" s="62"/>
      <c r="BT901" s="62"/>
      <c r="BU901" s="62"/>
      <c r="BV901" s="62"/>
      <c r="BW901" s="62"/>
      <c r="BX901" s="62"/>
      <c r="BY901" s="62"/>
      <c r="BZ901" s="62"/>
      <c r="CA901" s="62"/>
      <c r="CB901" s="62"/>
      <c r="CC901" s="62"/>
      <c r="CD901" s="59">
        <v>0</v>
      </c>
      <c r="CE901" s="59">
        <v>0</v>
      </c>
      <c r="CF901" s="59">
        <v>4</v>
      </c>
      <c r="CG901" s="59">
        <v>2.5499999999999998</v>
      </c>
      <c r="CH901" s="62">
        <f>CF901*CG901</f>
        <v>10.199999999999999</v>
      </c>
      <c r="CI901" s="59"/>
      <c r="CJ901" s="59"/>
      <c r="CK901" s="59"/>
      <c r="CL901" s="59"/>
      <c r="CM901" s="59"/>
      <c r="CN901" s="59"/>
      <c r="CO901" s="59"/>
      <c r="CP901" s="59"/>
      <c r="CQ901" s="59"/>
      <c r="CR901" s="59"/>
      <c r="CS901" s="59"/>
      <c r="CT901" s="59"/>
      <c r="CU901" s="59"/>
      <c r="CV901" s="59"/>
      <c r="CW901" s="59"/>
      <c r="CX901" s="59"/>
      <c r="CY901" s="59"/>
      <c r="CZ901" s="59"/>
      <c r="DA901" s="59"/>
      <c r="DB901" s="59"/>
      <c r="DC901" s="59"/>
      <c r="DD901" s="59"/>
      <c r="DE901" s="59"/>
      <c r="DF901" s="59"/>
      <c r="DG901" s="59"/>
      <c r="DH901" s="59"/>
      <c r="DI901" s="59"/>
      <c r="DJ901" s="59"/>
      <c r="DK901" s="59"/>
      <c r="DL901" s="59"/>
      <c r="DM901" s="62">
        <f>CH901+CM901+CR901+CW901+DB901+DG901+DK901</f>
        <v>10.199999999999999</v>
      </c>
      <c r="DN901" s="64">
        <v>1.2500000000000001E-2</v>
      </c>
      <c r="DO901" s="62">
        <f>DM901*DN901</f>
        <v>0.1275</v>
      </c>
      <c r="DP901" s="62">
        <f>DM901+DO901</f>
        <v>10.327499999999999</v>
      </c>
      <c r="DQ901" s="59"/>
      <c r="DR901" s="59"/>
      <c r="DS901" s="59"/>
      <c r="DT901" s="59"/>
      <c r="DU901" s="59"/>
      <c r="DV901" s="59"/>
      <c r="DW901" s="59"/>
      <c r="DX901" s="59"/>
      <c r="DY901" s="59"/>
      <c r="DZ901" s="59"/>
      <c r="EA901" s="59"/>
      <c r="EB901" s="59"/>
      <c r="EC901" s="59"/>
      <c r="ED901" s="59"/>
      <c r="EE901" s="59"/>
      <c r="EF901" s="59">
        <v>350</v>
      </c>
      <c r="EG901" s="59">
        <v>3500</v>
      </c>
      <c r="EH901" s="59">
        <v>8</v>
      </c>
      <c r="EI901" s="61">
        <v>0.95</v>
      </c>
      <c r="EJ901" s="59">
        <v>2</v>
      </c>
      <c r="EK901" s="59">
        <v>80</v>
      </c>
      <c r="EL901" s="65">
        <f>3600/EK901*EH901*EJ901*EI901</f>
        <v>684</v>
      </c>
      <c r="EM901" s="59"/>
      <c r="EN901" s="59"/>
      <c r="EO901" s="59"/>
      <c r="EP901" s="59"/>
      <c r="EQ901" s="59"/>
      <c r="ER901" s="59"/>
      <c r="ES901" s="59"/>
      <c r="ET901" s="59"/>
      <c r="EU901" s="62">
        <f>EG901/EL901+FA901</f>
        <v>5.1169590643274852</v>
      </c>
      <c r="EV901" s="59"/>
      <c r="EW901" s="59"/>
      <c r="EX901" s="59"/>
      <c r="EY901" s="59"/>
      <c r="EZ901" s="59"/>
      <c r="FA901" s="59"/>
      <c r="FB901" s="59"/>
      <c r="FC901" s="59"/>
      <c r="FD901" s="59"/>
      <c r="FE901" s="59"/>
      <c r="FF901" s="59"/>
      <c r="FG901" s="59"/>
      <c r="FH901" s="59"/>
      <c r="FI901" s="59"/>
      <c r="FJ901" s="59"/>
      <c r="FK901" s="59"/>
      <c r="FL901" s="59"/>
      <c r="FM901" s="59"/>
      <c r="FN901" s="59"/>
      <c r="FO901" s="59"/>
      <c r="FP901" s="59"/>
      <c r="FQ901" s="59"/>
      <c r="FR901" s="59"/>
      <c r="FS901" s="59"/>
      <c r="FT901" s="59"/>
      <c r="FU901" s="59"/>
      <c r="FV901" s="59"/>
      <c r="FW901" s="59"/>
      <c r="FX901" s="59"/>
      <c r="FY901" s="59"/>
      <c r="FZ901" s="59"/>
      <c r="GA901" s="59"/>
      <c r="GB901" s="59"/>
      <c r="GC901" s="59"/>
      <c r="GD901" s="59"/>
      <c r="GE901" s="59"/>
      <c r="GF901" s="59"/>
      <c r="GG901" s="59"/>
      <c r="GH901" s="59"/>
      <c r="GI901" s="59"/>
      <c r="GJ901" s="59"/>
      <c r="GK901" s="59"/>
      <c r="GL901" s="59"/>
      <c r="GM901" s="59"/>
      <c r="GN901" s="59"/>
      <c r="GO901" s="59"/>
      <c r="GP901" s="59"/>
      <c r="GQ901" s="59"/>
      <c r="GR901" s="61">
        <v>0.11</v>
      </c>
      <c r="GS901" s="62">
        <f>GR901*(BA901+EU901+EP901+EQ901)</f>
        <v>3.9613429970760228</v>
      </c>
      <c r="GT901" s="64">
        <v>1.2500000000000001E-2</v>
      </c>
      <c r="GU901" s="62">
        <f>GT901*(BA901+EU901+EP901+EQ901)</f>
        <v>0.45015261330409351</v>
      </c>
      <c r="GV901" s="61">
        <v>0.02</v>
      </c>
      <c r="GW901" s="62">
        <f>GV901*EU901</f>
        <v>0.1023391812865497</v>
      </c>
      <c r="GX901" s="62">
        <f>GS901+GU901+GW901</f>
        <v>4.5138347916666666</v>
      </c>
      <c r="GY901" s="59" t="s">
        <v>43</v>
      </c>
      <c r="GZ901" s="59" t="s">
        <v>551</v>
      </c>
      <c r="HA901" s="59">
        <v>810</v>
      </c>
      <c r="HB901" s="59">
        <v>568</v>
      </c>
      <c r="HC901" s="59">
        <v>425</v>
      </c>
      <c r="HD901" s="59">
        <v>20</v>
      </c>
      <c r="HE901" s="59">
        <v>2000</v>
      </c>
      <c r="HF901" s="62">
        <f>ROUNDUP(HE901/HD901,0)</f>
        <v>100</v>
      </c>
      <c r="HG901" s="59">
        <v>5</v>
      </c>
      <c r="HH901" s="62">
        <f>HF901*HG901</f>
        <v>500</v>
      </c>
      <c r="HI901" s="59">
        <v>1100</v>
      </c>
      <c r="HJ901" s="62">
        <f>HH901*HI901</f>
        <v>550000</v>
      </c>
      <c r="HK901" s="59"/>
      <c r="HL901" s="59"/>
      <c r="HM901" s="59">
        <v>2</v>
      </c>
      <c r="HN901" s="62">
        <f>HM901*12*25*HE901</f>
        <v>1200000</v>
      </c>
      <c r="HO901" s="62">
        <f>IF(GY901="carton box",HI901/HD901,HJ901/HN901)</f>
        <v>0.45833333333333331</v>
      </c>
      <c r="HP901" s="59">
        <v>160</v>
      </c>
      <c r="HQ901" s="59">
        <v>0</v>
      </c>
      <c r="HR901" s="59">
        <v>0</v>
      </c>
      <c r="HS901" s="59">
        <v>0</v>
      </c>
      <c r="HT901" s="59">
        <v>0</v>
      </c>
      <c r="HU901" s="59"/>
      <c r="HV901" s="62">
        <f>HO901+HT901</f>
        <v>0.45833333333333331</v>
      </c>
      <c r="HW901" s="62"/>
      <c r="HX901" s="59">
        <v>5016</v>
      </c>
      <c r="HY901" s="59">
        <v>1976</v>
      </c>
      <c r="HZ901" s="59">
        <v>2280</v>
      </c>
      <c r="IA901" s="62">
        <f t="shared" si="825"/>
        <v>6</v>
      </c>
      <c r="IB901" s="62">
        <f t="shared" si="825"/>
        <v>3</v>
      </c>
      <c r="IC901" s="62">
        <f t="shared" si="825"/>
        <v>5</v>
      </c>
      <c r="ID901" s="61">
        <v>0.95</v>
      </c>
      <c r="IE901" s="62">
        <f>PRODUCT(IA901:ID901)+4.5</f>
        <v>90</v>
      </c>
      <c r="IF901" s="59">
        <v>500</v>
      </c>
      <c r="IG901" s="62">
        <f>IF901/(IE901*HD901)</f>
        <v>0.27777777777777779</v>
      </c>
      <c r="IH901" s="62"/>
    </row>
    <row r="902" spans="1:244" ht="30">
      <c r="A902">
        <v>887</v>
      </c>
      <c r="B902" t="s">
        <v>468</v>
      </c>
      <c r="C902" t="s">
        <v>2711</v>
      </c>
      <c r="D902" s="28" t="s">
        <v>1725</v>
      </c>
      <c r="E902" s="28" t="s">
        <v>1699</v>
      </c>
      <c r="F902" s="28" t="s">
        <v>2182</v>
      </c>
      <c r="G902" s="27" t="s">
        <v>108</v>
      </c>
      <c r="I902" s="27" t="s">
        <v>121</v>
      </c>
      <c r="J902" s="28">
        <v>21697</v>
      </c>
      <c r="K902" s="27" t="s">
        <v>227</v>
      </c>
      <c r="L902">
        <v>20089</v>
      </c>
      <c r="M902" t="s">
        <v>121</v>
      </c>
      <c r="Q902" s="13" t="s">
        <v>1786</v>
      </c>
      <c r="R902" s="13" t="s">
        <v>1769</v>
      </c>
      <c r="S902" s="13" t="s">
        <v>2654</v>
      </c>
      <c r="T902" s="13"/>
      <c r="U902" s="13"/>
      <c r="V902" s="72" t="s">
        <v>2486</v>
      </c>
      <c r="W902" s="53" t="s">
        <v>2626</v>
      </c>
      <c r="AA902" s="72" t="s">
        <v>2712</v>
      </c>
      <c r="AB902" s="66">
        <v>118.76</v>
      </c>
      <c r="AC902">
        <v>20</v>
      </c>
      <c r="AD902" t="s">
        <v>2656</v>
      </c>
      <c r="AE902" s="7">
        <f>BA902</f>
        <v>39.135335000000005</v>
      </c>
      <c r="AF902" s="7">
        <f>DT902</f>
        <v>0</v>
      </c>
      <c r="AG902" s="7">
        <f>EU902+EM902+EP902+EQ902</f>
        <v>6.95</v>
      </c>
      <c r="AH902" s="7">
        <f>DM902</f>
        <v>0</v>
      </c>
      <c r="AI902" s="7">
        <f>DO902</f>
        <v>0</v>
      </c>
      <c r="AJ902" s="7">
        <f>GW902</f>
        <v>0.14000000000000001</v>
      </c>
      <c r="AK902" s="7">
        <f>GU902</f>
        <v>0.57999999999999996</v>
      </c>
      <c r="AL902" s="7">
        <f>GS902</f>
        <v>5.0699999999999994</v>
      </c>
      <c r="AM902" s="7">
        <f>HV902</f>
        <v>0.23</v>
      </c>
      <c r="AN902" s="7">
        <f>IG902</f>
        <v>0.21000000000000002</v>
      </c>
      <c r="AO902" s="7"/>
      <c r="AP902" s="7"/>
      <c r="AQ902" s="7">
        <f>SUM(AE902:AP902)</f>
        <v>52.315335000000005</v>
      </c>
      <c r="AR902" s="7"/>
      <c r="AS902" s="7"/>
      <c r="AT902" s="7"/>
      <c r="AU902" s="7"/>
      <c r="AV902" s="7">
        <f>AQ902+AU902+AT902+AR902</f>
        <v>52.315335000000005</v>
      </c>
      <c r="AW902" s="59">
        <v>0.33037500000000003</v>
      </c>
      <c r="AX902" s="59">
        <v>0.32537500000000003</v>
      </c>
      <c r="AY902" s="61">
        <v>1</v>
      </c>
      <c r="AZ902" s="69">
        <f>AW902-AX902</f>
        <v>5.0000000000000044E-3</v>
      </c>
      <c r="BA902" s="62">
        <f>AW902*AB902-(AZ902*AC902)*AY902</f>
        <v>39.135335000000005</v>
      </c>
      <c r="BB902" s="62"/>
      <c r="BC902" s="62"/>
      <c r="BD902" s="62"/>
      <c r="BE902" s="62"/>
      <c r="BF902" s="62"/>
      <c r="BG902" s="62"/>
      <c r="BH902" s="62"/>
      <c r="BI902" s="62"/>
      <c r="BJ902" s="62"/>
      <c r="BK902" s="62"/>
      <c r="BL902" s="62"/>
      <c r="BM902" s="62"/>
      <c r="BN902" s="62"/>
      <c r="BO902" s="62"/>
      <c r="BP902" s="62"/>
      <c r="BQ902" s="62"/>
      <c r="BR902" s="62"/>
      <c r="BS902" s="62"/>
      <c r="BT902" s="62"/>
      <c r="BU902" s="62"/>
      <c r="BV902" s="62"/>
      <c r="BW902" s="62"/>
      <c r="BX902" s="62"/>
      <c r="BY902" s="62"/>
      <c r="BZ902" s="62"/>
      <c r="CA902" s="62"/>
      <c r="CB902" s="62"/>
      <c r="CC902" s="62"/>
      <c r="CD902" s="59">
        <v>0</v>
      </c>
      <c r="CE902" s="59">
        <v>0</v>
      </c>
      <c r="CF902" s="59">
        <v>0</v>
      </c>
      <c r="CG902" s="59">
        <v>0</v>
      </c>
      <c r="CH902" s="59">
        <v>0</v>
      </c>
      <c r="CI902" s="59"/>
      <c r="CJ902" s="59"/>
      <c r="CK902" s="59"/>
      <c r="CL902" s="59"/>
      <c r="CM902" s="59"/>
      <c r="CN902" s="59"/>
      <c r="CO902" s="59"/>
      <c r="CP902" s="59"/>
      <c r="CQ902" s="59"/>
      <c r="CR902" s="59"/>
      <c r="CS902" s="59"/>
      <c r="CT902" s="59"/>
      <c r="CU902" s="59"/>
      <c r="CV902" s="59"/>
      <c r="CW902" s="59"/>
      <c r="CX902" s="59"/>
      <c r="CY902" s="59"/>
      <c r="CZ902" s="59"/>
      <c r="DA902" s="59"/>
      <c r="DB902" s="59"/>
      <c r="DC902" s="59"/>
      <c r="DD902" s="59"/>
      <c r="DE902" s="59"/>
      <c r="DF902" s="59"/>
      <c r="DG902" s="59"/>
      <c r="DH902" s="59"/>
      <c r="DI902" s="59"/>
      <c r="DJ902" s="59"/>
      <c r="DK902" s="59"/>
      <c r="DL902" s="59"/>
      <c r="DM902" s="62">
        <f>CH902+CM902+CR902+CW902+DB902+DG902+DK902</f>
        <v>0</v>
      </c>
      <c r="DN902" s="64">
        <v>1.2500000000000001E-2</v>
      </c>
      <c r="DO902" s="62">
        <f>DM902*DN902</f>
        <v>0</v>
      </c>
      <c r="DP902" s="62">
        <f>DM902+DO902</f>
        <v>0</v>
      </c>
      <c r="DQ902" s="59"/>
      <c r="DR902" s="59"/>
      <c r="DS902" s="59"/>
      <c r="DT902" s="59"/>
      <c r="DU902" s="59"/>
      <c r="DV902" s="59"/>
      <c r="DW902" s="59"/>
      <c r="DX902" s="59"/>
      <c r="DY902" s="59"/>
      <c r="DZ902" s="59"/>
      <c r="EA902" s="59"/>
      <c r="EB902" s="59"/>
      <c r="EC902" s="59"/>
      <c r="ED902" s="59"/>
      <c r="EE902" s="59"/>
      <c r="EF902" s="59">
        <v>450</v>
      </c>
      <c r="EG902" s="59">
        <v>4500</v>
      </c>
      <c r="EH902" s="59">
        <v>7.5</v>
      </c>
      <c r="EI902" s="61">
        <v>0.9</v>
      </c>
      <c r="EJ902" s="59">
        <v>2</v>
      </c>
      <c r="EK902" s="59">
        <v>75</v>
      </c>
      <c r="EL902" s="65">
        <f>3600/EK902*EH902*EJ902*EI902</f>
        <v>648</v>
      </c>
      <c r="EM902" s="59"/>
      <c r="EN902" s="59"/>
      <c r="EO902" s="59"/>
      <c r="EP902" s="59"/>
      <c r="EQ902" s="59"/>
      <c r="ER902" s="59"/>
      <c r="ES902" s="59"/>
      <c r="ET902" s="59"/>
      <c r="EU902" s="62">
        <f>ROUNDUP((EG902/EL902+FA902),2)</f>
        <v>6.95</v>
      </c>
      <c r="EV902" s="59"/>
      <c r="EW902" s="59"/>
      <c r="EX902" s="59"/>
      <c r="EY902" s="59"/>
      <c r="EZ902" s="59"/>
      <c r="FA902" s="59"/>
      <c r="FB902" s="59"/>
      <c r="FC902" s="59"/>
      <c r="FD902" s="59"/>
      <c r="FE902" s="59"/>
      <c r="FF902" s="59"/>
      <c r="FG902" s="59"/>
      <c r="FH902" s="59"/>
      <c r="FI902" s="59"/>
      <c r="FJ902" s="59"/>
      <c r="FK902" s="59"/>
      <c r="FL902" s="59"/>
      <c r="FM902" s="59"/>
      <c r="FN902" s="59"/>
      <c r="FO902" s="59"/>
      <c r="FP902" s="59"/>
      <c r="FQ902" s="59"/>
      <c r="FR902" s="59"/>
      <c r="FS902" s="59"/>
      <c r="FT902" s="59"/>
      <c r="FU902" s="59"/>
      <c r="FV902" s="59"/>
      <c r="FW902" s="59"/>
      <c r="FX902" s="59"/>
      <c r="FY902" s="59"/>
      <c r="FZ902" s="59"/>
      <c r="GA902" s="59"/>
      <c r="GB902" s="59"/>
      <c r="GC902" s="59"/>
      <c r="GD902" s="59"/>
      <c r="GE902" s="59"/>
      <c r="GF902" s="59"/>
      <c r="GG902" s="59"/>
      <c r="GH902" s="59"/>
      <c r="GI902" s="59"/>
      <c r="GJ902" s="59"/>
      <c r="GK902" s="59"/>
      <c r="GL902" s="59"/>
      <c r="GM902" s="59"/>
      <c r="GN902" s="59"/>
      <c r="GO902" s="59"/>
      <c r="GP902" s="59"/>
      <c r="GQ902" s="59"/>
      <c r="GR902" s="61">
        <v>0.11</v>
      </c>
      <c r="GS902" s="62">
        <f>ROUNDUP(GR902*(BA902+EU902),2)</f>
        <v>5.0699999999999994</v>
      </c>
      <c r="GT902" s="64">
        <v>1.2500000000000001E-2</v>
      </c>
      <c r="GU902" s="62">
        <f>ROUNDUP(GT902*(BA902+EU902),2)</f>
        <v>0.57999999999999996</v>
      </c>
      <c r="GV902" s="61">
        <v>0.02</v>
      </c>
      <c r="GW902" s="62">
        <f>ROUNDUP(GV902*EU902,2)</f>
        <v>0.14000000000000001</v>
      </c>
      <c r="GX902" s="62">
        <f>GS902+GU902+GW902</f>
        <v>5.7899999999999991</v>
      </c>
      <c r="GY902" s="59" t="s">
        <v>43</v>
      </c>
      <c r="GZ902" s="59" t="s">
        <v>551</v>
      </c>
      <c r="HA902" s="59">
        <v>810</v>
      </c>
      <c r="HB902" s="59">
        <v>568</v>
      </c>
      <c r="HC902" s="59">
        <v>425</v>
      </c>
      <c r="HD902" s="59">
        <v>42</v>
      </c>
      <c r="HE902" s="59">
        <v>200</v>
      </c>
      <c r="HF902" s="62">
        <f>ROUNDUP(HE902/HD902,0)</f>
        <v>5</v>
      </c>
      <c r="HG902" s="59">
        <v>5</v>
      </c>
      <c r="HH902" s="62">
        <f>HF902*HG902</f>
        <v>25</v>
      </c>
      <c r="HI902" s="59">
        <v>1100</v>
      </c>
      <c r="HJ902" s="62">
        <f>HH902*HI902</f>
        <v>27500</v>
      </c>
      <c r="HK902" s="59"/>
      <c r="HL902" s="59"/>
      <c r="HM902" s="59">
        <v>2</v>
      </c>
      <c r="HN902" s="62">
        <f>HM902*12*25*HE902</f>
        <v>120000</v>
      </c>
      <c r="HO902" s="62">
        <f>IF(GY902="carton box",HI902/HD902,HJ902/HN902)</f>
        <v>0.22916666666666666</v>
      </c>
      <c r="HP902" s="59">
        <v>160</v>
      </c>
      <c r="HQ902" s="59">
        <v>0</v>
      </c>
      <c r="HR902" s="59">
        <v>0</v>
      </c>
      <c r="HS902" s="59">
        <v>0</v>
      </c>
      <c r="HT902" s="59">
        <v>0</v>
      </c>
      <c r="HU902" s="59"/>
      <c r="HV902" s="62">
        <f>ROUNDUP(HO902+HT902,2)</f>
        <v>0.23</v>
      </c>
      <c r="HW902" s="62"/>
      <c r="HX902" s="59">
        <v>4700</v>
      </c>
      <c r="HY902" s="59">
        <v>1900</v>
      </c>
      <c r="HZ902" s="59">
        <v>1975</v>
      </c>
      <c r="IA902" s="62">
        <f t="shared" si="825"/>
        <v>5</v>
      </c>
      <c r="IB902" s="62">
        <f t="shared" si="825"/>
        <v>3</v>
      </c>
      <c r="IC902" s="62">
        <f t="shared" si="825"/>
        <v>4</v>
      </c>
      <c r="ID902" s="61">
        <v>0.95</v>
      </c>
      <c r="IE902" s="62">
        <f>PRODUCT(IA902:ID902)</f>
        <v>57</v>
      </c>
      <c r="IF902" s="59">
        <v>500</v>
      </c>
      <c r="IG902" s="62">
        <f>ROUNDUP(IF902/(IE902*HD902),2)</f>
        <v>0.21000000000000002</v>
      </c>
      <c r="IH902" s="62"/>
    </row>
    <row r="903" spans="1:244" ht="30">
      <c r="A903">
        <v>888</v>
      </c>
      <c r="C903" t="s">
        <v>567</v>
      </c>
      <c r="D903" s="28" t="s">
        <v>1725</v>
      </c>
      <c r="E903" s="28" t="s">
        <v>1726</v>
      </c>
      <c r="F903" s="28" t="s">
        <v>2444</v>
      </c>
      <c r="G903" s="27" t="s">
        <v>108</v>
      </c>
      <c r="I903" s="27" t="s">
        <v>94</v>
      </c>
      <c r="J903" s="28">
        <v>21697</v>
      </c>
      <c r="K903" s="27" t="s">
        <v>227</v>
      </c>
      <c r="N903" s="13" t="s">
        <v>2622</v>
      </c>
      <c r="O903" s="13" t="s">
        <v>1763</v>
      </c>
      <c r="P903" s="324">
        <v>44350</v>
      </c>
      <c r="S903" s="13"/>
      <c r="T903" s="13"/>
      <c r="U903" s="13"/>
      <c r="V903" s="72" t="s">
        <v>2486</v>
      </c>
      <c r="W903" s="53" t="s">
        <v>2713</v>
      </c>
    </row>
    <row r="904" spans="1:244">
      <c r="A904">
        <v>889</v>
      </c>
      <c r="D904" s="28" t="s">
        <v>884</v>
      </c>
      <c r="E904" s="28" t="s">
        <v>885</v>
      </c>
      <c r="F904" s="28"/>
      <c r="G904" s="27" t="s">
        <v>414</v>
      </c>
      <c r="I904" s="27" t="s">
        <v>121</v>
      </c>
      <c r="J904" s="28">
        <v>21677</v>
      </c>
      <c r="K904" s="27" t="s">
        <v>228</v>
      </c>
    </row>
    <row r="905" spans="1:244">
      <c r="A905">
        <v>890</v>
      </c>
      <c r="D905" s="28" t="s">
        <v>884</v>
      </c>
      <c r="E905" s="28" t="s">
        <v>885</v>
      </c>
      <c r="F905" s="28"/>
      <c r="G905" s="27" t="s">
        <v>414</v>
      </c>
      <c r="I905" s="27" t="s">
        <v>121</v>
      </c>
      <c r="J905" s="28">
        <v>21697</v>
      </c>
      <c r="K905" s="27" t="s">
        <v>227</v>
      </c>
    </row>
    <row r="906" spans="1:244">
      <c r="A906">
        <v>891</v>
      </c>
      <c r="D906" s="28" t="s">
        <v>884</v>
      </c>
      <c r="E906" s="28" t="s">
        <v>885</v>
      </c>
      <c r="F906" s="28"/>
      <c r="G906" s="27" t="s">
        <v>414</v>
      </c>
      <c r="I906" s="27" t="s">
        <v>94</v>
      </c>
      <c r="J906" s="28">
        <v>21591</v>
      </c>
      <c r="K906" s="27" t="s">
        <v>97</v>
      </c>
    </row>
    <row r="907" spans="1:244">
      <c r="A907">
        <v>892</v>
      </c>
      <c r="D907" s="28" t="s">
        <v>884</v>
      </c>
      <c r="E907" s="28" t="s">
        <v>885</v>
      </c>
      <c r="F907" s="28"/>
      <c r="G907" s="27" t="s">
        <v>414</v>
      </c>
      <c r="I907" s="27" t="s">
        <v>94</v>
      </c>
      <c r="J907" s="28">
        <v>21697</v>
      </c>
      <c r="K907" s="27" t="s">
        <v>227</v>
      </c>
    </row>
    <row r="908" spans="1:244">
      <c r="A908">
        <v>893</v>
      </c>
      <c r="D908" s="28" t="s">
        <v>884</v>
      </c>
      <c r="E908" s="28" t="s">
        <v>885</v>
      </c>
      <c r="F908" s="28"/>
      <c r="G908" s="27" t="s">
        <v>414</v>
      </c>
      <c r="I908" s="27" t="s">
        <v>226</v>
      </c>
      <c r="J908" s="28">
        <v>21590</v>
      </c>
      <c r="K908" s="27" t="s">
        <v>397</v>
      </c>
    </row>
    <row r="909" spans="1:244">
      <c r="A909">
        <v>894</v>
      </c>
      <c r="D909" s="28" t="s">
        <v>884</v>
      </c>
      <c r="E909" s="28" t="s">
        <v>885</v>
      </c>
      <c r="F909" s="28"/>
      <c r="G909" s="27" t="s">
        <v>414</v>
      </c>
      <c r="I909" s="27" t="s">
        <v>226</v>
      </c>
      <c r="J909" s="28">
        <v>21691</v>
      </c>
      <c r="K909" s="27" t="s">
        <v>404</v>
      </c>
    </row>
    <row r="910" spans="1:244">
      <c r="A910">
        <v>895</v>
      </c>
      <c r="D910" s="28" t="s">
        <v>886</v>
      </c>
      <c r="E910" s="28" t="s">
        <v>666</v>
      </c>
      <c r="F910" s="28"/>
      <c r="G910" s="27" t="s">
        <v>414</v>
      </c>
      <c r="I910" s="27" t="s">
        <v>121</v>
      </c>
      <c r="J910" s="28">
        <v>21677</v>
      </c>
      <c r="K910" s="27" t="s">
        <v>228</v>
      </c>
    </row>
    <row r="911" spans="1:244">
      <c r="A911">
        <v>896</v>
      </c>
      <c r="D911" s="28" t="s">
        <v>886</v>
      </c>
      <c r="E911" s="28" t="s">
        <v>666</v>
      </c>
      <c r="F911" s="28"/>
      <c r="G911" s="27" t="s">
        <v>414</v>
      </c>
      <c r="I911" s="27" t="s">
        <v>121</v>
      </c>
      <c r="J911" s="28">
        <v>21697</v>
      </c>
      <c r="K911" s="27" t="s">
        <v>227</v>
      </c>
    </row>
    <row r="912" spans="1:244">
      <c r="A912">
        <v>897</v>
      </c>
      <c r="D912" s="28" t="s">
        <v>886</v>
      </c>
      <c r="E912" s="28" t="s">
        <v>666</v>
      </c>
      <c r="F912" s="28"/>
      <c r="G912" s="27" t="s">
        <v>414</v>
      </c>
      <c r="I912" s="27" t="s">
        <v>94</v>
      </c>
      <c r="J912" s="28">
        <v>21591</v>
      </c>
      <c r="K912" s="27" t="s">
        <v>97</v>
      </c>
    </row>
    <row r="913" spans="1:11">
      <c r="A913">
        <v>898</v>
      </c>
      <c r="D913" s="28" t="s">
        <v>886</v>
      </c>
      <c r="E913" s="28" t="s">
        <v>666</v>
      </c>
      <c r="F913" s="28"/>
      <c r="G913" s="27" t="s">
        <v>414</v>
      </c>
      <c r="I913" s="27" t="s">
        <v>94</v>
      </c>
      <c r="J913" s="28">
        <v>21697</v>
      </c>
      <c r="K913" s="27" t="s">
        <v>227</v>
      </c>
    </row>
    <row r="914" spans="1:11">
      <c r="A914">
        <v>899</v>
      </c>
      <c r="D914" s="28" t="s">
        <v>886</v>
      </c>
      <c r="E914" s="28" t="s">
        <v>666</v>
      </c>
      <c r="F914" s="28"/>
      <c r="G914" s="27" t="s">
        <v>414</v>
      </c>
      <c r="I914" s="27" t="s">
        <v>226</v>
      </c>
      <c r="J914" s="28">
        <v>21590</v>
      </c>
      <c r="K914" s="27" t="s">
        <v>397</v>
      </c>
    </row>
    <row r="915" spans="1:11">
      <c r="A915">
        <v>900</v>
      </c>
      <c r="D915" s="28" t="s">
        <v>1727</v>
      </c>
      <c r="E915" s="28" t="s">
        <v>1712</v>
      </c>
      <c r="F915" s="28"/>
      <c r="G915" s="27" t="s">
        <v>414</v>
      </c>
      <c r="I915" s="27" t="s">
        <v>121</v>
      </c>
      <c r="J915" s="28">
        <v>21697</v>
      </c>
      <c r="K915" s="27" t="s">
        <v>227</v>
      </c>
    </row>
    <row r="916" spans="1:11">
      <c r="A916">
        <v>901</v>
      </c>
      <c r="D916" s="28" t="s">
        <v>1727</v>
      </c>
      <c r="E916" s="28" t="s">
        <v>1712</v>
      </c>
      <c r="F916" s="28"/>
      <c r="G916" s="27" t="s">
        <v>414</v>
      </c>
      <c r="I916" s="27" t="s">
        <v>94</v>
      </c>
      <c r="J916" s="28">
        <v>21697</v>
      </c>
      <c r="K916" s="27" t="s">
        <v>227</v>
      </c>
    </row>
    <row r="917" spans="1:11">
      <c r="A917">
        <v>902</v>
      </c>
      <c r="D917" s="28" t="s">
        <v>887</v>
      </c>
      <c r="E917" s="28" t="s">
        <v>888</v>
      </c>
      <c r="F917" s="28"/>
      <c r="G917" s="27" t="s">
        <v>414</v>
      </c>
      <c r="I917" s="27" t="s">
        <v>121</v>
      </c>
      <c r="J917" s="28">
        <v>21697</v>
      </c>
      <c r="K917" s="27" t="s">
        <v>227</v>
      </c>
    </row>
    <row r="918" spans="1:11">
      <c r="A918">
        <v>903</v>
      </c>
      <c r="D918" s="28" t="s">
        <v>889</v>
      </c>
      <c r="E918" s="28" t="s">
        <v>890</v>
      </c>
      <c r="F918" s="28"/>
      <c r="G918" s="27" t="s">
        <v>414</v>
      </c>
      <c r="I918" s="27" t="s">
        <v>121</v>
      </c>
      <c r="J918" s="28">
        <v>21697</v>
      </c>
      <c r="K918" s="27" t="s">
        <v>227</v>
      </c>
    </row>
    <row r="919" spans="1:11">
      <c r="A919">
        <v>904</v>
      </c>
      <c r="D919" s="28" t="s">
        <v>1728</v>
      </c>
      <c r="E919" s="28" t="s">
        <v>1601</v>
      </c>
      <c r="F919" s="28"/>
      <c r="G919" s="27" t="s">
        <v>414</v>
      </c>
      <c r="I919" s="27" t="s">
        <v>121</v>
      </c>
      <c r="J919" s="28">
        <v>21697</v>
      </c>
      <c r="K919" s="27" t="s">
        <v>227</v>
      </c>
    </row>
    <row r="920" spans="1:11">
      <c r="A920">
        <v>905</v>
      </c>
      <c r="D920" s="28" t="s">
        <v>1729</v>
      </c>
      <c r="E920" s="28" t="s">
        <v>761</v>
      </c>
      <c r="F920" s="28"/>
      <c r="G920" s="27" t="s">
        <v>414</v>
      </c>
      <c r="I920" s="27" t="s">
        <v>121</v>
      </c>
      <c r="J920" s="28">
        <v>21697</v>
      </c>
      <c r="K920" s="27" t="s">
        <v>227</v>
      </c>
    </row>
    <row r="921" spans="1:11">
      <c r="A921">
        <v>906</v>
      </c>
      <c r="D921" s="28" t="s">
        <v>1730</v>
      </c>
      <c r="E921" s="28" t="s">
        <v>323</v>
      </c>
      <c r="F921" s="28"/>
      <c r="G921" s="27" t="s">
        <v>414</v>
      </c>
      <c r="I921" s="27" t="s">
        <v>121</v>
      </c>
      <c r="J921" s="28">
        <v>21697</v>
      </c>
      <c r="K921" s="27" t="s">
        <v>227</v>
      </c>
    </row>
    <row r="922" spans="1:11">
      <c r="A922">
        <v>907</v>
      </c>
      <c r="D922" s="28" t="s">
        <v>1730</v>
      </c>
      <c r="E922" s="28" t="s">
        <v>323</v>
      </c>
      <c r="F922" s="28"/>
      <c r="G922" s="27" t="s">
        <v>414</v>
      </c>
      <c r="I922" s="27" t="s">
        <v>226</v>
      </c>
      <c r="J922" s="28">
        <v>21590</v>
      </c>
      <c r="K922" s="27" t="s">
        <v>397</v>
      </c>
    </row>
    <row r="923" spans="1:11">
      <c r="A923">
        <v>908</v>
      </c>
      <c r="D923" s="28" t="s">
        <v>1731</v>
      </c>
      <c r="E923" s="28" t="s">
        <v>1685</v>
      </c>
      <c r="F923" s="28"/>
      <c r="G923" s="27" t="s">
        <v>414</v>
      </c>
      <c r="I923" s="27" t="s">
        <v>121</v>
      </c>
      <c r="J923" s="28">
        <v>21697</v>
      </c>
      <c r="K923" s="27" t="s">
        <v>227</v>
      </c>
    </row>
    <row r="924" spans="1:11">
      <c r="A924">
        <v>909</v>
      </c>
      <c r="D924" s="28" t="s">
        <v>1732</v>
      </c>
      <c r="E924" s="28" t="s">
        <v>773</v>
      </c>
      <c r="F924" s="28"/>
      <c r="G924" s="27" t="s">
        <v>414</v>
      </c>
      <c r="I924" s="27" t="s">
        <v>121</v>
      </c>
      <c r="J924" s="28">
        <v>21697</v>
      </c>
      <c r="K924" s="27" t="s">
        <v>227</v>
      </c>
    </row>
    <row r="925" spans="1:11">
      <c r="A925">
        <v>910</v>
      </c>
      <c r="D925" s="28" t="s">
        <v>1733</v>
      </c>
      <c r="E925" s="28" t="s">
        <v>1734</v>
      </c>
      <c r="F925" s="28"/>
      <c r="G925" s="27" t="s">
        <v>414</v>
      </c>
      <c r="I925" s="27" t="s">
        <v>121</v>
      </c>
      <c r="J925" s="28">
        <v>21697</v>
      </c>
      <c r="K925" s="27" t="s">
        <v>227</v>
      </c>
    </row>
    <row r="926" spans="1:11">
      <c r="A926">
        <v>911</v>
      </c>
      <c r="D926" s="28" t="s">
        <v>1735</v>
      </c>
      <c r="E926" s="28" t="s">
        <v>1736</v>
      </c>
      <c r="F926" s="28"/>
      <c r="G926" s="27" t="s">
        <v>414</v>
      </c>
      <c r="I926" s="27" t="s">
        <v>121</v>
      </c>
      <c r="J926" s="28">
        <v>21697</v>
      </c>
      <c r="K926" s="27" t="s">
        <v>227</v>
      </c>
    </row>
    <row r="927" spans="1:11">
      <c r="A927">
        <v>912</v>
      </c>
      <c r="D927" s="28" t="s">
        <v>1737</v>
      </c>
      <c r="E927" s="28" t="s">
        <v>1738</v>
      </c>
      <c r="F927" s="28"/>
      <c r="G927" s="27" t="s">
        <v>414</v>
      </c>
      <c r="I927" s="27" t="s">
        <v>121</v>
      </c>
      <c r="J927" s="28">
        <v>21697</v>
      </c>
      <c r="K927" s="27" t="s">
        <v>227</v>
      </c>
    </row>
    <row r="928" spans="1:11">
      <c r="A928">
        <v>913</v>
      </c>
      <c r="D928" s="28" t="s">
        <v>1739</v>
      </c>
      <c r="E928" s="28" t="s">
        <v>1740</v>
      </c>
      <c r="F928" s="28"/>
      <c r="G928" s="27" t="s">
        <v>414</v>
      </c>
      <c r="I928" s="27" t="s">
        <v>121</v>
      </c>
      <c r="J928" s="28">
        <v>21697</v>
      </c>
      <c r="K928" s="27" t="s">
        <v>227</v>
      </c>
    </row>
    <row r="929" spans="1:27">
      <c r="A929">
        <v>914</v>
      </c>
      <c r="D929" s="28" t="s">
        <v>1741</v>
      </c>
      <c r="E929" s="28" t="s">
        <v>1742</v>
      </c>
      <c r="F929" s="28"/>
      <c r="G929" s="27" t="s">
        <v>414</v>
      </c>
      <c r="I929" s="27" t="s">
        <v>121</v>
      </c>
      <c r="J929" s="28">
        <v>21697</v>
      </c>
      <c r="K929" s="27" t="s">
        <v>227</v>
      </c>
    </row>
    <row r="930" spans="1:27">
      <c r="A930">
        <v>915</v>
      </c>
      <c r="D930" s="28" t="s">
        <v>1743</v>
      </c>
      <c r="E930" s="28" t="s">
        <v>1744</v>
      </c>
      <c r="F930" s="28"/>
      <c r="G930" s="27" t="s">
        <v>414</v>
      </c>
      <c r="I930" s="27" t="s">
        <v>121</v>
      </c>
      <c r="J930" s="28">
        <v>21697</v>
      </c>
      <c r="K930" s="27" t="s">
        <v>227</v>
      </c>
    </row>
    <row r="931" spans="1:27">
      <c r="A931">
        <v>916</v>
      </c>
      <c r="D931" s="28" t="s">
        <v>1743</v>
      </c>
      <c r="E931" s="28" t="s">
        <v>1744</v>
      </c>
      <c r="F931" s="28"/>
      <c r="G931" s="27" t="s">
        <v>414</v>
      </c>
      <c r="I931" s="27" t="s">
        <v>226</v>
      </c>
      <c r="J931" s="28">
        <v>21590</v>
      </c>
      <c r="K931" s="27" t="s">
        <v>397</v>
      </c>
    </row>
    <row r="932" spans="1:27">
      <c r="A932">
        <v>917</v>
      </c>
      <c r="D932" s="28" t="s">
        <v>1745</v>
      </c>
      <c r="E932" s="28" t="s">
        <v>1746</v>
      </c>
      <c r="F932" s="28"/>
      <c r="G932" s="27" t="s">
        <v>414</v>
      </c>
      <c r="I932" s="27" t="s">
        <v>121</v>
      </c>
      <c r="J932" s="28">
        <v>21697</v>
      </c>
      <c r="K932" s="27" t="s">
        <v>227</v>
      </c>
    </row>
    <row r="933" spans="1:27">
      <c r="A933">
        <v>918</v>
      </c>
      <c r="D933" s="28" t="s">
        <v>1745</v>
      </c>
      <c r="E933" s="28" t="s">
        <v>1746</v>
      </c>
      <c r="F933" s="28"/>
      <c r="G933" s="27" t="s">
        <v>414</v>
      </c>
      <c r="I933" s="27" t="s">
        <v>226</v>
      </c>
      <c r="J933" s="28">
        <v>21590</v>
      </c>
      <c r="K933" s="27" t="s">
        <v>397</v>
      </c>
    </row>
    <row r="934" spans="1:27">
      <c r="A934">
        <v>919</v>
      </c>
      <c r="D934" s="28" t="s">
        <v>1747</v>
      </c>
      <c r="E934" s="28" t="s">
        <v>1748</v>
      </c>
      <c r="F934" s="28"/>
      <c r="G934" s="27" t="s">
        <v>414</v>
      </c>
      <c r="I934" s="27" t="s">
        <v>121</v>
      </c>
      <c r="J934" s="28">
        <v>21697</v>
      </c>
      <c r="K934" s="27" t="s">
        <v>227</v>
      </c>
    </row>
    <row r="935" spans="1:27">
      <c r="A935">
        <v>920</v>
      </c>
      <c r="D935" s="28" t="s">
        <v>1749</v>
      </c>
      <c r="E935" s="28" t="s">
        <v>1750</v>
      </c>
      <c r="F935" s="28"/>
      <c r="G935" s="27" t="s">
        <v>414</v>
      </c>
      <c r="I935" s="27" t="s">
        <v>121</v>
      </c>
      <c r="J935" s="28">
        <v>21697</v>
      </c>
      <c r="K935" s="27" t="s">
        <v>227</v>
      </c>
    </row>
    <row r="936" spans="1:27">
      <c r="A936">
        <v>921</v>
      </c>
      <c r="D936" s="28" t="s">
        <v>1751</v>
      </c>
      <c r="E936" s="28" t="s">
        <v>1752</v>
      </c>
      <c r="F936" s="28"/>
      <c r="G936" s="27" t="s">
        <v>414</v>
      </c>
      <c r="I936" s="27" t="s">
        <v>121</v>
      </c>
      <c r="J936" s="28">
        <v>21697</v>
      </c>
      <c r="K936" s="27" t="s">
        <v>227</v>
      </c>
    </row>
    <row r="937" spans="1:27">
      <c r="A937">
        <v>922</v>
      </c>
      <c r="D937" s="28" t="s">
        <v>1753</v>
      </c>
      <c r="E937" s="28" t="s">
        <v>1754</v>
      </c>
      <c r="F937" s="28"/>
      <c r="G937" s="27" t="s">
        <v>414</v>
      </c>
      <c r="I937" s="27" t="s">
        <v>121</v>
      </c>
      <c r="J937" s="28">
        <v>21697</v>
      </c>
      <c r="K937" s="27" t="s">
        <v>227</v>
      </c>
    </row>
    <row r="938" spans="1:27">
      <c r="A938">
        <v>923</v>
      </c>
      <c r="D938" s="28" t="s">
        <v>1755</v>
      </c>
      <c r="E938" s="28" t="s">
        <v>1756</v>
      </c>
      <c r="F938" s="28"/>
      <c r="G938" s="27" t="s">
        <v>414</v>
      </c>
      <c r="I938" s="27" t="s">
        <v>121</v>
      </c>
      <c r="J938" s="28">
        <v>21697</v>
      </c>
      <c r="K938" s="27" t="s">
        <v>227</v>
      </c>
    </row>
    <row r="939" spans="1:27">
      <c r="A939">
        <v>924</v>
      </c>
      <c r="D939" s="28" t="s">
        <v>1757</v>
      </c>
      <c r="E939" s="28" t="s">
        <v>1758</v>
      </c>
      <c r="F939" s="28"/>
      <c r="G939" s="27" t="s">
        <v>414</v>
      </c>
      <c r="I939" s="27" t="s">
        <v>121</v>
      </c>
      <c r="J939" s="28">
        <v>21697</v>
      </c>
      <c r="K939" s="27" t="s">
        <v>227</v>
      </c>
    </row>
    <row r="940" spans="1:27">
      <c r="A940">
        <v>925</v>
      </c>
      <c r="D940" s="28" t="s">
        <v>1759</v>
      </c>
      <c r="E940" s="28" t="s">
        <v>1760</v>
      </c>
      <c r="F940" s="28"/>
      <c r="G940" s="27" t="s">
        <v>414</v>
      </c>
      <c r="I940" s="27" t="s">
        <v>121</v>
      </c>
      <c r="J940" s="28">
        <v>21697</v>
      </c>
      <c r="K940" s="27" t="s">
        <v>227</v>
      </c>
    </row>
    <row r="941" spans="1:27">
      <c r="A941">
        <v>926</v>
      </c>
      <c r="D941" s="28" t="s">
        <v>1761</v>
      </c>
      <c r="E941" s="237" t="s">
        <v>1762</v>
      </c>
      <c r="F941" s="28"/>
      <c r="G941" s="27" t="s">
        <v>414</v>
      </c>
      <c r="I941" s="27" t="s">
        <v>121</v>
      </c>
      <c r="J941" s="28">
        <v>21697</v>
      </c>
      <c r="K941" s="27" t="s">
        <v>227</v>
      </c>
    </row>
    <row r="942" spans="1:27">
      <c r="A942">
        <v>927</v>
      </c>
      <c r="D942" s="28" t="s">
        <v>1761</v>
      </c>
      <c r="E942" s="237" t="s">
        <v>1762</v>
      </c>
      <c r="F942" s="28"/>
      <c r="G942" s="27" t="s">
        <v>414</v>
      </c>
      <c r="I942" s="27" t="s">
        <v>94</v>
      </c>
      <c r="J942" s="28">
        <v>21697</v>
      </c>
      <c r="K942" s="27" t="s">
        <v>227</v>
      </c>
    </row>
    <row r="943" spans="1:27">
      <c r="A943">
        <v>928</v>
      </c>
      <c r="D943" s="28" t="s">
        <v>1761</v>
      </c>
      <c r="E943" s="237" t="s">
        <v>1762</v>
      </c>
      <c r="F943" s="28"/>
      <c r="G943" s="27" t="s">
        <v>414</v>
      </c>
      <c r="I943" s="27" t="s">
        <v>226</v>
      </c>
      <c r="J943" s="28">
        <v>21590</v>
      </c>
      <c r="K943" s="27" t="s">
        <v>397</v>
      </c>
    </row>
    <row r="944" spans="1:27">
      <c r="A944">
        <v>104</v>
      </c>
      <c r="B944" t="s">
        <v>1947</v>
      </c>
      <c r="D944" s="251" t="s">
        <v>98</v>
      </c>
      <c r="E944" s="27" t="s">
        <v>99</v>
      </c>
      <c r="F944" s="27"/>
      <c r="G944" t="s">
        <v>90</v>
      </c>
      <c r="I944" s="27" t="s">
        <v>226</v>
      </c>
      <c r="J944" s="28">
        <v>21085</v>
      </c>
      <c r="K944" s="27" t="s">
        <v>399</v>
      </c>
      <c r="L944" s="28"/>
      <c r="M944" s="28"/>
      <c r="N944" s="28"/>
      <c r="O944" s="28"/>
      <c r="P944" s="28"/>
      <c r="Q944" s="28"/>
      <c r="R944" s="28"/>
      <c r="S944" s="27"/>
      <c r="T944" s="27"/>
      <c r="U944" s="27"/>
      <c r="V944" s="29" t="s">
        <v>79</v>
      </c>
      <c r="W944"/>
      <c r="X944"/>
      <c r="Y944"/>
      <c r="Z944"/>
      <c r="AA944" s="21"/>
    </row>
    <row r="945" spans="1:337">
      <c r="A945">
        <v>227</v>
      </c>
      <c r="B945" t="s">
        <v>1947</v>
      </c>
      <c r="C945" s="27"/>
      <c r="D945" s="251" t="s">
        <v>662</v>
      </c>
      <c r="E945" s="252" t="s">
        <v>118</v>
      </c>
      <c r="F945" s="252"/>
      <c r="G945" s="252" t="s">
        <v>90</v>
      </c>
      <c r="H945" s="253"/>
      <c r="I945" s="252" t="s">
        <v>94</v>
      </c>
      <c r="J945" s="251">
        <v>21591</v>
      </c>
      <c r="K945" s="27" t="s">
        <v>97</v>
      </c>
      <c r="N945" s="28" t="s">
        <v>1893</v>
      </c>
      <c r="O945" s="28" t="s">
        <v>1805</v>
      </c>
      <c r="P945" s="331">
        <v>43747</v>
      </c>
      <c r="Q945" s="28"/>
      <c r="R945" s="28"/>
      <c r="S945" s="27"/>
      <c r="T945" s="27"/>
      <c r="U945" s="27"/>
      <c r="W945" s="13" t="s">
        <v>439</v>
      </c>
    </row>
    <row r="946" spans="1:337">
      <c r="A946">
        <v>393</v>
      </c>
      <c r="B946" t="s">
        <v>468</v>
      </c>
      <c r="C946" s="27" t="s">
        <v>898</v>
      </c>
      <c r="D946" s="28" t="s">
        <v>631</v>
      </c>
      <c r="E946" s="28" t="s">
        <v>632</v>
      </c>
      <c r="F946" s="28" t="s">
        <v>2182</v>
      </c>
      <c r="G946" s="27" t="s">
        <v>90</v>
      </c>
      <c r="I946" s="27" t="s">
        <v>94</v>
      </c>
      <c r="J946" s="28">
        <v>21590</v>
      </c>
      <c r="K946" s="27" t="s">
        <v>397</v>
      </c>
      <c r="L946" s="27">
        <v>21591</v>
      </c>
      <c r="M946" s="27" t="s">
        <v>94</v>
      </c>
      <c r="N946" s="27"/>
      <c r="O946" s="27"/>
      <c r="P946" s="370"/>
      <c r="Q946" s="27" t="s">
        <v>1782</v>
      </c>
      <c r="R946" s="27" t="s">
        <v>1194</v>
      </c>
      <c r="S946" s="370"/>
      <c r="T946" s="369"/>
      <c r="U946" s="370"/>
      <c r="V946" s="369"/>
      <c r="W946" s="370" t="s">
        <v>5044</v>
      </c>
      <c r="X946" s="370"/>
      <c r="Y946" s="370"/>
      <c r="Z946" s="370"/>
      <c r="AA946" s="369" t="s">
        <v>500</v>
      </c>
      <c r="AB946" s="369">
        <v>132.65</v>
      </c>
      <c r="AC946" s="369">
        <f t="shared" ref="AC946" si="826">AB946-5</f>
        <v>127.65</v>
      </c>
      <c r="AD946" s="369"/>
      <c r="AE946" s="369">
        <f t="shared" ref="AE946:AE947" si="827">BA946</f>
        <v>3.0609500000000001</v>
      </c>
      <c r="AF946" s="369"/>
      <c r="AG946" s="369">
        <f t="shared" ref="AG946:AG947" si="828">EU946</f>
        <v>1.3706140350877194</v>
      </c>
      <c r="AH946" s="369">
        <f t="shared" ref="AH946:AH947" si="829">DM946</f>
        <v>0</v>
      </c>
      <c r="AI946" s="369">
        <f t="shared" ref="AI946:AI947" si="830">DO946</f>
        <v>0</v>
      </c>
      <c r="AJ946" s="369">
        <f t="shared" ref="AJ946:AJ947" si="831">GW946</f>
        <v>2.7412280701754388E-2</v>
      </c>
      <c r="AK946" s="369">
        <f t="shared" ref="AK946:AK947" si="832">GU946</f>
        <v>5.5394550438596493E-2</v>
      </c>
      <c r="AL946" s="369">
        <f t="shared" ref="AL946:AL947" si="833">GS946</f>
        <v>0.45999634684210527</v>
      </c>
      <c r="AM946" s="369">
        <f t="shared" ref="AM946:AM947" si="834">HV946</f>
        <v>4.583333333333333E-2</v>
      </c>
      <c r="AN946" s="369">
        <f t="shared" ref="AN946:AN947" si="835">IG946</f>
        <v>6.9444444444444448E-2</v>
      </c>
      <c r="AO946" s="369">
        <f t="shared" ref="AO946:AO947" si="836">EY946</f>
        <v>0</v>
      </c>
      <c r="AP946" s="369"/>
      <c r="AQ946" s="369">
        <f t="shared" ref="AQ946:AQ947" si="837">SUM(AE946:AO946)</f>
        <v>5.0896449908479537</v>
      </c>
      <c r="AR946" s="369">
        <f t="shared" ref="AR946:AR947" si="838">IJ946</f>
        <v>0</v>
      </c>
      <c r="AS946" s="369">
        <f t="shared" ref="AS946:AS947" si="839">EO946</f>
        <v>0</v>
      </c>
      <c r="AT946" s="369">
        <v>0</v>
      </c>
      <c r="AU946" s="369">
        <v>0</v>
      </c>
      <c r="AV946" s="391">
        <f t="shared" ref="AV946:AV947" si="840">AQ946+AT946+AU946+AR946+AS946</f>
        <v>5.0896449908479537</v>
      </c>
      <c r="AW946" s="369">
        <v>2.5000000000000001E-2</v>
      </c>
      <c r="AX946" s="369">
        <v>2.3E-2</v>
      </c>
      <c r="AY946" s="369">
        <v>1</v>
      </c>
      <c r="AZ946" s="369">
        <f t="shared" ref="AZ946:AZ947" si="841">(AW946-AX946)*AY946</f>
        <v>2.0000000000000018E-3</v>
      </c>
      <c r="BA946" s="369">
        <f t="shared" ref="BA946:BA947" si="842">AW946*AB946-AZ946*AC946</f>
        <v>3.0609500000000001</v>
      </c>
      <c r="BB946" s="369"/>
      <c r="BC946" s="369"/>
      <c r="BD946" s="369"/>
      <c r="BE946" s="369"/>
      <c r="BF946" s="369"/>
      <c r="BG946" s="369"/>
      <c r="BH946" s="369"/>
      <c r="BI946" s="369"/>
      <c r="BJ946" s="369"/>
      <c r="BK946" s="369"/>
      <c r="BL946" s="369"/>
      <c r="BM946" s="369"/>
      <c r="BN946" s="369"/>
      <c r="BO946" s="369"/>
      <c r="BP946" s="369"/>
      <c r="BQ946" s="369"/>
      <c r="BR946" s="369"/>
      <c r="BS946" s="369"/>
      <c r="BT946" s="369"/>
      <c r="BU946" s="369"/>
      <c r="BV946" s="369"/>
      <c r="BW946" s="369"/>
      <c r="BX946" s="369"/>
      <c r="BY946" s="369"/>
      <c r="BZ946" s="369"/>
      <c r="CA946" s="369"/>
      <c r="CB946" s="369"/>
      <c r="CC946" s="369"/>
      <c r="CD946" s="369"/>
      <c r="CE946" s="369">
        <v>0</v>
      </c>
      <c r="CF946" s="369">
        <v>0</v>
      </c>
      <c r="CG946" s="369">
        <v>0</v>
      </c>
      <c r="CH946" s="369">
        <f t="shared" ref="CH946:CH947" si="843">CF946*CG946</f>
        <v>0</v>
      </c>
      <c r="CI946" s="369"/>
      <c r="CJ946" s="369"/>
      <c r="CK946" s="369">
        <v>0</v>
      </c>
      <c r="CL946" s="369">
        <v>0</v>
      </c>
      <c r="CM946" s="369">
        <f t="shared" ref="CM946:CM947" si="844">CK946*CL946</f>
        <v>0</v>
      </c>
      <c r="CN946" s="369"/>
      <c r="CO946" s="369"/>
      <c r="CP946" s="369">
        <v>0</v>
      </c>
      <c r="CQ946" s="369">
        <v>0</v>
      </c>
      <c r="CR946" s="369">
        <f t="shared" ref="CR946:CR947" si="845">CP946*CQ946</f>
        <v>0</v>
      </c>
      <c r="CS946" s="369"/>
      <c r="CT946" s="369"/>
      <c r="CU946" s="369">
        <v>0</v>
      </c>
      <c r="CV946" s="369">
        <v>0</v>
      </c>
      <c r="CW946" s="369">
        <f t="shared" ref="CW946:CW947" si="846">CU946*CV946</f>
        <v>0</v>
      </c>
      <c r="CX946" s="369"/>
      <c r="CY946" s="369"/>
      <c r="CZ946" s="369"/>
      <c r="DA946" s="369"/>
      <c r="DB946" s="369"/>
      <c r="DC946" s="369"/>
      <c r="DD946" s="369"/>
      <c r="DE946" s="369"/>
      <c r="DF946" s="369"/>
      <c r="DG946" s="369"/>
      <c r="DH946" s="369"/>
      <c r="DI946" s="369"/>
      <c r="DJ946" s="369"/>
      <c r="DK946" s="369"/>
      <c r="DL946" s="369"/>
      <c r="DM946" s="369">
        <f t="shared" ref="DM946:DM947" si="847">CH946+CM946+CR946+CW946+DB946+DG946+DL946</f>
        <v>0</v>
      </c>
      <c r="DN946" s="369">
        <v>1.2500000000000001E-2</v>
      </c>
      <c r="DO946" s="369">
        <f t="shared" ref="DO946:DO947" si="848">DM946*DN946</f>
        <v>0</v>
      </c>
      <c r="DP946" s="369">
        <f t="shared" ref="DP946:DP947" si="849">DM946+DO946</f>
        <v>0</v>
      </c>
      <c r="DQ946" s="369"/>
      <c r="DR946" s="369"/>
      <c r="DS946" s="369"/>
      <c r="DT946" s="369"/>
      <c r="DU946" s="369"/>
      <c r="DV946" s="369"/>
      <c r="DW946" s="369"/>
      <c r="DX946" s="369"/>
      <c r="DY946" s="369"/>
      <c r="DZ946" s="369"/>
      <c r="EA946" s="369"/>
      <c r="EB946" s="369"/>
      <c r="EC946" s="369"/>
      <c r="ED946" s="369"/>
      <c r="EE946" s="369"/>
      <c r="EF946" s="369">
        <v>150</v>
      </c>
      <c r="EG946" s="369">
        <v>1500</v>
      </c>
      <c r="EH946" s="369">
        <v>8</v>
      </c>
      <c r="EI946" s="369">
        <v>0.95</v>
      </c>
      <c r="EJ946" s="369">
        <v>2</v>
      </c>
      <c r="EK946" s="369">
        <v>50</v>
      </c>
      <c r="EL946" s="369">
        <f t="shared" ref="EL946:EL947" si="850">3600/EK946*EH946*EJ946*EI946</f>
        <v>1094.3999999999999</v>
      </c>
      <c r="EM946" s="369"/>
      <c r="EN946" s="369"/>
      <c r="EO946" s="369"/>
      <c r="EP946" s="369"/>
      <c r="EQ946" s="369"/>
      <c r="ER946" s="369"/>
      <c r="ES946" s="369"/>
      <c r="ET946" s="369"/>
      <c r="EU946" s="369">
        <f t="shared" ref="EU946:EU947" si="851">EG946/EL946+EM946+EX946+EP946+EQ946+ER946</f>
        <v>1.3706140350877194</v>
      </c>
      <c r="EV946" s="369"/>
      <c r="EW946" s="369"/>
      <c r="EX946" s="369"/>
      <c r="EY946" s="369"/>
      <c r="EZ946" s="369"/>
      <c r="FA946" s="369"/>
      <c r="FB946" s="369"/>
      <c r="FC946" s="369"/>
      <c r="FD946" s="369"/>
      <c r="FE946" s="369"/>
      <c r="FF946" s="369"/>
      <c r="FG946" s="369"/>
      <c r="FH946" s="369"/>
      <c r="FI946" s="369"/>
      <c r="FJ946" s="369"/>
      <c r="FK946" s="369"/>
      <c r="FL946" s="369"/>
      <c r="FM946" s="369"/>
      <c r="FN946" s="369"/>
      <c r="FO946" s="369"/>
      <c r="FP946" s="369"/>
      <c r="FQ946" s="369"/>
      <c r="FR946" s="369"/>
      <c r="FS946" s="369"/>
      <c r="FT946" s="369"/>
      <c r="FU946" s="369"/>
      <c r="FV946" s="369"/>
      <c r="FW946" s="369"/>
      <c r="FX946" s="369"/>
      <c r="FY946" s="369"/>
      <c r="FZ946" s="369"/>
      <c r="GA946" s="369"/>
      <c r="GB946" s="369"/>
      <c r="GC946" s="369"/>
      <c r="GD946" s="369"/>
      <c r="GE946" s="369"/>
      <c r="GF946" s="369"/>
      <c r="GG946" s="369"/>
      <c r="GH946" s="369"/>
      <c r="GI946" s="369"/>
      <c r="GJ946" s="369"/>
      <c r="GK946" s="369"/>
      <c r="GL946" s="369"/>
      <c r="GM946" s="369"/>
      <c r="GN946" s="369"/>
      <c r="GO946" s="369"/>
      <c r="GP946" s="369"/>
      <c r="GQ946" s="369"/>
      <c r="GR946" s="369">
        <v>0.1038</v>
      </c>
      <c r="GS946" s="369">
        <f t="shared" ref="GS946:GS947" si="852">GR946*(BA946+EU946)</f>
        <v>0.45999634684210527</v>
      </c>
      <c r="GT946" s="369">
        <v>1.2500000000000001E-2</v>
      </c>
      <c r="GU946" s="369">
        <f t="shared" ref="GU946:GU947" si="853">GT946*(EU946+BA946)</f>
        <v>5.5394550438596493E-2</v>
      </c>
      <c r="GV946" s="369">
        <v>0.02</v>
      </c>
      <c r="GW946" s="369">
        <f t="shared" ref="GW946:GW947" si="854">GV946*(EU946-EP946-EQ946)</f>
        <v>2.7412280701754388E-2</v>
      </c>
      <c r="GX946" s="369">
        <f t="shared" ref="GX946:GX947" si="855">GS946+GU946+GW946</f>
        <v>0.54280317798245614</v>
      </c>
      <c r="GY946" s="369" t="s">
        <v>130</v>
      </c>
      <c r="GZ946" s="369" t="s">
        <v>130</v>
      </c>
      <c r="HA946" s="369">
        <v>650</v>
      </c>
      <c r="HB946" s="369">
        <v>450</v>
      </c>
      <c r="HC946" s="369">
        <v>480</v>
      </c>
      <c r="HD946" s="369">
        <v>120</v>
      </c>
      <c r="HE946" s="369">
        <v>400</v>
      </c>
      <c r="HF946" s="369">
        <f t="shared" ref="HF946:HF947" si="856">ROUNDUP(HE946/HD946,0)</f>
        <v>4</v>
      </c>
      <c r="HG946" s="369">
        <v>5</v>
      </c>
      <c r="HH946" s="369">
        <f t="shared" ref="HH946:HH947" si="857">HF946*HG946</f>
        <v>20</v>
      </c>
      <c r="HI946" s="369">
        <v>550</v>
      </c>
      <c r="HJ946" s="369">
        <f t="shared" ref="HJ946:HJ947" si="858">HH946*HI946</f>
        <v>11000</v>
      </c>
      <c r="HK946" s="369"/>
      <c r="HL946" s="369"/>
      <c r="HM946" s="369">
        <v>2</v>
      </c>
      <c r="HN946" s="369">
        <f t="shared" ref="HN946:HN947" si="859">HM946*12*25*HE946</f>
        <v>240000</v>
      </c>
      <c r="HO946" s="369">
        <f t="shared" ref="HO946" si="860">IF(GY946="carton box",HI946/HD946,HJ946/HN946)</f>
        <v>4.583333333333333E-2</v>
      </c>
      <c r="HP946" s="369">
        <v>160</v>
      </c>
      <c r="HQ946" s="369">
        <v>0</v>
      </c>
      <c r="HR946" s="369">
        <v>0</v>
      </c>
      <c r="HS946" s="369">
        <v>0</v>
      </c>
      <c r="HT946" s="369">
        <f t="shared" ref="HT946:HT947" si="861">IF(ISERROR(HR946/HS946),0,HR946/HS946)</f>
        <v>0</v>
      </c>
      <c r="HU946" s="447"/>
      <c r="HV946" s="369">
        <f t="shared" ref="HV946:HV947" si="862">HO946+HT946</f>
        <v>4.583333333333333E-2</v>
      </c>
      <c r="HW946" s="369"/>
      <c r="HX946" s="369">
        <v>2917</v>
      </c>
      <c r="HY946" s="369">
        <v>1689</v>
      </c>
      <c r="HZ946" s="369">
        <v>1842</v>
      </c>
      <c r="IA946" s="369">
        <f t="shared" ref="IA946:IC947" si="863">ROUNDDOWN(HX946/HA946,0)</f>
        <v>4</v>
      </c>
      <c r="IB946" s="369">
        <f t="shared" si="863"/>
        <v>3</v>
      </c>
      <c r="IC946" s="369">
        <f t="shared" si="863"/>
        <v>3</v>
      </c>
      <c r="ID946" s="369">
        <v>1</v>
      </c>
      <c r="IE946" s="369">
        <f>PRODUCT(IA946:ID946)+24</f>
        <v>60</v>
      </c>
      <c r="IF946" s="369">
        <v>500</v>
      </c>
      <c r="IG946" s="369">
        <f t="shared" ref="IG946" si="864">IF946/(IE946*HD946)</f>
        <v>6.9444444444444448E-2</v>
      </c>
    </row>
    <row r="947" spans="1:337" ht="25.5">
      <c r="A947">
        <v>394</v>
      </c>
      <c r="B947" t="s">
        <v>468</v>
      </c>
      <c r="C947" s="454" t="s">
        <v>5043</v>
      </c>
      <c r="D947" s="28" t="s">
        <v>631</v>
      </c>
      <c r="E947" s="28" t="s">
        <v>632</v>
      </c>
      <c r="F947" s="28"/>
      <c r="G947" s="27" t="s">
        <v>90</v>
      </c>
      <c r="I947" s="27" t="s">
        <v>226</v>
      </c>
      <c r="J947" s="28">
        <v>21590</v>
      </c>
      <c r="K947" s="27" t="s">
        <v>397</v>
      </c>
      <c r="L947" s="27"/>
      <c r="M947" s="27"/>
      <c r="N947" s="27"/>
      <c r="O947" s="27"/>
      <c r="P947" s="370"/>
      <c r="Q947" s="27" t="s">
        <v>1768</v>
      </c>
      <c r="R947" s="27" t="s">
        <v>1194</v>
      </c>
      <c r="S947" s="370"/>
      <c r="T947" s="369"/>
      <c r="U947" s="370"/>
      <c r="V947" s="369"/>
      <c r="W947" s="444" t="s">
        <v>5045</v>
      </c>
      <c r="X947" s="444"/>
      <c r="Y947" s="444"/>
      <c r="Z947" s="444"/>
      <c r="AA947" s="369" t="s">
        <v>500</v>
      </c>
      <c r="AB947" s="369">
        <v>124.77</v>
      </c>
      <c r="AC947" s="369">
        <v>20</v>
      </c>
      <c r="AD947" s="369" t="s">
        <v>272</v>
      </c>
      <c r="AE947" s="369">
        <f t="shared" si="827"/>
        <v>3.2887899999999997</v>
      </c>
      <c r="AF947" s="369"/>
      <c r="AG947" s="369">
        <f t="shared" si="828"/>
        <v>1.6975308641975309</v>
      </c>
      <c r="AH947" s="369">
        <f t="shared" si="829"/>
        <v>0</v>
      </c>
      <c r="AI947" s="369">
        <f t="shared" si="830"/>
        <v>0</v>
      </c>
      <c r="AJ947" s="369">
        <f t="shared" si="831"/>
        <v>3.3950617283950615E-2</v>
      </c>
      <c r="AK947" s="369">
        <f t="shared" si="832"/>
        <v>6.2329010802469137E-2</v>
      </c>
      <c r="AL947" s="369">
        <f t="shared" si="833"/>
        <v>0.54849529506172834</v>
      </c>
      <c r="AM947" s="369">
        <f t="shared" si="834"/>
        <v>0.05</v>
      </c>
      <c r="AN947" s="369">
        <f t="shared" si="835"/>
        <v>0.04</v>
      </c>
      <c r="AO947" s="369">
        <f t="shared" si="836"/>
        <v>0</v>
      </c>
      <c r="AP947" s="369"/>
      <c r="AQ947" s="369">
        <f t="shared" si="837"/>
        <v>5.7210957873456785</v>
      </c>
      <c r="AR947" s="369">
        <f t="shared" si="838"/>
        <v>0</v>
      </c>
      <c r="AS947" s="369">
        <f t="shared" si="839"/>
        <v>0</v>
      </c>
      <c r="AT947" s="369">
        <v>0</v>
      </c>
      <c r="AU947" s="369">
        <f>5.74-5.72</f>
        <v>2.0000000000000462E-2</v>
      </c>
      <c r="AV947" s="391">
        <f t="shared" si="840"/>
        <v>5.7410957873456789</v>
      </c>
      <c r="AW947" s="369">
        <v>2.7E-2</v>
      </c>
      <c r="AX947" s="369">
        <v>2.3E-2</v>
      </c>
      <c r="AY947" s="369">
        <v>1</v>
      </c>
      <c r="AZ947" s="369">
        <f t="shared" si="841"/>
        <v>4.0000000000000001E-3</v>
      </c>
      <c r="BA947" s="369">
        <f t="shared" si="842"/>
        <v>3.2887899999999997</v>
      </c>
      <c r="BB947" s="369"/>
      <c r="BC947" s="369"/>
      <c r="BD947" s="369"/>
      <c r="BE947" s="369"/>
      <c r="BF947" s="369"/>
      <c r="BG947" s="369"/>
      <c r="BH947" s="369"/>
      <c r="BI947" s="369"/>
      <c r="BJ947" s="369"/>
      <c r="BK947" s="369"/>
      <c r="BL947" s="369"/>
      <c r="BM947" s="369"/>
      <c r="BN947" s="369"/>
      <c r="BO947" s="369"/>
      <c r="BP947" s="369"/>
      <c r="BQ947" s="369"/>
      <c r="BR947" s="369"/>
      <c r="BS947" s="369"/>
      <c r="BT947" s="369"/>
      <c r="BU947" s="369"/>
      <c r="BV947" s="369"/>
      <c r="BW947" s="369"/>
      <c r="BX947" s="369"/>
      <c r="BY947" s="369"/>
      <c r="BZ947" s="369"/>
      <c r="CA947" s="369"/>
      <c r="CB947" s="369"/>
      <c r="CC947" s="369"/>
      <c r="CD947" s="369"/>
      <c r="CE947" s="369">
        <v>0</v>
      </c>
      <c r="CF947" s="369">
        <v>0</v>
      </c>
      <c r="CG947" s="369">
        <v>0</v>
      </c>
      <c r="CH947" s="369">
        <f t="shared" si="843"/>
        <v>0</v>
      </c>
      <c r="CI947" s="369"/>
      <c r="CJ947" s="369"/>
      <c r="CK947" s="369">
        <v>0</v>
      </c>
      <c r="CL947" s="369">
        <v>0</v>
      </c>
      <c r="CM947" s="369">
        <f t="shared" si="844"/>
        <v>0</v>
      </c>
      <c r="CN947" s="369"/>
      <c r="CO947" s="369"/>
      <c r="CP947" s="369">
        <v>0</v>
      </c>
      <c r="CQ947" s="369">
        <v>0</v>
      </c>
      <c r="CR947" s="369">
        <f t="shared" si="845"/>
        <v>0</v>
      </c>
      <c r="CS947" s="369"/>
      <c r="CT947" s="369"/>
      <c r="CU947" s="369">
        <v>0</v>
      </c>
      <c r="CV947" s="369">
        <v>0</v>
      </c>
      <c r="CW947" s="369">
        <f t="shared" si="846"/>
        <v>0</v>
      </c>
      <c r="CX947" s="369"/>
      <c r="CY947" s="369"/>
      <c r="CZ947" s="369"/>
      <c r="DA947" s="369"/>
      <c r="DB947" s="369"/>
      <c r="DC947" s="369"/>
      <c r="DD947" s="369"/>
      <c r="DE947" s="369"/>
      <c r="DF947" s="369"/>
      <c r="DG947" s="369"/>
      <c r="DH947" s="369"/>
      <c r="DI947" s="369"/>
      <c r="DJ947" s="369"/>
      <c r="DK947" s="369"/>
      <c r="DL947" s="369"/>
      <c r="DM947" s="369">
        <f t="shared" si="847"/>
        <v>0</v>
      </c>
      <c r="DN947" s="369">
        <v>1.2500000000000001E-2</v>
      </c>
      <c r="DO947" s="369">
        <f t="shared" si="848"/>
        <v>0</v>
      </c>
      <c r="DP947" s="369">
        <f t="shared" si="849"/>
        <v>0</v>
      </c>
      <c r="DQ947" s="369"/>
      <c r="DR947" s="369"/>
      <c r="DS947" s="369"/>
      <c r="DT947" s="369"/>
      <c r="DU947" s="369"/>
      <c r="DV947" s="369"/>
      <c r="DW947" s="369"/>
      <c r="DX947" s="369"/>
      <c r="DY947" s="369"/>
      <c r="DZ947" s="369"/>
      <c r="EA947" s="369"/>
      <c r="EB947" s="369"/>
      <c r="EC947" s="369"/>
      <c r="ED947" s="369"/>
      <c r="EE947" s="369"/>
      <c r="EF947" s="369">
        <v>150</v>
      </c>
      <c r="EG947" s="369">
        <v>1500</v>
      </c>
      <c r="EH947" s="369">
        <v>7.5</v>
      </c>
      <c r="EI947" s="369">
        <v>0.9</v>
      </c>
      <c r="EJ947" s="369">
        <v>2</v>
      </c>
      <c r="EK947" s="369">
        <v>55</v>
      </c>
      <c r="EL947" s="369">
        <f t="shared" si="850"/>
        <v>883.63636363636363</v>
      </c>
      <c r="EM947" s="369"/>
      <c r="EN947" s="369"/>
      <c r="EO947" s="369"/>
      <c r="EP947" s="369"/>
      <c r="EQ947" s="369"/>
      <c r="ER947" s="369"/>
      <c r="ES947" s="369"/>
      <c r="ET947" s="369"/>
      <c r="EU947" s="369">
        <f t="shared" si="851"/>
        <v>1.6975308641975309</v>
      </c>
      <c r="EV947" s="369"/>
      <c r="EW947" s="369"/>
      <c r="EX947" s="369"/>
      <c r="EY947" s="369"/>
      <c r="EZ947" s="369"/>
      <c r="FA947" s="369"/>
      <c r="FB947" s="369"/>
      <c r="FC947" s="369"/>
      <c r="FD947" s="369"/>
      <c r="FE947" s="369"/>
      <c r="FF947" s="369"/>
      <c r="FG947" s="369"/>
      <c r="FH947" s="369"/>
      <c r="FI947" s="369"/>
      <c r="FJ947" s="369"/>
      <c r="FK947" s="369"/>
      <c r="FL947" s="369"/>
      <c r="FM947" s="369"/>
      <c r="FN947" s="369"/>
      <c r="FO947" s="369"/>
      <c r="FP947" s="369"/>
      <c r="FQ947" s="369"/>
      <c r="FR947" s="369"/>
      <c r="FS947" s="369"/>
      <c r="FT947" s="369"/>
      <c r="FU947" s="369"/>
      <c r="FV947" s="369"/>
      <c r="FW947" s="369"/>
      <c r="FX947" s="369"/>
      <c r="FY947" s="369"/>
      <c r="FZ947" s="369"/>
      <c r="GA947" s="369"/>
      <c r="GB947" s="369"/>
      <c r="GC947" s="369"/>
      <c r="GD947" s="369"/>
      <c r="GE947" s="369"/>
      <c r="GF947" s="369"/>
      <c r="GG947" s="369"/>
      <c r="GH947" s="369"/>
      <c r="GI947" s="369"/>
      <c r="GJ947" s="369"/>
      <c r="GK947" s="369"/>
      <c r="GL947" s="369"/>
      <c r="GM947" s="369"/>
      <c r="GN947" s="369"/>
      <c r="GO947" s="369"/>
      <c r="GP947" s="369"/>
      <c r="GQ947" s="369"/>
      <c r="GR947" s="369">
        <v>0.11</v>
      </c>
      <c r="GS947" s="369">
        <f t="shared" si="852"/>
        <v>0.54849529506172834</v>
      </c>
      <c r="GT947" s="369">
        <v>1.2500000000000001E-2</v>
      </c>
      <c r="GU947" s="369">
        <f t="shared" si="853"/>
        <v>6.2329010802469137E-2</v>
      </c>
      <c r="GV947" s="369">
        <v>0.02</v>
      </c>
      <c r="GW947" s="369">
        <f t="shared" si="854"/>
        <v>3.3950617283950615E-2</v>
      </c>
      <c r="GX947" s="369">
        <f t="shared" si="855"/>
        <v>0.6447749231481481</v>
      </c>
      <c r="GY947" s="369" t="s">
        <v>43</v>
      </c>
      <c r="GZ947" s="369" t="s">
        <v>87</v>
      </c>
      <c r="HA947" s="369">
        <v>650</v>
      </c>
      <c r="HB947" s="369">
        <v>450</v>
      </c>
      <c r="HC947" s="369">
        <v>330</v>
      </c>
      <c r="HD947" s="369">
        <v>120</v>
      </c>
      <c r="HE947" s="369">
        <v>800</v>
      </c>
      <c r="HF947" s="369">
        <f t="shared" si="856"/>
        <v>7</v>
      </c>
      <c r="HG947" s="369">
        <v>5</v>
      </c>
      <c r="HH947" s="369">
        <f t="shared" si="857"/>
        <v>35</v>
      </c>
      <c r="HI947" s="369">
        <v>650</v>
      </c>
      <c r="HJ947" s="369">
        <f t="shared" si="858"/>
        <v>22750</v>
      </c>
      <c r="HK947" s="369"/>
      <c r="HL947" s="369"/>
      <c r="HM947" s="369">
        <v>2</v>
      </c>
      <c r="HN947" s="369">
        <f t="shared" si="859"/>
        <v>480000</v>
      </c>
      <c r="HO947" s="369">
        <f>ROUNDUP(IF(GY947="carton box",HI947/HD947,HJ947/HN947),2)</f>
        <v>0.05</v>
      </c>
      <c r="HP947" s="369">
        <v>160</v>
      </c>
      <c r="HQ947" s="369">
        <v>0</v>
      </c>
      <c r="HR947" s="369">
        <v>0</v>
      </c>
      <c r="HS947" s="369">
        <v>0</v>
      </c>
      <c r="HT947" s="369">
        <f t="shared" si="861"/>
        <v>0</v>
      </c>
      <c r="HU947" s="447"/>
      <c r="HV947" s="369">
        <f t="shared" si="862"/>
        <v>0.05</v>
      </c>
      <c r="HW947" s="369"/>
      <c r="HX947" s="369">
        <v>4200</v>
      </c>
      <c r="HY947" s="369">
        <v>1900</v>
      </c>
      <c r="HZ947" s="369">
        <v>1975</v>
      </c>
      <c r="IA947" s="369">
        <f t="shared" si="863"/>
        <v>6</v>
      </c>
      <c r="IB947" s="369">
        <f t="shared" si="863"/>
        <v>4</v>
      </c>
      <c r="IC947" s="369">
        <f t="shared" si="863"/>
        <v>5</v>
      </c>
      <c r="ID947" s="369">
        <v>0.95</v>
      </c>
      <c r="IE947" s="369">
        <f>PRODUCT(IA947:ID947)</f>
        <v>114</v>
      </c>
      <c r="IF947" s="369">
        <v>500</v>
      </c>
      <c r="IG947" s="369">
        <f>ROUNDUP(IF947/(IE947*HD947),2)</f>
        <v>0.04</v>
      </c>
    </row>
    <row r="948" spans="1:337">
      <c r="A948">
        <v>395</v>
      </c>
      <c r="B948" t="s">
        <v>1947</v>
      </c>
      <c r="D948" s="28" t="s">
        <v>1261</v>
      </c>
      <c r="E948" s="28" t="s">
        <v>1262</v>
      </c>
      <c r="F948" s="28"/>
      <c r="G948" s="27" t="s">
        <v>90</v>
      </c>
      <c r="I948" s="27" t="s">
        <v>226</v>
      </c>
      <c r="J948" s="28">
        <v>21405</v>
      </c>
      <c r="K948" s="27" t="s">
        <v>1239</v>
      </c>
    </row>
    <row r="949" spans="1:337">
      <c r="A949">
        <v>396</v>
      </c>
      <c r="B949" t="s">
        <v>1947</v>
      </c>
      <c r="D949" s="28" t="s">
        <v>1261</v>
      </c>
      <c r="E949" s="28" t="s">
        <v>1262</v>
      </c>
      <c r="F949" s="28"/>
      <c r="G949" s="27" t="s">
        <v>90</v>
      </c>
      <c r="I949" s="27" t="s">
        <v>226</v>
      </c>
      <c r="J949" s="28">
        <v>21691</v>
      </c>
      <c r="K949" s="27" t="s">
        <v>404</v>
      </c>
    </row>
    <row r="950" spans="1:337">
      <c r="A950">
        <v>397</v>
      </c>
      <c r="B950" t="s">
        <v>1947</v>
      </c>
      <c r="D950" s="28" t="s">
        <v>1261</v>
      </c>
      <c r="E950" s="28" t="s">
        <v>1262</v>
      </c>
      <c r="F950" s="28"/>
      <c r="G950" s="27" t="s">
        <v>90</v>
      </c>
      <c r="I950" s="27" t="s">
        <v>226</v>
      </c>
      <c r="J950" s="28">
        <v>21696</v>
      </c>
      <c r="K950" s="27" t="s">
        <v>412</v>
      </c>
    </row>
    <row r="951" spans="1:337" ht="38.25">
      <c r="A951">
        <v>403</v>
      </c>
      <c r="B951" t="s">
        <v>468</v>
      </c>
      <c r="C951" s="454" t="s">
        <v>5046</v>
      </c>
      <c r="D951" s="28" t="s">
        <v>1265</v>
      </c>
      <c r="E951" s="28" t="s">
        <v>1266</v>
      </c>
      <c r="F951" s="28" t="s">
        <v>2182</v>
      </c>
      <c r="G951" s="27" t="s">
        <v>90</v>
      </c>
      <c r="I951" s="27" t="s">
        <v>226</v>
      </c>
      <c r="J951" s="28">
        <v>21590</v>
      </c>
      <c r="K951" s="27" t="s">
        <v>397</v>
      </c>
      <c r="L951" s="27"/>
      <c r="M951" s="27"/>
      <c r="N951" s="27"/>
      <c r="O951" s="27"/>
      <c r="P951" s="370"/>
      <c r="Q951" s="27" t="s">
        <v>1782</v>
      </c>
      <c r="R951" s="27" t="s">
        <v>1836</v>
      </c>
      <c r="S951" s="370"/>
      <c r="T951" s="369"/>
      <c r="U951" s="370"/>
      <c r="V951" s="369"/>
      <c r="W951" s="444" t="s">
        <v>5047</v>
      </c>
      <c r="X951" s="444"/>
      <c r="Y951" s="444"/>
      <c r="Z951" s="444"/>
      <c r="AA951" s="369"/>
      <c r="AB951" s="369">
        <v>0</v>
      </c>
      <c r="AC951" s="369">
        <v>0</v>
      </c>
      <c r="AD951" s="369"/>
      <c r="AE951" s="396">
        <f t="shared" ref="AE951" si="865">BA951</f>
        <v>0</v>
      </c>
      <c r="AF951" s="369">
        <f>DU951+DZ951+EE951</f>
        <v>86.392409458641964</v>
      </c>
      <c r="AG951" s="369">
        <f t="shared" ref="AG951" si="866">EU951</f>
        <v>4.9382716049382713</v>
      </c>
      <c r="AH951" s="369">
        <f t="shared" ref="AH951" si="867">DM951</f>
        <v>28.900000000000002</v>
      </c>
      <c r="AI951" s="369">
        <f t="shared" ref="AI951" si="868">DO951</f>
        <v>0.36125000000000007</v>
      </c>
      <c r="AJ951" s="369">
        <f t="shared" ref="AJ951" si="869">GW951</f>
        <v>0</v>
      </c>
      <c r="AK951" s="369">
        <f t="shared" ref="AK951" si="870">GU951</f>
        <v>6.1728395061728392E-2</v>
      </c>
      <c r="AL951" s="369">
        <f t="shared" ref="AL951" si="871">GS951</f>
        <v>0.54320987654320985</v>
      </c>
      <c r="AM951" s="369">
        <f t="shared" ref="AM951" si="872">HV951</f>
        <v>1.29</v>
      </c>
      <c r="AN951" s="369">
        <f t="shared" ref="AN951" si="873">IG951</f>
        <v>0.98</v>
      </c>
      <c r="AO951" s="369">
        <f t="shared" ref="AO951" si="874">EY951</f>
        <v>0</v>
      </c>
      <c r="AP951" s="369"/>
      <c r="AQ951" s="369">
        <f t="shared" ref="AQ951" si="875">SUM(AE951:AO951)</f>
        <v>123.46686933518519</v>
      </c>
      <c r="AR951" s="369">
        <f t="shared" ref="AR951" si="876">IJ951</f>
        <v>0</v>
      </c>
      <c r="AS951" s="369">
        <f t="shared" ref="AS951" si="877">EO951</f>
        <v>0</v>
      </c>
      <c r="AT951" s="369">
        <v>0</v>
      </c>
      <c r="AU951" s="369">
        <f>125.38-123.47</f>
        <v>1.9099999999999966</v>
      </c>
      <c r="AV951" s="402">
        <f t="shared" ref="AV951" si="878">AQ951+AT951+AU951+AR951+AS951</f>
        <v>125.37686933518519</v>
      </c>
      <c r="AW951" s="369">
        <v>0</v>
      </c>
      <c r="AX951" s="369">
        <v>0</v>
      </c>
      <c r="AY951" s="369">
        <v>0</v>
      </c>
      <c r="AZ951" s="369">
        <f t="shared" ref="AZ951" si="879">(AW951-AX951)*AY951</f>
        <v>0</v>
      </c>
      <c r="BA951" s="369">
        <f t="shared" ref="BA951" si="880">AW951*AB951-AZ951*AC951</f>
        <v>0</v>
      </c>
      <c r="BB951" s="369"/>
      <c r="BC951" s="369"/>
      <c r="BD951" s="369"/>
      <c r="BE951" s="369"/>
      <c r="BF951" s="369"/>
      <c r="BG951" s="369"/>
      <c r="BH951" s="369"/>
      <c r="BI951" s="369"/>
      <c r="BJ951" s="369"/>
      <c r="BK951" s="369"/>
      <c r="BL951" s="369"/>
      <c r="BM951" s="369"/>
      <c r="BN951" s="369"/>
      <c r="BO951" s="369"/>
      <c r="BP951" s="369"/>
      <c r="BQ951" s="369"/>
      <c r="BR951" s="369"/>
      <c r="BS951" s="369"/>
      <c r="BT951" s="369"/>
      <c r="BU951" s="369"/>
      <c r="BV951" s="369"/>
      <c r="BW951" s="369"/>
      <c r="BX951" s="369"/>
      <c r="BY951" s="369"/>
      <c r="BZ951" s="369"/>
      <c r="CA951" s="369"/>
      <c r="CB951" s="369"/>
      <c r="CC951" s="369"/>
      <c r="CD951" s="369"/>
      <c r="CE951" s="369"/>
      <c r="CF951" s="369"/>
      <c r="CG951" s="369"/>
      <c r="CH951" s="369"/>
      <c r="CI951" s="369" t="s">
        <v>5048</v>
      </c>
      <c r="CJ951" s="369" t="s">
        <v>5049</v>
      </c>
      <c r="CK951" s="369">
        <v>2</v>
      </c>
      <c r="CL951" s="369">
        <v>11.82</v>
      </c>
      <c r="CM951" s="369">
        <f>CK951*CL951</f>
        <v>23.64</v>
      </c>
      <c r="CN951" s="369" t="s">
        <v>5050</v>
      </c>
      <c r="CO951" s="369" t="s">
        <v>5051</v>
      </c>
      <c r="CP951" s="369">
        <v>2</v>
      </c>
      <c r="CQ951" s="369">
        <v>0.6</v>
      </c>
      <c r="CR951" s="369">
        <f>CP951*CQ951</f>
        <v>1.2</v>
      </c>
      <c r="CS951" s="369">
        <v>420001700</v>
      </c>
      <c r="CT951" s="369" t="s">
        <v>5052</v>
      </c>
      <c r="CU951" s="369">
        <v>2</v>
      </c>
      <c r="CV951" s="369">
        <v>0.47</v>
      </c>
      <c r="CW951" s="369">
        <f>CU951*CV951</f>
        <v>0.94</v>
      </c>
      <c r="CX951" s="369" t="s">
        <v>1811</v>
      </c>
      <c r="CY951" s="369" t="s">
        <v>5053</v>
      </c>
      <c r="CZ951" s="369">
        <v>3</v>
      </c>
      <c r="DA951" s="369">
        <v>1.04</v>
      </c>
      <c r="DB951" s="369">
        <f>CZ951*DA951</f>
        <v>3.12</v>
      </c>
      <c r="DC951" s="369"/>
      <c r="DD951" s="369"/>
      <c r="DE951" s="369"/>
      <c r="DF951" s="369"/>
      <c r="DG951" s="369"/>
      <c r="DH951" s="369"/>
      <c r="DI951" s="369"/>
      <c r="DJ951" s="369"/>
      <c r="DK951" s="369"/>
      <c r="DL951" s="369"/>
      <c r="DM951" s="369">
        <f>CH951+CM951+CR951+CW951+DB951+DG951+DL951</f>
        <v>28.900000000000002</v>
      </c>
      <c r="DN951" s="369">
        <v>1.2500000000000001E-2</v>
      </c>
      <c r="DO951" s="369">
        <f t="shared" ref="DO951" si="881">(DM951*DN951)</f>
        <v>0.36125000000000007</v>
      </c>
      <c r="DP951" s="369">
        <f t="shared" ref="DP951" si="882">DM951+DO951</f>
        <v>29.261250000000004</v>
      </c>
      <c r="DQ951" s="369" t="s">
        <v>5054</v>
      </c>
      <c r="DR951" s="369" t="s">
        <v>5055</v>
      </c>
      <c r="DS951" s="369">
        <v>1</v>
      </c>
      <c r="DT951" s="369">
        <f>KN951</f>
        <v>8.98566127345679</v>
      </c>
      <c r="DU951" s="369">
        <f>DS951*DT951</f>
        <v>8.98566127345679</v>
      </c>
      <c r="DV951" s="369" t="s">
        <v>5056</v>
      </c>
      <c r="DW951" s="369" t="s">
        <v>5057</v>
      </c>
      <c r="DX951" s="369">
        <v>1</v>
      </c>
      <c r="DY951" s="369">
        <f>LY951</f>
        <v>77.40674818518518</v>
      </c>
      <c r="DZ951" s="369">
        <f t="shared" ref="DZ951" si="883">DX951*DY951</f>
        <v>77.40674818518518</v>
      </c>
      <c r="EA951" s="369"/>
      <c r="EB951" s="369"/>
      <c r="EC951" s="369"/>
      <c r="ED951" s="369"/>
      <c r="EE951" s="369"/>
      <c r="EF951" s="369"/>
      <c r="EG951" s="369"/>
      <c r="EH951" s="369"/>
      <c r="EI951" s="369"/>
      <c r="EJ951" s="369"/>
      <c r="EK951" s="369"/>
      <c r="EL951" s="369"/>
      <c r="EM951" s="369"/>
      <c r="EN951" s="369"/>
      <c r="EO951" s="369"/>
      <c r="EP951" s="369"/>
      <c r="EQ951" s="369"/>
      <c r="ER951" s="369"/>
      <c r="ES951" s="369"/>
      <c r="ET951" s="369"/>
      <c r="EU951" s="369">
        <f>EX951</f>
        <v>4.9382716049382713</v>
      </c>
      <c r="EV951" s="369"/>
      <c r="EW951" s="369"/>
      <c r="EX951" s="369">
        <f>1600/(3600/75*7.5*0.9)</f>
        <v>4.9382716049382713</v>
      </c>
      <c r="EY951" s="369"/>
      <c r="EZ951" s="369"/>
      <c r="FA951" s="369"/>
      <c r="FB951" s="369"/>
      <c r="FC951" s="369"/>
      <c r="FD951" s="369"/>
      <c r="FE951" s="369"/>
      <c r="FF951" s="369"/>
      <c r="FG951" s="369"/>
      <c r="FH951" s="369"/>
      <c r="FI951" s="369"/>
      <c r="FJ951" s="369"/>
      <c r="FK951" s="369"/>
      <c r="FL951" s="369"/>
      <c r="FM951" s="369"/>
      <c r="FN951" s="369"/>
      <c r="FO951" s="369"/>
      <c r="FP951" s="369"/>
      <c r="FQ951" s="369"/>
      <c r="FR951" s="369"/>
      <c r="FS951" s="369"/>
      <c r="FT951" s="369"/>
      <c r="FU951" s="369"/>
      <c r="FV951" s="369"/>
      <c r="FW951" s="369"/>
      <c r="FX951" s="369"/>
      <c r="FY951" s="369"/>
      <c r="FZ951" s="369"/>
      <c r="GA951" s="369"/>
      <c r="GB951" s="369"/>
      <c r="GC951" s="369"/>
      <c r="GD951" s="369"/>
      <c r="GE951" s="369"/>
      <c r="GF951" s="369"/>
      <c r="GG951" s="369"/>
      <c r="GH951" s="369"/>
      <c r="GI951" s="369"/>
      <c r="GJ951" s="369"/>
      <c r="GK951" s="369"/>
      <c r="GL951" s="369"/>
      <c r="GM951" s="369"/>
      <c r="GN951" s="369"/>
      <c r="GO951" s="369"/>
      <c r="GP951" s="369"/>
      <c r="GQ951" s="369"/>
      <c r="GR951" s="369">
        <v>0.11</v>
      </c>
      <c r="GS951" s="369">
        <f>GR951*(BA951+EU951)</f>
        <v>0.54320987654320985</v>
      </c>
      <c r="GT951" s="369">
        <v>1.2500000000000001E-2</v>
      </c>
      <c r="GU951" s="369">
        <f>GT951*(EU951+BA951)</f>
        <v>6.1728395061728392E-2</v>
      </c>
      <c r="GV951" s="369"/>
      <c r="GW951" s="369"/>
      <c r="GX951" s="369"/>
      <c r="GY951" s="369" t="s">
        <v>43</v>
      </c>
      <c r="GZ951" s="369" t="s">
        <v>87</v>
      </c>
      <c r="HA951" s="369">
        <v>810</v>
      </c>
      <c r="HB951" s="369">
        <v>568</v>
      </c>
      <c r="HC951" s="369">
        <v>425</v>
      </c>
      <c r="HD951" s="369">
        <v>9</v>
      </c>
      <c r="HE951" s="369">
        <v>100</v>
      </c>
      <c r="HF951" s="369">
        <f t="shared" ref="HF951" si="884">ROUNDUP(HE951/HD951,0)</f>
        <v>12</v>
      </c>
      <c r="HG951" s="369">
        <v>5</v>
      </c>
      <c r="HH951" s="369">
        <f t="shared" ref="HH951" si="885">HF951*HG951</f>
        <v>60</v>
      </c>
      <c r="HI951" s="369">
        <v>1100</v>
      </c>
      <c r="HJ951" s="369">
        <f t="shared" ref="HJ951" si="886">HH951*HI951</f>
        <v>66000</v>
      </c>
      <c r="HK951" s="369"/>
      <c r="HL951" s="369"/>
      <c r="HM951" s="369">
        <v>2</v>
      </c>
      <c r="HN951" s="369">
        <f t="shared" ref="HN951" si="887">HM951*12*25*HE951</f>
        <v>60000</v>
      </c>
      <c r="HO951" s="369">
        <f t="shared" ref="HO951" si="888">(IF(GY951="carton box",HI951/HD951,HJ951/HN951))</f>
        <v>1.1000000000000001</v>
      </c>
      <c r="HP951" s="369">
        <v>160</v>
      </c>
      <c r="HQ951" s="369">
        <v>0</v>
      </c>
      <c r="HR951" s="369">
        <v>0.19</v>
      </c>
      <c r="HS951" s="369">
        <v>1</v>
      </c>
      <c r="HT951" s="369">
        <f t="shared" ref="HT951" si="889">IF(ISERROR(HR951/HS951),0,HR951/HS951)</f>
        <v>0.19</v>
      </c>
      <c r="HU951" s="447"/>
      <c r="HV951" s="369">
        <f>ROUNDUP(HO951+HT951,2)</f>
        <v>1.29</v>
      </c>
      <c r="HW951" s="369"/>
      <c r="HX951" s="369">
        <v>4200</v>
      </c>
      <c r="HY951" s="369">
        <v>1900</v>
      </c>
      <c r="HZ951" s="369">
        <v>1975</v>
      </c>
      <c r="IA951" s="369">
        <f t="shared" ref="IA951:IC951" si="890">ROUNDDOWN(HX951/HA951,0)</f>
        <v>5</v>
      </c>
      <c r="IB951" s="369">
        <f t="shared" si="890"/>
        <v>3</v>
      </c>
      <c r="IC951" s="369">
        <f t="shared" si="890"/>
        <v>4</v>
      </c>
      <c r="ID951" s="369">
        <v>0.95</v>
      </c>
      <c r="IE951" s="369">
        <f t="shared" ref="IE951" si="891">PRODUCT(IA951:ID951)</f>
        <v>57</v>
      </c>
      <c r="IF951" s="369">
        <v>500</v>
      </c>
      <c r="IG951" s="369">
        <f t="shared" ref="IG951" si="892">ROUNDUP(IF951/(IE951*HD951),2)</f>
        <v>0.98</v>
      </c>
      <c r="IH951" s="369"/>
      <c r="II951" s="369"/>
      <c r="IJ951" s="369"/>
      <c r="IK951" s="369" t="s">
        <v>1203</v>
      </c>
      <c r="IL951" s="369">
        <v>111.01</v>
      </c>
      <c r="IM951" s="369">
        <v>20</v>
      </c>
      <c r="IN951" s="369"/>
      <c r="IO951" s="369">
        <v>5.3999999999999999E-2</v>
      </c>
      <c r="IP951" s="369">
        <v>5.3999999999999999E-2</v>
      </c>
      <c r="IQ951" s="392">
        <v>0</v>
      </c>
      <c r="IR951" s="369">
        <f>(IO951-IP951)*IQ951</f>
        <v>0</v>
      </c>
      <c r="IS951" s="369">
        <f>IO951*IL951-IR951*IM951</f>
        <v>5.9945400000000006</v>
      </c>
      <c r="IT951" s="369">
        <v>0</v>
      </c>
      <c r="IU951" s="369">
        <v>0</v>
      </c>
      <c r="IV951" s="369">
        <f>IU951*IT951</f>
        <v>0</v>
      </c>
      <c r="IW951" s="369"/>
      <c r="IX951" s="369"/>
      <c r="IY951" s="369"/>
      <c r="IZ951" s="369"/>
      <c r="JA951" s="369"/>
      <c r="JB951" s="369"/>
      <c r="JC951" s="369"/>
      <c r="JD951" s="369"/>
      <c r="JE951" s="369"/>
      <c r="JF951" s="369"/>
      <c r="JG951" s="369"/>
      <c r="JH951" s="369"/>
      <c r="JI951" s="369"/>
      <c r="JJ951" s="369"/>
      <c r="JK951" s="369"/>
      <c r="JL951" s="369"/>
      <c r="JM951" s="369"/>
      <c r="JN951" s="369"/>
      <c r="JO951" s="369"/>
      <c r="JP951" s="369"/>
      <c r="JQ951" s="369">
        <f>IV951+JA951+JF951+JK951+JP951</f>
        <v>0</v>
      </c>
      <c r="JR951" s="369">
        <v>1.2500000000000001E-2</v>
      </c>
      <c r="JS951" s="369">
        <f>JR951*JQ951</f>
        <v>0</v>
      </c>
      <c r="JT951" s="369">
        <f>JS951+JQ951</f>
        <v>0</v>
      </c>
      <c r="JU951" s="369">
        <v>160</v>
      </c>
      <c r="JV951" s="369">
        <v>1600</v>
      </c>
      <c r="JW951" s="369">
        <v>7.5</v>
      </c>
      <c r="JX951" s="392">
        <v>0.9</v>
      </c>
      <c r="JY951" s="369">
        <v>2</v>
      </c>
      <c r="JZ951" s="369">
        <v>60</v>
      </c>
      <c r="KA951" s="369">
        <f>3600/JZ951*JY951*JX951*JW951</f>
        <v>810</v>
      </c>
      <c r="KB951" s="369"/>
      <c r="KC951" s="369">
        <f>JV951/KA951+KD951</f>
        <v>1.9753086419753085</v>
      </c>
      <c r="KD951" s="369">
        <v>0</v>
      </c>
      <c r="KE951" s="369">
        <v>0.11</v>
      </c>
      <c r="KF951" s="369">
        <f>KE951*(KC951+IS951)</f>
        <v>0.87668335061728397</v>
      </c>
      <c r="KG951" s="369">
        <v>1.2500000000000001E-2</v>
      </c>
      <c r="KH951" s="369">
        <f>KG951*(KC951+IS951)</f>
        <v>9.9623108024691376E-2</v>
      </c>
      <c r="KI951" s="369">
        <v>0.02</v>
      </c>
      <c r="KJ951" s="369">
        <f>KI951*KC951</f>
        <v>3.9506172839506172E-2</v>
      </c>
      <c r="KK951" s="369"/>
      <c r="KL951" s="369"/>
      <c r="KM951" s="369"/>
      <c r="KN951" s="369">
        <f>IS951+JQ951+JS951+KC951+KF951+KH951+KJ951</f>
        <v>8.98566127345679</v>
      </c>
      <c r="KO951" s="369" t="s">
        <v>1203</v>
      </c>
      <c r="KP951" s="369">
        <v>111.01</v>
      </c>
      <c r="KQ951" s="369">
        <v>20</v>
      </c>
      <c r="KR951" s="369"/>
      <c r="KS951" s="369">
        <v>0.48</v>
      </c>
      <c r="KT951" s="369">
        <v>0.48</v>
      </c>
      <c r="KU951" s="392">
        <v>1</v>
      </c>
      <c r="KV951" s="369">
        <f>(KS951-KT951)*KU951</f>
        <v>0</v>
      </c>
      <c r="KW951" s="369">
        <f>KS951*KP951-KV951*KQ951</f>
        <v>53.284799999999997</v>
      </c>
      <c r="KX951" s="369"/>
      <c r="KY951" s="369">
        <v>0</v>
      </c>
      <c r="KZ951" s="369">
        <v>1</v>
      </c>
      <c r="LA951" s="369">
        <v>2.75</v>
      </c>
      <c r="LB951" s="369">
        <f>KZ951*LA951</f>
        <v>2.75</v>
      </c>
      <c r="LC951" s="369">
        <v>1.2500000000000001E-2</v>
      </c>
      <c r="LD951" s="369">
        <f>LC951*LB951</f>
        <v>3.4375000000000003E-2</v>
      </c>
      <c r="LE951" s="369">
        <f>LD951+LB951</f>
        <v>2.7843749999999998</v>
      </c>
      <c r="LF951" s="369">
        <v>450</v>
      </c>
      <c r="LG951" s="369">
        <v>4500</v>
      </c>
      <c r="LH951" s="369">
        <v>7.5</v>
      </c>
      <c r="LI951" s="392">
        <v>0.9</v>
      </c>
      <c r="LJ951" s="369">
        <v>1</v>
      </c>
      <c r="LK951" s="369">
        <v>70</v>
      </c>
      <c r="LL951" s="369">
        <f>3600/LK951*LJ951*LI951*LH951</f>
        <v>347.14285714285717</v>
      </c>
      <c r="LM951" s="369"/>
      <c r="LN951" s="369">
        <f>LG951/LL951</f>
        <v>12.962962962962962</v>
      </c>
      <c r="LO951" s="369"/>
      <c r="LP951" s="369">
        <v>0.11</v>
      </c>
      <c r="LQ951" s="369">
        <f>LP951*(LN951+KW951)</f>
        <v>7.287253925925925</v>
      </c>
      <c r="LR951" s="369">
        <v>1.2500000000000001E-2</v>
      </c>
      <c r="LS951" s="369">
        <f>LR951*(LN951+KW951)</f>
        <v>0.82809703703703696</v>
      </c>
      <c r="LT951" s="369">
        <v>0.02</v>
      </c>
      <c r="LU951" s="369">
        <f>LT951*LN951</f>
        <v>0.25925925925925924</v>
      </c>
      <c r="LV951" s="369"/>
      <c r="LW951" s="369"/>
      <c r="LX951" s="369"/>
      <c r="LY951" s="369">
        <f>KW951+LB951+LD951+LN951+LQ951+LS951+LU951</f>
        <v>77.40674818518518</v>
      </c>
    </row>
    <row r="952" spans="1:337">
      <c r="A952">
        <v>404</v>
      </c>
      <c r="B952" t="s">
        <v>1947</v>
      </c>
      <c r="D952" s="28" t="s">
        <v>1265</v>
      </c>
      <c r="E952" s="28" t="s">
        <v>1266</v>
      </c>
      <c r="F952" s="28"/>
      <c r="G952" s="27" t="s">
        <v>90</v>
      </c>
      <c r="I952" s="27" t="s">
        <v>226</v>
      </c>
      <c r="J952" s="28">
        <v>21599</v>
      </c>
      <c r="K952" s="27" t="s">
        <v>1240</v>
      </c>
    </row>
    <row r="953" spans="1:337">
      <c r="A953">
        <v>406</v>
      </c>
      <c r="B953" t="s">
        <v>1947</v>
      </c>
      <c r="D953" s="28" t="s">
        <v>640</v>
      </c>
      <c r="E953" s="28" t="s">
        <v>641</v>
      </c>
      <c r="F953" s="28"/>
      <c r="G953" s="27" t="s">
        <v>90</v>
      </c>
      <c r="I953" s="27" t="s">
        <v>226</v>
      </c>
      <c r="J953" s="28">
        <v>21599</v>
      </c>
      <c r="K953" s="27" t="s">
        <v>1240</v>
      </c>
      <c r="N953" s="13" t="s">
        <v>1767</v>
      </c>
      <c r="O953" s="13" t="s">
        <v>1805</v>
      </c>
      <c r="P953" s="13" t="s">
        <v>1806</v>
      </c>
    </row>
    <row r="954" spans="1:337">
      <c r="A954">
        <v>408</v>
      </c>
      <c r="B954" t="s">
        <v>1947</v>
      </c>
      <c r="D954" s="28" t="s">
        <v>1267</v>
      </c>
      <c r="E954" s="28" t="s">
        <v>1268</v>
      </c>
      <c r="F954" s="28"/>
      <c r="G954" s="27" t="s">
        <v>90</v>
      </c>
      <c r="I954" s="27" t="s">
        <v>226</v>
      </c>
      <c r="J954" s="28">
        <v>21599</v>
      </c>
      <c r="K954" s="27" t="s">
        <v>1240</v>
      </c>
    </row>
    <row r="955" spans="1:337">
      <c r="A955">
        <v>415</v>
      </c>
      <c r="B955" t="s">
        <v>1947</v>
      </c>
      <c r="D955" s="28" t="s">
        <v>652</v>
      </c>
      <c r="E955" s="28" t="s">
        <v>653</v>
      </c>
      <c r="F955" s="28"/>
      <c r="G955" s="27" t="s">
        <v>90</v>
      </c>
      <c r="I955" s="27" t="s">
        <v>226</v>
      </c>
      <c r="J955" s="28">
        <v>21599</v>
      </c>
      <c r="K955" s="27" t="s">
        <v>1240</v>
      </c>
    </row>
    <row r="956" spans="1:337">
      <c r="A956">
        <v>474</v>
      </c>
      <c r="B956" t="s">
        <v>1947</v>
      </c>
      <c r="C956" s="334"/>
      <c r="D956" s="28" t="s">
        <v>1337</v>
      </c>
      <c r="E956" s="28" t="s">
        <v>184</v>
      </c>
      <c r="F956" s="28"/>
      <c r="G956" s="27" t="s">
        <v>90</v>
      </c>
      <c r="I956" s="27" t="s">
        <v>226</v>
      </c>
      <c r="J956" s="28">
        <v>21599</v>
      </c>
      <c r="K956" s="27" t="s">
        <v>1240</v>
      </c>
    </row>
    <row r="957" spans="1:337">
      <c r="A957">
        <v>502</v>
      </c>
      <c r="B957" t="s">
        <v>1947</v>
      </c>
      <c r="D957" s="28" t="s">
        <v>1359</v>
      </c>
      <c r="E957" s="28" t="s">
        <v>1360</v>
      </c>
      <c r="F957" s="28"/>
      <c r="G957" s="27" t="s">
        <v>90</v>
      </c>
      <c r="I957" s="27" t="s">
        <v>121</v>
      </c>
      <c r="J957" s="28">
        <v>21697</v>
      </c>
      <c r="K957" s="27" t="s">
        <v>227</v>
      </c>
    </row>
    <row r="958" spans="1:337" ht="30">
      <c r="A958">
        <v>929</v>
      </c>
      <c r="C958" t="s">
        <v>567</v>
      </c>
      <c r="D958" s="28">
        <v>178030</v>
      </c>
      <c r="E958" s="27" t="s">
        <v>317</v>
      </c>
      <c r="F958" t="s">
        <v>2444</v>
      </c>
      <c r="G958" s="27" t="s">
        <v>90</v>
      </c>
      <c r="I958" s="27" t="s">
        <v>121</v>
      </c>
      <c r="J958" s="28">
        <v>21205</v>
      </c>
      <c r="K958" s="27" t="s">
        <v>395</v>
      </c>
      <c r="W958" s="53" t="s">
        <v>465</v>
      </c>
    </row>
    <row r="959" spans="1:337" ht="30">
      <c r="A959">
        <v>930</v>
      </c>
      <c r="C959" t="s">
        <v>567</v>
      </c>
      <c r="D959" s="28">
        <v>178030</v>
      </c>
      <c r="E959" s="27" t="s">
        <v>317</v>
      </c>
      <c r="F959" t="s">
        <v>2444</v>
      </c>
      <c r="G959" s="27" t="s">
        <v>90</v>
      </c>
      <c r="I959" s="27" t="s">
        <v>94</v>
      </c>
      <c r="J959" s="28">
        <v>21205</v>
      </c>
      <c r="K959" s="27" t="s">
        <v>395</v>
      </c>
      <c r="W959" s="53" t="s">
        <v>465</v>
      </c>
    </row>
    <row r="960" spans="1:337" ht="30">
      <c r="A960">
        <v>931</v>
      </c>
      <c r="C960" t="s">
        <v>567</v>
      </c>
      <c r="D960" s="28">
        <v>178030</v>
      </c>
      <c r="E960" s="27" t="s">
        <v>317</v>
      </c>
      <c r="F960" t="s">
        <v>2444</v>
      </c>
      <c r="G960" s="27" t="s">
        <v>90</v>
      </c>
      <c r="I960" s="27" t="s">
        <v>226</v>
      </c>
      <c r="J960" s="28">
        <v>21557</v>
      </c>
      <c r="K960" s="27" t="s">
        <v>396</v>
      </c>
      <c r="W960" s="53" t="s">
        <v>465</v>
      </c>
    </row>
    <row r="961" spans="1:23">
      <c r="A961">
        <v>932</v>
      </c>
      <c r="C961" t="s">
        <v>567</v>
      </c>
      <c r="D961" s="28">
        <v>218000</v>
      </c>
      <c r="E961" s="27" t="s">
        <v>2971</v>
      </c>
      <c r="F961" t="s">
        <v>2444</v>
      </c>
      <c r="G961" s="27" t="s">
        <v>90</v>
      </c>
      <c r="I961" s="27" t="s">
        <v>121</v>
      </c>
      <c r="J961" s="28">
        <v>21205</v>
      </c>
      <c r="K961" s="27" t="s">
        <v>395</v>
      </c>
    </row>
    <row r="962" spans="1:23">
      <c r="A962">
        <v>934</v>
      </c>
      <c r="C962" t="s">
        <v>567</v>
      </c>
      <c r="D962" s="28">
        <v>228060</v>
      </c>
      <c r="E962" s="27" t="s">
        <v>2972</v>
      </c>
      <c r="F962" t="s">
        <v>2444</v>
      </c>
      <c r="G962" s="27" t="s">
        <v>90</v>
      </c>
      <c r="I962" s="27" t="s">
        <v>121</v>
      </c>
      <c r="J962" s="28">
        <v>21020</v>
      </c>
      <c r="K962" s="27" t="s">
        <v>403</v>
      </c>
      <c r="N962" s="370" t="s">
        <v>1764</v>
      </c>
      <c r="O962" s="27" t="s">
        <v>1763</v>
      </c>
      <c r="P962" s="370">
        <v>43105</v>
      </c>
      <c r="Q962" s="27"/>
      <c r="R962" s="27"/>
      <c r="S962" s="27"/>
      <c r="T962" s="27"/>
      <c r="U962" s="27"/>
      <c r="V962" s="369"/>
      <c r="W962" s="27" t="s">
        <v>1765</v>
      </c>
    </row>
    <row r="963" spans="1:23">
      <c r="A963">
        <v>936</v>
      </c>
      <c r="C963" t="s">
        <v>567</v>
      </c>
      <c r="D963" s="28">
        <v>228070</v>
      </c>
      <c r="E963" s="27" t="s">
        <v>2973</v>
      </c>
      <c r="F963" t="s">
        <v>2444</v>
      </c>
      <c r="G963" s="27" t="s">
        <v>90</v>
      </c>
      <c r="I963" s="27" t="s">
        <v>121</v>
      </c>
      <c r="J963" s="28">
        <v>21020</v>
      </c>
      <c r="K963" s="27" t="s">
        <v>403</v>
      </c>
      <c r="L963" s="27"/>
      <c r="M963" s="27"/>
      <c r="N963" s="28" t="s">
        <v>1764</v>
      </c>
      <c r="O963" s="27" t="s">
        <v>1763</v>
      </c>
      <c r="P963" s="370">
        <v>43105</v>
      </c>
      <c r="Q963" s="369"/>
      <c r="R963" s="369"/>
      <c r="S963" s="369"/>
      <c r="T963" s="369"/>
      <c r="U963" s="369"/>
      <c r="V963" s="369"/>
      <c r="W963" s="27" t="s">
        <v>1765</v>
      </c>
    </row>
    <row r="964" spans="1:23">
      <c r="A964">
        <v>938</v>
      </c>
      <c r="C964" t="s">
        <v>567</v>
      </c>
      <c r="D964" s="28">
        <v>258070</v>
      </c>
      <c r="E964" s="27" t="s">
        <v>2975</v>
      </c>
      <c r="F964" t="s">
        <v>2444</v>
      </c>
      <c r="G964" s="27" t="s">
        <v>90</v>
      </c>
      <c r="I964" s="27" t="s">
        <v>121</v>
      </c>
      <c r="J964" s="28">
        <v>21020</v>
      </c>
      <c r="K964" s="27" t="s">
        <v>403</v>
      </c>
      <c r="L964" s="27"/>
      <c r="M964" s="27"/>
      <c r="N964" s="28" t="s">
        <v>1764</v>
      </c>
      <c r="O964" s="27" t="s">
        <v>1763</v>
      </c>
      <c r="P964" s="370">
        <v>43105</v>
      </c>
      <c r="Q964" s="369"/>
      <c r="R964" s="369"/>
      <c r="S964" s="369"/>
      <c r="T964" s="369"/>
      <c r="U964" s="369"/>
      <c r="V964" s="369"/>
      <c r="W964" s="27" t="s">
        <v>1765</v>
      </c>
    </row>
    <row r="965" spans="1:23">
      <c r="A965">
        <v>939</v>
      </c>
      <c r="C965" t="s">
        <v>567</v>
      </c>
      <c r="D965" s="28">
        <v>258130</v>
      </c>
      <c r="E965" s="27" t="s">
        <v>2976</v>
      </c>
      <c r="F965" t="s">
        <v>2444</v>
      </c>
      <c r="G965" s="27" t="s">
        <v>90</v>
      </c>
      <c r="I965" s="27" t="s">
        <v>121</v>
      </c>
      <c r="J965" s="28">
        <v>21020</v>
      </c>
      <c r="K965" s="27" t="s">
        <v>403</v>
      </c>
      <c r="L965" s="27"/>
      <c r="M965" s="27"/>
      <c r="N965" s="28" t="s">
        <v>1764</v>
      </c>
      <c r="O965" s="27" t="s">
        <v>1763</v>
      </c>
      <c r="P965" s="370">
        <v>43105</v>
      </c>
      <c r="Q965" s="369"/>
      <c r="R965" s="369"/>
      <c r="S965" s="369"/>
      <c r="T965" s="369"/>
      <c r="U965" s="369"/>
      <c r="V965" s="369"/>
      <c r="W965" s="27" t="s">
        <v>1765</v>
      </c>
    </row>
    <row r="966" spans="1:23">
      <c r="A966">
        <v>941</v>
      </c>
      <c r="C966" t="s">
        <v>567</v>
      </c>
      <c r="D966" s="28">
        <v>1181150</v>
      </c>
      <c r="E966" s="27" t="s">
        <v>2977</v>
      </c>
      <c r="F966" t="s">
        <v>2444</v>
      </c>
      <c r="G966" s="27" t="s">
        <v>90</v>
      </c>
      <c r="I966" s="27" t="s">
        <v>121</v>
      </c>
      <c r="J966" s="28">
        <v>21020</v>
      </c>
      <c r="K966" s="27" t="s">
        <v>403</v>
      </c>
      <c r="L966" s="369"/>
      <c r="M966" s="369"/>
      <c r="N966" s="28" t="s">
        <v>1764</v>
      </c>
      <c r="O966" s="27" t="s">
        <v>1763</v>
      </c>
      <c r="P966" s="370">
        <v>43105</v>
      </c>
      <c r="Q966" s="369"/>
      <c r="R966" s="369"/>
      <c r="S966" s="369"/>
      <c r="T966" s="369"/>
      <c r="U966" s="369"/>
      <c r="V966" s="369"/>
      <c r="W966" s="27" t="s">
        <v>1765</v>
      </c>
    </row>
    <row r="967" spans="1:23">
      <c r="A967">
        <v>943</v>
      </c>
      <c r="C967" t="s">
        <v>567</v>
      </c>
      <c r="D967" s="28">
        <v>1181150</v>
      </c>
      <c r="E967" s="27" t="s">
        <v>2977</v>
      </c>
      <c r="F967" t="s">
        <v>2444</v>
      </c>
      <c r="G967" s="27" t="s">
        <v>90</v>
      </c>
      <c r="I967" s="27" t="s">
        <v>226</v>
      </c>
      <c r="J967" s="28">
        <v>21020</v>
      </c>
      <c r="K967" s="27" t="s">
        <v>403</v>
      </c>
      <c r="L967" s="369"/>
      <c r="M967" s="369"/>
      <c r="N967" s="28" t="s">
        <v>1764</v>
      </c>
      <c r="O967" s="27" t="s">
        <v>1763</v>
      </c>
      <c r="P967" s="370">
        <v>43104</v>
      </c>
      <c r="Q967" s="369"/>
      <c r="R967" s="369"/>
      <c r="S967" s="369"/>
      <c r="T967" s="369"/>
      <c r="U967" s="369"/>
      <c r="V967" s="369"/>
      <c r="W967" s="27" t="s">
        <v>1765</v>
      </c>
    </row>
    <row r="968" spans="1:23">
      <c r="A968">
        <v>945</v>
      </c>
      <c r="C968" t="s">
        <v>567</v>
      </c>
      <c r="D968" s="28">
        <v>1228880</v>
      </c>
      <c r="E968" s="27" t="s">
        <v>2978</v>
      </c>
      <c r="F968" t="s">
        <v>2444</v>
      </c>
      <c r="G968" s="27" t="s">
        <v>90</v>
      </c>
      <c r="I968" s="27" t="s">
        <v>121</v>
      </c>
      <c r="J968" s="28">
        <v>21020</v>
      </c>
      <c r="K968" s="27" t="s">
        <v>403</v>
      </c>
      <c r="L968" s="369"/>
      <c r="M968" s="369"/>
      <c r="N968" s="27" t="s">
        <v>1764</v>
      </c>
      <c r="O968" s="27" t="s">
        <v>1763</v>
      </c>
      <c r="P968" s="370">
        <v>43105</v>
      </c>
      <c r="Q968" s="369"/>
      <c r="R968" s="369"/>
      <c r="S968" s="369"/>
      <c r="T968" s="369"/>
      <c r="U968" s="369"/>
      <c r="V968" s="369"/>
      <c r="W968" s="27" t="s">
        <v>1765</v>
      </c>
    </row>
    <row r="969" spans="1:23">
      <c r="A969">
        <v>948</v>
      </c>
      <c r="C969" s="27" t="s">
        <v>567</v>
      </c>
      <c r="D969" s="28">
        <v>1228880</v>
      </c>
      <c r="E969" s="27" t="s">
        <v>2978</v>
      </c>
      <c r="F969" t="s">
        <v>2444</v>
      </c>
      <c r="G969" s="27" t="s">
        <v>90</v>
      </c>
      <c r="I969" s="27" t="s">
        <v>226</v>
      </c>
      <c r="J969" s="28">
        <v>21020</v>
      </c>
      <c r="K969" s="27" t="s">
        <v>403</v>
      </c>
      <c r="L969" s="369"/>
      <c r="M969" s="369"/>
      <c r="N969" s="27" t="s">
        <v>1764</v>
      </c>
      <c r="O969" s="27" t="s">
        <v>1763</v>
      </c>
      <c r="P969" s="370">
        <v>43104</v>
      </c>
      <c r="Q969" s="369"/>
      <c r="R969" s="369"/>
      <c r="S969" s="369"/>
      <c r="T969" s="369"/>
      <c r="U969" s="369"/>
      <c r="V969" s="369"/>
      <c r="W969" s="27" t="s">
        <v>1765</v>
      </c>
    </row>
    <row r="970" spans="1:23">
      <c r="A970">
        <v>949</v>
      </c>
      <c r="C970" s="27" t="s">
        <v>567</v>
      </c>
      <c r="D970" s="28">
        <v>7100380</v>
      </c>
      <c r="E970" s="27" t="s">
        <v>2979</v>
      </c>
      <c r="F970" t="s">
        <v>2444</v>
      </c>
      <c r="G970" s="27" t="s">
        <v>90</v>
      </c>
      <c r="I970" s="27" t="s">
        <v>121</v>
      </c>
      <c r="J970" s="28">
        <v>21205</v>
      </c>
      <c r="K970" s="27" t="s">
        <v>395</v>
      </c>
      <c r="L970" s="369"/>
      <c r="M970" s="369"/>
      <c r="N970" s="369" t="s">
        <v>1767</v>
      </c>
      <c r="O970" s="27" t="s">
        <v>4538</v>
      </c>
      <c r="P970" s="370">
        <v>44947</v>
      </c>
      <c r="Q970" s="369"/>
      <c r="R970" s="369"/>
      <c r="S970" s="369"/>
      <c r="T970" s="369"/>
      <c r="U970" s="369"/>
      <c r="V970" s="369"/>
      <c r="W970" s="27" t="s">
        <v>1765</v>
      </c>
    </row>
    <row r="971" spans="1:23">
      <c r="A971">
        <v>950</v>
      </c>
      <c r="C971" s="27" t="s">
        <v>567</v>
      </c>
      <c r="D971" s="28">
        <v>409198000</v>
      </c>
      <c r="E971" s="27" t="s">
        <v>2980</v>
      </c>
      <c r="F971" t="s">
        <v>2444</v>
      </c>
      <c r="G971" s="27" t="s">
        <v>90</v>
      </c>
      <c r="I971" s="27" t="s">
        <v>121</v>
      </c>
      <c r="J971" s="28">
        <v>21205</v>
      </c>
      <c r="K971" s="27" t="s">
        <v>395</v>
      </c>
      <c r="L971" s="369"/>
      <c r="M971" s="369"/>
      <c r="N971" s="369"/>
      <c r="O971" s="27" t="s">
        <v>4538</v>
      </c>
      <c r="P971" s="370">
        <v>44947</v>
      </c>
      <c r="Q971" s="369"/>
      <c r="R971" s="369"/>
      <c r="S971" s="369"/>
      <c r="T971" s="369"/>
      <c r="U971" s="369"/>
      <c r="V971" s="369"/>
      <c r="W971" s="27" t="s">
        <v>1765</v>
      </c>
    </row>
    <row r="972" spans="1:23">
      <c r="A972">
        <v>951</v>
      </c>
      <c r="C972" s="27" t="s">
        <v>567</v>
      </c>
      <c r="D972" s="28">
        <v>409198000</v>
      </c>
      <c r="E972" s="27" t="s">
        <v>2980</v>
      </c>
      <c r="F972" t="s">
        <v>2444</v>
      </c>
      <c r="G972" s="27" t="s">
        <v>90</v>
      </c>
      <c r="I972" s="27" t="s">
        <v>94</v>
      </c>
      <c r="J972" s="28">
        <v>21205</v>
      </c>
      <c r="K972" s="27" t="s">
        <v>395</v>
      </c>
      <c r="L972" s="369"/>
      <c r="M972" s="369"/>
      <c r="N972" s="369"/>
      <c r="O972" s="27" t="s">
        <v>4539</v>
      </c>
      <c r="P972" s="370">
        <v>43797</v>
      </c>
      <c r="Q972" s="369"/>
      <c r="R972" s="369"/>
      <c r="S972" s="369"/>
      <c r="T972" s="369"/>
      <c r="U972" s="369"/>
      <c r="V972" s="369"/>
      <c r="W972" s="27" t="s">
        <v>1765</v>
      </c>
    </row>
    <row r="973" spans="1:23">
      <c r="A973">
        <v>952</v>
      </c>
      <c r="C973" s="27" t="s">
        <v>567</v>
      </c>
      <c r="D973" s="28">
        <v>409198000</v>
      </c>
      <c r="E973" s="27" t="s">
        <v>2980</v>
      </c>
      <c r="F973" t="s">
        <v>2444</v>
      </c>
      <c r="G973" s="27" t="s">
        <v>90</v>
      </c>
      <c r="I973" s="27" t="s">
        <v>226</v>
      </c>
      <c r="J973" s="28">
        <v>21557</v>
      </c>
      <c r="K973" s="27" t="s">
        <v>396</v>
      </c>
      <c r="L973" s="369"/>
      <c r="M973" s="369"/>
      <c r="N973" s="27" t="s">
        <v>4540</v>
      </c>
      <c r="O973" s="27" t="s">
        <v>1791</v>
      </c>
      <c r="P973" s="370">
        <v>44603</v>
      </c>
      <c r="Q973" s="369"/>
      <c r="R973" s="369"/>
      <c r="S973" s="369"/>
      <c r="T973" s="369"/>
      <c r="U973" s="369"/>
      <c r="V973" s="369"/>
      <c r="W973" s="27" t="s">
        <v>1765</v>
      </c>
    </row>
    <row r="974" spans="1:23">
      <c r="A974">
        <v>953</v>
      </c>
      <c r="B974" t="s">
        <v>468</v>
      </c>
      <c r="C974" s="28" t="s">
        <v>5058</v>
      </c>
      <c r="D974" s="28">
        <v>411016000</v>
      </c>
      <c r="E974" s="27" t="s">
        <v>2981</v>
      </c>
      <c r="F974" t="s">
        <v>4574</v>
      </c>
      <c r="G974" s="27" t="s">
        <v>90</v>
      </c>
      <c r="H974" t="s">
        <v>5059</v>
      </c>
      <c r="I974" s="27" t="s">
        <v>121</v>
      </c>
      <c r="J974" s="28">
        <v>21160</v>
      </c>
      <c r="K974" s="27" t="s">
        <v>401</v>
      </c>
    </row>
    <row r="975" spans="1:23">
      <c r="A975">
        <v>954</v>
      </c>
      <c r="B975" t="s">
        <v>468</v>
      </c>
      <c r="C975" s="28" t="s">
        <v>5058</v>
      </c>
      <c r="D975" s="28">
        <v>411016000</v>
      </c>
      <c r="E975" s="27" t="s">
        <v>2981</v>
      </c>
      <c r="F975" t="s">
        <v>4574</v>
      </c>
      <c r="G975" s="27" t="s">
        <v>90</v>
      </c>
      <c r="H975" t="s">
        <v>5060</v>
      </c>
      <c r="I975" s="27" t="s">
        <v>226</v>
      </c>
      <c r="J975" s="28">
        <v>21425</v>
      </c>
      <c r="K975" s="27" t="s">
        <v>406</v>
      </c>
    </row>
    <row r="976" spans="1:23">
      <c r="A976">
        <v>955</v>
      </c>
      <c r="C976" s="27" t="s">
        <v>4568</v>
      </c>
      <c r="D976" s="28">
        <v>411018000</v>
      </c>
      <c r="E976" s="27" t="s">
        <v>2982</v>
      </c>
      <c r="F976" t="s">
        <v>2444</v>
      </c>
      <c r="G976" s="27" t="s">
        <v>90</v>
      </c>
      <c r="I976" s="27" t="s">
        <v>121</v>
      </c>
      <c r="J976" s="28">
        <v>21743</v>
      </c>
      <c r="K976" s="27" t="s">
        <v>4503</v>
      </c>
      <c r="L976" s="28"/>
      <c r="M976" s="28"/>
      <c r="N976" s="28" t="s">
        <v>4829</v>
      </c>
      <c r="O976" s="28" t="s">
        <v>1763</v>
      </c>
      <c r="P976" s="442">
        <v>44361</v>
      </c>
      <c r="Q976" s="27"/>
      <c r="R976" s="27"/>
      <c r="S976" s="370"/>
      <c r="T976" s="443"/>
      <c r="U976" s="370"/>
      <c r="V976" s="369"/>
      <c r="W976" s="370" t="s">
        <v>1765</v>
      </c>
    </row>
    <row r="977" spans="1:23">
      <c r="A977">
        <v>956</v>
      </c>
      <c r="C977" s="27" t="s">
        <v>4568</v>
      </c>
      <c r="D977" s="28">
        <v>411018000</v>
      </c>
      <c r="E977" s="27" t="s">
        <v>2982</v>
      </c>
      <c r="F977" t="s">
        <v>2444</v>
      </c>
      <c r="G977" s="27" t="s">
        <v>90</v>
      </c>
      <c r="I977" s="27" t="s">
        <v>226</v>
      </c>
      <c r="J977" s="28">
        <v>21355</v>
      </c>
      <c r="K977" s="27" t="s">
        <v>4504</v>
      </c>
      <c r="L977" s="28"/>
      <c r="M977" s="28"/>
      <c r="N977" s="28" t="s">
        <v>1764</v>
      </c>
      <c r="O977" s="28" t="s">
        <v>1763</v>
      </c>
      <c r="P977" s="442">
        <v>43104</v>
      </c>
      <c r="Q977" s="27"/>
      <c r="R977" s="27"/>
      <c r="S977" s="370"/>
      <c r="T977" s="443"/>
      <c r="U977" s="370"/>
      <c r="V977" s="369"/>
      <c r="W977" s="370" t="s">
        <v>1765</v>
      </c>
    </row>
    <row r="978" spans="1:23">
      <c r="A978">
        <v>957</v>
      </c>
      <c r="C978" s="27" t="s">
        <v>4568</v>
      </c>
      <c r="D978" s="28">
        <v>411199000</v>
      </c>
      <c r="E978" s="27" t="s">
        <v>2983</v>
      </c>
      <c r="F978" t="s">
        <v>2444</v>
      </c>
      <c r="G978" s="27" t="s">
        <v>90</v>
      </c>
      <c r="I978" s="27" t="s">
        <v>121</v>
      </c>
      <c r="J978" s="28">
        <v>21743</v>
      </c>
      <c r="K978" s="27" t="s">
        <v>4503</v>
      </c>
      <c r="L978" s="28"/>
      <c r="M978" s="28"/>
      <c r="N978" s="28" t="s">
        <v>4829</v>
      </c>
      <c r="O978" s="28" t="s">
        <v>1763</v>
      </c>
      <c r="P978" s="442">
        <v>44361</v>
      </c>
      <c r="Q978" s="27"/>
      <c r="R978" s="27"/>
      <c r="S978" s="370"/>
      <c r="T978" s="443"/>
      <c r="U978" s="370"/>
      <c r="V978" s="369"/>
      <c r="W978" s="370" t="s">
        <v>1765</v>
      </c>
    </row>
    <row r="979" spans="1:23">
      <c r="A979">
        <v>958</v>
      </c>
      <c r="B979" t="s">
        <v>468</v>
      </c>
      <c r="C979" s="27" t="s">
        <v>5061</v>
      </c>
      <c r="D979" s="28">
        <v>411199000</v>
      </c>
      <c r="E979" s="27" t="s">
        <v>2983</v>
      </c>
      <c r="F979" t="s">
        <v>4588</v>
      </c>
      <c r="G979" s="27" t="s">
        <v>90</v>
      </c>
      <c r="H979" s="27" t="s">
        <v>5063</v>
      </c>
      <c r="I979" s="27" t="s">
        <v>121</v>
      </c>
      <c r="J979" s="28">
        <v>21781</v>
      </c>
      <c r="K979" s="27" t="s">
        <v>4505</v>
      </c>
    </row>
    <row r="980" spans="1:23">
      <c r="A980">
        <v>959</v>
      </c>
      <c r="C980" s="27" t="s">
        <v>4568</v>
      </c>
      <c r="D980" s="28">
        <v>411199000</v>
      </c>
      <c r="E980" s="27" t="s">
        <v>2983</v>
      </c>
      <c r="F980" t="s">
        <v>2444</v>
      </c>
      <c r="G980" s="27" t="s">
        <v>90</v>
      </c>
      <c r="I980" s="27" t="s">
        <v>226</v>
      </c>
      <c r="J980" s="28">
        <v>21355</v>
      </c>
      <c r="K980" s="27" t="s">
        <v>4504</v>
      </c>
      <c r="L980" s="28"/>
      <c r="M980" s="28"/>
      <c r="N980" s="28" t="s">
        <v>1764</v>
      </c>
      <c r="O980" s="28" t="s">
        <v>1763</v>
      </c>
      <c r="P980" s="442">
        <v>43104</v>
      </c>
      <c r="Q980" s="27"/>
      <c r="R980" s="27"/>
      <c r="S980" s="370"/>
      <c r="T980" s="443"/>
      <c r="U980" s="370"/>
      <c r="V980" s="369"/>
      <c r="W980" s="370" t="s">
        <v>1765</v>
      </c>
    </row>
    <row r="981" spans="1:23">
      <c r="A981">
        <v>960</v>
      </c>
      <c r="B981" t="s">
        <v>468</v>
      </c>
      <c r="C981" s="27" t="s">
        <v>5061</v>
      </c>
      <c r="D981" s="28">
        <v>411199000</v>
      </c>
      <c r="E981" s="27" t="s">
        <v>2983</v>
      </c>
      <c r="F981" t="s">
        <v>4588</v>
      </c>
      <c r="G981" s="27" t="s">
        <v>90</v>
      </c>
      <c r="H981" s="27" t="s">
        <v>5064</v>
      </c>
      <c r="I981" s="27" t="s">
        <v>226</v>
      </c>
      <c r="J981" s="28">
        <v>21781</v>
      </c>
      <c r="K981" s="27" t="s">
        <v>4505</v>
      </c>
    </row>
    <row r="982" spans="1:23">
      <c r="A982">
        <v>961</v>
      </c>
      <c r="C982" s="27" t="s">
        <v>4568</v>
      </c>
      <c r="D982" s="28">
        <v>411341000</v>
      </c>
      <c r="E982" s="27" t="s">
        <v>2984</v>
      </c>
      <c r="F982" t="s">
        <v>2444</v>
      </c>
      <c r="G982" s="27" t="s">
        <v>90</v>
      </c>
      <c r="I982" s="27" t="s">
        <v>121</v>
      </c>
      <c r="J982" s="28">
        <v>21743</v>
      </c>
      <c r="K982" s="27" t="s">
        <v>4503</v>
      </c>
      <c r="L982" s="28"/>
      <c r="M982" s="28"/>
      <c r="N982" s="28" t="s">
        <v>4829</v>
      </c>
      <c r="O982" s="28" t="s">
        <v>1763</v>
      </c>
      <c r="P982" s="442">
        <v>44361</v>
      </c>
      <c r="Q982" s="27"/>
      <c r="R982" s="27"/>
      <c r="S982" s="370"/>
      <c r="T982" s="443"/>
      <c r="U982" s="370"/>
      <c r="V982" s="369"/>
      <c r="W982" s="370" t="s">
        <v>1765</v>
      </c>
    </row>
    <row r="983" spans="1:23">
      <c r="A983">
        <v>962</v>
      </c>
      <c r="B983" t="s">
        <v>468</v>
      </c>
      <c r="C983" s="27" t="s">
        <v>5062</v>
      </c>
      <c r="D983" s="28">
        <v>411341000</v>
      </c>
      <c r="E983" s="27" t="s">
        <v>2984</v>
      </c>
      <c r="F983" t="s">
        <v>4588</v>
      </c>
      <c r="G983" s="27" t="s">
        <v>90</v>
      </c>
      <c r="I983" s="27" t="s">
        <v>121</v>
      </c>
      <c r="J983" s="28">
        <v>21781</v>
      </c>
      <c r="K983" s="27" t="s">
        <v>4505</v>
      </c>
    </row>
    <row r="984" spans="1:23">
      <c r="A984">
        <v>963</v>
      </c>
      <c r="C984" s="27" t="s">
        <v>4568</v>
      </c>
      <c r="D984" s="28">
        <v>411341000</v>
      </c>
      <c r="E984" s="27" t="s">
        <v>2984</v>
      </c>
      <c r="F984" t="s">
        <v>2444</v>
      </c>
      <c r="G984" s="27" t="s">
        <v>90</v>
      </c>
      <c r="I984" s="27" t="s">
        <v>226</v>
      </c>
      <c r="J984" s="28">
        <v>21355</v>
      </c>
      <c r="K984" s="27" t="s">
        <v>4504</v>
      </c>
      <c r="L984" s="28"/>
      <c r="M984" s="28"/>
      <c r="N984" s="28" t="s">
        <v>4829</v>
      </c>
      <c r="O984" s="28" t="s">
        <v>1763</v>
      </c>
      <c r="P984" s="442">
        <v>44361</v>
      </c>
      <c r="Q984" s="27"/>
      <c r="R984" s="27"/>
      <c r="S984" s="370"/>
      <c r="T984" s="443"/>
      <c r="U984" s="370"/>
      <c r="V984" s="369"/>
      <c r="W984" s="370" t="s">
        <v>1765</v>
      </c>
    </row>
    <row r="985" spans="1:23">
      <c r="A985">
        <v>964</v>
      </c>
      <c r="B985" t="s">
        <v>468</v>
      </c>
      <c r="C985" s="27" t="s">
        <v>5062</v>
      </c>
      <c r="D985" s="28">
        <v>411341000</v>
      </c>
      <c r="E985" s="27" t="s">
        <v>2984</v>
      </c>
      <c r="F985" t="s">
        <v>4588</v>
      </c>
      <c r="G985" s="27" t="s">
        <v>90</v>
      </c>
      <c r="I985" s="27" t="s">
        <v>226</v>
      </c>
      <c r="J985" s="28">
        <v>21781</v>
      </c>
      <c r="K985" s="27" t="s">
        <v>4505</v>
      </c>
    </row>
    <row r="986" spans="1:23">
      <c r="A986">
        <v>965</v>
      </c>
      <c r="C986" s="27" t="s">
        <v>4568</v>
      </c>
      <c r="D986" s="28">
        <v>412069000</v>
      </c>
      <c r="E986" s="27" t="s">
        <v>2985</v>
      </c>
      <c r="F986" t="s">
        <v>2444</v>
      </c>
      <c r="G986" s="27" t="s">
        <v>90</v>
      </c>
      <c r="I986" s="27" t="s">
        <v>121</v>
      </c>
      <c r="J986" s="28">
        <v>21160</v>
      </c>
      <c r="K986" s="27" t="s">
        <v>401</v>
      </c>
      <c r="L986" s="28"/>
      <c r="M986" s="28"/>
      <c r="N986" s="28" t="s">
        <v>1927</v>
      </c>
      <c r="O986" s="28" t="s">
        <v>4981</v>
      </c>
      <c r="P986" s="442">
        <v>45274</v>
      </c>
      <c r="Q986" s="27"/>
      <c r="R986" s="27"/>
      <c r="S986" s="370"/>
      <c r="T986" s="443"/>
      <c r="U986" s="370"/>
      <c r="V986" s="369"/>
      <c r="W986" s="370" t="s">
        <v>1765</v>
      </c>
    </row>
    <row r="987" spans="1:23">
      <c r="A987">
        <v>966</v>
      </c>
      <c r="C987" s="27" t="s">
        <v>4568</v>
      </c>
      <c r="D987" s="28">
        <v>412069000</v>
      </c>
      <c r="E987" s="27" t="s">
        <v>2985</v>
      </c>
      <c r="F987" t="s">
        <v>2444</v>
      </c>
      <c r="G987" s="27" t="s">
        <v>90</v>
      </c>
      <c r="I987" s="27" t="s">
        <v>94</v>
      </c>
      <c r="J987" s="28">
        <v>21160</v>
      </c>
      <c r="K987" s="27" t="s">
        <v>401</v>
      </c>
      <c r="L987" s="28"/>
      <c r="M987" s="28"/>
      <c r="N987" s="28" t="s">
        <v>4568</v>
      </c>
      <c r="O987" s="28" t="s">
        <v>1766</v>
      </c>
      <c r="P987" s="442">
        <v>43671</v>
      </c>
      <c r="Q987" s="27"/>
      <c r="R987" s="27"/>
      <c r="S987" s="370"/>
      <c r="T987" s="443"/>
      <c r="U987" s="370"/>
      <c r="V987" s="369"/>
      <c r="W987" s="370" t="s">
        <v>1765</v>
      </c>
    </row>
    <row r="988" spans="1:23">
      <c r="A988">
        <v>967</v>
      </c>
      <c r="C988" s="27" t="s">
        <v>4568</v>
      </c>
      <c r="D988" s="28">
        <v>412069000</v>
      </c>
      <c r="E988" s="27" t="s">
        <v>2985</v>
      </c>
      <c r="F988" t="s">
        <v>2444</v>
      </c>
      <c r="G988" s="27" t="s">
        <v>90</v>
      </c>
      <c r="I988" s="27" t="s">
        <v>226</v>
      </c>
      <c r="J988" s="28">
        <v>21425</v>
      </c>
      <c r="K988" s="27" t="s">
        <v>406</v>
      </c>
      <c r="L988" s="28"/>
      <c r="M988" s="28"/>
      <c r="N988" s="28" t="s">
        <v>4568</v>
      </c>
      <c r="O988" s="28" t="s">
        <v>1766</v>
      </c>
      <c r="P988" s="442">
        <v>43262</v>
      </c>
      <c r="Q988" s="27"/>
      <c r="R988" s="27"/>
      <c r="S988" s="370"/>
      <c r="T988" s="443"/>
      <c r="U988" s="370"/>
      <c r="V988" s="369"/>
      <c r="W988" s="370" t="s">
        <v>1765</v>
      </c>
    </row>
    <row r="989" spans="1:23">
      <c r="A989">
        <v>969</v>
      </c>
      <c r="C989" t="s">
        <v>567</v>
      </c>
      <c r="D989" s="28">
        <v>420661000</v>
      </c>
      <c r="E989" s="27" t="s">
        <v>2986</v>
      </c>
      <c r="F989" t="s">
        <v>2444</v>
      </c>
      <c r="G989" s="27" t="s">
        <v>90</v>
      </c>
      <c r="I989" s="27" t="s">
        <v>121</v>
      </c>
      <c r="J989" s="28">
        <v>21020</v>
      </c>
      <c r="K989" s="27" t="s">
        <v>403</v>
      </c>
      <c r="L989" s="369"/>
      <c r="M989" s="369"/>
      <c r="N989" s="27" t="s">
        <v>1764</v>
      </c>
      <c r="O989" s="27" t="s">
        <v>1763</v>
      </c>
      <c r="P989" s="370">
        <v>43105</v>
      </c>
      <c r="Q989" s="369"/>
      <c r="R989" s="369"/>
      <c r="S989" s="369"/>
      <c r="T989" s="369"/>
      <c r="U989" s="369"/>
      <c r="V989" s="369"/>
      <c r="W989" s="27" t="s">
        <v>1765</v>
      </c>
    </row>
    <row r="990" spans="1:23">
      <c r="A990">
        <v>971</v>
      </c>
      <c r="C990" t="s">
        <v>567</v>
      </c>
      <c r="D990" s="28">
        <v>420661000</v>
      </c>
      <c r="E990" s="27" t="s">
        <v>2986</v>
      </c>
      <c r="F990" t="s">
        <v>2444</v>
      </c>
      <c r="G990" s="27" t="s">
        <v>90</v>
      </c>
      <c r="I990" s="27" t="s">
        <v>226</v>
      </c>
      <c r="J990" s="28">
        <v>21020</v>
      </c>
      <c r="K990" s="27" t="s">
        <v>403</v>
      </c>
      <c r="L990" s="369"/>
      <c r="M990" s="369"/>
      <c r="N990" s="27" t="s">
        <v>1764</v>
      </c>
      <c r="O990" s="27" t="s">
        <v>1763</v>
      </c>
      <c r="P990" s="370">
        <v>43104</v>
      </c>
      <c r="Q990" s="369"/>
      <c r="R990" s="369"/>
      <c r="S990" s="369"/>
      <c r="T990" s="369"/>
      <c r="U990" s="369"/>
      <c r="V990" s="369"/>
      <c r="W990" s="27" t="s">
        <v>1765</v>
      </c>
    </row>
    <row r="991" spans="1:23">
      <c r="A991">
        <v>972</v>
      </c>
      <c r="C991" t="s">
        <v>567</v>
      </c>
      <c r="D991" s="28" t="s">
        <v>2987</v>
      </c>
      <c r="E991" s="27" t="s">
        <v>138</v>
      </c>
      <c r="F991" t="s">
        <v>2444</v>
      </c>
      <c r="G991" s="27" t="s">
        <v>90</v>
      </c>
      <c r="I991" s="27" t="s">
        <v>121</v>
      </c>
      <c r="J991" s="28">
        <v>29010</v>
      </c>
      <c r="K991" s="27" t="s">
        <v>229</v>
      </c>
      <c r="L991" s="371"/>
      <c r="M991" s="369"/>
      <c r="N991" s="369"/>
      <c r="O991" s="27" t="s">
        <v>1791</v>
      </c>
      <c r="P991" s="370">
        <v>44464</v>
      </c>
      <c r="Q991" s="369"/>
      <c r="R991" s="369"/>
      <c r="S991" s="369"/>
      <c r="T991" s="369"/>
      <c r="U991" s="369"/>
      <c r="V991" s="369"/>
      <c r="W991" s="27" t="s">
        <v>1765</v>
      </c>
    </row>
    <row r="992" spans="1:23">
      <c r="A992">
        <v>973</v>
      </c>
      <c r="C992" t="s">
        <v>567</v>
      </c>
      <c r="D992" s="28" t="s">
        <v>2988</v>
      </c>
      <c r="E992" s="27" t="s">
        <v>2989</v>
      </c>
      <c r="F992" t="s">
        <v>2444</v>
      </c>
      <c r="G992" s="27" t="s">
        <v>90</v>
      </c>
      <c r="I992" s="27" t="s">
        <v>121</v>
      </c>
      <c r="J992" s="28">
        <v>21205</v>
      </c>
      <c r="K992" s="27" t="s">
        <v>395</v>
      </c>
      <c r="L992" s="369"/>
      <c r="M992" s="369"/>
      <c r="N992" s="369"/>
      <c r="O992" s="27" t="s">
        <v>4538</v>
      </c>
      <c r="P992" s="370">
        <v>44947</v>
      </c>
      <c r="Q992" s="369"/>
      <c r="R992" s="369"/>
      <c r="S992" s="369"/>
      <c r="T992" s="369"/>
      <c r="U992" s="369"/>
      <c r="V992" s="369"/>
      <c r="W992" s="27" t="s">
        <v>1765</v>
      </c>
    </row>
    <row r="993" spans="1:339">
      <c r="A993">
        <v>974</v>
      </c>
      <c r="C993" t="s">
        <v>567</v>
      </c>
      <c r="D993" s="28" t="s">
        <v>2988</v>
      </c>
      <c r="E993" s="27" t="s">
        <v>2989</v>
      </c>
      <c r="F993" t="s">
        <v>2444</v>
      </c>
      <c r="G993" s="27" t="s">
        <v>90</v>
      </c>
      <c r="I993" s="27" t="s">
        <v>94</v>
      </c>
      <c r="J993" s="28">
        <v>21205</v>
      </c>
      <c r="K993" s="27" t="s">
        <v>395</v>
      </c>
      <c r="L993" s="369"/>
      <c r="M993" s="369"/>
      <c r="N993" s="27" t="s">
        <v>1889</v>
      </c>
      <c r="O993" s="27" t="s">
        <v>4539</v>
      </c>
      <c r="P993" s="370">
        <v>43790</v>
      </c>
      <c r="Q993" s="369"/>
      <c r="R993" s="369"/>
      <c r="S993" s="369"/>
      <c r="T993" s="369"/>
      <c r="U993" s="369"/>
      <c r="V993" s="369"/>
      <c r="W993" s="27" t="s">
        <v>1765</v>
      </c>
    </row>
    <row r="994" spans="1:339">
      <c r="A994">
        <v>975</v>
      </c>
      <c r="C994" t="s">
        <v>567</v>
      </c>
      <c r="D994" s="28" t="s">
        <v>2988</v>
      </c>
      <c r="E994" s="27" t="s">
        <v>2989</v>
      </c>
      <c r="F994" t="s">
        <v>2444</v>
      </c>
      <c r="G994" s="27" t="s">
        <v>90</v>
      </c>
      <c r="I994" s="27" t="s">
        <v>226</v>
      </c>
      <c r="J994" s="28">
        <v>21557</v>
      </c>
      <c r="K994" s="27" t="s">
        <v>396</v>
      </c>
      <c r="L994" s="369"/>
      <c r="M994" s="369"/>
      <c r="N994" s="369"/>
      <c r="O994" s="27" t="s">
        <v>1763</v>
      </c>
      <c r="P994" s="370">
        <v>43671</v>
      </c>
      <c r="Q994" s="369"/>
      <c r="R994" s="369"/>
      <c r="S994" s="369"/>
      <c r="T994" s="369"/>
      <c r="U994" s="369"/>
      <c r="V994" s="369"/>
      <c r="W994" s="27" t="s">
        <v>1765</v>
      </c>
    </row>
    <row r="995" spans="1:339">
      <c r="A995">
        <v>978</v>
      </c>
      <c r="C995" t="s">
        <v>567</v>
      </c>
      <c r="D995" s="28" t="s">
        <v>2990</v>
      </c>
      <c r="E995" s="27" t="s">
        <v>2991</v>
      </c>
      <c r="F995" t="s">
        <v>2444</v>
      </c>
      <c r="G995" s="27" t="s">
        <v>90</v>
      </c>
      <c r="I995" s="27" t="s">
        <v>226</v>
      </c>
      <c r="J995" s="28">
        <v>21020</v>
      </c>
      <c r="K995" s="27" t="s">
        <v>403</v>
      </c>
      <c r="L995" s="369"/>
      <c r="M995" s="369"/>
      <c r="N995" s="27" t="s">
        <v>1764</v>
      </c>
      <c r="O995" s="27" t="s">
        <v>1763</v>
      </c>
      <c r="P995" s="370">
        <v>43104</v>
      </c>
      <c r="Q995" s="369"/>
      <c r="R995" s="369"/>
      <c r="S995" s="369"/>
      <c r="T995" s="369"/>
      <c r="U995" s="369"/>
      <c r="V995" s="369"/>
      <c r="W995" s="27" t="s">
        <v>1765</v>
      </c>
    </row>
    <row r="996" spans="1:339">
      <c r="A996">
        <v>979</v>
      </c>
      <c r="C996" t="s">
        <v>567</v>
      </c>
      <c r="D996" s="28" t="s">
        <v>77</v>
      </c>
      <c r="E996" s="27" t="s">
        <v>78</v>
      </c>
      <c r="F996" t="s">
        <v>2444</v>
      </c>
      <c r="G996" s="27" t="s">
        <v>90</v>
      </c>
      <c r="I996" s="27" t="s">
        <v>121</v>
      </c>
      <c r="J996" s="28">
        <v>21697</v>
      </c>
      <c r="K996" s="27" t="s">
        <v>227</v>
      </c>
      <c r="L996" s="371"/>
      <c r="M996" s="369"/>
      <c r="N996" s="27" t="s">
        <v>1764</v>
      </c>
      <c r="O996" s="27" t="s">
        <v>1791</v>
      </c>
      <c r="P996" s="370">
        <v>44950</v>
      </c>
      <c r="Q996" s="369"/>
      <c r="R996" s="369"/>
      <c r="S996" s="369"/>
      <c r="T996" s="369"/>
      <c r="U996" s="369"/>
      <c r="V996" s="369"/>
      <c r="W996" s="27" t="s">
        <v>1765</v>
      </c>
    </row>
    <row r="997" spans="1:339">
      <c r="A997">
        <v>980</v>
      </c>
      <c r="C997" t="s">
        <v>567</v>
      </c>
      <c r="D997" s="28" t="s">
        <v>77</v>
      </c>
      <c r="E997" s="27" t="s">
        <v>78</v>
      </c>
      <c r="F997" t="s">
        <v>2444</v>
      </c>
      <c r="G997" s="27" t="s">
        <v>90</v>
      </c>
      <c r="I997" s="27" t="s">
        <v>94</v>
      </c>
      <c r="J997" s="28">
        <v>21697</v>
      </c>
      <c r="K997" s="27" t="s">
        <v>227</v>
      </c>
      <c r="L997" s="371"/>
      <c r="M997" s="369"/>
      <c r="N997" t="s">
        <v>1912</v>
      </c>
      <c r="O997" s="27" t="s">
        <v>1763</v>
      </c>
      <c r="P997" s="370">
        <v>44095</v>
      </c>
      <c r="Q997" s="369"/>
      <c r="R997" s="369"/>
      <c r="S997" s="369"/>
      <c r="T997" s="369"/>
      <c r="U997" s="369"/>
      <c r="V997" s="369"/>
      <c r="W997" s="27" t="s">
        <v>1765</v>
      </c>
    </row>
    <row r="998" spans="1:339">
      <c r="A998">
        <v>981</v>
      </c>
      <c r="C998" t="s">
        <v>567</v>
      </c>
      <c r="D998" s="28" t="s">
        <v>77</v>
      </c>
      <c r="E998" s="27" t="s">
        <v>78</v>
      </c>
      <c r="F998" t="s">
        <v>2444</v>
      </c>
      <c r="G998" s="27" t="s">
        <v>90</v>
      </c>
      <c r="I998" s="27" t="s">
        <v>226</v>
      </c>
      <c r="J998" s="28">
        <v>21590</v>
      </c>
      <c r="K998" s="27" t="s">
        <v>397</v>
      </c>
      <c r="L998" s="371"/>
      <c r="M998" s="369"/>
      <c r="N998" s="369"/>
      <c r="O998" s="27" t="s">
        <v>1763</v>
      </c>
      <c r="P998" s="370">
        <v>44096</v>
      </c>
      <c r="Q998" s="369"/>
      <c r="R998" s="369"/>
      <c r="S998" s="369"/>
      <c r="T998" s="369"/>
      <c r="U998" s="369"/>
      <c r="V998" s="369"/>
      <c r="W998" s="27" t="s">
        <v>1765</v>
      </c>
    </row>
    <row r="999" spans="1:339">
      <c r="A999">
        <v>982</v>
      </c>
      <c r="B999" t="s">
        <v>468</v>
      </c>
      <c r="C999" s="372" t="s">
        <v>4547</v>
      </c>
      <c r="D999" s="28" t="s">
        <v>2992</v>
      </c>
      <c r="E999" s="27" t="s">
        <v>329</v>
      </c>
      <c r="F999" t="s">
        <v>2192</v>
      </c>
      <c r="G999" s="27" t="s">
        <v>90</v>
      </c>
      <c r="H999" s="27" t="s">
        <v>4548</v>
      </c>
      <c r="I999" s="27" t="s">
        <v>121</v>
      </c>
      <c r="J999" s="28">
        <v>21589</v>
      </c>
      <c r="K999" s="27" t="s">
        <v>405</v>
      </c>
      <c r="L999" s="114"/>
      <c r="M999" s="114"/>
      <c r="N999" s="115"/>
      <c r="O999" s="115"/>
      <c r="P999" s="115"/>
      <c r="V999" s="319"/>
      <c r="W999" s="115"/>
      <c r="X999" s="115"/>
      <c r="Y999" s="115"/>
      <c r="Z999" s="115"/>
      <c r="AA999" s="115"/>
      <c r="AB999" s="121"/>
      <c r="AC999" s="114"/>
      <c r="AD999" s="115"/>
      <c r="AE999" s="114"/>
      <c r="AF999" s="114"/>
      <c r="AG999" s="114"/>
      <c r="AH999" s="114"/>
      <c r="AI999" s="114"/>
      <c r="AJ999" s="114"/>
      <c r="AK999" s="114"/>
      <c r="AL999" s="114"/>
      <c r="AM999" s="114"/>
      <c r="AN999" s="114"/>
      <c r="AO999" s="114"/>
      <c r="AP999" s="114"/>
      <c r="AQ999" s="114"/>
      <c r="AR999" s="114"/>
      <c r="AS999" s="114"/>
      <c r="AT999" s="114"/>
      <c r="AU999" s="114"/>
      <c r="AV999" s="114"/>
      <c r="AW999" s="114"/>
      <c r="AX999" s="114"/>
      <c r="AY999" s="114"/>
      <c r="AZ999" s="114"/>
      <c r="BA999" s="114"/>
      <c r="BB999" s="114"/>
      <c r="BC999" s="114"/>
      <c r="BD999" s="114"/>
      <c r="BE999" s="114"/>
      <c r="BF999" s="114"/>
      <c r="BG999" s="114"/>
      <c r="BH999" s="114"/>
      <c r="BI999" s="114"/>
      <c r="BJ999" s="114"/>
      <c r="BK999" s="114"/>
      <c r="BL999" s="114"/>
      <c r="BM999" s="114"/>
      <c r="BN999" s="114"/>
      <c r="BO999" s="114"/>
      <c r="BP999" s="114"/>
      <c r="BQ999" s="114"/>
      <c r="BR999" s="114"/>
      <c r="BS999" s="114"/>
      <c r="BT999" s="114"/>
      <c r="BU999" s="114"/>
      <c r="BV999" s="114"/>
      <c r="BW999" s="114"/>
      <c r="BX999" s="114"/>
      <c r="BY999" s="114"/>
      <c r="BZ999" s="114"/>
      <c r="CA999" s="114"/>
      <c r="CB999" s="114"/>
      <c r="CC999" s="114"/>
      <c r="CD999" s="114"/>
      <c r="CE999" s="114"/>
      <c r="CF999" s="114"/>
      <c r="CG999" s="114"/>
      <c r="CH999" s="114"/>
      <c r="CI999" s="114"/>
      <c r="CJ999" s="114"/>
      <c r="CK999" s="114"/>
      <c r="CL999" s="114"/>
      <c r="CM999" s="114"/>
      <c r="CN999" s="114"/>
      <c r="CO999" s="114"/>
      <c r="CP999" s="114"/>
      <c r="CQ999" s="114"/>
      <c r="CR999" s="114"/>
      <c r="CS999" s="114"/>
      <c r="CT999" s="114"/>
      <c r="CU999" s="114"/>
      <c r="CV999" s="114"/>
      <c r="CW999" s="114"/>
      <c r="CX999" s="114"/>
      <c r="CY999" s="114"/>
      <c r="CZ999" s="114"/>
      <c r="DA999" s="114"/>
      <c r="DB999" s="114"/>
      <c r="DC999" s="114"/>
      <c r="DD999" s="114"/>
      <c r="DE999" s="114"/>
      <c r="DF999" s="114"/>
      <c r="DG999" s="114"/>
      <c r="DH999" s="114"/>
      <c r="DI999" s="114"/>
      <c r="DJ999" s="114"/>
      <c r="DK999" s="114"/>
      <c r="DL999" s="114"/>
      <c r="DM999" s="114"/>
      <c r="DN999" s="114"/>
      <c r="DO999" s="114"/>
      <c r="DP999" s="114"/>
      <c r="DQ999" s="114"/>
      <c r="DR999" s="114"/>
      <c r="DS999" s="114"/>
      <c r="DT999" s="114"/>
      <c r="DU999" s="114"/>
      <c r="DV999" s="114"/>
      <c r="DW999" s="114"/>
      <c r="DX999" s="114"/>
      <c r="DY999" s="114"/>
      <c r="DZ999" s="114"/>
      <c r="EA999" s="114"/>
      <c r="EB999" s="114"/>
      <c r="EC999" s="114"/>
      <c r="ED999" s="114"/>
      <c r="EE999" s="114"/>
      <c r="EF999" s="114"/>
      <c r="EG999" s="114"/>
      <c r="EH999" s="114"/>
      <c r="EI999" s="114"/>
      <c r="EJ999" s="114"/>
      <c r="EK999" s="114"/>
      <c r="EL999" s="114"/>
      <c r="EM999" s="114"/>
      <c r="EN999" s="114"/>
      <c r="EO999" s="114"/>
      <c r="EP999" s="114"/>
      <c r="EQ999" s="114"/>
      <c r="ER999" s="114"/>
      <c r="ES999" s="114"/>
      <c r="ET999" s="114"/>
      <c r="EU999" s="114"/>
      <c r="EV999" s="114"/>
      <c r="EW999" s="114"/>
      <c r="EX999" s="114"/>
      <c r="EY999" s="114"/>
      <c r="EZ999" s="114"/>
      <c r="FA999" s="114"/>
      <c r="FB999" s="114"/>
      <c r="FC999" s="114"/>
      <c r="FD999" s="114"/>
      <c r="FE999" s="114"/>
      <c r="FF999" s="114"/>
      <c r="FG999" s="114"/>
      <c r="FH999" s="114"/>
      <c r="FI999" s="114"/>
      <c r="FJ999" s="114"/>
      <c r="FK999" s="114"/>
      <c r="FL999" s="114"/>
      <c r="FM999" s="114"/>
      <c r="FN999" s="114"/>
      <c r="FO999" s="114"/>
      <c r="FP999" s="114"/>
      <c r="FQ999" s="114"/>
      <c r="FR999" s="114"/>
      <c r="FS999" s="114"/>
      <c r="FT999" s="114"/>
      <c r="FU999" s="114"/>
      <c r="FV999" s="114"/>
      <c r="FW999" s="114"/>
      <c r="FX999" s="114"/>
      <c r="FY999" s="114"/>
      <c r="FZ999" s="114"/>
      <c r="GA999" s="114"/>
      <c r="GB999" s="114"/>
      <c r="GC999" s="114"/>
      <c r="GD999" s="114"/>
      <c r="GE999" s="114"/>
      <c r="GF999" s="114"/>
      <c r="GG999" s="114"/>
      <c r="GH999" s="114"/>
      <c r="GI999" s="114"/>
      <c r="GJ999" s="114"/>
      <c r="GK999" s="114"/>
      <c r="GL999" s="114"/>
      <c r="GM999" s="114"/>
      <c r="GN999" s="114"/>
      <c r="GO999" s="114"/>
      <c r="GP999" s="114"/>
      <c r="GQ999" s="114"/>
      <c r="GR999" s="114"/>
      <c r="GS999" s="114"/>
      <c r="GT999" s="114"/>
      <c r="GU999" s="114"/>
      <c r="GV999" s="114"/>
      <c r="GW999" s="114"/>
      <c r="GX999" s="114"/>
      <c r="GY999" s="114"/>
      <c r="GZ999" s="114"/>
      <c r="HA999" s="114"/>
      <c r="HB999" s="114"/>
      <c r="HC999" s="114"/>
      <c r="HD999" s="114"/>
      <c r="HE999" s="114"/>
      <c r="HF999" s="114"/>
      <c r="HG999" s="114"/>
      <c r="HH999" s="114"/>
      <c r="HI999" s="114"/>
      <c r="HJ999" s="114"/>
      <c r="HK999" s="114"/>
      <c r="HL999" s="114"/>
      <c r="HM999" s="114"/>
      <c r="HN999" s="114"/>
      <c r="HO999" s="114"/>
      <c r="HP999" s="114"/>
      <c r="HQ999" s="114"/>
      <c r="HR999" s="114"/>
      <c r="HS999" s="114"/>
      <c r="HT999" s="114"/>
      <c r="HU999" s="114"/>
      <c r="HV999" s="114"/>
      <c r="HW999" s="114"/>
      <c r="HX999" s="114"/>
      <c r="HY999" s="114"/>
      <c r="HZ999" s="114"/>
      <c r="IA999" s="114"/>
      <c r="IB999" s="114"/>
      <c r="IC999" s="114"/>
      <c r="ID999" s="114"/>
      <c r="IE999" s="114"/>
      <c r="IF999" s="114"/>
      <c r="IG999" s="114"/>
    </row>
    <row r="1000" spans="1:339">
      <c r="A1000">
        <v>983</v>
      </c>
      <c r="B1000" t="s">
        <v>468</v>
      </c>
      <c r="C1000" s="27" t="s">
        <v>4549</v>
      </c>
      <c r="D1000" s="28" t="s">
        <v>2992</v>
      </c>
      <c r="E1000" s="27" t="s">
        <v>329</v>
      </c>
      <c r="F1000" t="s">
        <v>2192</v>
      </c>
      <c r="G1000" s="27" t="s">
        <v>90</v>
      </c>
      <c r="H1000" s="27" t="s">
        <v>4550</v>
      </c>
      <c r="I1000" s="27" t="s">
        <v>94</v>
      </c>
      <c r="J1000" s="28">
        <v>21160</v>
      </c>
      <c r="K1000" s="27" t="s">
        <v>401</v>
      </c>
    </row>
    <row r="1001" spans="1:339">
      <c r="A1001">
        <v>984</v>
      </c>
      <c r="B1001" t="s">
        <v>468</v>
      </c>
      <c r="C1001" s="27" t="s">
        <v>4547</v>
      </c>
      <c r="D1001" s="28" t="s">
        <v>2992</v>
      </c>
      <c r="E1001" s="27" t="s">
        <v>329</v>
      </c>
      <c r="F1001" t="s">
        <v>2192</v>
      </c>
      <c r="G1001" s="27" t="s">
        <v>90</v>
      </c>
      <c r="H1001" s="27" t="s">
        <v>4551</v>
      </c>
      <c r="I1001" s="27" t="s">
        <v>94</v>
      </c>
      <c r="J1001" s="28">
        <v>21589</v>
      </c>
      <c r="K1001" s="27" t="s">
        <v>405</v>
      </c>
    </row>
    <row r="1002" spans="1:339">
      <c r="A1002">
        <v>985</v>
      </c>
      <c r="B1002" t="s">
        <v>468</v>
      </c>
      <c r="C1002" s="27" t="s">
        <v>4549</v>
      </c>
      <c r="D1002" s="28" t="s">
        <v>2992</v>
      </c>
      <c r="E1002" s="27" t="s">
        <v>329</v>
      </c>
      <c r="F1002" t="s">
        <v>2192</v>
      </c>
      <c r="G1002" s="27" t="s">
        <v>90</v>
      </c>
      <c r="H1002" s="27" t="s">
        <v>4553</v>
      </c>
      <c r="I1002" s="27" t="s">
        <v>226</v>
      </c>
      <c r="J1002" s="28">
        <v>21425</v>
      </c>
      <c r="K1002" s="27" t="s">
        <v>406</v>
      </c>
    </row>
    <row r="1003" spans="1:339">
      <c r="A1003">
        <v>986</v>
      </c>
      <c r="B1003" t="s">
        <v>468</v>
      </c>
      <c r="C1003" s="27" t="s">
        <v>4547</v>
      </c>
      <c r="D1003" s="28" t="s">
        <v>2992</v>
      </c>
      <c r="E1003" s="27" t="s">
        <v>329</v>
      </c>
      <c r="F1003" t="s">
        <v>2192</v>
      </c>
      <c r="G1003" s="27" t="s">
        <v>90</v>
      </c>
      <c r="H1003" s="27" t="s">
        <v>4554</v>
      </c>
      <c r="I1003" s="27" t="s">
        <v>226</v>
      </c>
      <c r="J1003" s="28">
        <v>21628</v>
      </c>
      <c r="K1003" s="27" t="s">
        <v>4502</v>
      </c>
    </row>
    <row r="1004" spans="1:339" ht="25.5">
      <c r="A1004">
        <v>987</v>
      </c>
      <c r="B1004" s="27" t="s">
        <v>468</v>
      </c>
      <c r="C1004" s="27" t="s">
        <v>4566</v>
      </c>
      <c r="D1004" s="28" t="s">
        <v>2993</v>
      </c>
      <c r="E1004" s="27" t="s">
        <v>2994</v>
      </c>
      <c r="F1004" s="27" t="s">
        <v>2182</v>
      </c>
      <c r="G1004" s="27" t="s">
        <v>90</v>
      </c>
      <c r="I1004" s="27" t="s">
        <v>94</v>
      </c>
      <c r="J1004" s="28">
        <v>29268</v>
      </c>
      <c r="K1004" s="27" t="s">
        <v>229</v>
      </c>
      <c r="L1004" s="371"/>
      <c r="M1004" s="369"/>
      <c r="N1004" s="369"/>
      <c r="O1004" s="27" t="s">
        <v>1763</v>
      </c>
      <c r="P1004" s="370">
        <v>44400</v>
      </c>
      <c r="Q1004" s="369"/>
      <c r="R1004" s="369"/>
      <c r="S1004" s="369"/>
      <c r="T1004" s="369" t="s">
        <v>4555</v>
      </c>
      <c r="U1004" s="370">
        <v>44400</v>
      </c>
      <c r="V1004" s="369"/>
      <c r="W1004" s="162" t="s">
        <v>4556</v>
      </c>
      <c r="X1004" s="162"/>
      <c r="Y1004" s="162"/>
      <c r="Z1004" s="162"/>
      <c r="AA1004" s="390"/>
      <c r="AB1004" s="369"/>
      <c r="AC1004" s="369"/>
      <c r="AD1004" s="390"/>
      <c r="AE1004" s="396">
        <f>BA1004</f>
        <v>0</v>
      </c>
      <c r="AF1004" s="391">
        <f>DU1004+DZ1004+EE1004</f>
        <v>107.56783998538012</v>
      </c>
      <c r="AG1004" s="391">
        <f>EU1004</f>
        <v>4.4921875</v>
      </c>
      <c r="AH1004" s="391">
        <f>DM1004</f>
        <v>0</v>
      </c>
      <c r="AI1004" s="391">
        <f>DO1004</f>
        <v>0</v>
      </c>
      <c r="AJ1004" s="391">
        <f>GW1004</f>
        <v>0</v>
      </c>
      <c r="AK1004" s="391">
        <f>GU1004</f>
        <v>0</v>
      </c>
      <c r="AL1004" s="391">
        <f>GS1004</f>
        <v>0</v>
      </c>
      <c r="AM1004" s="391">
        <f>HV1004+HW1004</f>
        <v>5.9120833333333334</v>
      </c>
      <c r="AN1004" s="391">
        <f>IG1004+IH1004</f>
        <v>3.3422197330114858</v>
      </c>
      <c r="AO1004" s="391"/>
      <c r="AP1004" s="391"/>
      <c r="AQ1004" s="391">
        <f>SUM(AE1004:AO1004)</f>
        <v>121.31433055172494</v>
      </c>
      <c r="AR1004" s="391"/>
      <c r="AS1004" s="391">
        <f t="shared" ref="AS1004:AS1005" si="893">EE1004</f>
        <v>0</v>
      </c>
      <c r="AT1004" s="391">
        <v>0</v>
      </c>
      <c r="AU1004" s="391">
        <f>101.65*0.03+8.25*0.03</f>
        <v>3.2970000000000002</v>
      </c>
      <c r="AV1004" s="391">
        <f t="shared" ref="AV1004:AV1005" si="894">AQ1004+AT1004+AU1004+AR1004+AS1004</f>
        <v>124.61133055172493</v>
      </c>
      <c r="AW1004" s="369"/>
      <c r="AX1004" s="369"/>
      <c r="AY1004" s="392"/>
      <c r="AZ1004" s="391"/>
      <c r="BA1004" s="391"/>
      <c r="BB1004" s="391"/>
      <c r="BC1004" s="391"/>
      <c r="BD1004" s="391"/>
      <c r="BE1004" s="391"/>
      <c r="BF1004" s="391"/>
      <c r="BG1004" s="391"/>
      <c r="BH1004" s="391"/>
      <c r="BI1004" s="391"/>
      <c r="BJ1004" s="391"/>
      <c r="BK1004" s="391"/>
      <c r="BL1004" s="391"/>
      <c r="BM1004" s="369"/>
      <c r="BN1004" s="369"/>
      <c r="BO1004" s="369"/>
      <c r="BP1004" s="369"/>
      <c r="BQ1004" s="369"/>
      <c r="BR1004" s="369"/>
      <c r="BS1004" s="369"/>
      <c r="BT1004" s="369"/>
      <c r="BU1004" s="369"/>
      <c r="BV1004" s="369"/>
      <c r="BW1004" s="369"/>
      <c r="BX1004" s="369"/>
      <c r="BY1004" s="369"/>
      <c r="BZ1004" s="369"/>
      <c r="CA1004" s="369"/>
      <c r="CB1004" s="369"/>
      <c r="CC1004" s="369"/>
      <c r="CD1004" s="369"/>
      <c r="CE1004" s="369"/>
      <c r="CF1004" s="369"/>
      <c r="CG1004" s="369"/>
      <c r="CH1004" s="369"/>
      <c r="CI1004" s="369"/>
      <c r="CJ1004" s="369"/>
      <c r="CK1004" s="369"/>
      <c r="CL1004" s="369"/>
      <c r="CM1004" s="369"/>
      <c r="CN1004" s="369"/>
      <c r="CO1004" s="369"/>
      <c r="CP1004" s="369"/>
      <c r="CQ1004" s="391"/>
      <c r="CR1004" s="391"/>
      <c r="CS1004" s="369"/>
      <c r="CT1004" s="369"/>
      <c r="CU1004" s="369"/>
      <c r="CV1004" s="369"/>
      <c r="CW1004" s="369"/>
      <c r="CX1004" s="369"/>
      <c r="CY1004" s="369"/>
      <c r="CZ1004" s="369"/>
      <c r="DA1004" s="369"/>
      <c r="DB1004" s="369"/>
      <c r="DC1004" s="369"/>
      <c r="DD1004" s="369"/>
      <c r="DE1004" s="369"/>
      <c r="DF1004" s="369"/>
      <c r="DG1004" s="369"/>
      <c r="DH1004" s="369"/>
      <c r="DI1004" s="369"/>
      <c r="DJ1004" s="369"/>
      <c r="DK1004" s="369"/>
      <c r="DL1004" s="369"/>
      <c r="DM1004" s="391">
        <f>CH1004+CM1004+CR1004+CW1004+DB1004+DG1004+DL1004</f>
        <v>0</v>
      </c>
      <c r="DN1004" s="393"/>
      <c r="DO1004" s="391">
        <f>DM1004*DN1004</f>
        <v>0</v>
      </c>
      <c r="DP1004" s="391">
        <f>DM1004+DO1004</f>
        <v>0</v>
      </c>
      <c r="DQ1004" s="369" t="s">
        <v>4557</v>
      </c>
      <c r="DR1004" s="369" t="s">
        <v>4558</v>
      </c>
      <c r="DS1004" s="369">
        <v>1</v>
      </c>
      <c r="DT1004" s="391">
        <f>KP1004</f>
        <v>99.3165524122807</v>
      </c>
      <c r="DU1004" s="391">
        <f>DT1004*DS1004</f>
        <v>99.3165524122807</v>
      </c>
      <c r="DV1004" s="369" t="s">
        <v>4559</v>
      </c>
      <c r="DW1004" s="369" t="s">
        <v>4560</v>
      </c>
      <c r="DX1004" s="369">
        <v>1</v>
      </c>
      <c r="DY1004" s="391">
        <f>MA1004</f>
        <v>8.2512875730994164</v>
      </c>
      <c r="DZ1004" s="394">
        <f>DY1004*DX1004</f>
        <v>8.2512875730994164</v>
      </c>
      <c r="EA1004" s="369"/>
      <c r="EB1004" s="369"/>
      <c r="EC1004" s="369"/>
      <c r="ED1004" s="369"/>
      <c r="EE1004" s="369"/>
      <c r="EF1004" s="369"/>
      <c r="EG1004" s="369"/>
      <c r="EH1004" s="369"/>
      <c r="EI1004" s="395"/>
      <c r="EJ1004" s="369"/>
      <c r="EK1004" s="369"/>
      <c r="EL1004" s="396"/>
      <c r="EM1004" s="369"/>
      <c r="EN1004" s="369"/>
      <c r="EO1004" s="369"/>
      <c r="EP1004" s="369"/>
      <c r="EQ1004" s="369"/>
      <c r="ER1004" s="369"/>
      <c r="ES1004" s="369"/>
      <c r="ET1004" s="369"/>
      <c r="EU1004" s="391">
        <f>FG1004</f>
        <v>4.4921875</v>
      </c>
      <c r="EV1004" s="369"/>
      <c r="EW1004" s="369"/>
      <c r="EX1004" s="369"/>
      <c r="EY1004" s="369"/>
      <c r="EZ1004" s="369"/>
      <c r="FA1004" s="369"/>
      <c r="FB1004" s="369">
        <v>5175</v>
      </c>
      <c r="FC1004" s="369">
        <v>45</v>
      </c>
      <c r="FD1004" s="396">
        <v>2</v>
      </c>
      <c r="FE1004" s="395">
        <v>0.9</v>
      </c>
      <c r="FF1004" s="397">
        <f>3600/FC1004*FD1004*FE1004*8</f>
        <v>1152</v>
      </c>
      <c r="FG1004" s="391">
        <f>FB1004/FF1004</f>
        <v>4.4921875</v>
      </c>
      <c r="FH1004" s="391"/>
      <c r="FI1004" s="391"/>
      <c r="FJ1004" s="391"/>
      <c r="FK1004" s="391"/>
      <c r="FL1004" s="391"/>
      <c r="FM1004" s="391"/>
      <c r="FN1004" s="391"/>
      <c r="FO1004" s="391"/>
      <c r="FP1004" s="391"/>
      <c r="FQ1004" s="391"/>
      <c r="FR1004" s="391"/>
      <c r="FS1004" s="391"/>
      <c r="FT1004" s="391"/>
      <c r="FU1004" s="391"/>
      <c r="FV1004" s="391"/>
      <c r="FW1004" s="391"/>
      <c r="FX1004" s="391"/>
      <c r="FY1004" s="391"/>
      <c r="FZ1004" s="391"/>
      <c r="GA1004" s="391"/>
      <c r="GB1004" s="391"/>
      <c r="GC1004" s="391"/>
      <c r="GD1004" s="391"/>
      <c r="GE1004" s="391"/>
      <c r="GF1004" s="391"/>
      <c r="GG1004" s="391"/>
      <c r="GH1004" s="391"/>
      <c r="GI1004" s="391"/>
      <c r="GJ1004" s="391"/>
      <c r="GK1004" s="391"/>
      <c r="GL1004" s="391"/>
      <c r="GM1004" s="391"/>
      <c r="GN1004" s="391"/>
      <c r="GO1004" s="391"/>
      <c r="GP1004" s="392"/>
      <c r="GQ1004" s="391"/>
      <c r="GR1004" s="395"/>
      <c r="GS1004" s="391"/>
      <c r="GT1004" s="393"/>
      <c r="GU1004" s="391"/>
      <c r="GV1004" s="395"/>
      <c r="GW1004" s="391"/>
      <c r="GX1004" s="391"/>
      <c r="GY1004" s="369" t="s">
        <v>274</v>
      </c>
      <c r="GZ1004" s="369" t="s">
        <v>274</v>
      </c>
      <c r="HA1004" s="391">
        <v>650</v>
      </c>
      <c r="HB1004" s="391">
        <v>450</v>
      </c>
      <c r="HC1004" s="369">
        <v>315</v>
      </c>
      <c r="HD1004" s="369">
        <v>24</v>
      </c>
      <c r="HE1004" s="369">
        <v>1400</v>
      </c>
      <c r="HF1004" s="391">
        <f>ROUNDUP(HE1004/HD1004,0)</f>
        <v>59</v>
      </c>
      <c r="HG1004" s="369">
        <v>5</v>
      </c>
      <c r="HH1004" s="391">
        <f>HF1004*HG1004</f>
        <v>295</v>
      </c>
      <c r="HI1004" s="369">
        <v>129.16999999999999</v>
      </c>
      <c r="HJ1004" s="391">
        <f>HH1004*HI1004</f>
        <v>38105.149999999994</v>
      </c>
      <c r="HK1004" s="369"/>
      <c r="HL1004" s="369"/>
      <c r="HM1004" s="391">
        <v>2</v>
      </c>
      <c r="HN1004" s="396">
        <f t="shared" ref="HN1004:HN1005" si="895">HM1004*12*25*HE1004</f>
        <v>840000</v>
      </c>
      <c r="HO1004" s="391">
        <f>(IF(GY1004="carton box",HI1004/HD1004,HJ1004/HN1004))</f>
        <v>5.3820833333333331</v>
      </c>
      <c r="HP1004" s="391">
        <v>160</v>
      </c>
      <c r="HQ1004" s="369">
        <v>0</v>
      </c>
      <c r="HR1004" s="391">
        <f>2.72*3</f>
        <v>8.16</v>
      </c>
      <c r="HS1004" s="369">
        <v>24</v>
      </c>
      <c r="HT1004" s="391">
        <f>IF(ISERROR(HR1004/HS1004),0,HR1004/HS1004)</f>
        <v>0.34</v>
      </c>
      <c r="HU1004" s="391"/>
      <c r="HV1004" s="391">
        <f>HO1004+HT1004</f>
        <v>5.722083333333333</v>
      </c>
      <c r="HW1004" s="391">
        <f>0.19</f>
        <v>0.19</v>
      </c>
      <c r="HX1004" s="391">
        <v>4200</v>
      </c>
      <c r="HY1004" s="391">
        <v>1900</v>
      </c>
      <c r="HZ1004" s="396">
        <v>1975</v>
      </c>
      <c r="IA1004" s="391">
        <f>ROUNDDOWN(HX1004/HA1004,0)</f>
        <v>6</v>
      </c>
      <c r="IB1004" s="391">
        <f>ROUNDDOWN(HY1004/HB1004,0)</f>
        <v>4</v>
      </c>
      <c r="IC1004" s="391">
        <f>ROUNDDOWN(HZ1004/HC1004,0)</f>
        <v>6</v>
      </c>
      <c r="ID1004" s="395">
        <v>1</v>
      </c>
      <c r="IE1004" s="396">
        <f>PRODUCT(IA1004:ID1004)</f>
        <v>144</v>
      </c>
      <c r="IF1004" s="391">
        <v>500</v>
      </c>
      <c r="IG1004" s="391">
        <f>(IF1004/(IE1004*HD1004))</f>
        <v>0.14467592592592593</v>
      </c>
      <c r="IH1004" s="391">
        <f>1598.77190354278/500</f>
        <v>3.1975438070855597</v>
      </c>
      <c r="II1004" s="369"/>
      <c r="IJ1004" s="369"/>
      <c r="IK1004" s="369"/>
      <c r="IL1004" s="369"/>
      <c r="IM1004" s="369" t="s">
        <v>4561</v>
      </c>
      <c r="IN1004" s="391">
        <v>315</v>
      </c>
      <c r="IO1004" s="369">
        <v>20</v>
      </c>
      <c r="IP1004" s="369" t="s">
        <v>280</v>
      </c>
      <c r="IQ1004" s="369">
        <v>0.23699999999999999</v>
      </c>
      <c r="IR1004" s="369">
        <v>0.23499999999999999</v>
      </c>
      <c r="IS1004" s="392">
        <v>1</v>
      </c>
      <c r="IT1004" s="391">
        <f>(IQ1004-IR1004)*IS1004</f>
        <v>2.0000000000000018E-3</v>
      </c>
      <c r="IU1004" s="391">
        <f>IQ1004*IN1004-IT1004*IO1004</f>
        <v>74.614999999999995</v>
      </c>
      <c r="IV1004" s="369"/>
      <c r="IW1004" s="369"/>
      <c r="IX1004" s="369"/>
      <c r="IY1004" s="369" t="s">
        <v>4562</v>
      </c>
      <c r="IZ1004" s="369" t="s">
        <v>4563</v>
      </c>
      <c r="JA1004" s="369">
        <v>4</v>
      </c>
      <c r="JB1004" s="369">
        <v>1.98</v>
      </c>
      <c r="JC1004" s="369">
        <f>JB1004*JA1004</f>
        <v>7.92</v>
      </c>
      <c r="JD1004" s="369" t="s">
        <v>4564</v>
      </c>
      <c r="JE1004" s="369" t="s">
        <v>4565</v>
      </c>
      <c r="JF1004" s="369">
        <v>1</v>
      </c>
      <c r="JG1004" s="369">
        <v>2.5</v>
      </c>
      <c r="JH1004" s="369">
        <f>JG1004*JF1004</f>
        <v>2.5</v>
      </c>
      <c r="JI1004" s="369"/>
      <c r="JJ1004" s="369"/>
      <c r="JK1004" s="369"/>
      <c r="JL1004" s="369"/>
      <c r="JM1004" s="369"/>
      <c r="JN1004" s="369"/>
      <c r="JO1004" s="369"/>
      <c r="JP1004" s="369"/>
      <c r="JQ1004" s="369"/>
      <c r="JR1004" s="369"/>
      <c r="JS1004" s="369">
        <f>JC1004+JH1004</f>
        <v>10.42</v>
      </c>
      <c r="JT1004" s="393">
        <v>1.2500000000000001E-2</v>
      </c>
      <c r="JU1004" s="394">
        <f>JT1004*JS1004</f>
        <v>0.13025</v>
      </c>
      <c r="JV1004" s="394">
        <f>JU1004+JS1004</f>
        <v>10.55025</v>
      </c>
      <c r="JW1004" s="369">
        <v>200</v>
      </c>
      <c r="JX1004" s="369">
        <v>2000</v>
      </c>
      <c r="JY1004" s="369">
        <v>8</v>
      </c>
      <c r="JZ1004" s="395">
        <v>0.95</v>
      </c>
      <c r="KA1004" s="369">
        <v>1</v>
      </c>
      <c r="KB1004" s="369"/>
      <c r="KC1004" s="404">
        <v>60</v>
      </c>
      <c r="KD1004" s="417">
        <f>3600/KC1004*KA1004*JZ1004*JY1004</f>
        <v>456</v>
      </c>
      <c r="KE1004" s="418">
        <f>JX1004/KD1004+KF1004</f>
        <v>4.3859649122807021</v>
      </c>
      <c r="KF1004" s="391">
        <v>0</v>
      </c>
      <c r="KG1004" s="395">
        <v>0.11</v>
      </c>
      <c r="KH1004" s="391">
        <f>KG1004*(KE1004+IU1004)</f>
        <v>8.6901061403508759</v>
      </c>
      <c r="KI1004" s="393">
        <v>1.2500000000000001E-2</v>
      </c>
      <c r="KJ1004" s="391">
        <f>KI1004*(KE1004+IU1004)</f>
        <v>0.98751206140350867</v>
      </c>
      <c r="KK1004" s="391"/>
      <c r="KL1004" s="391"/>
      <c r="KM1004" s="391"/>
      <c r="KN1004" s="395">
        <v>0.02</v>
      </c>
      <c r="KO1004" s="391">
        <f>KN1004*KE1004</f>
        <v>8.7719298245614044E-2</v>
      </c>
      <c r="KP1004" s="391">
        <f>IU1004+JS1004+JU1004+KE1004+KH1004+KJ1004+KO1004</f>
        <v>99.3165524122807</v>
      </c>
      <c r="KQ1004" s="369" t="s">
        <v>4561</v>
      </c>
      <c r="KR1004" s="391">
        <v>315</v>
      </c>
      <c r="KS1004" s="369">
        <v>20</v>
      </c>
      <c r="KT1004" s="369" t="s">
        <v>280</v>
      </c>
      <c r="KU1004" s="369">
        <v>2.2000000000000002E-2</v>
      </c>
      <c r="KV1004" s="369">
        <v>1.7000000000000001E-2</v>
      </c>
      <c r="KW1004" s="395">
        <v>1</v>
      </c>
      <c r="KX1004" s="391">
        <f>(KU1004-KV1004)*KW1004</f>
        <v>5.000000000000001E-3</v>
      </c>
      <c r="KY1004" s="391">
        <f>KU1004*KR1004-KX1004*KS1004</f>
        <v>6.830000000000001</v>
      </c>
      <c r="KZ1004" s="369"/>
      <c r="LA1004" s="369"/>
      <c r="LB1004" s="369"/>
      <c r="LC1004" s="369"/>
      <c r="LD1004" s="369"/>
      <c r="LE1004" s="369"/>
      <c r="LF1004" s="369"/>
      <c r="LG1004" s="369"/>
      <c r="LH1004" s="369">
        <v>80</v>
      </c>
      <c r="LI1004" s="369">
        <v>800</v>
      </c>
      <c r="LJ1004" s="369">
        <v>8</v>
      </c>
      <c r="LK1004" s="395">
        <v>0.95</v>
      </c>
      <c r="LL1004" s="369">
        <v>2</v>
      </c>
      <c r="LM1004" s="369"/>
      <c r="LN1004" s="369">
        <v>35</v>
      </c>
      <c r="LO1004" s="396">
        <f>3600/LN1004*LL1004*LK1004*LJ1004</f>
        <v>1563.4285714285713</v>
      </c>
      <c r="LP1004" s="391">
        <f>LI1004/LO1004</f>
        <v>0.51169590643274854</v>
      </c>
      <c r="LQ1004" s="391"/>
      <c r="LR1004" s="395">
        <v>0.11</v>
      </c>
      <c r="LS1004" s="391">
        <f>LR1004*(LP1004+KY1004)</f>
        <v>0.80758654970760246</v>
      </c>
      <c r="LT1004" s="393">
        <v>1.2500000000000001E-2</v>
      </c>
      <c r="LU1004" s="391">
        <f>LT1004*(LP1004+KY1004)</f>
        <v>9.1771198830409378E-2</v>
      </c>
      <c r="LV1004" s="391"/>
      <c r="LW1004" s="391"/>
      <c r="LX1004" s="391"/>
      <c r="LY1004" s="395">
        <v>0.02</v>
      </c>
      <c r="LZ1004" s="391">
        <f>LY1004*LP1004</f>
        <v>1.023391812865497E-2</v>
      </c>
      <c r="MA1004" s="391">
        <f>KY1004+LD1004+LF1004+LP1004+LS1004+LU1004+LZ1004</f>
        <v>8.2512875730994164</v>
      </c>
    </row>
    <row r="1005" spans="1:339">
      <c r="A1005">
        <v>988</v>
      </c>
      <c r="B1005" s="27" t="s">
        <v>468</v>
      </c>
      <c r="C1005" s="27" t="s">
        <v>4566</v>
      </c>
      <c r="D1005" s="28" t="s">
        <v>2993</v>
      </c>
      <c r="E1005" s="27" t="s">
        <v>2994</v>
      </c>
      <c r="F1005" s="27" t="s">
        <v>2182</v>
      </c>
      <c r="G1005" s="27" t="s">
        <v>90</v>
      </c>
      <c r="I1005" s="27" t="s">
        <v>226</v>
      </c>
      <c r="J1005" s="28">
        <v>29164</v>
      </c>
      <c r="K1005" s="27" t="s">
        <v>229</v>
      </c>
      <c r="L1005" s="371"/>
      <c r="M1005" s="369"/>
      <c r="N1005" s="369"/>
      <c r="O1005" s="369"/>
      <c r="P1005" s="369"/>
      <c r="Q1005" s="27" t="s">
        <v>1777</v>
      </c>
      <c r="R1005" s="27" t="s">
        <v>1769</v>
      </c>
      <c r="S1005" s="370">
        <v>43761</v>
      </c>
      <c r="T1005" s="27" t="s">
        <v>4555</v>
      </c>
      <c r="U1005" s="370">
        <v>43781</v>
      </c>
      <c r="V1005" s="369"/>
      <c r="W1005" s="27" t="s">
        <v>4567</v>
      </c>
      <c r="X1005" s="27"/>
      <c r="Y1005" s="27"/>
      <c r="Z1005" s="27"/>
      <c r="AA1005" s="390"/>
      <c r="AB1005" s="391"/>
      <c r="AC1005" s="369"/>
      <c r="AD1005" s="390"/>
      <c r="AE1005" s="396">
        <f>BA1005</f>
        <v>0</v>
      </c>
      <c r="AF1005" s="391">
        <f>DU1005+DZ1005+EE1005</f>
        <v>107.56783998538012</v>
      </c>
      <c r="AG1005" s="391">
        <f>EU1005</f>
        <v>4.4921875</v>
      </c>
      <c r="AH1005" s="398">
        <f>DM1005</f>
        <v>0</v>
      </c>
      <c r="AI1005" s="398">
        <f>DO1005</f>
        <v>0</v>
      </c>
      <c r="AJ1005" s="398">
        <f>GW1005</f>
        <v>0</v>
      </c>
      <c r="AK1005" s="398">
        <f>GU1005</f>
        <v>0</v>
      </c>
      <c r="AL1005" s="398">
        <f>GS1005</f>
        <v>0</v>
      </c>
      <c r="AM1005" s="398">
        <f>HV1005</f>
        <v>0.36565476190476187</v>
      </c>
      <c r="AN1005" s="398">
        <f>IG1005</f>
        <v>1.97</v>
      </c>
      <c r="AO1005" s="398"/>
      <c r="AP1005" s="398"/>
      <c r="AQ1005" s="398">
        <f>SUM(AE1005:AO1005)</f>
        <v>114.39568224728488</v>
      </c>
      <c r="AR1005" s="398"/>
      <c r="AS1005" s="398">
        <f t="shared" si="893"/>
        <v>0</v>
      </c>
      <c r="AT1005" s="398">
        <v>0</v>
      </c>
      <c r="AU1005" s="391">
        <f>101.65*0.03+8.25*0.03</f>
        <v>3.2970000000000002</v>
      </c>
      <c r="AV1005" s="398">
        <f t="shared" si="894"/>
        <v>117.69268224728488</v>
      </c>
      <c r="AW1005" s="369"/>
      <c r="AX1005" s="369"/>
      <c r="AY1005" s="392"/>
      <c r="AZ1005" s="391"/>
      <c r="BA1005" s="391"/>
      <c r="BB1005" s="391"/>
      <c r="BC1005" s="391"/>
      <c r="BD1005" s="391"/>
      <c r="BE1005" s="391"/>
      <c r="BF1005" s="391"/>
      <c r="BG1005" s="391"/>
      <c r="BH1005" s="391"/>
      <c r="BI1005" s="391"/>
      <c r="BJ1005" s="391"/>
      <c r="BK1005" s="391"/>
      <c r="BL1005" s="391"/>
      <c r="BM1005" s="369"/>
      <c r="BN1005" s="369"/>
      <c r="BO1005" s="369"/>
      <c r="BP1005" s="369"/>
      <c r="BQ1005" s="369"/>
      <c r="BR1005" s="369"/>
      <c r="BS1005" s="369"/>
      <c r="BT1005" s="369"/>
      <c r="BU1005" s="369"/>
      <c r="BV1005" s="369"/>
      <c r="BW1005" s="369"/>
      <c r="BX1005" s="369"/>
      <c r="BY1005" s="369"/>
      <c r="BZ1005" s="369"/>
      <c r="CA1005" s="369"/>
      <c r="CB1005" s="369"/>
      <c r="CC1005" s="369"/>
      <c r="CD1005" s="369"/>
      <c r="CE1005" s="369"/>
      <c r="CF1005" s="369"/>
      <c r="CG1005" s="369"/>
      <c r="CH1005" s="369"/>
      <c r="CI1005" s="369"/>
      <c r="CJ1005" s="369"/>
      <c r="CK1005" s="369"/>
      <c r="CL1005" s="369"/>
      <c r="CM1005" s="369"/>
      <c r="CN1005" s="369"/>
      <c r="CO1005" s="369"/>
      <c r="CP1005" s="369"/>
      <c r="CQ1005" s="391"/>
      <c r="CR1005" s="391"/>
      <c r="CS1005" s="369"/>
      <c r="CT1005" s="369"/>
      <c r="CU1005" s="369"/>
      <c r="CV1005" s="369"/>
      <c r="CW1005" s="369"/>
      <c r="CX1005" s="369"/>
      <c r="CY1005" s="369"/>
      <c r="CZ1005" s="369"/>
      <c r="DA1005" s="369"/>
      <c r="DB1005" s="369"/>
      <c r="DC1005" s="369"/>
      <c r="DD1005" s="369"/>
      <c r="DE1005" s="369"/>
      <c r="DF1005" s="369"/>
      <c r="DG1005" s="369"/>
      <c r="DH1005" s="369"/>
      <c r="DI1005" s="369"/>
      <c r="DJ1005" s="369"/>
      <c r="DK1005" s="369"/>
      <c r="DL1005" s="369"/>
      <c r="DM1005" s="391">
        <f>CH1005+CM1005+CR1005+CW1005+DB1005+DG1005+DL1005</f>
        <v>0</v>
      </c>
      <c r="DN1005" s="393"/>
      <c r="DO1005" s="391">
        <f>DM1005*DN1005</f>
        <v>0</v>
      </c>
      <c r="DP1005" s="391">
        <f>DM1005+DO1005</f>
        <v>0</v>
      </c>
      <c r="DQ1005" s="369" t="s">
        <v>4557</v>
      </c>
      <c r="DR1005" s="369" t="s">
        <v>4558</v>
      </c>
      <c r="DS1005" s="369">
        <v>1</v>
      </c>
      <c r="DT1005" s="391">
        <f>KP1005</f>
        <v>99.3165524122807</v>
      </c>
      <c r="DU1005" s="391">
        <f>DT1005*DS1005</f>
        <v>99.3165524122807</v>
      </c>
      <c r="DV1005" s="369" t="s">
        <v>4559</v>
      </c>
      <c r="DW1005" s="369" t="s">
        <v>4560</v>
      </c>
      <c r="DX1005" s="369">
        <v>1</v>
      </c>
      <c r="DY1005" s="391">
        <f>MA1005</f>
        <v>8.2512875730994164</v>
      </c>
      <c r="DZ1005" s="394">
        <f>DY1005*DX1005</f>
        <v>8.2512875730994164</v>
      </c>
      <c r="EA1005" s="369"/>
      <c r="EB1005" s="369"/>
      <c r="EC1005" s="369"/>
      <c r="ED1005" s="369"/>
      <c r="EE1005" s="369"/>
      <c r="EF1005" s="369"/>
      <c r="EG1005" s="369"/>
      <c r="EH1005" s="369"/>
      <c r="EI1005" s="395"/>
      <c r="EJ1005" s="369"/>
      <c r="EK1005" s="369"/>
      <c r="EL1005" s="396"/>
      <c r="EM1005" s="369"/>
      <c r="EN1005" s="369"/>
      <c r="EO1005" s="369"/>
      <c r="EP1005" s="369"/>
      <c r="EQ1005" s="369"/>
      <c r="ER1005" s="369"/>
      <c r="ES1005" s="369"/>
      <c r="ET1005" s="369"/>
      <c r="EU1005" s="391">
        <f>FG1005</f>
        <v>4.4921875</v>
      </c>
      <c r="EV1005" s="369"/>
      <c r="EW1005" s="369"/>
      <c r="EX1005" s="369"/>
      <c r="EY1005" s="369"/>
      <c r="EZ1005" s="369"/>
      <c r="FA1005" s="369"/>
      <c r="FB1005" s="369">
        <v>5175</v>
      </c>
      <c r="FC1005" s="369">
        <v>45</v>
      </c>
      <c r="FD1005" s="396">
        <v>2</v>
      </c>
      <c r="FE1005" s="395">
        <v>0.9</v>
      </c>
      <c r="FF1005" s="397">
        <f>3600/FC1005*FD1005*FE1005*8</f>
        <v>1152</v>
      </c>
      <c r="FG1005" s="391">
        <f>FB1005/FF1005</f>
        <v>4.4921875</v>
      </c>
      <c r="FH1005" s="391"/>
      <c r="FI1005" s="391"/>
      <c r="FJ1005" s="391"/>
      <c r="FK1005" s="391"/>
      <c r="FL1005" s="391"/>
      <c r="FM1005" s="391"/>
      <c r="FN1005" s="391"/>
      <c r="FO1005" s="391"/>
      <c r="FP1005" s="391"/>
      <c r="FQ1005" s="391"/>
      <c r="FR1005" s="391"/>
      <c r="FS1005" s="391"/>
      <c r="FT1005" s="391"/>
      <c r="FU1005" s="391"/>
      <c r="FV1005" s="391"/>
      <c r="FW1005" s="391"/>
      <c r="FX1005" s="391"/>
      <c r="FY1005" s="391"/>
      <c r="FZ1005" s="391"/>
      <c r="GA1005" s="391"/>
      <c r="GB1005" s="391"/>
      <c r="GC1005" s="391"/>
      <c r="GD1005" s="391"/>
      <c r="GE1005" s="391"/>
      <c r="GF1005" s="391"/>
      <c r="GG1005" s="391"/>
      <c r="GH1005" s="391"/>
      <c r="GI1005" s="391"/>
      <c r="GJ1005" s="391"/>
      <c r="GK1005" s="391"/>
      <c r="GL1005" s="391"/>
      <c r="GM1005" s="391"/>
      <c r="GN1005" s="391"/>
      <c r="GO1005" s="391"/>
      <c r="GP1005" s="392"/>
      <c r="GQ1005" s="391"/>
      <c r="GR1005" s="395"/>
      <c r="GS1005" s="391"/>
      <c r="GT1005" s="393"/>
      <c r="GU1005" s="391"/>
      <c r="GV1005" s="395"/>
      <c r="GW1005" s="391"/>
      <c r="GX1005" s="391"/>
      <c r="GY1005" s="369" t="s">
        <v>43</v>
      </c>
      <c r="GZ1005" s="369" t="s">
        <v>61</v>
      </c>
      <c r="HA1005" s="391">
        <v>650</v>
      </c>
      <c r="HB1005" s="391">
        <v>450</v>
      </c>
      <c r="HC1005" s="369">
        <v>330</v>
      </c>
      <c r="HD1005" s="369">
        <v>24</v>
      </c>
      <c r="HE1005" s="369">
        <v>1400</v>
      </c>
      <c r="HF1005" s="391">
        <f>ROUNDUP(HE1005/HD1005,0)</f>
        <v>59</v>
      </c>
      <c r="HG1005" s="369">
        <v>5</v>
      </c>
      <c r="HH1005" s="391">
        <f>HF1005*HG1005</f>
        <v>295</v>
      </c>
      <c r="HI1005" s="369">
        <v>550</v>
      </c>
      <c r="HJ1005" s="391">
        <f>HH1005*HI1005</f>
        <v>162250</v>
      </c>
      <c r="HK1005" s="369"/>
      <c r="HL1005" s="369"/>
      <c r="HM1005" s="391">
        <v>2</v>
      </c>
      <c r="HN1005" s="396">
        <f t="shared" si="895"/>
        <v>840000</v>
      </c>
      <c r="HO1005" s="391">
        <f>(IF(GY1005="carton box",HI1005/HD1005,HJ1005/HN1005))</f>
        <v>0.19315476190476191</v>
      </c>
      <c r="HP1005" s="391">
        <v>160</v>
      </c>
      <c r="HQ1005" s="369">
        <v>0</v>
      </c>
      <c r="HR1005" s="391">
        <f>1.38*3</f>
        <v>4.1399999999999997</v>
      </c>
      <c r="HS1005" s="369">
        <v>24</v>
      </c>
      <c r="HT1005" s="391">
        <f>IF(ISERROR(HR1005/HS1005),0,HR1005/HS1005)</f>
        <v>0.17249999999999999</v>
      </c>
      <c r="HU1005" s="391"/>
      <c r="HV1005" s="391">
        <f>HO1005+HT1005</f>
        <v>0.36565476190476187</v>
      </c>
      <c r="HW1005" s="391"/>
      <c r="HX1005" s="391">
        <v>4200</v>
      </c>
      <c r="HY1005" s="391">
        <v>1900</v>
      </c>
      <c r="HZ1005" s="396">
        <v>1975</v>
      </c>
      <c r="IA1005" s="391">
        <f>ROUNDDOWN(HX1005/HA1005,0)</f>
        <v>6</v>
      </c>
      <c r="IB1005" s="391">
        <f>ROUNDDOWN(HY1005/HB1005,0)</f>
        <v>4</v>
      </c>
      <c r="IC1005" s="391">
        <f>ROUNDDOWN(HZ1005/HC1005,0)+1</f>
        <v>6</v>
      </c>
      <c r="ID1005" s="395">
        <v>1</v>
      </c>
      <c r="IE1005" s="396">
        <f>PRODUCT(IA1005:ID1005)</f>
        <v>144</v>
      </c>
      <c r="IF1005" s="391">
        <v>6800</v>
      </c>
      <c r="IG1005" s="391">
        <f>ROUNDUP(IF1005/(IE1005*HD1005),2)</f>
        <v>1.97</v>
      </c>
      <c r="IH1005" s="391"/>
      <c r="II1005" s="369"/>
      <c r="IJ1005" s="369"/>
      <c r="IK1005" s="369"/>
      <c r="IL1005" s="369"/>
      <c r="IM1005" s="369" t="s">
        <v>4561</v>
      </c>
      <c r="IN1005" s="391">
        <v>315</v>
      </c>
      <c r="IO1005" s="369">
        <v>20</v>
      </c>
      <c r="IP1005" s="369" t="s">
        <v>280</v>
      </c>
      <c r="IQ1005" s="369">
        <v>0.23699999999999999</v>
      </c>
      <c r="IR1005" s="369">
        <v>0.23499999999999999</v>
      </c>
      <c r="IS1005" s="392">
        <v>1</v>
      </c>
      <c r="IT1005" s="391">
        <f>(IQ1005-IR1005)*IS1005</f>
        <v>2.0000000000000018E-3</v>
      </c>
      <c r="IU1005" s="391">
        <f>IQ1005*IN1005-IT1005*IO1005</f>
        <v>74.614999999999995</v>
      </c>
      <c r="IV1005" s="369"/>
      <c r="IW1005" s="369"/>
      <c r="IX1005" s="369"/>
      <c r="IY1005" s="369" t="s">
        <v>4562</v>
      </c>
      <c r="IZ1005" s="369" t="s">
        <v>4563</v>
      </c>
      <c r="JA1005" s="369">
        <v>4</v>
      </c>
      <c r="JB1005" s="369">
        <v>1.98</v>
      </c>
      <c r="JC1005" s="369">
        <f>JB1005*JA1005</f>
        <v>7.92</v>
      </c>
      <c r="JD1005" s="369" t="s">
        <v>4564</v>
      </c>
      <c r="JE1005" s="369" t="s">
        <v>4565</v>
      </c>
      <c r="JF1005" s="369">
        <v>1</v>
      </c>
      <c r="JG1005" s="369">
        <v>2.5</v>
      </c>
      <c r="JH1005" s="369">
        <f>JG1005*JF1005</f>
        <v>2.5</v>
      </c>
      <c r="JI1005" s="369"/>
      <c r="JJ1005" s="369"/>
      <c r="JK1005" s="369"/>
      <c r="JL1005" s="369"/>
      <c r="JM1005" s="369"/>
      <c r="JN1005" s="369"/>
      <c r="JO1005" s="369"/>
      <c r="JP1005" s="369"/>
      <c r="JQ1005" s="369"/>
      <c r="JR1005" s="369"/>
      <c r="JS1005" s="369">
        <f>JC1005+JH1005</f>
        <v>10.42</v>
      </c>
      <c r="JT1005" s="393">
        <v>1.2500000000000001E-2</v>
      </c>
      <c r="JU1005" s="394">
        <f>JT1005*JS1005</f>
        <v>0.13025</v>
      </c>
      <c r="JV1005" s="394">
        <f>JU1005+JS1005</f>
        <v>10.55025</v>
      </c>
      <c r="JW1005" s="369">
        <v>200</v>
      </c>
      <c r="JX1005" s="369">
        <v>2000</v>
      </c>
      <c r="JY1005" s="369">
        <v>8</v>
      </c>
      <c r="JZ1005" s="395">
        <v>0.95</v>
      </c>
      <c r="KA1005" s="369">
        <v>1</v>
      </c>
      <c r="KB1005" s="369"/>
      <c r="KC1005" s="404">
        <v>60</v>
      </c>
      <c r="KD1005" s="417">
        <f>3600/KC1005*KA1005*JZ1005*JY1005</f>
        <v>456</v>
      </c>
      <c r="KE1005" s="418">
        <f>JX1005/KD1005+KF1005</f>
        <v>4.3859649122807021</v>
      </c>
      <c r="KF1005" s="391">
        <v>0</v>
      </c>
      <c r="KG1005" s="395">
        <v>0.11</v>
      </c>
      <c r="KH1005" s="391">
        <f>KG1005*(KE1005+IU1005)</f>
        <v>8.6901061403508759</v>
      </c>
      <c r="KI1005" s="393">
        <v>1.2500000000000001E-2</v>
      </c>
      <c r="KJ1005" s="391">
        <f>KI1005*(KE1005+IU1005)</f>
        <v>0.98751206140350867</v>
      </c>
      <c r="KK1005" s="391"/>
      <c r="KL1005" s="391"/>
      <c r="KM1005" s="391"/>
      <c r="KN1005" s="395">
        <v>0.02</v>
      </c>
      <c r="KO1005" s="391">
        <f>KN1005*KE1005</f>
        <v>8.7719298245614044E-2</v>
      </c>
      <c r="KP1005" s="391">
        <f>IU1005+JS1005+JU1005+KE1005+KH1005+KJ1005+KO1005</f>
        <v>99.3165524122807</v>
      </c>
      <c r="KQ1005" s="369" t="s">
        <v>4561</v>
      </c>
      <c r="KR1005" s="391">
        <v>315</v>
      </c>
      <c r="KS1005" s="369">
        <v>20</v>
      </c>
      <c r="KT1005" s="369" t="s">
        <v>280</v>
      </c>
      <c r="KU1005" s="369">
        <v>2.2000000000000002E-2</v>
      </c>
      <c r="KV1005" s="369">
        <v>1.7000000000000001E-2</v>
      </c>
      <c r="KW1005" s="395">
        <v>1</v>
      </c>
      <c r="KX1005" s="391">
        <f>(KU1005-KV1005)*KW1005</f>
        <v>5.000000000000001E-3</v>
      </c>
      <c r="KY1005" s="391">
        <f>KU1005*KR1005-KX1005*KS1005</f>
        <v>6.830000000000001</v>
      </c>
      <c r="KZ1005" s="369"/>
      <c r="LA1005" s="369"/>
      <c r="LB1005" s="369"/>
      <c r="LC1005" s="369"/>
      <c r="LD1005" s="369"/>
      <c r="LE1005" s="369"/>
      <c r="LF1005" s="369"/>
      <c r="LG1005" s="369"/>
      <c r="LH1005" s="369">
        <v>80</v>
      </c>
      <c r="LI1005" s="369">
        <v>800</v>
      </c>
      <c r="LJ1005" s="369">
        <v>8</v>
      </c>
      <c r="LK1005" s="395">
        <v>0.95</v>
      </c>
      <c r="LL1005" s="369">
        <v>2</v>
      </c>
      <c r="LM1005" s="369"/>
      <c r="LN1005" s="369">
        <v>35</v>
      </c>
      <c r="LO1005" s="396">
        <f>3600/LN1005*LL1005*LK1005*LJ1005</f>
        <v>1563.4285714285713</v>
      </c>
      <c r="LP1005" s="391">
        <f>LI1005/LO1005</f>
        <v>0.51169590643274854</v>
      </c>
      <c r="LQ1005" s="391"/>
      <c r="LR1005" s="395">
        <v>0.11</v>
      </c>
      <c r="LS1005" s="391">
        <f>LR1005*(LP1005+KY1005)</f>
        <v>0.80758654970760246</v>
      </c>
      <c r="LT1005" s="393">
        <v>1.2500000000000001E-2</v>
      </c>
      <c r="LU1005" s="391">
        <f>LT1005*(LP1005+KY1005)</f>
        <v>9.1771198830409378E-2</v>
      </c>
      <c r="LV1005" s="391"/>
      <c r="LW1005" s="391"/>
      <c r="LX1005" s="391"/>
      <c r="LY1005" s="395">
        <v>0.02</v>
      </c>
      <c r="LZ1005" s="391">
        <f>LY1005*LP1005</f>
        <v>1.023391812865497E-2</v>
      </c>
      <c r="MA1005" s="391">
        <f>KY1005+LD1005+LF1005+LP1005+LS1005+LU1005+LZ1005</f>
        <v>8.2512875730994164</v>
      </c>
    </row>
    <row r="1006" spans="1:339">
      <c r="A1006">
        <v>989</v>
      </c>
      <c r="C1006" s="27" t="s">
        <v>567</v>
      </c>
      <c r="D1006" s="28" t="s">
        <v>318</v>
      </c>
      <c r="E1006" s="27" t="s">
        <v>319</v>
      </c>
      <c r="F1006" t="s">
        <v>2444</v>
      </c>
      <c r="G1006" s="27" t="s">
        <v>90</v>
      </c>
      <c r="I1006" s="27" t="s">
        <v>94</v>
      </c>
      <c r="J1006" s="28">
        <v>21590</v>
      </c>
      <c r="K1006" s="27" t="s">
        <v>397</v>
      </c>
      <c r="L1006" s="371"/>
      <c r="M1006" s="369"/>
      <c r="N1006" s="369"/>
      <c r="O1006" s="27" t="s">
        <v>1791</v>
      </c>
      <c r="P1006" s="370">
        <v>44971</v>
      </c>
      <c r="Q1006" s="369"/>
      <c r="R1006" s="369"/>
      <c r="S1006" s="369"/>
      <c r="T1006" s="369"/>
      <c r="U1006" s="369"/>
      <c r="V1006" s="369"/>
      <c r="W1006" s="27" t="s">
        <v>1765</v>
      </c>
    </row>
    <row r="1007" spans="1:339" ht="25.5">
      <c r="A1007">
        <v>990</v>
      </c>
      <c r="B1007" t="s">
        <v>468</v>
      </c>
      <c r="C1007" s="27" t="s">
        <v>443</v>
      </c>
      <c r="D1007" s="28" t="s">
        <v>318</v>
      </c>
      <c r="E1007" s="27" t="s">
        <v>319</v>
      </c>
      <c r="F1007" t="s">
        <v>2182</v>
      </c>
      <c r="G1007" s="27" t="s">
        <v>90</v>
      </c>
      <c r="I1007" s="27" t="s">
        <v>226</v>
      </c>
      <c r="J1007" s="28">
        <v>21590</v>
      </c>
      <c r="K1007" s="27" t="s">
        <v>397</v>
      </c>
      <c r="L1007" s="369"/>
      <c r="M1007" s="369"/>
      <c r="N1007" s="369"/>
      <c r="O1007" s="369"/>
      <c r="P1007" s="369"/>
      <c r="Q1007" s="27" t="s">
        <v>1035</v>
      </c>
      <c r="R1007" s="27" t="s">
        <v>1194</v>
      </c>
      <c r="S1007" s="27" t="s">
        <v>4568</v>
      </c>
      <c r="T1007" s="27" t="s">
        <v>4555</v>
      </c>
      <c r="U1007" s="370">
        <v>44588</v>
      </c>
      <c r="V1007" s="369"/>
      <c r="W1007" s="162" t="s">
        <v>4569</v>
      </c>
      <c r="X1007" s="162"/>
      <c r="Y1007" s="162"/>
      <c r="Z1007" s="162"/>
      <c r="AA1007" s="390" t="s">
        <v>440</v>
      </c>
      <c r="AB1007" s="369">
        <v>110.86</v>
      </c>
      <c r="AC1007" s="369">
        <v>20</v>
      </c>
      <c r="AD1007" s="390" t="s">
        <v>297</v>
      </c>
      <c r="AE1007" s="391">
        <f t="shared" ref="AE1007" si="896">BA1007</f>
        <v>0.54864400000000002</v>
      </c>
      <c r="AF1007" s="398"/>
      <c r="AG1007" s="391">
        <f>EU1007</f>
        <v>0.66872427983539096</v>
      </c>
      <c r="AH1007" s="398">
        <f t="shared" ref="AH1007" si="897">DM1007</f>
        <v>0</v>
      </c>
      <c r="AI1007" s="398">
        <f t="shared" ref="AI1007" si="898">DO1007</f>
        <v>0</v>
      </c>
      <c r="AJ1007" s="398">
        <f>GW1007</f>
        <v>1.3374485596707819E-2</v>
      </c>
      <c r="AK1007" s="398">
        <f>GU1007</f>
        <v>1.5217103497942386E-2</v>
      </c>
      <c r="AL1007" s="398">
        <f>GS1007</f>
        <v>0.13391051078189301</v>
      </c>
      <c r="AM1007" s="398">
        <f>HV1007</f>
        <v>0.03</v>
      </c>
      <c r="AN1007" s="398">
        <f>IG1007</f>
        <v>0.01</v>
      </c>
      <c r="AO1007" s="398"/>
      <c r="AP1007" s="398"/>
      <c r="AQ1007" s="398">
        <f>SUM(AE1007:AO1007)</f>
        <v>1.4198703797119341</v>
      </c>
      <c r="AR1007" s="398"/>
      <c r="AS1007" s="398">
        <f t="shared" ref="AS1007" si="899">EE1007</f>
        <v>0</v>
      </c>
      <c r="AT1007" s="398">
        <v>0</v>
      </c>
      <c r="AU1007" s="391">
        <f>1.43-1.42</f>
        <v>1.0000000000000009E-2</v>
      </c>
      <c r="AV1007" s="398">
        <f t="shared" ref="AV1007" si="900">AQ1007+AT1007+AU1007+AR1007+AS1007</f>
        <v>1.4298703797119341</v>
      </c>
      <c r="AW1007" s="394">
        <v>5.4000000000000003E-3</v>
      </c>
      <c r="AX1007" s="394">
        <v>2.8999999999999998E-3</v>
      </c>
      <c r="AY1007" s="392">
        <v>1</v>
      </c>
      <c r="AZ1007" s="391">
        <f>(AW1007-AX1007)*AY1007</f>
        <v>2.5000000000000005E-3</v>
      </c>
      <c r="BA1007" s="391">
        <f>AW1007*AB1007-AZ1007*AC1007</f>
        <v>0.54864400000000002</v>
      </c>
      <c r="BB1007" s="391"/>
      <c r="BC1007" s="391"/>
      <c r="BD1007" s="391"/>
      <c r="BE1007" s="391"/>
      <c r="BF1007" s="391"/>
      <c r="BG1007" s="391"/>
      <c r="BH1007" s="391"/>
      <c r="BI1007" s="391"/>
      <c r="BJ1007" s="391"/>
      <c r="BK1007" s="391"/>
      <c r="BL1007" s="391"/>
      <c r="BM1007" s="369"/>
      <c r="BN1007" s="369"/>
      <c r="BO1007" s="369"/>
      <c r="BP1007" s="369"/>
      <c r="BQ1007" s="369"/>
      <c r="BR1007" s="369"/>
      <c r="BS1007" s="369"/>
      <c r="BT1007" s="369"/>
      <c r="BU1007" s="369"/>
      <c r="BV1007" s="369"/>
      <c r="BW1007" s="369"/>
      <c r="BX1007" s="369"/>
      <c r="BY1007" s="369"/>
      <c r="BZ1007" s="369"/>
      <c r="CA1007" s="369"/>
      <c r="CB1007" s="369"/>
      <c r="CC1007" s="369"/>
      <c r="CD1007" s="369"/>
      <c r="CE1007" s="391"/>
      <c r="CF1007" s="391"/>
      <c r="CG1007" s="391"/>
      <c r="CH1007" s="369">
        <f>CF1007*CG1007</f>
        <v>0</v>
      </c>
      <c r="CI1007" s="369"/>
      <c r="CJ1007" s="369"/>
      <c r="CK1007" s="369"/>
      <c r="CL1007" s="369"/>
      <c r="CM1007" s="369"/>
      <c r="CN1007" s="369"/>
      <c r="CO1007" s="369"/>
      <c r="CP1007" s="369"/>
      <c r="CQ1007" s="369"/>
      <c r="CR1007" s="369">
        <f>CP1007*CQ1007</f>
        <v>0</v>
      </c>
      <c r="CS1007" s="369"/>
      <c r="CT1007" s="369"/>
      <c r="CU1007" s="369"/>
      <c r="CV1007" s="369"/>
      <c r="CW1007" s="369">
        <f>CU1007*CV1007</f>
        <v>0</v>
      </c>
      <c r="CX1007" s="369"/>
      <c r="CY1007" s="369"/>
      <c r="CZ1007" s="369"/>
      <c r="DA1007" s="369"/>
      <c r="DB1007" s="369"/>
      <c r="DC1007" s="369"/>
      <c r="DD1007" s="369"/>
      <c r="DE1007" s="369"/>
      <c r="DF1007" s="369"/>
      <c r="DG1007" s="369"/>
      <c r="DH1007" s="369"/>
      <c r="DI1007" s="369"/>
      <c r="DJ1007" s="369"/>
      <c r="DK1007" s="369"/>
      <c r="DL1007" s="369"/>
      <c r="DM1007" s="391">
        <f>CH1007+CM1007+CR1007+CW1007+DB1007+DG1007+DL1007</f>
        <v>0</v>
      </c>
      <c r="DN1007" s="393">
        <v>1.2500000000000001E-2</v>
      </c>
      <c r="DO1007" s="391">
        <f>DM1007*DN1007</f>
        <v>0</v>
      </c>
      <c r="DP1007" s="391">
        <f>DM1007+DO1007</f>
        <v>0</v>
      </c>
      <c r="DQ1007" s="369"/>
      <c r="DR1007" s="369"/>
      <c r="DS1007" s="369"/>
      <c r="DT1007" s="369"/>
      <c r="DU1007" s="369"/>
      <c r="DV1007" s="369"/>
      <c r="DW1007" s="369"/>
      <c r="DX1007" s="369"/>
      <c r="DY1007" s="395"/>
      <c r="DZ1007" s="369"/>
      <c r="EA1007" s="369"/>
      <c r="EB1007" s="396"/>
      <c r="EC1007" s="369"/>
      <c r="ED1007" s="369"/>
      <c r="EE1007" s="369"/>
      <c r="EF1007" s="369">
        <v>60</v>
      </c>
      <c r="EG1007" s="369">
        <v>1000</v>
      </c>
      <c r="EH1007" s="369">
        <v>7.5</v>
      </c>
      <c r="EI1007" s="395">
        <v>0.9</v>
      </c>
      <c r="EJ1007" s="369">
        <v>4</v>
      </c>
      <c r="EK1007" s="369">
        <v>65</v>
      </c>
      <c r="EL1007" s="396">
        <f t="shared" ref="EL1007" si="901">3600/EK1007*EH1007*EJ1007*EI1007</f>
        <v>1495.3846153846155</v>
      </c>
      <c r="EM1007" s="369"/>
      <c r="EN1007" s="369"/>
      <c r="EO1007" s="369"/>
      <c r="EP1007" s="369"/>
      <c r="EQ1007" s="369"/>
      <c r="ER1007" s="369"/>
      <c r="ES1007" s="369"/>
      <c r="ET1007" s="369"/>
      <c r="EU1007" s="391">
        <f>(EG1007/EL1007+EM1007+EX1007+EP1007+EQ1007+ER1007+EO1007)</f>
        <v>0.66872427983539096</v>
      </c>
      <c r="EV1007" s="369"/>
      <c r="EW1007" s="369"/>
      <c r="EX1007" s="369"/>
      <c r="EY1007" s="369"/>
      <c r="EZ1007" s="369"/>
      <c r="FA1007" s="369"/>
      <c r="FB1007" s="369"/>
      <c r="FC1007" s="369"/>
      <c r="FD1007" s="369"/>
      <c r="FE1007" s="369"/>
      <c r="FF1007" s="369"/>
      <c r="FG1007" s="369"/>
      <c r="FH1007" s="369"/>
      <c r="FI1007" s="369"/>
      <c r="FJ1007" s="369"/>
      <c r="FK1007" s="369"/>
      <c r="FL1007" s="369"/>
      <c r="FM1007" s="369"/>
      <c r="FN1007" s="369"/>
      <c r="FO1007" s="369"/>
      <c r="FP1007" s="369"/>
      <c r="FQ1007" s="369"/>
      <c r="FR1007" s="369"/>
      <c r="FS1007" s="369"/>
      <c r="FT1007" s="369"/>
      <c r="FU1007" s="369"/>
      <c r="FV1007" s="369"/>
      <c r="FW1007" s="369"/>
      <c r="FX1007" s="369"/>
      <c r="FY1007" s="369"/>
      <c r="FZ1007" s="369"/>
      <c r="GA1007" s="369"/>
      <c r="GB1007" s="369"/>
      <c r="GC1007" s="369"/>
      <c r="GD1007" s="369"/>
      <c r="GE1007" s="369"/>
      <c r="GF1007" s="369"/>
      <c r="GG1007" s="369"/>
      <c r="GH1007" s="369"/>
      <c r="GI1007" s="369"/>
      <c r="GJ1007" s="369"/>
      <c r="GK1007" s="369"/>
      <c r="GL1007" s="369"/>
      <c r="GM1007" s="369"/>
      <c r="GN1007" s="369"/>
      <c r="GO1007" s="369"/>
      <c r="GP1007" s="392"/>
      <c r="GQ1007" s="369"/>
      <c r="GR1007" s="395">
        <v>0.11</v>
      </c>
      <c r="GS1007" s="391">
        <f>GR1007*(BA1007+EU1007)</f>
        <v>0.13391051078189301</v>
      </c>
      <c r="GT1007" s="393">
        <v>1.2500000000000001E-2</v>
      </c>
      <c r="GU1007" s="391">
        <f>GT1007*(EU1007+BA1007)</f>
        <v>1.5217103497942386E-2</v>
      </c>
      <c r="GV1007" s="395">
        <v>0.02</v>
      </c>
      <c r="GW1007" s="391">
        <f>GV1007*(EU1007-EP1007-EQ1007)</f>
        <v>1.3374485596707819E-2</v>
      </c>
      <c r="GX1007" s="391">
        <f>GS1007+GU1007+GW1007</f>
        <v>0.16250209987654321</v>
      </c>
      <c r="GY1007" s="369" t="s">
        <v>43</v>
      </c>
      <c r="GZ1007" s="369" t="s">
        <v>87</v>
      </c>
      <c r="HA1007" s="391">
        <v>650</v>
      </c>
      <c r="HB1007" s="391">
        <v>450</v>
      </c>
      <c r="HC1007" s="369">
        <v>330</v>
      </c>
      <c r="HD1007" s="369">
        <v>2500</v>
      </c>
      <c r="HE1007" s="369">
        <v>200</v>
      </c>
      <c r="HF1007" s="391">
        <f>ROUNDUP(HE1007/HD1007,0)</f>
        <v>1</v>
      </c>
      <c r="HG1007" s="369">
        <v>5</v>
      </c>
      <c r="HH1007" s="391">
        <f>HF1007*HG1007</f>
        <v>5</v>
      </c>
      <c r="HI1007" s="369">
        <v>650</v>
      </c>
      <c r="HJ1007" s="391">
        <f>HH1007*HI1007</f>
        <v>3250</v>
      </c>
      <c r="HK1007" s="369"/>
      <c r="HL1007" s="369"/>
      <c r="HM1007" s="391">
        <v>2</v>
      </c>
      <c r="HN1007" s="396">
        <f t="shared" ref="HN1007:HN1008" si="902">HM1007*12*25*HE1007</f>
        <v>120000</v>
      </c>
      <c r="HO1007" s="391">
        <f>ROUNDUP((IF(GY1007="carton box",HI1007/HD1007,HJ1007/HN1007)),2)</f>
        <v>0.03</v>
      </c>
      <c r="HP1007" s="391">
        <v>160</v>
      </c>
      <c r="HQ1007" s="369">
        <v>0</v>
      </c>
      <c r="HR1007" s="391">
        <v>0</v>
      </c>
      <c r="HS1007" s="391">
        <v>0</v>
      </c>
      <c r="HT1007" s="391">
        <f>IF(ISERROR(HR1007/HS1007),0,HR1007/HS1007)</f>
        <v>0</v>
      </c>
      <c r="HU1007" s="391"/>
      <c r="HV1007" s="391">
        <f>HO1007+HT1007</f>
        <v>0.03</v>
      </c>
      <c r="HW1007" s="391"/>
      <c r="HX1007" s="391">
        <v>4200</v>
      </c>
      <c r="HY1007" s="391">
        <v>1900</v>
      </c>
      <c r="HZ1007" s="396">
        <v>1975</v>
      </c>
      <c r="IA1007" s="391">
        <f>ROUNDDOWN(HX1007/HA1007,0)</f>
        <v>6</v>
      </c>
      <c r="IB1007" s="391">
        <f>ROUNDDOWN(HY1007/HB1007,0)</f>
        <v>4</v>
      </c>
      <c r="IC1007" s="391">
        <f>ROUNDDOWN(HZ1007/HC1007,0)</f>
        <v>5</v>
      </c>
      <c r="ID1007" s="395">
        <v>0.95</v>
      </c>
      <c r="IE1007" s="396">
        <f>PRODUCT(IA1007:ID1007)</f>
        <v>114</v>
      </c>
      <c r="IF1007" s="391">
        <v>500</v>
      </c>
      <c r="IG1007" s="391">
        <f>ROUNDUP(IF1007/(IE1007*HD1007),2)</f>
        <v>0.01</v>
      </c>
      <c r="IH1007" s="391"/>
      <c r="II1007" s="395">
        <v>0</v>
      </c>
      <c r="IJ1007" s="398">
        <f>ROUNDUP(II1007*(BA1007+EU1007),2)</f>
        <v>0</v>
      </c>
    </row>
    <row r="1008" spans="1:339" ht="25.5">
      <c r="A1008">
        <v>991</v>
      </c>
      <c r="B1008" t="s">
        <v>468</v>
      </c>
      <c r="C1008" s="462" t="s">
        <v>4948</v>
      </c>
      <c r="D1008" s="28" t="s">
        <v>2995</v>
      </c>
      <c r="E1008" s="27" t="s">
        <v>140</v>
      </c>
      <c r="F1008" t="s">
        <v>2182</v>
      </c>
      <c r="G1008" s="27" t="s">
        <v>90</v>
      </c>
      <c r="I1008" s="27" t="s">
        <v>226</v>
      </c>
      <c r="J1008" s="28">
        <v>21085</v>
      </c>
      <c r="K1008" s="27" t="s">
        <v>399</v>
      </c>
      <c r="L1008" s="28"/>
      <c r="M1008" s="28"/>
      <c r="N1008" s="28"/>
      <c r="O1008" s="28"/>
      <c r="P1008" s="442"/>
      <c r="Q1008" s="28" t="s">
        <v>1035</v>
      </c>
      <c r="R1008" s="28" t="s">
        <v>1769</v>
      </c>
      <c r="S1008" s="370">
        <v>43101</v>
      </c>
      <c r="T1008" s="450" t="s">
        <v>4555</v>
      </c>
      <c r="U1008" s="370">
        <v>43101</v>
      </c>
      <c r="V1008" s="369"/>
      <c r="W1008" s="444" t="s">
        <v>4949</v>
      </c>
      <c r="X1008" s="444"/>
      <c r="Y1008" s="444"/>
      <c r="Z1008" s="444"/>
      <c r="AA1008" s="369"/>
      <c r="AB1008" s="391">
        <v>290</v>
      </c>
      <c r="AC1008" s="391">
        <v>0</v>
      </c>
      <c r="AD1008" s="369"/>
      <c r="AE1008" s="391">
        <f>BL1008</f>
        <v>6.3154423749999991</v>
      </c>
      <c r="AF1008" s="369"/>
      <c r="AG1008" s="391">
        <f>EU1008+EM1008+EQ1008+EV1008</f>
        <v>12.808508847499999</v>
      </c>
      <c r="AH1008" s="391">
        <f>DM1008</f>
        <v>0</v>
      </c>
      <c r="AI1008" s="391">
        <f>DO1008</f>
        <v>0</v>
      </c>
      <c r="AJ1008" s="391">
        <f>GW1008</f>
        <v>0.1</v>
      </c>
      <c r="AK1008" s="391">
        <f>GU1008</f>
        <v>0.70501769500000011</v>
      </c>
      <c r="AL1008" s="391">
        <f>GO1008+GQ1008</f>
        <v>2.6138163562499996</v>
      </c>
      <c r="AM1008" s="391">
        <f>HV1008</f>
        <v>1.4E-2</v>
      </c>
      <c r="AN1008" s="391">
        <f>IG1008</f>
        <v>0.11764705882352941</v>
      </c>
      <c r="AO1008" s="369"/>
      <c r="AP1008" s="369"/>
      <c r="AQ1008" s="391">
        <f>SUM(AE1008:AO1008)</f>
        <v>22.674432332573524</v>
      </c>
      <c r="AR1008" s="369"/>
      <c r="AS1008" s="391">
        <f>EE1008</f>
        <v>0</v>
      </c>
      <c r="AT1008" s="391">
        <v>0</v>
      </c>
      <c r="AU1008" s="391">
        <f>22.674-22.667</f>
        <v>6.9999999999978968E-3</v>
      </c>
      <c r="AV1008" s="391">
        <f>AQ1008+AT1008+AU1008+AR1008+AS1008</f>
        <v>22.681432332573522</v>
      </c>
      <c r="AW1008" s="391">
        <v>2.1100000000000001E-2</v>
      </c>
      <c r="AX1008" s="391">
        <v>1.8600000000000002E-2</v>
      </c>
      <c r="AY1008" s="399">
        <v>1</v>
      </c>
      <c r="AZ1008" s="391">
        <f>(AW1008-AX1008)*AY1008</f>
        <v>2.4999999999999988E-3</v>
      </c>
      <c r="BA1008" s="391">
        <f>(AW1008+BC1008)*AB1008-AZ1008*AC1008</f>
        <v>6.1801899999999996</v>
      </c>
      <c r="BB1008" s="395">
        <v>0.01</v>
      </c>
      <c r="BC1008" s="391">
        <f>BB1008*AW1008</f>
        <v>2.1100000000000001E-4</v>
      </c>
      <c r="BD1008" s="391">
        <f>BC1008*AB1008</f>
        <v>6.1190000000000001E-2</v>
      </c>
      <c r="BE1008" s="391">
        <v>10000</v>
      </c>
      <c r="BF1008" s="391">
        <v>2</v>
      </c>
      <c r="BG1008" s="391">
        <f>BF1008/BE1008*AB1008</f>
        <v>5.8000000000000003E-2</v>
      </c>
      <c r="BH1008" s="395">
        <v>0</v>
      </c>
      <c r="BI1008" s="391">
        <f>BH1008*(AW1008+BC1008)*AB1008</f>
        <v>0</v>
      </c>
      <c r="BJ1008" s="458">
        <v>1.2500000000000001E-2</v>
      </c>
      <c r="BK1008" s="391">
        <f>BJ1008*(AW1008+BC1008)*AB1008</f>
        <v>7.7252374999999998E-2</v>
      </c>
      <c r="BL1008" s="391">
        <f>BA1008+BG1008+BI1008+BK1008</f>
        <v>6.3154423749999991</v>
      </c>
      <c r="BM1008" s="369"/>
      <c r="BN1008" s="369"/>
      <c r="BO1008" s="369"/>
      <c r="BP1008" s="369"/>
      <c r="BQ1008" s="369"/>
      <c r="BR1008" s="369"/>
      <c r="BS1008" s="369"/>
      <c r="BT1008" s="369"/>
      <c r="BU1008" s="369"/>
      <c r="BV1008" s="369"/>
      <c r="BW1008" s="369"/>
      <c r="BX1008" s="369"/>
      <c r="BY1008" s="369"/>
      <c r="BZ1008" s="369"/>
      <c r="CA1008" s="369"/>
      <c r="CB1008" s="369"/>
      <c r="CC1008" s="369"/>
      <c r="CD1008" s="369"/>
      <c r="CE1008" s="369"/>
      <c r="CF1008" s="369"/>
      <c r="CG1008" s="369"/>
      <c r="CH1008" s="369"/>
      <c r="CI1008" s="369"/>
      <c r="CJ1008" s="369"/>
      <c r="CK1008" s="369"/>
      <c r="CL1008" s="369"/>
      <c r="CM1008" s="369"/>
      <c r="CN1008" s="369"/>
      <c r="CO1008" s="369"/>
      <c r="CP1008" s="369"/>
      <c r="CQ1008" s="369"/>
      <c r="CR1008" s="369"/>
      <c r="CS1008" s="369"/>
      <c r="CT1008" s="369"/>
      <c r="CU1008" s="369"/>
      <c r="CV1008" s="369"/>
      <c r="CW1008" s="369"/>
      <c r="CX1008" s="369"/>
      <c r="CY1008" s="369"/>
      <c r="CZ1008" s="369"/>
      <c r="DA1008" s="369"/>
      <c r="DB1008" s="369"/>
      <c r="DC1008" s="369"/>
      <c r="DD1008" s="369"/>
      <c r="DE1008" s="369"/>
      <c r="DF1008" s="369"/>
      <c r="DG1008" s="369"/>
      <c r="DH1008" s="369"/>
      <c r="DI1008" s="369"/>
      <c r="DJ1008" s="369"/>
      <c r="DK1008" s="369"/>
      <c r="DL1008" s="369"/>
      <c r="DM1008" s="369"/>
      <c r="DN1008" s="458"/>
      <c r="DO1008" s="369"/>
      <c r="DP1008" s="369"/>
      <c r="DQ1008" s="369"/>
      <c r="DR1008" s="369"/>
      <c r="DS1008" s="369"/>
      <c r="DT1008" s="369"/>
      <c r="DU1008" s="369"/>
      <c r="DV1008" s="369"/>
      <c r="DW1008" s="369"/>
      <c r="DX1008" s="369"/>
      <c r="DY1008" s="369"/>
      <c r="DZ1008" s="369"/>
      <c r="EA1008" s="369"/>
      <c r="EB1008" s="369"/>
      <c r="EC1008" s="369"/>
      <c r="ED1008" s="369"/>
      <c r="EE1008" s="369"/>
      <c r="EF1008" s="369">
        <v>85</v>
      </c>
      <c r="EG1008" s="369">
        <f>375*8</f>
        <v>3000</v>
      </c>
      <c r="EH1008" s="369">
        <v>8</v>
      </c>
      <c r="EI1008" s="395">
        <v>0.85</v>
      </c>
      <c r="EJ1008" s="369">
        <v>2</v>
      </c>
      <c r="EK1008" s="369">
        <v>180</v>
      </c>
      <c r="EL1008" s="396">
        <f>3600/EK1008*EH1008*EJ1008*EI1008</f>
        <v>272</v>
      </c>
      <c r="EM1008" s="391">
        <f>2%*(EU1008+BL1008)</f>
        <v>0.3485088475</v>
      </c>
      <c r="EN1008" s="369"/>
      <c r="EO1008" s="369"/>
      <c r="EP1008" s="369"/>
      <c r="EQ1008" s="369">
        <v>1.25</v>
      </c>
      <c r="ER1008" s="369"/>
      <c r="ES1008" s="391">
        <v>2</v>
      </c>
      <c r="ET1008" s="391">
        <f>ES1008*EG1008/8/BE1008</f>
        <v>7.4999999999999997E-2</v>
      </c>
      <c r="EU1008" s="391">
        <f>ROUNDUP((EG1008/EL1008+ET1008),2)</f>
        <v>11.11</v>
      </c>
      <c r="EV1008" s="391">
        <v>0.1</v>
      </c>
      <c r="EW1008" s="391"/>
      <c r="EX1008" s="369"/>
      <c r="EY1008" s="369"/>
      <c r="EZ1008" s="369"/>
      <c r="FA1008" s="369"/>
      <c r="FB1008" s="369"/>
      <c r="FC1008" s="369"/>
      <c r="FD1008" s="369"/>
      <c r="FE1008" s="399"/>
      <c r="FF1008" s="369"/>
      <c r="FG1008" s="369"/>
      <c r="FH1008" s="369"/>
      <c r="FI1008" s="369"/>
      <c r="FJ1008" s="369"/>
      <c r="FK1008" s="369"/>
      <c r="FL1008" s="369"/>
      <c r="FM1008" s="369"/>
      <c r="FN1008" s="369"/>
      <c r="FO1008" s="369"/>
      <c r="FP1008" s="369"/>
      <c r="FQ1008" s="369"/>
      <c r="FR1008" s="369"/>
      <c r="FS1008" s="369"/>
      <c r="FT1008" s="369"/>
      <c r="FU1008" s="369"/>
      <c r="FV1008" s="369"/>
      <c r="FW1008" s="369"/>
      <c r="FX1008" s="369"/>
      <c r="FY1008" s="369"/>
      <c r="FZ1008" s="369"/>
      <c r="GA1008" s="369"/>
      <c r="GB1008" s="369"/>
      <c r="GC1008" s="369"/>
      <c r="GD1008" s="369"/>
      <c r="GE1008" s="369"/>
      <c r="GF1008" s="369"/>
      <c r="GG1008" s="369"/>
      <c r="GH1008" s="369"/>
      <c r="GI1008" s="369"/>
      <c r="GJ1008" s="369"/>
      <c r="GK1008" s="369"/>
      <c r="GL1008" s="369"/>
      <c r="GM1008" s="369"/>
      <c r="GN1008" s="461">
        <v>7.4999999999999997E-2</v>
      </c>
      <c r="GO1008" s="391">
        <f>GN1008*(EU1008++BL1008)</f>
        <v>1.3069081781249998</v>
      </c>
      <c r="GP1008" s="461">
        <v>7.4999999999999997E-2</v>
      </c>
      <c r="GQ1008" s="391">
        <f>GP1008*(EU1008++BL1008)</f>
        <v>1.3069081781249998</v>
      </c>
      <c r="GR1008" s="399"/>
      <c r="GS1008" s="369"/>
      <c r="GT1008" s="399">
        <v>0.04</v>
      </c>
      <c r="GU1008" s="391">
        <f>GT1008*(BL1008+EU1008+GW1008+EV1008)</f>
        <v>0.70501769500000011</v>
      </c>
      <c r="GV1008" s="395"/>
      <c r="GW1008" s="391">
        <v>0.1</v>
      </c>
      <c r="GX1008" s="391">
        <f>GW1008+GU1008+GQ1008+GO1008</f>
        <v>3.4188340512500002</v>
      </c>
      <c r="GY1008" s="369"/>
      <c r="GZ1008" s="369"/>
      <c r="HA1008" s="391"/>
      <c r="HB1008" s="391"/>
      <c r="HC1008" s="391"/>
      <c r="HD1008" s="391">
        <v>1500</v>
      </c>
      <c r="HE1008" s="391">
        <v>1000</v>
      </c>
      <c r="HF1008" s="391">
        <f>ROUNDUP(HE1008/HD1008,0)</f>
        <v>1</v>
      </c>
      <c r="HG1008" s="391">
        <v>5</v>
      </c>
      <c r="HH1008" s="391">
        <f>HF1008*HG1008</f>
        <v>5</v>
      </c>
      <c r="HI1008" s="391">
        <v>600</v>
      </c>
      <c r="HJ1008" s="391">
        <f>HH1008*HI1008</f>
        <v>3000</v>
      </c>
      <c r="HK1008" s="399">
        <v>0.14000000000000001</v>
      </c>
      <c r="HL1008" s="391">
        <f>HJ1008*HK1008</f>
        <v>420.00000000000006</v>
      </c>
      <c r="HM1008" s="391">
        <v>2</v>
      </c>
      <c r="HN1008" s="391">
        <f t="shared" si="902"/>
        <v>600000</v>
      </c>
      <c r="HO1008" s="369">
        <f>ROUNDUP((IF(GY1008="carton box",HI1008/HD1008,HJ1008/HN1008)),2)</f>
        <v>0.01</v>
      </c>
      <c r="HP1008" s="391">
        <v>160</v>
      </c>
      <c r="HQ1008" s="391">
        <v>0</v>
      </c>
      <c r="HR1008" s="391">
        <v>1</v>
      </c>
      <c r="HS1008" s="391">
        <v>250</v>
      </c>
      <c r="HT1008" s="391">
        <f>HR1008/HS1008</f>
        <v>4.0000000000000001E-3</v>
      </c>
      <c r="HU1008" s="448"/>
      <c r="HV1008" s="391">
        <f>HT1008+HO1008</f>
        <v>1.4E-2</v>
      </c>
      <c r="HW1008" s="391"/>
      <c r="HX1008" s="369"/>
      <c r="HY1008" s="369"/>
      <c r="HZ1008" s="369"/>
      <c r="IA1008" s="369"/>
      <c r="IB1008" s="369"/>
      <c r="IC1008" s="369"/>
      <c r="ID1008" s="399"/>
      <c r="IE1008" s="391">
        <v>51</v>
      </c>
      <c r="IF1008" s="391">
        <v>9000</v>
      </c>
      <c r="IG1008" s="391">
        <f>IF1008/(IE1008*HD1008)</f>
        <v>0.11764705882352941</v>
      </c>
    </row>
    <row r="1009" spans="1:241">
      <c r="A1009">
        <v>992</v>
      </c>
      <c r="B1009" t="s">
        <v>468</v>
      </c>
      <c r="C1009" s="27" t="s">
        <v>4572</v>
      </c>
      <c r="D1009" s="28" t="s">
        <v>2996</v>
      </c>
      <c r="E1009" s="27" t="s">
        <v>2997</v>
      </c>
      <c r="F1009" t="s">
        <v>4574</v>
      </c>
      <c r="G1009" s="27" t="s">
        <v>90</v>
      </c>
      <c r="H1009" t="s">
        <v>4570</v>
      </c>
      <c r="I1009" s="27" t="s">
        <v>226</v>
      </c>
      <c r="J1009" s="28">
        <v>21425</v>
      </c>
      <c r="K1009" s="27" t="s">
        <v>406</v>
      </c>
      <c r="L1009">
        <v>21160</v>
      </c>
      <c r="M1009" t="s">
        <v>464</v>
      </c>
    </row>
    <row r="1010" spans="1:241">
      <c r="A1010">
        <v>993</v>
      </c>
      <c r="B1010" t="s">
        <v>468</v>
      </c>
      <c r="C1010" s="27" t="s">
        <v>4573</v>
      </c>
      <c r="D1010" s="28" t="s">
        <v>2998</v>
      </c>
      <c r="E1010" s="27" t="s">
        <v>2999</v>
      </c>
      <c r="F1010" t="s">
        <v>4574</v>
      </c>
      <c r="G1010" s="27" t="s">
        <v>90</v>
      </c>
      <c r="H1010" t="s">
        <v>4571</v>
      </c>
      <c r="I1010" s="27" t="s">
        <v>226</v>
      </c>
      <c r="J1010" s="28">
        <v>21425</v>
      </c>
      <c r="K1010" s="27" t="s">
        <v>406</v>
      </c>
    </row>
    <row r="1011" spans="1:241">
      <c r="A1011">
        <v>994</v>
      </c>
      <c r="B1011" t="s">
        <v>468</v>
      </c>
      <c r="C1011" s="27" t="s">
        <v>4575</v>
      </c>
      <c r="D1011" s="28" t="s">
        <v>3000</v>
      </c>
      <c r="E1011" s="27" t="s">
        <v>3001</v>
      </c>
      <c r="F1011" t="s">
        <v>2192</v>
      </c>
      <c r="G1011" s="27" t="s">
        <v>90</v>
      </c>
      <c r="H1011" s="27" t="s">
        <v>4576</v>
      </c>
      <c r="I1011" s="27" t="s">
        <v>226</v>
      </c>
      <c r="J1011" s="28">
        <v>21425</v>
      </c>
      <c r="K1011" s="27" t="s">
        <v>406</v>
      </c>
    </row>
    <row r="1012" spans="1:241" ht="38.25">
      <c r="A1012">
        <v>995</v>
      </c>
      <c r="B1012" t="s">
        <v>468</v>
      </c>
      <c r="C1012" s="400" t="s">
        <v>4577</v>
      </c>
      <c r="D1012" s="28" t="s">
        <v>3002</v>
      </c>
      <c r="E1012" s="27" t="s">
        <v>3003</v>
      </c>
      <c r="F1012" t="s">
        <v>2182</v>
      </c>
      <c r="G1012" s="27" t="s">
        <v>90</v>
      </c>
      <c r="I1012" s="27" t="s">
        <v>94</v>
      </c>
      <c r="J1012" s="28">
        <v>21190</v>
      </c>
      <c r="K1012" s="27" t="s">
        <v>4506</v>
      </c>
      <c r="L1012" s="371"/>
      <c r="M1012" s="369"/>
      <c r="N1012" s="369"/>
      <c r="O1012" s="369"/>
      <c r="P1012" s="369"/>
      <c r="Q1012" s="27" t="s">
        <v>1777</v>
      </c>
      <c r="R1012" s="27" t="s">
        <v>1769</v>
      </c>
      <c r="S1012" s="370">
        <v>43635</v>
      </c>
      <c r="T1012" s="27" t="s">
        <v>4555</v>
      </c>
      <c r="U1012" s="370">
        <v>43696</v>
      </c>
      <c r="V1012" s="369"/>
      <c r="W1012" s="162" t="s">
        <v>4578</v>
      </c>
      <c r="X1012" s="162"/>
      <c r="Y1012" s="162"/>
      <c r="Z1012" s="162"/>
      <c r="AA1012" s="390" t="s">
        <v>4579</v>
      </c>
      <c r="AB1012" s="391">
        <v>823.4</v>
      </c>
      <c r="AC1012" s="391">
        <f>AB1012-5</f>
        <v>818.4</v>
      </c>
      <c r="AD1012" s="390"/>
      <c r="AE1012" s="391">
        <f t="shared" ref="AE1012:AE1013" si="903">BA1012</f>
        <v>7.968</v>
      </c>
      <c r="AF1012" s="391"/>
      <c r="AG1012" s="391">
        <f>EU1012+EX1012</f>
        <v>5.29</v>
      </c>
      <c r="AH1012" s="391">
        <f t="shared" ref="AH1012:AH1013" si="904">DM1012</f>
        <v>2.5</v>
      </c>
      <c r="AI1012" s="391">
        <f t="shared" ref="AI1012:AI1013" si="905">DO1012</f>
        <v>0</v>
      </c>
      <c r="AJ1012" s="391">
        <f>GW1012</f>
        <v>0.25</v>
      </c>
      <c r="AK1012" s="391">
        <f>GU1012</f>
        <v>0</v>
      </c>
      <c r="AL1012" s="391">
        <f>GS1012</f>
        <v>2.9419199999999996</v>
      </c>
      <c r="AM1012" s="391">
        <f>HV1012</f>
        <v>0.2</v>
      </c>
      <c r="AN1012" s="391">
        <f>IG1012</f>
        <v>0.2</v>
      </c>
      <c r="AO1012" s="391"/>
      <c r="AP1012" s="391"/>
      <c r="AQ1012" s="391">
        <f>SUM(AE1012:AO1012)</f>
        <v>19.349919999999997</v>
      </c>
      <c r="AR1012" s="391"/>
      <c r="AS1012" s="391">
        <f t="shared" ref="AS1012:AS1013" si="906">EE1012</f>
        <v>0</v>
      </c>
      <c r="AT1012" s="391">
        <v>0</v>
      </c>
      <c r="AU1012" s="391">
        <f>20-19.35</f>
        <v>0.64999999999999858</v>
      </c>
      <c r="AV1012" s="391">
        <f t="shared" ref="AV1012:AV1013" si="907">AQ1012+AT1012+AU1012+AR1012+AS1012</f>
        <v>19.999919999999996</v>
      </c>
      <c r="AW1012" s="394">
        <f>9.92/1000</f>
        <v>9.92E-3</v>
      </c>
      <c r="AX1012" s="391">
        <f>8.4/1000</f>
        <v>8.4000000000000012E-3</v>
      </c>
      <c r="AY1012" s="399">
        <v>0.16087873643051884</v>
      </c>
      <c r="AZ1012" s="391">
        <f>(AW1012-AX1012)*AY1012</f>
        <v>2.4453567937438844E-4</v>
      </c>
      <c r="BA1012" s="391">
        <f>AW1012*AB1012-AZ1012*AC1012</f>
        <v>7.968</v>
      </c>
      <c r="BB1012" s="391"/>
      <c r="BC1012" s="391"/>
      <c r="BD1012" s="391"/>
      <c r="BE1012" s="391"/>
      <c r="BF1012" s="391"/>
      <c r="BG1012" s="391"/>
      <c r="BH1012" s="391"/>
      <c r="BI1012" s="391"/>
      <c r="BJ1012" s="391"/>
      <c r="BK1012" s="391"/>
      <c r="BL1012" s="391"/>
      <c r="BM1012" s="369"/>
      <c r="BN1012" s="369"/>
      <c r="BO1012" s="369"/>
      <c r="BP1012" s="369"/>
      <c r="BQ1012" s="369"/>
      <c r="BR1012" s="369"/>
      <c r="BS1012" s="369"/>
      <c r="BT1012" s="369"/>
      <c r="BU1012" s="369"/>
      <c r="BV1012" s="369"/>
      <c r="BW1012" s="369"/>
      <c r="BX1012" s="369"/>
      <c r="BY1012" s="369"/>
      <c r="BZ1012" s="369"/>
      <c r="CA1012" s="369"/>
      <c r="CB1012" s="369"/>
      <c r="CC1012" s="369"/>
      <c r="CD1012" s="369"/>
      <c r="CE1012" s="369">
        <v>0</v>
      </c>
      <c r="CF1012" s="369">
        <v>1</v>
      </c>
      <c r="CG1012" s="391">
        <v>2.5</v>
      </c>
      <c r="CH1012" s="391">
        <f>CF1012*CG1012</f>
        <v>2.5</v>
      </c>
      <c r="CI1012" s="369"/>
      <c r="CJ1012" s="369"/>
      <c r="CK1012" s="369"/>
      <c r="CL1012" s="369"/>
      <c r="CM1012" s="369"/>
      <c r="CN1012" s="369"/>
      <c r="CO1012" s="369"/>
      <c r="CP1012" s="369"/>
      <c r="CQ1012" s="369"/>
      <c r="CR1012" s="369"/>
      <c r="CS1012" s="369"/>
      <c r="CT1012" s="369"/>
      <c r="CU1012" s="369"/>
      <c r="CV1012" s="369"/>
      <c r="CW1012" s="369"/>
      <c r="CX1012" s="369"/>
      <c r="CY1012" s="369"/>
      <c r="CZ1012" s="369"/>
      <c r="DA1012" s="369"/>
      <c r="DB1012" s="369"/>
      <c r="DC1012" s="369"/>
      <c r="DD1012" s="369"/>
      <c r="DE1012" s="369"/>
      <c r="DF1012" s="369"/>
      <c r="DG1012" s="369"/>
      <c r="DH1012" s="369"/>
      <c r="DI1012" s="369"/>
      <c r="DJ1012" s="369"/>
      <c r="DK1012" s="369"/>
      <c r="DL1012" s="369"/>
      <c r="DM1012" s="391">
        <f>CH1012+CM1012+CR1012+CW1012+DB1012+DG1012+DL1012</f>
        <v>2.5</v>
      </c>
      <c r="DN1012" s="393"/>
      <c r="DO1012" s="391"/>
      <c r="DP1012" s="391">
        <f>DM1012+DO1012</f>
        <v>2.5</v>
      </c>
      <c r="DQ1012" s="369"/>
      <c r="DR1012" s="369"/>
      <c r="DS1012" s="369"/>
      <c r="DT1012" s="369"/>
      <c r="DU1012" s="369"/>
      <c r="DV1012" s="369"/>
      <c r="DW1012" s="369"/>
      <c r="DX1012" s="369"/>
      <c r="DY1012" s="369"/>
      <c r="DZ1012" s="369"/>
      <c r="EA1012" s="369"/>
      <c r="EB1012" s="369"/>
      <c r="EC1012" s="369"/>
      <c r="ED1012" s="369"/>
      <c r="EE1012" s="369"/>
      <c r="EF1012" s="369"/>
      <c r="EG1012" s="369"/>
      <c r="EH1012" s="369"/>
      <c r="EI1012" s="395"/>
      <c r="EJ1012" s="369">
        <v>4</v>
      </c>
      <c r="EK1012" s="369"/>
      <c r="EL1012" s="369"/>
      <c r="EM1012" s="369"/>
      <c r="EN1012" s="369"/>
      <c r="EO1012" s="369"/>
      <c r="EP1012" s="369"/>
      <c r="EQ1012" s="369"/>
      <c r="ER1012" s="369"/>
      <c r="ES1012" s="369"/>
      <c r="ET1012" s="369"/>
      <c r="EU1012" s="391">
        <f>4.29</f>
        <v>4.29</v>
      </c>
      <c r="EV1012" s="369"/>
      <c r="EW1012" s="369"/>
      <c r="EX1012" s="369">
        <v>1</v>
      </c>
      <c r="EY1012" s="369"/>
      <c r="EZ1012" s="369"/>
      <c r="FA1012" s="391">
        <f>EX1012</f>
        <v>1</v>
      </c>
      <c r="FB1012" s="369"/>
      <c r="FC1012" s="369"/>
      <c r="FD1012" s="369"/>
      <c r="FE1012" s="369"/>
      <c r="FF1012" s="369"/>
      <c r="FG1012" s="369"/>
      <c r="FH1012" s="369"/>
      <c r="FI1012" s="369"/>
      <c r="FJ1012" s="369"/>
      <c r="FK1012" s="369"/>
      <c r="FL1012" s="369"/>
      <c r="FM1012" s="369"/>
      <c r="FN1012" s="369"/>
      <c r="FO1012" s="369"/>
      <c r="FP1012" s="369"/>
      <c r="FQ1012" s="369"/>
      <c r="FR1012" s="369"/>
      <c r="FS1012" s="369"/>
      <c r="FT1012" s="369"/>
      <c r="FU1012" s="369"/>
      <c r="FV1012" s="369"/>
      <c r="FW1012" s="369"/>
      <c r="FX1012" s="369"/>
      <c r="FY1012" s="369"/>
      <c r="FZ1012" s="369"/>
      <c r="GA1012" s="369"/>
      <c r="GB1012" s="369"/>
      <c r="GC1012" s="369"/>
      <c r="GD1012" s="369"/>
      <c r="GE1012" s="369"/>
      <c r="GF1012" s="369"/>
      <c r="GG1012" s="369"/>
      <c r="GH1012" s="369"/>
      <c r="GI1012" s="369"/>
      <c r="GJ1012" s="369"/>
      <c r="GK1012" s="369"/>
      <c r="GL1012" s="369"/>
      <c r="GM1012" s="369"/>
      <c r="GN1012" s="369"/>
      <c r="GO1012" s="369"/>
      <c r="GP1012" s="399"/>
      <c r="GQ1012" s="369"/>
      <c r="GR1012" s="395">
        <v>0.24</v>
      </c>
      <c r="GS1012" s="391">
        <f>GR1012*(EU1012+BA1012)</f>
        <v>2.9419199999999996</v>
      </c>
      <c r="GT1012" s="393"/>
      <c r="GU1012" s="369"/>
      <c r="GV1012" s="395"/>
      <c r="GW1012" s="369">
        <v>0.25</v>
      </c>
      <c r="GX1012" s="391">
        <f>GS1012+GU1012+GW1012</f>
        <v>3.1919199999999996</v>
      </c>
      <c r="GY1012" s="369"/>
      <c r="GZ1012" s="369"/>
      <c r="HA1012" s="369"/>
      <c r="HB1012" s="369"/>
      <c r="HC1012" s="369"/>
      <c r="HD1012" s="369"/>
      <c r="HE1012" s="369"/>
      <c r="HF1012" s="369"/>
      <c r="HG1012" s="369"/>
      <c r="HH1012" s="369"/>
      <c r="HI1012" s="369"/>
      <c r="HJ1012" s="369"/>
      <c r="HK1012" s="369"/>
      <c r="HL1012" s="369"/>
      <c r="HM1012" s="369"/>
      <c r="HN1012" s="369"/>
      <c r="HO1012" s="369"/>
      <c r="HP1012" s="369"/>
      <c r="HQ1012" s="369"/>
      <c r="HR1012" s="369"/>
      <c r="HS1012" s="369"/>
      <c r="HT1012" s="369"/>
      <c r="HU1012" s="369"/>
      <c r="HV1012" s="369">
        <v>0.2</v>
      </c>
      <c r="HW1012" s="369"/>
      <c r="HX1012" s="369"/>
      <c r="HY1012" s="369"/>
      <c r="HZ1012" s="369"/>
      <c r="IA1012" s="369"/>
      <c r="IB1012" s="369"/>
      <c r="IC1012" s="369"/>
      <c r="ID1012" s="369"/>
      <c r="IE1012" s="369"/>
      <c r="IF1012" s="369"/>
      <c r="IG1012" s="369">
        <v>0.2</v>
      </c>
    </row>
    <row r="1013" spans="1:241" ht="38.25">
      <c r="A1013">
        <v>996</v>
      </c>
      <c r="B1013" t="s">
        <v>468</v>
      </c>
      <c r="C1013" s="400" t="s">
        <v>4577</v>
      </c>
      <c r="D1013" s="28" t="s">
        <v>3002</v>
      </c>
      <c r="E1013" s="27" t="s">
        <v>3003</v>
      </c>
      <c r="F1013" t="s">
        <v>2182</v>
      </c>
      <c r="G1013" s="27" t="s">
        <v>90</v>
      </c>
      <c r="I1013" s="27" t="s">
        <v>226</v>
      </c>
      <c r="J1013" s="28">
        <v>21545</v>
      </c>
      <c r="K1013" s="27" t="s">
        <v>4507</v>
      </c>
      <c r="L1013" s="371"/>
      <c r="M1013" s="369"/>
      <c r="N1013" s="369"/>
      <c r="O1013" s="369"/>
      <c r="P1013" s="369"/>
      <c r="Q1013" s="27" t="s">
        <v>1777</v>
      </c>
      <c r="R1013" s="27" t="s">
        <v>1769</v>
      </c>
      <c r="S1013" s="370">
        <v>43635</v>
      </c>
      <c r="T1013" s="27" t="s">
        <v>4555</v>
      </c>
      <c r="U1013" s="370">
        <v>43696</v>
      </c>
      <c r="V1013" s="369"/>
      <c r="W1013" s="162" t="s">
        <v>4578</v>
      </c>
      <c r="X1013" s="162"/>
      <c r="Y1013" s="162"/>
      <c r="Z1013" s="162"/>
      <c r="AA1013" s="390" t="s">
        <v>4579</v>
      </c>
      <c r="AB1013" s="391">
        <v>823.4</v>
      </c>
      <c r="AC1013" s="391">
        <f>AB1013-5</f>
        <v>818.4</v>
      </c>
      <c r="AD1013" s="390"/>
      <c r="AE1013" s="391">
        <f t="shared" si="903"/>
        <v>7.968</v>
      </c>
      <c r="AF1013" s="391"/>
      <c r="AG1013" s="391">
        <f>EU1013+EX1013</f>
        <v>5.29</v>
      </c>
      <c r="AH1013" s="391">
        <f t="shared" si="904"/>
        <v>2.5</v>
      </c>
      <c r="AI1013" s="391">
        <f t="shared" si="905"/>
        <v>0</v>
      </c>
      <c r="AJ1013" s="391">
        <f>GW1013</f>
        <v>0.25</v>
      </c>
      <c r="AK1013" s="391">
        <f>GU1013</f>
        <v>0</v>
      </c>
      <c r="AL1013" s="391">
        <f>GS1013</f>
        <v>2.9419199999999996</v>
      </c>
      <c r="AM1013" s="391">
        <f>HV1013</f>
        <v>0.2</v>
      </c>
      <c r="AN1013" s="391">
        <f>IG1013</f>
        <v>0.2</v>
      </c>
      <c r="AO1013" s="391"/>
      <c r="AP1013" s="391"/>
      <c r="AQ1013" s="391">
        <f>SUM(AE1013:AO1013)</f>
        <v>19.349919999999997</v>
      </c>
      <c r="AR1013" s="391"/>
      <c r="AS1013" s="391">
        <f t="shared" si="906"/>
        <v>0</v>
      </c>
      <c r="AT1013" s="391">
        <v>0</v>
      </c>
      <c r="AU1013" s="391">
        <f>20-19.35</f>
        <v>0.64999999999999858</v>
      </c>
      <c r="AV1013" s="391">
        <f t="shared" si="907"/>
        <v>19.999919999999996</v>
      </c>
      <c r="AW1013" s="394">
        <f>9.92/1000</f>
        <v>9.92E-3</v>
      </c>
      <c r="AX1013" s="391">
        <f>8.4/1000</f>
        <v>8.4000000000000012E-3</v>
      </c>
      <c r="AY1013" s="399">
        <v>0.16087873643051884</v>
      </c>
      <c r="AZ1013" s="391">
        <f>(AW1013-AX1013)*AY1013</f>
        <v>2.4453567937438844E-4</v>
      </c>
      <c r="BA1013" s="391">
        <f>AW1013*AB1013-AZ1013*AC1013</f>
        <v>7.968</v>
      </c>
      <c r="BB1013" s="391"/>
      <c r="BC1013" s="391"/>
      <c r="BD1013" s="391"/>
      <c r="BE1013" s="391"/>
      <c r="BF1013" s="391"/>
      <c r="BG1013" s="391"/>
      <c r="BH1013" s="391"/>
      <c r="BI1013" s="391"/>
      <c r="BJ1013" s="391"/>
      <c r="BK1013" s="391"/>
      <c r="BL1013" s="391"/>
      <c r="BM1013" s="369"/>
      <c r="BN1013" s="369"/>
      <c r="BO1013" s="369"/>
      <c r="BP1013" s="369"/>
      <c r="BQ1013" s="369"/>
      <c r="BR1013" s="369"/>
      <c r="BS1013" s="369"/>
      <c r="BT1013" s="369"/>
      <c r="BU1013" s="369"/>
      <c r="BV1013" s="369"/>
      <c r="BW1013" s="369"/>
      <c r="BX1013" s="369"/>
      <c r="BY1013" s="369"/>
      <c r="BZ1013" s="369"/>
      <c r="CA1013" s="369"/>
      <c r="CB1013" s="369"/>
      <c r="CC1013" s="369"/>
      <c r="CD1013" s="369"/>
      <c r="CE1013" s="369">
        <v>0</v>
      </c>
      <c r="CF1013" s="369">
        <v>1</v>
      </c>
      <c r="CG1013" s="391">
        <v>2.5</v>
      </c>
      <c r="CH1013" s="391">
        <f>CF1013*CG1013</f>
        <v>2.5</v>
      </c>
      <c r="CI1013" s="369"/>
      <c r="CJ1013" s="369"/>
      <c r="CK1013" s="369"/>
      <c r="CL1013" s="369"/>
      <c r="CM1013" s="369"/>
      <c r="CN1013" s="369"/>
      <c r="CO1013" s="369"/>
      <c r="CP1013" s="369"/>
      <c r="CQ1013" s="369"/>
      <c r="CR1013" s="369"/>
      <c r="CS1013" s="369"/>
      <c r="CT1013" s="369"/>
      <c r="CU1013" s="369"/>
      <c r="CV1013" s="369"/>
      <c r="CW1013" s="369"/>
      <c r="CX1013" s="369"/>
      <c r="CY1013" s="369"/>
      <c r="CZ1013" s="369"/>
      <c r="DA1013" s="369"/>
      <c r="DB1013" s="369"/>
      <c r="DC1013" s="369"/>
      <c r="DD1013" s="369"/>
      <c r="DE1013" s="369"/>
      <c r="DF1013" s="369"/>
      <c r="DG1013" s="369"/>
      <c r="DH1013" s="369"/>
      <c r="DI1013" s="369"/>
      <c r="DJ1013" s="369"/>
      <c r="DK1013" s="369"/>
      <c r="DL1013" s="369"/>
      <c r="DM1013" s="391">
        <f>CH1013+CM1013+CR1013+CW1013+DB1013+DG1013+DL1013</f>
        <v>2.5</v>
      </c>
      <c r="DN1013" s="393"/>
      <c r="DO1013" s="391"/>
      <c r="DP1013" s="391">
        <f>DM1013+DO1013</f>
        <v>2.5</v>
      </c>
      <c r="DQ1013" s="369"/>
      <c r="DR1013" s="369"/>
      <c r="DS1013" s="369"/>
      <c r="DT1013" s="369"/>
      <c r="DU1013" s="369"/>
      <c r="DV1013" s="369"/>
      <c r="DW1013" s="369"/>
      <c r="DX1013" s="369"/>
      <c r="DY1013" s="369"/>
      <c r="DZ1013" s="369"/>
      <c r="EA1013" s="369"/>
      <c r="EB1013" s="369"/>
      <c r="EC1013" s="369"/>
      <c r="ED1013" s="369"/>
      <c r="EE1013" s="369"/>
      <c r="EF1013" s="369"/>
      <c r="EG1013" s="369"/>
      <c r="EH1013" s="369"/>
      <c r="EI1013" s="395"/>
      <c r="EJ1013" s="369">
        <v>4</v>
      </c>
      <c r="EK1013" s="369"/>
      <c r="EL1013" s="369"/>
      <c r="EM1013" s="369"/>
      <c r="EN1013" s="369"/>
      <c r="EO1013" s="369"/>
      <c r="EP1013" s="369"/>
      <c r="EQ1013" s="369"/>
      <c r="ER1013" s="369"/>
      <c r="ES1013" s="369"/>
      <c r="ET1013" s="369"/>
      <c r="EU1013" s="391">
        <f>4.29</f>
        <v>4.29</v>
      </c>
      <c r="EV1013" s="369"/>
      <c r="EW1013" s="369"/>
      <c r="EX1013" s="369">
        <v>1</v>
      </c>
      <c r="EY1013" s="369"/>
      <c r="EZ1013" s="369"/>
      <c r="FA1013" s="391">
        <f>EX1013</f>
        <v>1</v>
      </c>
      <c r="FB1013" s="369"/>
      <c r="FC1013" s="369"/>
      <c r="FD1013" s="369"/>
      <c r="FE1013" s="369"/>
      <c r="FF1013" s="369"/>
      <c r="FG1013" s="369"/>
      <c r="FH1013" s="369"/>
      <c r="FI1013" s="369"/>
      <c r="FJ1013" s="369"/>
      <c r="FK1013" s="369"/>
      <c r="FL1013" s="369"/>
      <c r="FM1013" s="369"/>
      <c r="FN1013" s="369"/>
      <c r="FO1013" s="369"/>
      <c r="FP1013" s="369"/>
      <c r="FQ1013" s="369"/>
      <c r="FR1013" s="369"/>
      <c r="FS1013" s="369"/>
      <c r="FT1013" s="369"/>
      <c r="FU1013" s="369"/>
      <c r="FV1013" s="369"/>
      <c r="FW1013" s="369"/>
      <c r="FX1013" s="369"/>
      <c r="FY1013" s="369"/>
      <c r="FZ1013" s="369"/>
      <c r="GA1013" s="369"/>
      <c r="GB1013" s="369"/>
      <c r="GC1013" s="369"/>
      <c r="GD1013" s="369"/>
      <c r="GE1013" s="369"/>
      <c r="GF1013" s="369"/>
      <c r="GG1013" s="369"/>
      <c r="GH1013" s="369"/>
      <c r="GI1013" s="369"/>
      <c r="GJ1013" s="369"/>
      <c r="GK1013" s="369"/>
      <c r="GL1013" s="369"/>
      <c r="GM1013" s="369"/>
      <c r="GN1013" s="369"/>
      <c r="GO1013" s="369"/>
      <c r="GP1013" s="399"/>
      <c r="GQ1013" s="369"/>
      <c r="GR1013" s="395">
        <v>0.24</v>
      </c>
      <c r="GS1013" s="391">
        <f>GR1013*(EU1013+BA1013)</f>
        <v>2.9419199999999996</v>
      </c>
      <c r="GT1013" s="393"/>
      <c r="GU1013" s="369"/>
      <c r="GV1013" s="395"/>
      <c r="GW1013" s="369">
        <v>0.25</v>
      </c>
      <c r="GX1013" s="391">
        <f>GS1013+GU1013+GW1013</f>
        <v>3.1919199999999996</v>
      </c>
      <c r="GY1013" s="369"/>
      <c r="GZ1013" s="369"/>
      <c r="HA1013" s="369"/>
      <c r="HB1013" s="369"/>
      <c r="HC1013" s="369"/>
      <c r="HD1013" s="369"/>
      <c r="HE1013" s="369"/>
      <c r="HF1013" s="369"/>
      <c r="HG1013" s="369"/>
      <c r="HH1013" s="369"/>
      <c r="HI1013" s="369"/>
      <c r="HJ1013" s="369"/>
      <c r="HK1013" s="369"/>
      <c r="HL1013" s="369"/>
      <c r="HM1013" s="369"/>
      <c r="HN1013" s="369"/>
      <c r="HO1013" s="369"/>
      <c r="HP1013" s="369"/>
      <c r="HQ1013" s="369"/>
      <c r="HR1013" s="369"/>
      <c r="HS1013" s="369"/>
      <c r="HT1013" s="369"/>
      <c r="HU1013" s="369"/>
      <c r="HV1013" s="369">
        <v>0.2</v>
      </c>
      <c r="HW1013" s="369"/>
      <c r="HX1013" s="369"/>
      <c r="HY1013" s="369"/>
      <c r="HZ1013" s="369"/>
      <c r="IA1013" s="369"/>
      <c r="IB1013" s="369"/>
      <c r="IC1013" s="369"/>
      <c r="ID1013" s="369"/>
      <c r="IE1013" s="369"/>
      <c r="IF1013" s="369"/>
      <c r="IG1013" s="369">
        <v>0.2</v>
      </c>
    </row>
    <row r="1014" spans="1:241">
      <c r="A1014">
        <v>997</v>
      </c>
      <c r="C1014" s="27" t="s">
        <v>5008</v>
      </c>
      <c r="D1014" s="251" t="s">
        <v>3004</v>
      </c>
      <c r="E1014" s="27" t="s">
        <v>154</v>
      </c>
      <c r="F1014" t="s">
        <v>2444</v>
      </c>
      <c r="G1014" s="27" t="s">
        <v>90</v>
      </c>
      <c r="I1014" s="27" t="s">
        <v>226</v>
      </c>
      <c r="J1014" s="28">
        <v>21556</v>
      </c>
      <c r="K1014" s="27" t="s">
        <v>4508</v>
      </c>
      <c r="L1014" s="28">
        <v>20900</v>
      </c>
      <c r="M1014" s="27" t="s">
        <v>226</v>
      </c>
      <c r="N1014" s="28"/>
      <c r="O1014" s="27" t="s">
        <v>1766</v>
      </c>
      <c r="P1014" s="370">
        <v>43700</v>
      </c>
      <c r="Q1014" s="28" t="s">
        <v>4941</v>
      </c>
      <c r="R1014" s="28" t="s">
        <v>1769</v>
      </c>
      <c r="S1014" s="450" t="s">
        <v>4568</v>
      </c>
      <c r="T1014" s="450" t="s">
        <v>4555</v>
      </c>
      <c r="U1014" s="370">
        <v>43700</v>
      </c>
      <c r="V1014" s="369"/>
      <c r="W1014" s="27" t="s">
        <v>4610</v>
      </c>
    </row>
    <row r="1015" spans="1:241">
      <c r="A1015">
        <v>998</v>
      </c>
      <c r="C1015" s="27" t="s">
        <v>5006</v>
      </c>
      <c r="D1015" s="251" t="s">
        <v>3005</v>
      </c>
      <c r="E1015" s="27" t="s">
        <v>1592</v>
      </c>
      <c r="F1015" t="s">
        <v>2444</v>
      </c>
      <c r="G1015" s="27" t="s">
        <v>90</v>
      </c>
      <c r="I1015" s="27" t="s">
        <v>94</v>
      </c>
      <c r="J1015" s="28">
        <v>29268</v>
      </c>
      <c r="K1015" s="27" t="s">
        <v>229</v>
      </c>
      <c r="L1015" s="28"/>
      <c r="M1015" s="28"/>
      <c r="N1015" s="28"/>
      <c r="O1015" s="27" t="s">
        <v>4538</v>
      </c>
      <c r="P1015" s="370">
        <v>44700</v>
      </c>
      <c r="Q1015" s="28" t="s">
        <v>1777</v>
      </c>
      <c r="R1015" s="28" t="s">
        <v>1194</v>
      </c>
      <c r="S1015" s="370">
        <v>44697</v>
      </c>
      <c r="T1015" s="450" t="s">
        <v>4555</v>
      </c>
      <c r="U1015" s="370">
        <v>44700</v>
      </c>
      <c r="V1015" s="369"/>
      <c r="W1015" s="27" t="s">
        <v>4610</v>
      </c>
    </row>
    <row r="1016" spans="1:241">
      <c r="A1016">
        <v>999</v>
      </c>
      <c r="C1016" s="27" t="s">
        <v>5007</v>
      </c>
      <c r="D1016" s="251" t="s">
        <v>3005</v>
      </c>
      <c r="E1016" s="27" t="s">
        <v>1592</v>
      </c>
      <c r="F1016" t="s">
        <v>1947</v>
      </c>
      <c r="G1016" s="27" t="s">
        <v>90</v>
      </c>
      <c r="I1016" s="27" t="s">
        <v>226</v>
      </c>
      <c r="J1016" s="28">
        <v>21556</v>
      </c>
      <c r="K1016" s="27" t="s">
        <v>4508</v>
      </c>
      <c r="L1016" s="28"/>
      <c r="M1016" s="28"/>
      <c r="N1016" s="28"/>
      <c r="O1016" s="27" t="s">
        <v>1763</v>
      </c>
      <c r="P1016" s="370">
        <v>44291</v>
      </c>
      <c r="Q1016" s="28" t="s">
        <v>1035</v>
      </c>
      <c r="R1016" s="28" t="s">
        <v>1778</v>
      </c>
      <c r="S1016" s="370">
        <v>44238</v>
      </c>
      <c r="T1016" s="450" t="s">
        <v>4555</v>
      </c>
      <c r="U1016" s="370">
        <v>44291</v>
      </c>
      <c r="V1016" s="369"/>
      <c r="W1016" s="27" t="s">
        <v>4610</v>
      </c>
    </row>
    <row r="1017" spans="1:241" ht="25.5">
      <c r="A1017">
        <v>1000</v>
      </c>
      <c r="B1017" t="s">
        <v>468</v>
      </c>
      <c r="C1017" s="400" t="s">
        <v>4580</v>
      </c>
      <c r="D1017" s="28" t="s">
        <v>3006</v>
      </c>
      <c r="E1017" s="27" t="s">
        <v>3007</v>
      </c>
      <c r="F1017" t="s">
        <v>2182</v>
      </c>
      <c r="G1017" s="27" t="s">
        <v>90</v>
      </c>
      <c r="I1017" s="27" t="s">
        <v>94</v>
      </c>
      <c r="J1017" s="28">
        <v>21190</v>
      </c>
      <c r="K1017" s="27" t="s">
        <v>4506</v>
      </c>
      <c r="L1017" s="371"/>
      <c r="M1017" s="369"/>
      <c r="N1017" s="369"/>
      <c r="O1017" s="369"/>
      <c r="P1017" s="369"/>
      <c r="Q1017" s="27" t="s">
        <v>1857</v>
      </c>
      <c r="R1017" s="27" t="s">
        <v>1194</v>
      </c>
      <c r="S1017" s="370">
        <v>44951</v>
      </c>
      <c r="T1017" s="27" t="s">
        <v>4555</v>
      </c>
      <c r="U1017" s="370">
        <v>44965</v>
      </c>
      <c r="V1017" s="369"/>
      <c r="W1017" s="162" t="s">
        <v>4581</v>
      </c>
      <c r="X1017" s="162"/>
      <c r="Y1017" s="162"/>
      <c r="Z1017" s="162"/>
      <c r="AA1017" s="390" t="s">
        <v>4582</v>
      </c>
      <c r="AB1017" s="369">
        <v>441.1</v>
      </c>
      <c r="AC1017" s="369">
        <v>0</v>
      </c>
      <c r="AD1017" s="390"/>
      <c r="AE1017" s="391">
        <f t="shared" ref="AE1017:AE1018" si="908">BA1017</f>
        <v>4.27867</v>
      </c>
      <c r="AF1017" s="391"/>
      <c r="AG1017" s="391">
        <f>EU1017+EX1017</f>
        <v>7.6800000000000006</v>
      </c>
      <c r="AH1017" s="391">
        <f t="shared" ref="AH1017:AH1018" si="909">DM1017</f>
        <v>4</v>
      </c>
      <c r="AI1017" s="391">
        <f t="shared" ref="AI1017:AI1018" si="910">DO1017</f>
        <v>0</v>
      </c>
      <c r="AJ1017" s="391">
        <f>GW1017</f>
        <v>0.4</v>
      </c>
      <c r="AK1017" s="391">
        <f>GU1017</f>
        <v>0.45</v>
      </c>
      <c r="AL1017" s="391">
        <f>GS1017</f>
        <v>3.7655344999999998</v>
      </c>
      <c r="AM1017" s="391">
        <f>HV1017</f>
        <v>0.4</v>
      </c>
      <c r="AN1017" s="391">
        <f>IG1017</f>
        <v>0.4</v>
      </c>
      <c r="AO1017" s="391"/>
      <c r="AP1017" s="391"/>
      <c r="AQ1017" s="391">
        <f>SUM(AE1017:AO1017)</f>
        <v>21.374204499999998</v>
      </c>
      <c r="AR1017" s="391"/>
      <c r="AS1017" s="391">
        <f t="shared" ref="AS1017:AS1018" si="911">EE1017</f>
        <v>0</v>
      </c>
      <c r="AT1017" s="391">
        <v>0</v>
      </c>
      <c r="AU1017" s="391">
        <f>22.77-21.37</f>
        <v>1.3999999999999986</v>
      </c>
      <c r="AV1017" s="391">
        <f t="shared" ref="AV1017:AV1018" si="912">AQ1017+AT1017+AU1017+AR1017+AS1017</f>
        <v>22.774204499999996</v>
      </c>
      <c r="AW1017" s="394">
        <f>9.7/1000</f>
        <v>9.6999999999999986E-3</v>
      </c>
      <c r="AX1017" s="394">
        <f>8.5/1000</f>
        <v>8.5000000000000006E-3</v>
      </c>
      <c r="AY1017" s="399">
        <v>1</v>
      </c>
      <c r="AZ1017" s="391">
        <f>(AW1017-AX1017)*AY1017</f>
        <v>1.1999999999999979E-3</v>
      </c>
      <c r="BA1017" s="391">
        <f>AW1017*AB1017-AZ1017*AC1017</f>
        <v>4.27867</v>
      </c>
      <c r="BB1017" s="391"/>
      <c r="BC1017" s="391"/>
      <c r="BD1017" s="391"/>
      <c r="BE1017" s="391"/>
      <c r="BF1017" s="391"/>
      <c r="BG1017" s="391"/>
      <c r="BH1017" s="391"/>
      <c r="BI1017" s="391"/>
      <c r="BJ1017" s="391"/>
      <c r="BK1017" s="391"/>
      <c r="BL1017" s="391"/>
      <c r="BM1017" s="369"/>
      <c r="BN1017" s="369"/>
      <c r="BO1017" s="369"/>
      <c r="BP1017" s="369"/>
      <c r="BQ1017" s="369"/>
      <c r="BR1017" s="369"/>
      <c r="BS1017" s="369"/>
      <c r="BT1017" s="369"/>
      <c r="BU1017" s="369"/>
      <c r="BV1017" s="369"/>
      <c r="BW1017" s="369"/>
      <c r="BX1017" s="369"/>
      <c r="BY1017" s="369"/>
      <c r="BZ1017" s="369"/>
      <c r="CA1017" s="369"/>
      <c r="CB1017" s="369"/>
      <c r="CC1017" s="369"/>
      <c r="CD1017" s="369"/>
      <c r="CE1017" s="369">
        <v>0</v>
      </c>
      <c r="CF1017" s="369">
        <v>1</v>
      </c>
      <c r="CG1017" s="391">
        <v>4</v>
      </c>
      <c r="CH1017" s="391">
        <f>CF1017*CG1017</f>
        <v>4</v>
      </c>
      <c r="CI1017" s="369"/>
      <c r="CJ1017" s="369"/>
      <c r="CK1017" s="369"/>
      <c r="CL1017" s="369"/>
      <c r="CM1017" s="369"/>
      <c r="CN1017" s="369"/>
      <c r="CO1017" s="369"/>
      <c r="CP1017" s="369"/>
      <c r="CQ1017" s="369"/>
      <c r="CR1017" s="369"/>
      <c r="CS1017" s="369"/>
      <c r="CT1017" s="369"/>
      <c r="CU1017" s="369"/>
      <c r="CV1017" s="369"/>
      <c r="CW1017" s="369"/>
      <c r="CX1017" s="369"/>
      <c r="CY1017" s="369"/>
      <c r="CZ1017" s="369"/>
      <c r="DA1017" s="369"/>
      <c r="DB1017" s="369"/>
      <c r="DC1017" s="369"/>
      <c r="DD1017" s="369"/>
      <c r="DE1017" s="369"/>
      <c r="DF1017" s="369"/>
      <c r="DG1017" s="369"/>
      <c r="DH1017" s="369"/>
      <c r="DI1017" s="369"/>
      <c r="DJ1017" s="369"/>
      <c r="DK1017" s="369"/>
      <c r="DL1017" s="369"/>
      <c r="DM1017" s="391">
        <f>CH1017+CM1017+CR1017+CW1017+DB1017+DG1017+DL1017</f>
        <v>4</v>
      </c>
      <c r="DN1017" s="369"/>
      <c r="DO1017" s="369"/>
      <c r="DP1017" s="391">
        <f>DM1017+DO1017</f>
        <v>4</v>
      </c>
      <c r="DQ1017" s="369"/>
      <c r="DR1017" s="369"/>
      <c r="DS1017" s="369"/>
      <c r="DT1017" s="369"/>
      <c r="DU1017" s="369"/>
      <c r="DV1017" s="369"/>
      <c r="DW1017" s="369"/>
      <c r="DX1017" s="369"/>
      <c r="DY1017" s="369"/>
      <c r="DZ1017" s="369"/>
      <c r="EA1017" s="369"/>
      <c r="EB1017" s="369"/>
      <c r="EC1017" s="369"/>
      <c r="ED1017" s="369"/>
      <c r="EE1017" s="369"/>
      <c r="EF1017" s="369"/>
      <c r="EG1017" s="369"/>
      <c r="EH1017" s="369"/>
      <c r="EI1017" s="395"/>
      <c r="EJ1017" s="369">
        <v>4</v>
      </c>
      <c r="EK1017" s="369"/>
      <c r="EL1017" s="369"/>
      <c r="EM1017" s="369"/>
      <c r="EN1017" s="369"/>
      <c r="EO1017" s="369"/>
      <c r="EP1017" s="369"/>
      <c r="EQ1017" s="369"/>
      <c r="ER1017" s="369"/>
      <c r="ES1017" s="369"/>
      <c r="ET1017" s="369"/>
      <c r="EU1017" s="369">
        <f>6.48</f>
        <v>6.48</v>
      </c>
      <c r="EV1017" s="369"/>
      <c r="EW1017" s="369"/>
      <c r="EX1017" s="391">
        <f>1.2</f>
        <v>1.2</v>
      </c>
      <c r="EY1017" s="369"/>
      <c r="EZ1017" s="369"/>
      <c r="FA1017" s="391">
        <f>EX1017</f>
        <v>1.2</v>
      </c>
      <c r="FB1017" s="369"/>
      <c r="FC1017" s="369"/>
      <c r="FD1017" s="369"/>
      <c r="FE1017" s="369"/>
      <c r="FF1017" s="369"/>
      <c r="FG1017" s="369"/>
      <c r="FH1017" s="369"/>
      <c r="FI1017" s="369"/>
      <c r="FJ1017" s="369"/>
      <c r="FK1017" s="369"/>
      <c r="FL1017" s="369"/>
      <c r="FM1017" s="369"/>
      <c r="FN1017" s="369"/>
      <c r="FO1017" s="369"/>
      <c r="FP1017" s="369"/>
      <c r="FQ1017" s="369"/>
      <c r="FR1017" s="369"/>
      <c r="FS1017" s="369"/>
      <c r="FT1017" s="369"/>
      <c r="FU1017" s="369"/>
      <c r="FV1017" s="369"/>
      <c r="FW1017" s="369"/>
      <c r="FX1017" s="369"/>
      <c r="FY1017" s="369"/>
      <c r="FZ1017" s="369"/>
      <c r="GA1017" s="369"/>
      <c r="GB1017" s="369"/>
      <c r="GC1017" s="369"/>
      <c r="GD1017" s="369"/>
      <c r="GE1017" s="369"/>
      <c r="GF1017" s="369"/>
      <c r="GG1017" s="369"/>
      <c r="GH1017" s="369"/>
      <c r="GI1017" s="369"/>
      <c r="GJ1017" s="369"/>
      <c r="GK1017" s="369"/>
      <c r="GL1017" s="369"/>
      <c r="GM1017" s="369"/>
      <c r="GN1017" s="369"/>
      <c r="GO1017" s="369"/>
      <c r="GP1017" s="399"/>
      <c r="GQ1017" s="369"/>
      <c r="GR1017" s="395">
        <v>0.35</v>
      </c>
      <c r="GS1017" s="391">
        <f>GR1017*(EU1017+BA1017)</f>
        <v>3.7655344999999998</v>
      </c>
      <c r="GT1017" s="393"/>
      <c r="GU1017" s="369">
        <f>0.45</f>
        <v>0.45</v>
      </c>
      <c r="GV1017" s="395"/>
      <c r="GW1017" s="391">
        <f>0.4</f>
        <v>0.4</v>
      </c>
      <c r="GX1017" s="391">
        <f>GS1017+GU1017+GW1017</f>
        <v>4.6155344999999999</v>
      </c>
      <c r="GY1017" s="369"/>
      <c r="GZ1017" s="369"/>
      <c r="HA1017" s="369"/>
      <c r="HB1017" s="369"/>
      <c r="HC1017" s="369"/>
      <c r="HD1017" s="369"/>
      <c r="HE1017" s="369"/>
      <c r="HF1017" s="369"/>
      <c r="HG1017" s="369"/>
      <c r="HH1017" s="369"/>
      <c r="HI1017" s="369"/>
      <c r="HJ1017" s="369"/>
      <c r="HK1017" s="369"/>
      <c r="HL1017" s="369"/>
      <c r="HM1017" s="369"/>
      <c r="HN1017" s="369"/>
      <c r="HO1017" s="369"/>
      <c r="HP1017" s="369"/>
      <c r="HQ1017" s="369"/>
      <c r="HR1017" s="369"/>
      <c r="HS1017" s="369"/>
      <c r="HT1017" s="369"/>
      <c r="HU1017" s="369"/>
      <c r="HV1017" s="369">
        <f>0.4</f>
        <v>0.4</v>
      </c>
      <c r="HW1017" s="369"/>
      <c r="HX1017" s="369"/>
      <c r="HY1017" s="369"/>
      <c r="HZ1017" s="369"/>
      <c r="IA1017" s="369"/>
      <c r="IB1017" s="369"/>
      <c r="IC1017" s="369"/>
      <c r="ID1017" s="369"/>
      <c r="IE1017" s="369"/>
      <c r="IF1017" s="369"/>
      <c r="IG1017" s="369">
        <f>0.4</f>
        <v>0.4</v>
      </c>
    </row>
    <row r="1018" spans="1:241" ht="25.5">
      <c r="A1018">
        <v>1001</v>
      </c>
      <c r="B1018" t="s">
        <v>468</v>
      </c>
      <c r="C1018" s="400" t="s">
        <v>4580</v>
      </c>
      <c r="D1018" s="28" t="s">
        <v>3006</v>
      </c>
      <c r="E1018" s="27" t="s">
        <v>3007</v>
      </c>
      <c r="F1018" t="s">
        <v>2182</v>
      </c>
      <c r="G1018" s="27" t="s">
        <v>90</v>
      </c>
      <c r="I1018" s="27" t="s">
        <v>226</v>
      </c>
      <c r="J1018" s="28">
        <v>21545</v>
      </c>
      <c r="K1018" s="27" t="s">
        <v>4507</v>
      </c>
      <c r="L1018" s="371"/>
      <c r="M1018" s="369"/>
      <c r="N1018" s="369"/>
      <c r="O1018" s="369"/>
      <c r="P1018" s="369"/>
      <c r="Q1018" s="27" t="s">
        <v>1857</v>
      </c>
      <c r="R1018" s="27" t="s">
        <v>1194</v>
      </c>
      <c r="S1018" s="370">
        <v>44951</v>
      </c>
      <c r="T1018" s="27" t="s">
        <v>4555</v>
      </c>
      <c r="U1018" s="370">
        <v>44965</v>
      </c>
      <c r="V1018" s="369"/>
      <c r="W1018" s="162" t="s">
        <v>4581</v>
      </c>
      <c r="X1018" s="162"/>
      <c r="Y1018" s="162"/>
      <c r="Z1018" s="162"/>
      <c r="AA1018" s="390" t="s">
        <v>4582</v>
      </c>
      <c r="AB1018" s="369">
        <v>441.1</v>
      </c>
      <c r="AC1018" s="369">
        <v>0</v>
      </c>
      <c r="AD1018" s="390"/>
      <c r="AE1018" s="391">
        <f t="shared" si="908"/>
        <v>4.27867</v>
      </c>
      <c r="AF1018" s="391"/>
      <c r="AG1018" s="391">
        <f>EU1018+EX1018</f>
        <v>7.6800000000000006</v>
      </c>
      <c r="AH1018" s="391">
        <f t="shared" si="909"/>
        <v>4</v>
      </c>
      <c r="AI1018" s="391">
        <f t="shared" si="910"/>
        <v>0</v>
      </c>
      <c r="AJ1018" s="391">
        <f>GW1018</f>
        <v>0.4</v>
      </c>
      <c r="AK1018" s="391">
        <f>GU1018</f>
        <v>0.45</v>
      </c>
      <c r="AL1018" s="391">
        <f>GS1018</f>
        <v>3.7655344999999998</v>
      </c>
      <c r="AM1018" s="391">
        <f>HV1018</f>
        <v>0.4</v>
      </c>
      <c r="AN1018" s="391">
        <f>IG1018</f>
        <v>0.4</v>
      </c>
      <c r="AO1018" s="391"/>
      <c r="AP1018" s="391"/>
      <c r="AQ1018" s="391">
        <f>SUM(AE1018:AO1018)</f>
        <v>21.374204499999998</v>
      </c>
      <c r="AR1018" s="391"/>
      <c r="AS1018" s="391">
        <f t="shared" si="911"/>
        <v>0</v>
      </c>
      <c r="AT1018" s="391">
        <v>0</v>
      </c>
      <c r="AU1018" s="391">
        <f>22.77-21.37</f>
        <v>1.3999999999999986</v>
      </c>
      <c r="AV1018" s="391">
        <f t="shared" si="912"/>
        <v>22.774204499999996</v>
      </c>
      <c r="AW1018" s="394">
        <f>9.7/1000</f>
        <v>9.6999999999999986E-3</v>
      </c>
      <c r="AX1018" s="394">
        <f>8.5/1000</f>
        <v>8.5000000000000006E-3</v>
      </c>
      <c r="AY1018" s="399">
        <v>1</v>
      </c>
      <c r="AZ1018" s="391">
        <f>(AW1018-AX1018)*AY1018</f>
        <v>1.1999999999999979E-3</v>
      </c>
      <c r="BA1018" s="391">
        <f>AW1018*AB1018-AZ1018*AC1018</f>
        <v>4.27867</v>
      </c>
      <c r="BB1018" s="391"/>
      <c r="BC1018" s="391"/>
      <c r="BD1018" s="391"/>
      <c r="BE1018" s="391"/>
      <c r="BF1018" s="391"/>
      <c r="BG1018" s="391"/>
      <c r="BH1018" s="391"/>
      <c r="BI1018" s="391"/>
      <c r="BJ1018" s="391"/>
      <c r="BK1018" s="391"/>
      <c r="BL1018" s="391"/>
      <c r="BM1018" s="369"/>
      <c r="BN1018" s="369"/>
      <c r="BO1018" s="369"/>
      <c r="BP1018" s="369"/>
      <c r="BQ1018" s="369"/>
      <c r="BR1018" s="369"/>
      <c r="BS1018" s="369"/>
      <c r="BT1018" s="369"/>
      <c r="BU1018" s="369"/>
      <c r="BV1018" s="369"/>
      <c r="BW1018" s="369"/>
      <c r="BX1018" s="369"/>
      <c r="BY1018" s="369"/>
      <c r="BZ1018" s="369"/>
      <c r="CA1018" s="369"/>
      <c r="CB1018" s="369"/>
      <c r="CC1018" s="369"/>
      <c r="CD1018" s="369"/>
      <c r="CE1018" s="369">
        <v>0</v>
      </c>
      <c r="CF1018" s="369">
        <v>1</v>
      </c>
      <c r="CG1018" s="391">
        <v>4</v>
      </c>
      <c r="CH1018" s="391">
        <f>CF1018*CG1018</f>
        <v>4</v>
      </c>
      <c r="CI1018" s="369"/>
      <c r="CJ1018" s="369"/>
      <c r="CK1018" s="369"/>
      <c r="CL1018" s="369"/>
      <c r="CM1018" s="369"/>
      <c r="CN1018" s="369"/>
      <c r="CO1018" s="369"/>
      <c r="CP1018" s="369"/>
      <c r="CQ1018" s="369"/>
      <c r="CR1018" s="369"/>
      <c r="CS1018" s="369"/>
      <c r="CT1018" s="369"/>
      <c r="CU1018" s="369"/>
      <c r="CV1018" s="369"/>
      <c r="CW1018" s="369"/>
      <c r="CX1018" s="369"/>
      <c r="CY1018" s="369"/>
      <c r="CZ1018" s="369"/>
      <c r="DA1018" s="369"/>
      <c r="DB1018" s="369"/>
      <c r="DC1018" s="369"/>
      <c r="DD1018" s="369"/>
      <c r="DE1018" s="369"/>
      <c r="DF1018" s="369"/>
      <c r="DG1018" s="369"/>
      <c r="DH1018" s="369"/>
      <c r="DI1018" s="369"/>
      <c r="DJ1018" s="369"/>
      <c r="DK1018" s="369"/>
      <c r="DL1018" s="369"/>
      <c r="DM1018" s="391">
        <f>CH1018+CM1018+CR1018+CW1018+DB1018+DG1018+DL1018</f>
        <v>4</v>
      </c>
      <c r="DN1018" s="369"/>
      <c r="DO1018" s="369"/>
      <c r="DP1018" s="391">
        <f>DM1018+DO1018</f>
        <v>4</v>
      </c>
      <c r="DQ1018" s="369"/>
      <c r="DR1018" s="369"/>
      <c r="DS1018" s="369"/>
      <c r="DT1018" s="369"/>
      <c r="DU1018" s="369"/>
      <c r="DV1018" s="369"/>
      <c r="DW1018" s="369"/>
      <c r="DX1018" s="369"/>
      <c r="DY1018" s="369"/>
      <c r="DZ1018" s="369"/>
      <c r="EA1018" s="369"/>
      <c r="EB1018" s="369"/>
      <c r="EC1018" s="369"/>
      <c r="ED1018" s="369"/>
      <c r="EE1018" s="369"/>
      <c r="EF1018" s="369"/>
      <c r="EG1018" s="369"/>
      <c r="EH1018" s="369"/>
      <c r="EI1018" s="395"/>
      <c r="EJ1018" s="369">
        <v>4</v>
      </c>
      <c r="EK1018" s="369"/>
      <c r="EL1018" s="369"/>
      <c r="EM1018" s="369"/>
      <c r="EN1018" s="369"/>
      <c r="EO1018" s="369"/>
      <c r="EP1018" s="369"/>
      <c r="EQ1018" s="369"/>
      <c r="ER1018" s="369"/>
      <c r="ES1018" s="369"/>
      <c r="ET1018" s="369"/>
      <c r="EU1018" s="369">
        <f>6.48</f>
        <v>6.48</v>
      </c>
      <c r="EV1018" s="369"/>
      <c r="EW1018" s="369"/>
      <c r="EX1018" s="391">
        <f>1.2</f>
        <v>1.2</v>
      </c>
      <c r="EY1018" s="369"/>
      <c r="EZ1018" s="369"/>
      <c r="FA1018" s="391">
        <f>EX1018</f>
        <v>1.2</v>
      </c>
      <c r="FB1018" s="369"/>
      <c r="FC1018" s="369"/>
      <c r="FD1018" s="369"/>
      <c r="FE1018" s="369"/>
      <c r="FF1018" s="369"/>
      <c r="FG1018" s="369"/>
      <c r="FH1018" s="369"/>
      <c r="FI1018" s="369"/>
      <c r="FJ1018" s="369"/>
      <c r="FK1018" s="369"/>
      <c r="FL1018" s="369"/>
      <c r="FM1018" s="369"/>
      <c r="FN1018" s="369"/>
      <c r="FO1018" s="369"/>
      <c r="FP1018" s="369"/>
      <c r="FQ1018" s="369"/>
      <c r="FR1018" s="369"/>
      <c r="FS1018" s="369"/>
      <c r="FT1018" s="369"/>
      <c r="FU1018" s="369"/>
      <c r="FV1018" s="369"/>
      <c r="FW1018" s="369"/>
      <c r="FX1018" s="369"/>
      <c r="FY1018" s="369"/>
      <c r="FZ1018" s="369"/>
      <c r="GA1018" s="369"/>
      <c r="GB1018" s="369"/>
      <c r="GC1018" s="369"/>
      <c r="GD1018" s="369"/>
      <c r="GE1018" s="369"/>
      <c r="GF1018" s="369"/>
      <c r="GG1018" s="369"/>
      <c r="GH1018" s="369"/>
      <c r="GI1018" s="369"/>
      <c r="GJ1018" s="369"/>
      <c r="GK1018" s="369"/>
      <c r="GL1018" s="369"/>
      <c r="GM1018" s="369"/>
      <c r="GN1018" s="369"/>
      <c r="GO1018" s="369"/>
      <c r="GP1018" s="399"/>
      <c r="GQ1018" s="369"/>
      <c r="GR1018" s="395">
        <v>0.35</v>
      </c>
      <c r="GS1018" s="391">
        <f>GR1018*(EU1018+BA1018)</f>
        <v>3.7655344999999998</v>
      </c>
      <c r="GT1018" s="393"/>
      <c r="GU1018" s="369">
        <f>0.45</f>
        <v>0.45</v>
      </c>
      <c r="GV1018" s="395"/>
      <c r="GW1018" s="391">
        <f>0.4</f>
        <v>0.4</v>
      </c>
      <c r="GX1018" s="391">
        <f>GS1018+GU1018+GW1018</f>
        <v>4.6155344999999999</v>
      </c>
      <c r="GY1018" s="369"/>
      <c r="GZ1018" s="369"/>
      <c r="HA1018" s="369"/>
      <c r="HB1018" s="369"/>
      <c r="HC1018" s="369"/>
      <c r="HD1018" s="369"/>
      <c r="HE1018" s="369"/>
      <c r="HF1018" s="369"/>
      <c r="HG1018" s="369"/>
      <c r="HH1018" s="369"/>
      <c r="HI1018" s="369"/>
      <c r="HJ1018" s="369"/>
      <c r="HK1018" s="369"/>
      <c r="HL1018" s="369"/>
      <c r="HM1018" s="369"/>
      <c r="HN1018" s="369"/>
      <c r="HO1018" s="369"/>
      <c r="HP1018" s="369"/>
      <c r="HQ1018" s="369"/>
      <c r="HR1018" s="369"/>
      <c r="HS1018" s="369"/>
      <c r="HT1018" s="369"/>
      <c r="HU1018" s="369"/>
      <c r="HV1018" s="369">
        <f>0.4</f>
        <v>0.4</v>
      </c>
      <c r="HW1018" s="369"/>
      <c r="HX1018" s="369"/>
      <c r="HY1018" s="369"/>
      <c r="HZ1018" s="369"/>
      <c r="IA1018" s="369"/>
      <c r="IB1018" s="369"/>
      <c r="IC1018" s="369"/>
      <c r="ID1018" s="369"/>
      <c r="IE1018" s="369"/>
      <c r="IF1018" s="369"/>
      <c r="IG1018" s="369">
        <f>0.4</f>
        <v>0.4</v>
      </c>
    </row>
    <row r="1019" spans="1:241">
      <c r="A1019">
        <v>1002</v>
      </c>
      <c r="B1019" t="s">
        <v>468</v>
      </c>
      <c r="C1019" s="27" t="s">
        <v>4583</v>
      </c>
      <c r="D1019" s="28" t="s">
        <v>3008</v>
      </c>
      <c r="E1019" s="27" t="s">
        <v>3009</v>
      </c>
      <c r="F1019" t="s">
        <v>2192</v>
      </c>
      <c r="G1019" s="27" t="s">
        <v>90</v>
      </c>
      <c r="I1019" s="27" t="s">
        <v>94</v>
      </c>
      <c r="J1019" s="28">
        <v>21589</v>
      </c>
      <c r="K1019" s="27" t="s">
        <v>405</v>
      </c>
    </row>
    <row r="1020" spans="1:241">
      <c r="A1020">
        <v>1003</v>
      </c>
      <c r="B1020" t="s">
        <v>468</v>
      </c>
      <c r="C1020" s="27" t="s">
        <v>4583</v>
      </c>
      <c r="D1020" s="28" t="s">
        <v>3008</v>
      </c>
      <c r="E1020" s="27" t="s">
        <v>3009</v>
      </c>
      <c r="F1020" t="s">
        <v>2192</v>
      </c>
      <c r="G1020" s="27" t="s">
        <v>90</v>
      </c>
      <c r="I1020" s="27" t="s">
        <v>226</v>
      </c>
      <c r="J1020" s="28">
        <v>21628</v>
      </c>
      <c r="K1020" s="27" t="s">
        <v>4502</v>
      </c>
    </row>
    <row r="1021" spans="1:241" ht="25.5">
      <c r="A1021">
        <v>1004</v>
      </c>
      <c r="B1021" t="s">
        <v>468</v>
      </c>
      <c r="C1021" s="462" t="s">
        <v>4950</v>
      </c>
      <c r="D1021" s="28" t="s">
        <v>98</v>
      </c>
      <c r="E1021" s="27" t="s">
        <v>99</v>
      </c>
      <c r="F1021" t="s">
        <v>2182</v>
      </c>
      <c r="G1021" s="27" t="s">
        <v>90</v>
      </c>
      <c r="I1021" s="27" t="s">
        <v>121</v>
      </c>
      <c r="J1021" s="28">
        <v>21758</v>
      </c>
      <c r="K1021" s="27" t="s">
        <v>398</v>
      </c>
      <c r="L1021" s="28"/>
      <c r="M1021" s="28"/>
      <c r="N1021" s="27" t="s">
        <v>4951</v>
      </c>
      <c r="O1021" s="27" t="s">
        <v>1763</v>
      </c>
      <c r="P1021" s="370">
        <v>44139</v>
      </c>
      <c r="Q1021" s="28" t="s">
        <v>1035</v>
      </c>
      <c r="R1021" s="28" t="s">
        <v>1769</v>
      </c>
      <c r="S1021" s="370">
        <v>43191</v>
      </c>
      <c r="T1021" s="450" t="s">
        <v>4555</v>
      </c>
      <c r="U1021" s="370">
        <v>43191</v>
      </c>
      <c r="V1021" s="369"/>
      <c r="W1021" s="444" t="s">
        <v>4952</v>
      </c>
      <c r="X1021" s="444"/>
      <c r="Y1021" s="444"/>
      <c r="Z1021" s="444"/>
      <c r="AA1021" s="369" t="s">
        <v>4953</v>
      </c>
      <c r="AB1021" s="391">
        <v>495</v>
      </c>
      <c r="AC1021" s="391">
        <v>20</v>
      </c>
      <c r="AD1021" s="369"/>
      <c r="AE1021" s="391">
        <f>BL1021</f>
        <v>5.4839389414999991</v>
      </c>
      <c r="AF1021" s="369"/>
      <c r="AG1021" s="391">
        <f>EU1021+EM1021+EV1021</f>
        <v>1.9701232232744443</v>
      </c>
      <c r="AH1021" s="391">
        <f>DM1021</f>
        <v>0</v>
      </c>
      <c r="AI1021" s="391">
        <f>DO1021</f>
        <v>0</v>
      </c>
      <c r="AJ1021" s="391">
        <f>GW1021</f>
        <v>0.1</v>
      </c>
      <c r="AK1021" s="391">
        <f>GU1021</f>
        <v>0.15108124329548886</v>
      </c>
      <c r="AL1021" s="391">
        <f>GO1021+GQ1021</f>
        <v>1.0814797301138885</v>
      </c>
      <c r="AM1021" s="391">
        <f>HV1021</f>
        <v>1.3333333333333334E-2</v>
      </c>
      <c r="AN1021" s="391">
        <f>IG1021</f>
        <v>0.14705882352941177</v>
      </c>
      <c r="AO1021" s="369"/>
      <c r="AP1021" s="369"/>
      <c r="AQ1021" s="391">
        <f>SUM(AE1021:AO1021)</f>
        <v>8.9470152950465653</v>
      </c>
      <c r="AR1021" s="369"/>
      <c r="AS1021" s="391">
        <f>EE1021</f>
        <v>0</v>
      </c>
      <c r="AT1021" s="391">
        <v>0</v>
      </c>
      <c r="AU1021" s="391">
        <f>8.946-8.947</f>
        <v>-9.9999999999944578E-4</v>
      </c>
      <c r="AV1021" s="391">
        <f>AQ1021+AT1021+AU1021+AR1021+AS1021</f>
        <v>8.9460152950465659</v>
      </c>
      <c r="AW1021" s="391">
        <v>1.0659999999999999E-2</v>
      </c>
      <c r="AX1021" s="391">
        <v>9.3800000000000012E-3</v>
      </c>
      <c r="AY1021" s="399">
        <v>1</v>
      </c>
      <c r="AZ1021" s="391">
        <f>(AW1021-AX1021)*AY1021</f>
        <v>1.2799999999999982E-3</v>
      </c>
      <c r="BA1021" s="391">
        <f>(AW1021+BC1021)*AB1021-AZ1021*AC1021</f>
        <v>5.3038669999999994</v>
      </c>
      <c r="BB1021" s="395">
        <v>0.01</v>
      </c>
      <c r="BC1021" s="391">
        <f>BB1021*AW1021</f>
        <v>1.0659999999999999E-4</v>
      </c>
      <c r="BD1021" s="391">
        <f>BC1021*AB1021</f>
        <v>5.2766999999999994E-2</v>
      </c>
      <c r="BE1021" s="391">
        <v>20000</v>
      </c>
      <c r="BF1021" s="391">
        <v>2</v>
      </c>
      <c r="BG1021" s="391">
        <f>BF1021/BE1021*AB1021</f>
        <v>4.9500000000000002E-2</v>
      </c>
      <c r="BH1021" s="393">
        <v>1.2E-2</v>
      </c>
      <c r="BI1021" s="391">
        <f>BH1021*(AW1021+BC1021)*AB1021</f>
        <v>6.3953603999999997E-2</v>
      </c>
      <c r="BJ1021" s="458">
        <v>1.2500000000000001E-2</v>
      </c>
      <c r="BK1021" s="391">
        <f>BJ1021*(AW1021+BC1021)*AB1021</f>
        <v>6.6618337499999999E-2</v>
      </c>
      <c r="BL1021" s="391">
        <f>BA1021+BG1021+BI1021+BK1021</f>
        <v>5.4839389414999991</v>
      </c>
      <c r="BM1021" s="369"/>
      <c r="BN1021" s="369"/>
      <c r="BO1021" s="369"/>
      <c r="BP1021" s="369"/>
      <c r="BQ1021" s="369"/>
      <c r="BR1021" s="369"/>
      <c r="BS1021" s="369"/>
      <c r="BT1021" s="369"/>
      <c r="BU1021" s="369"/>
      <c r="BV1021" s="369"/>
      <c r="BW1021" s="369"/>
      <c r="BX1021" s="369"/>
      <c r="BY1021" s="369"/>
      <c r="BZ1021" s="369"/>
      <c r="CA1021" s="369"/>
      <c r="CB1021" s="369"/>
      <c r="CC1021" s="369"/>
      <c r="CD1021" s="369"/>
      <c r="CE1021" s="369"/>
      <c r="CF1021" s="369"/>
      <c r="CG1021" s="369"/>
      <c r="CH1021" s="369"/>
      <c r="CI1021" s="369"/>
      <c r="CJ1021" s="369"/>
      <c r="CK1021" s="369"/>
      <c r="CL1021" s="369"/>
      <c r="CM1021" s="369"/>
      <c r="CN1021" s="369"/>
      <c r="CO1021" s="369"/>
      <c r="CP1021" s="369"/>
      <c r="CQ1021" s="369"/>
      <c r="CR1021" s="369"/>
      <c r="CS1021" s="369"/>
      <c r="CT1021" s="369"/>
      <c r="CU1021" s="369"/>
      <c r="CV1021" s="369"/>
      <c r="CW1021" s="369"/>
      <c r="CX1021" s="369"/>
      <c r="CY1021" s="369"/>
      <c r="CZ1021" s="369"/>
      <c r="DA1021" s="369"/>
      <c r="DB1021" s="369"/>
      <c r="DC1021" s="369"/>
      <c r="DD1021" s="369"/>
      <c r="DE1021" s="369"/>
      <c r="DF1021" s="369"/>
      <c r="DG1021" s="369"/>
      <c r="DH1021" s="369"/>
      <c r="DI1021" s="369"/>
      <c r="DJ1021" s="369"/>
      <c r="DK1021" s="369"/>
      <c r="DL1021" s="369"/>
      <c r="DM1021" s="369"/>
      <c r="DN1021" s="458"/>
      <c r="DO1021" s="369"/>
      <c r="DP1021" s="369"/>
      <c r="DQ1021" s="369"/>
      <c r="DR1021" s="369"/>
      <c r="DS1021" s="369"/>
      <c r="DT1021" s="369"/>
      <c r="DU1021" s="369"/>
      <c r="DV1021" s="369"/>
      <c r="DW1021" s="369"/>
      <c r="DX1021" s="369"/>
      <c r="DY1021" s="369"/>
      <c r="DZ1021" s="369"/>
      <c r="EA1021" s="369"/>
      <c r="EB1021" s="369"/>
      <c r="EC1021" s="369"/>
      <c r="ED1021" s="369"/>
      <c r="EE1021" s="369"/>
      <c r="EF1021" s="369">
        <v>80</v>
      </c>
      <c r="EG1021" s="369">
        <f>375*8</f>
        <v>3000</v>
      </c>
      <c r="EH1021" s="369">
        <v>8</v>
      </c>
      <c r="EI1021" s="395">
        <v>0.9</v>
      </c>
      <c r="EJ1021" s="369">
        <v>4</v>
      </c>
      <c r="EK1021" s="369">
        <v>59</v>
      </c>
      <c r="EL1021" s="396">
        <f>3600/EK1021*EH1021*EJ1021*EI1021</f>
        <v>1757.2881355932204</v>
      </c>
      <c r="EM1021" s="391">
        <f>2%*(EU1021+BL1021)</f>
        <v>0.14419729734851849</v>
      </c>
      <c r="EN1021" s="369"/>
      <c r="EO1021" s="369"/>
      <c r="EP1021" s="369"/>
      <c r="EQ1021" s="369"/>
      <c r="ER1021" s="369"/>
      <c r="ES1021" s="391">
        <v>1</v>
      </c>
      <c r="ET1021" s="391">
        <f>ES1021*EG1021/8/BE1021</f>
        <v>1.8749999999999999E-2</v>
      </c>
      <c r="EU1021" s="391">
        <f>(EG1021/EL1021+ET1021)</f>
        <v>1.7259259259259259</v>
      </c>
      <c r="EV1021" s="369">
        <v>0.1</v>
      </c>
      <c r="EW1021" s="369"/>
      <c r="EX1021" s="369"/>
      <c r="EY1021" s="369"/>
      <c r="EZ1021" s="369"/>
      <c r="FA1021" s="369"/>
      <c r="FB1021" s="369"/>
      <c r="FC1021" s="369"/>
      <c r="FD1021" s="369"/>
      <c r="FE1021" s="399"/>
      <c r="FF1021" s="369"/>
      <c r="FG1021" s="369"/>
      <c r="FH1021" s="369"/>
      <c r="FI1021" s="369"/>
      <c r="FJ1021" s="369"/>
      <c r="FK1021" s="369"/>
      <c r="FL1021" s="369"/>
      <c r="FM1021" s="369"/>
      <c r="FN1021" s="369"/>
      <c r="FO1021" s="369"/>
      <c r="FP1021" s="369"/>
      <c r="FQ1021" s="369"/>
      <c r="FR1021" s="369"/>
      <c r="FS1021" s="369"/>
      <c r="FT1021" s="369"/>
      <c r="FU1021" s="369"/>
      <c r="FV1021" s="369"/>
      <c r="FW1021" s="369"/>
      <c r="FX1021" s="369"/>
      <c r="FY1021" s="369"/>
      <c r="FZ1021" s="369"/>
      <c r="GA1021" s="369"/>
      <c r="GB1021" s="369"/>
      <c r="GC1021" s="369"/>
      <c r="GD1021" s="369"/>
      <c r="GE1021" s="369"/>
      <c r="GF1021" s="369"/>
      <c r="GG1021" s="369"/>
      <c r="GH1021" s="369"/>
      <c r="GI1021" s="369"/>
      <c r="GJ1021" s="369"/>
      <c r="GK1021" s="369"/>
      <c r="GL1021" s="369"/>
      <c r="GM1021" s="369"/>
      <c r="GN1021" s="461">
        <v>7.4999999999999997E-2</v>
      </c>
      <c r="GO1021" s="391">
        <f>GN1021*(EU1021++BL1021)</f>
        <v>0.54073986505694427</v>
      </c>
      <c r="GP1021" s="461">
        <v>7.4999999999999997E-2</v>
      </c>
      <c r="GQ1021" s="391">
        <f>GP1021*(EU1021++BL1021)</f>
        <v>0.54073986505694427</v>
      </c>
      <c r="GR1021" s="399"/>
      <c r="GS1021" s="369"/>
      <c r="GT1021" s="399">
        <v>0.02</v>
      </c>
      <c r="GU1021" s="391">
        <f>GT1021*(BL1021+EU1021+EM1021+EV1021+GW1021)</f>
        <v>0.15108124329548886</v>
      </c>
      <c r="GV1021" s="395"/>
      <c r="GW1021" s="391">
        <v>0.1</v>
      </c>
      <c r="GX1021" s="391">
        <f>GW1021+GU1021+GQ1021+GO1021</f>
        <v>1.3325609734093775</v>
      </c>
      <c r="GY1021" s="369"/>
      <c r="GZ1021" s="369"/>
      <c r="HA1021" s="369"/>
      <c r="HB1021" s="369"/>
      <c r="HC1021" s="369"/>
      <c r="HD1021" s="391">
        <v>1200</v>
      </c>
      <c r="HE1021" s="391">
        <v>1000</v>
      </c>
      <c r="HF1021" s="391">
        <f>ROUNDUP(HE1021/HD1021,0)</f>
        <v>1</v>
      </c>
      <c r="HG1021" s="391">
        <v>5</v>
      </c>
      <c r="HH1021" s="391">
        <f>HF1021*HG1021</f>
        <v>5</v>
      </c>
      <c r="HI1021" s="391">
        <v>600</v>
      </c>
      <c r="HJ1021" s="391">
        <f>HH1021*HI1021</f>
        <v>3000</v>
      </c>
      <c r="HK1021" s="399">
        <v>0.14000000000000001</v>
      </c>
      <c r="HL1021" s="391">
        <f>HK1021*HJ1021</f>
        <v>420.00000000000006</v>
      </c>
      <c r="HM1021" s="391">
        <v>2</v>
      </c>
      <c r="HN1021" s="391">
        <f t="shared" ref="HN1021:HN1022" si="913">HM1021*12*25*HE1021</f>
        <v>600000</v>
      </c>
      <c r="HO1021" s="369">
        <f>ROUNDUP((IF(GY1021="carton box",HI1021/HD1021,HJ1021/HN1021)),2)</f>
        <v>0.01</v>
      </c>
      <c r="HP1021" s="391">
        <v>160</v>
      </c>
      <c r="HQ1021" s="391">
        <v>0</v>
      </c>
      <c r="HR1021" s="391">
        <v>0.5</v>
      </c>
      <c r="HS1021" s="391">
        <v>150</v>
      </c>
      <c r="HT1021" s="391">
        <f>HR1021/HS1021</f>
        <v>3.3333333333333335E-3</v>
      </c>
      <c r="HU1021" s="448"/>
      <c r="HV1021" s="391">
        <f>HT1021+HO1021</f>
        <v>1.3333333333333334E-2</v>
      </c>
      <c r="HW1021" s="369"/>
      <c r="HX1021" s="369"/>
      <c r="HY1021" s="369"/>
      <c r="HZ1021" s="369"/>
      <c r="IA1021" s="369"/>
      <c r="IB1021" s="369"/>
      <c r="IC1021" s="369"/>
      <c r="ID1021" s="399"/>
      <c r="IE1021" s="391">
        <v>51</v>
      </c>
      <c r="IF1021" s="391">
        <v>9000</v>
      </c>
      <c r="IG1021" s="391">
        <f>IF1021/(IE1021*HD1021)</f>
        <v>0.14705882352941177</v>
      </c>
    </row>
    <row r="1022" spans="1:241" ht="25.5">
      <c r="A1022">
        <v>1005</v>
      </c>
      <c r="B1022" t="s">
        <v>468</v>
      </c>
      <c r="C1022" s="462" t="s">
        <v>4950</v>
      </c>
      <c r="D1022" s="28" t="s">
        <v>98</v>
      </c>
      <c r="E1022" s="27" t="s">
        <v>99</v>
      </c>
      <c r="F1022" t="s">
        <v>2182</v>
      </c>
      <c r="G1022" s="27" t="s">
        <v>90</v>
      </c>
      <c r="I1022" s="27" t="s">
        <v>226</v>
      </c>
      <c r="J1022" s="28">
        <v>21085</v>
      </c>
      <c r="K1022" s="27" t="s">
        <v>399</v>
      </c>
      <c r="L1022" s="28"/>
      <c r="M1022" s="28"/>
      <c r="N1022" s="28"/>
      <c r="O1022" s="28"/>
      <c r="P1022" s="442"/>
      <c r="Q1022" s="28" t="s">
        <v>1035</v>
      </c>
      <c r="R1022" s="28" t="s">
        <v>1769</v>
      </c>
      <c r="S1022" s="370">
        <v>43191</v>
      </c>
      <c r="T1022" s="450" t="s">
        <v>4555</v>
      </c>
      <c r="U1022" s="370">
        <v>43191</v>
      </c>
      <c r="V1022" s="369"/>
      <c r="W1022" s="444" t="s">
        <v>4954</v>
      </c>
      <c r="X1022" s="444"/>
      <c r="Y1022" s="444"/>
      <c r="Z1022" s="444"/>
      <c r="AA1022" s="369" t="s">
        <v>4953</v>
      </c>
      <c r="AB1022" s="391">
        <v>495</v>
      </c>
      <c r="AC1022" s="391">
        <v>20</v>
      </c>
      <c r="AD1022" s="369"/>
      <c r="AE1022" s="391">
        <f>BL1022</f>
        <v>5.4839389414999991</v>
      </c>
      <c r="AF1022" s="369"/>
      <c r="AG1022" s="391">
        <f>EU1022+EM1022+EV1022</f>
        <v>1.9701232232744443</v>
      </c>
      <c r="AH1022" s="391">
        <f>DM1022</f>
        <v>0</v>
      </c>
      <c r="AI1022" s="391">
        <f>DO1022</f>
        <v>0</v>
      </c>
      <c r="AJ1022" s="391">
        <f>GW1022</f>
        <v>0.1</v>
      </c>
      <c r="AK1022" s="391">
        <f>GU1022</f>
        <v>0.15108124329548886</v>
      </c>
      <c r="AL1022" s="391">
        <f>GO1022+GQ1022</f>
        <v>1.0814797301138885</v>
      </c>
      <c r="AM1022" s="391">
        <f>HV1022</f>
        <v>1.3333333333333334E-2</v>
      </c>
      <c r="AN1022" s="391">
        <f>IG1022</f>
        <v>0.14705882352941177</v>
      </c>
      <c r="AO1022" s="369"/>
      <c r="AP1022" s="369"/>
      <c r="AQ1022" s="391">
        <f>SUM(AE1022:AO1022)</f>
        <v>8.9470152950465653</v>
      </c>
      <c r="AR1022" s="369"/>
      <c r="AS1022" s="391">
        <f>EE1022</f>
        <v>0</v>
      </c>
      <c r="AT1022" s="391">
        <v>0</v>
      </c>
      <c r="AU1022" s="391">
        <f>8.946-8.947</f>
        <v>-9.9999999999944578E-4</v>
      </c>
      <c r="AV1022" s="391">
        <f>AQ1022+AT1022+AU1022+AR1022+AS1022</f>
        <v>8.9460152950465659</v>
      </c>
      <c r="AW1022" s="391">
        <v>1.0659999999999999E-2</v>
      </c>
      <c r="AX1022" s="391">
        <v>9.3800000000000012E-3</v>
      </c>
      <c r="AY1022" s="399">
        <v>1</v>
      </c>
      <c r="AZ1022" s="391">
        <f>(AW1022-AX1022)*AY1022</f>
        <v>1.2799999999999982E-3</v>
      </c>
      <c r="BA1022" s="391">
        <f>(AW1022+BC1022)*AB1022-AZ1022*AC1022</f>
        <v>5.3038669999999994</v>
      </c>
      <c r="BB1022" s="395">
        <v>0.01</v>
      </c>
      <c r="BC1022" s="391">
        <f>BB1022*AW1022</f>
        <v>1.0659999999999999E-4</v>
      </c>
      <c r="BD1022" s="391">
        <f>BC1022*AB1022</f>
        <v>5.2766999999999994E-2</v>
      </c>
      <c r="BE1022" s="391">
        <v>20000</v>
      </c>
      <c r="BF1022" s="391">
        <v>2</v>
      </c>
      <c r="BG1022" s="391">
        <f>BF1022/BE1022*AB1022</f>
        <v>4.9500000000000002E-2</v>
      </c>
      <c r="BH1022" s="393">
        <v>1.2E-2</v>
      </c>
      <c r="BI1022" s="391">
        <f>BH1022*(AW1022+BC1022)*AB1022</f>
        <v>6.3953603999999997E-2</v>
      </c>
      <c r="BJ1022" s="458">
        <v>1.2500000000000001E-2</v>
      </c>
      <c r="BK1022" s="391">
        <f>BJ1022*(AW1022+BC1022)*AB1022</f>
        <v>6.6618337499999999E-2</v>
      </c>
      <c r="BL1022" s="391">
        <f>BA1022+BG1022+BI1022+BK1022</f>
        <v>5.4839389414999991</v>
      </c>
      <c r="BM1022" s="369"/>
      <c r="BN1022" s="369"/>
      <c r="BO1022" s="369"/>
      <c r="BP1022" s="369"/>
      <c r="BQ1022" s="369"/>
      <c r="BR1022" s="369"/>
      <c r="BS1022" s="369"/>
      <c r="BT1022" s="369"/>
      <c r="BU1022" s="369"/>
      <c r="BV1022" s="369"/>
      <c r="BW1022" s="369"/>
      <c r="BX1022" s="369"/>
      <c r="BY1022" s="369"/>
      <c r="BZ1022" s="369"/>
      <c r="CA1022" s="369"/>
      <c r="CB1022" s="369"/>
      <c r="CC1022" s="369"/>
      <c r="CD1022" s="369"/>
      <c r="CE1022" s="369"/>
      <c r="CF1022" s="369"/>
      <c r="CG1022" s="369"/>
      <c r="CH1022" s="369"/>
      <c r="CI1022" s="369"/>
      <c r="CJ1022" s="369"/>
      <c r="CK1022" s="369"/>
      <c r="CL1022" s="369"/>
      <c r="CM1022" s="369"/>
      <c r="CN1022" s="369"/>
      <c r="CO1022" s="369"/>
      <c r="CP1022" s="369"/>
      <c r="CQ1022" s="369"/>
      <c r="CR1022" s="369"/>
      <c r="CS1022" s="369"/>
      <c r="CT1022" s="369"/>
      <c r="CU1022" s="369"/>
      <c r="CV1022" s="369"/>
      <c r="CW1022" s="369"/>
      <c r="CX1022" s="369"/>
      <c r="CY1022" s="369"/>
      <c r="CZ1022" s="369"/>
      <c r="DA1022" s="369"/>
      <c r="DB1022" s="369"/>
      <c r="DC1022" s="369"/>
      <c r="DD1022" s="369"/>
      <c r="DE1022" s="369"/>
      <c r="DF1022" s="369"/>
      <c r="DG1022" s="369"/>
      <c r="DH1022" s="369"/>
      <c r="DI1022" s="369"/>
      <c r="DJ1022" s="369"/>
      <c r="DK1022" s="369"/>
      <c r="DL1022" s="369"/>
      <c r="DM1022" s="369"/>
      <c r="DN1022" s="458"/>
      <c r="DO1022" s="369"/>
      <c r="DP1022" s="369"/>
      <c r="DQ1022" s="369"/>
      <c r="DR1022" s="369"/>
      <c r="DS1022" s="369"/>
      <c r="DT1022" s="369"/>
      <c r="DU1022" s="369"/>
      <c r="DV1022" s="369"/>
      <c r="DW1022" s="369"/>
      <c r="DX1022" s="369"/>
      <c r="DY1022" s="369"/>
      <c r="DZ1022" s="369"/>
      <c r="EA1022" s="369"/>
      <c r="EB1022" s="369"/>
      <c r="EC1022" s="369"/>
      <c r="ED1022" s="369"/>
      <c r="EE1022" s="369"/>
      <c r="EF1022" s="369">
        <v>80</v>
      </c>
      <c r="EG1022" s="369">
        <f>375*8</f>
        <v>3000</v>
      </c>
      <c r="EH1022" s="369">
        <v>8</v>
      </c>
      <c r="EI1022" s="395">
        <v>0.9</v>
      </c>
      <c r="EJ1022" s="369">
        <v>4</v>
      </c>
      <c r="EK1022" s="369">
        <v>59</v>
      </c>
      <c r="EL1022" s="396">
        <f>3600/EK1022*EH1022*EJ1022*EI1022</f>
        <v>1757.2881355932204</v>
      </c>
      <c r="EM1022" s="391">
        <f>2%*(EU1022+BL1022)</f>
        <v>0.14419729734851849</v>
      </c>
      <c r="EN1022" s="369"/>
      <c r="EO1022" s="369"/>
      <c r="EP1022" s="369"/>
      <c r="EQ1022" s="369"/>
      <c r="ER1022" s="369"/>
      <c r="ES1022" s="391">
        <v>1</v>
      </c>
      <c r="ET1022" s="391">
        <f>ES1022*EG1022/8/BE1022</f>
        <v>1.8749999999999999E-2</v>
      </c>
      <c r="EU1022" s="391">
        <f>(EG1022/EL1022+ET1022)</f>
        <v>1.7259259259259259</v>
      </c>
      <c r="EV1022" s="369">
        <v>0.1</v>
      </c>
      <c r="EW1022" s="369"/>
      <c r="EX1022" s="369"/>
      <c r="EY1022" s="369"/>
      <c r="EZ1022" s="369"/>
      <c r="FA1022" s="369"/>
      <c r="FB1022" s="369"/>
      <c r="FC1022" s="369"/>
      <c r="FD1022" s="369"/>
      <c r="FE1022" s="399"/>
      <c r="FF1022" s="369"/>
      <c r="FG1022" s="369"/>
      <c r="FH1022" s="369"/>
      <c r="FI1022" s="369"/>
      <c r="FJ1022" s="369"/>
      <c r="FK1022" s="369"/>
      <c r="FL1022" s="369"/>
      <c r="FM1022" s="369"/>
      <c r="FN1022" s="369"/>
      <c r="FO1022" s="369"/>
      <c r="FP1022" s="369"/>
      <c r="FQ1022" s="369"/>
      <c r="FR1022" s="369"/>
      <c r="FS1022" s="369"/>
      <c r="FT1022" s="369"/>
      <c r="FU1022" s="369"/>
      <c r="FV1022" s="369"/>
      <c r="FW1022" s="369"/>
      <c r="FX1022" s="369"/>
      <c r="FY1022" s="369"/>
      <c r="FZ1022" s="369"/>
      <c r="GA1022" s="369"/>
      <c r="GB1022" s="369"/>
      <c r="GC1022" s="369"/>
      <c r="GD1022" s="369"/>
      <c r="GE1022" s="369"/>
      <c r="GF1022" s="369"/>
      <c r="GG1022" s="369"/>
      <c r="GH1022" s="369"/>
      <c r="GI1022" s="369"/>
      <c r="GJ1022" s="369"/>
      <c r="GK1022" s="369"/>
      <c r="GL1022" s="369"/>
      <c r="GM1022" s="369"/>
      <c r="GN1022" s="461">
        <v>7.4999999999999997E-2</v>
      </c>
      <c r="GO1022" s="391">
        <f>GN1022*(EU1022++BL1022)</f>
        <v>0.54073986505694427</v>
      </c>
      <c r="GP1022" s="461">
        <v>7.4999999999999997E-2</v>
      </c>
      <c r="GQ1022" s="391">
        <f>GP1022*(EU1022++BL1022)</f>
        <v>0.54073986505694427</v>
      </c>
      <c r="GR1022" s="399"/>
      <c r="GS1022" s="369"/>
      <c r="GT1022" s="399">
        <v>0.02</v>
      </c>
      <c r="GU1022" s="391">
        <f>GT1022*(BL1022+EU1022+EM1022+EV1022+GW1022)</f>
        <v>0.15108124329548886</v>
      </c>
      <c r="GV1022" s="395"/>
      <c r="GW1022" s="391">
        <v>0.1</v>
      </c>
      <c r="GX1022" s="391">
        <f>GW1022+GU1022+GQ1022+GO1022</f>
        <v>1.3325609734093775</v>
      </c>
      <c r="GY1022" s="369"/>
      <c r="GZ1022" s="369"/>
      <c r="HA1022" s="369"/>
      <c r="HB1022" s="369"/>
      <c r="HC1022" s="369"/>
      <c r="HD1022" s="391">
        <v>1200</v>
      </c>
      <c r="HE1022" s="391">
        <v>1000</v>
      </c>
      <c r="HF1022" s="391">
        <f>ROUNDUP(HE1022/HD1022,0)</f>
        <v>1</v>
      </c>
      <c r="HG1022" s="391">
        <v>5</v>
      </c>
      <c r="HH1022" s="391">
        <f>HF1022*HG1022</f>
        <v>5</v>
      </c>
      <c r="HI1022" s="391">
        <v>600</v>
      </c>
      <c r="HJ1022" s="391">
        <f>HH1022*HI1022</f>
        <v>3000</v>
      </c>
      <c r="HK1022" s="399">
        <v>0.14000000000000001</v>
      </c>
      <c r="HL1022" s="391">
        <f>HK1022*HJ1022</f>
        <v>420.00000000000006</v>
      </c>
      <c r="HM1022" s="391">
        <v>2</v>
      </c>
      <c r="HN1022" s="391">
        <f t="shared" si="913"/>
        <v>600000</v>
      </c>
      <c r="HO1022" s="369">
        <f>ROUNDUP((IF(GY1022="carton box",HI1022/HD1022,HJ1022/HN1022)),2)</f>
        <v>0.01</v>
      </c>
      <c r="HP1022" s="391">
        <v>160</v>
      </c>
      <c r="HQ1022" s="391">
        <v>0</v>
      </c>
      <c r="HR1022" s="391">
        <v>0.5</v>
      </c>
      <c r="HS1022" s="391">
        <v>150</v>
      </c>
      <c r="HT1022" s="391">
        <f>HR1022/HS1022</f>
        <v>3.3333333333333335E-3</v>
      </c>
      <c r="HU1022" s="448"/>
      <c r="HV1022" s="391">
        <f>HT1022+HO1022</f>
        <v>1.3333333333333334E-2</v>
      </c>
      <c r="HW1022" s="369"/>
      <c r="HX1022" s="369"/>
      <c r="HY1022" s="369"/>
      <c r="HZ1022" s="369"/>
      <c r="IA1022" s="369"/>
      <c r="IB1022" s="369"/>
      <c r="IC1022" s="369"/>
      <c r="ID1022" s="399"/>
      <c r="IE1022" s="391">
        <v>51</v>
      </c>
      <c r="IF1022" s="391">
        <v>9000</v>
      </c>
      <c r="IG1022" s="391">
        <f>IF1022/(IE1022*HD1022)</f>
        <v>0.14705882352941177</v>
      </c>
    </row>
    <row r="1023" spans="1:241">
      <c r="A1023">
        <v>1006</v>
      </c>
      <c r="C1023" t="s">
        <v>567</v>
      </c>
      <c r="D1023" s="28" t="s">
        <v>3010</v>
      </c>
      <c r="E1023" s="27" t="s">
        <v>3011</v>
      </c>
      <c r="F1023" t="s">
        <v>2444</v>
      </c>
      <c r="G1023" s="27" t="s">
        <v>90</v>
      </c>
      <c r="I1023" s="27" t="s">
        <v>121</v>
      </c>
      <c r="J1023" s="28">
        <v>21205</v>
      </c>
      <c r="K1023" s="27" t="s">
        <v>395</v>
      </c>
    </row>
    <row r="1024" spans="1:241">
      <c r="A1024">
        <v>1007</v>
      </c>
      <c r="C1024" t="s">
        <v>567</v>
      </c>
      <c r="D1024" s="28" t="s">
        <v>3010</v>
      </c>
      <c r="E1024" s="27" t="s">
        <v>3011</v>
      </c>
      <c r="F1024" t="s">
        <v>2444</v>
      </c>
      <c r="G1024" s="27" t="s">
        <v>90</v>
      </c>
      <c r="I1024" s="27" t="s">
        <v>94</v>
      </c>
      <c r="J1024" s="28">
        <v>21160</v>
      </c>
      <c r="K1024" s="27" t="s">
        <v>401</v>
      </c>
    </row>
    <row r="1025" spans="1:241">
      <c r="A1025">
        <v>1008</v>
      </c>
      <c r="C1025" t="s">
        <v>567</v>
      </c>
      <c r="D1025" s="28" t="s">
        <v>3010</v>
      </c>
      <c r="E1025" s="27" t="s">
        <v>3011</v>
      </c>
      <c r="F1025" t="s">
        <v>2444</v>
      </c>
      <c r="G1025" s="27" t="s">
        <v>90</v>
      </c>
      <c r="I1025" s="27" t="s">
        <v>226</v>
      </c>
      <c r="J1025" s="28">
        <v>21557</v>
      </c>
      <c r="K1025" s="27" t="s">
        <v>396</v>
      </c>
    </row>
    <row r="1026" spans="1:241">
      <c r="A1026">
        <v>1009</v>
      </c>
      <c r="B1026" t="s">
        <v>468</v>
      </c>
      <c r="C1026" s="27" t="s">
        <v>4589</v>
      </c>
      <c r="D1026" s="28" t="s">
        <v>3012</v>
      </c>
      <c r="E1026" s="27" t="s">
        <v>3013</v>
      </c>
      <c r="F1026" t="s">
        <v>4588</v>
      </c>
      <c r="G1026" s="27" t="s">
        <v>90</v>
      </c>
      <c r="H1026" t="s">
        <v>4584</v>
      </c>
      <c r="I1026" s="27" t="s">
        <v>226</v>
      </c>
      <c r="J1026" s="28">
        <v>21355</v>
      </c>
      <c r="K1026" s="27" t="s">
        <v>4504</v>
      </c>
    </row>
    <row r="1027" spans="1:241">
      <c r="A1027">
        <v>1010</v>
      </c>
      <c r="B1027" t="s">
        <v>468</v>
      </c>
      <c r="C1027" s="27" t="s">
        <v>4590</v>
      </c>
      <c r="D1027" s="28" t="s">
        <v>3012</v>
      </c>
      <c r="E1027" s="27" t="s">
        <v>3013</v>
      </c>
      <c r="F1027" t="s">
        <v>4588</v>
      </c>
      <c r="G1027" s="27" t="s">
        <v>90</v>
      </c>
      <c r="H1027" t="s">
        <v>4585</v>
      </c>
      <c r="I1027" s="27" t="s">
        <v>226</v>
      </c>
      <c r="J1027" s="28">
        <v>21708</v>
      </c>
      <c r="K1027" s="27" t="s">
        <v>4509</v>
      </c>
    </row>
    <row r="1028" spans="1:241">
      <c r="A1028">
        <v>1011</v>
      </c>
      <c r="B1028" t="s">
        <v>468</v>
      </c>
      <c r="C1028" s="27" t="s">
        <v>4591</v>
      </c>
      <c r="D1028" s="28" t="s">
        <v>3014</v>
      </c>
      <c r="E1028" s="27" t="s">
        <v>3015</v>
      </c>
      <c r="F1028" t="s">
        <v>4588</v>
      </c>
      <c r="G1028" s="27" t="s">
        <v>90</v>
      </c>
      <c r="H1028" t="s">
        <v>4586</v>
      </c>
      <c r="I1028" s="27" t="s">
        <v>226</v>
      </c>
      <c r="J1028" s="28">
        <v>21355</v>
      </c>
      <c r="K1028" s="27" t="s">
        <v>4504</v>
      </c>
    </row>
    <row r="1029" spans="1:241">
      <c r="A1029">
        <v>1012</v>
      </c>
      <c r="B1029" t="s">
        <v>468</v>
      </c>
      <c r="C1029" s="27" t="s">
        <v>4592</v>
      </c>
      <c r="D1029" s="28" t="s">
        <v>3014</v>
      </c>
      <c r="E1029" s="27" t="s">
        <v>3015</v>
      </c>
      <c r="F1029" t="s">
        <v>4588</v>
      </c>
      <c r="G1029" s="27" t="s">
        <v>90</v>
      </c>
      <c r="H1029" t="s">
        <v>4587</v>
      </c>
      <c r="I1029" s="27" t="s">
        <v>226</v>
      </c>
      <c r="J1029" s="28">
        <v>21708</v>
      </c>
      <c r="K1029" s="27" t="s">
        <v>4509</v>
      </c>
    </row>
    <row r="1030" spans="1:241">
      <c r="A1030">
        <v>1013</v>
      </c>
      <c r="C1030" s="27" t="s">
        <v>567</v>
      </c>
      <c r="D1030" s="28" t="s">
        <v>3016</v>
      </c>
      <c r="E1030" s="27" t="s">
        <v>3017</v>
      </c>
      <c r="F1030" t="s">
        <v>2444</v>
      </c>
      <c r="G1030" s="27" t="s">
        <v>90</v>
      </c>
      <c r="H1030" t="s">
        <v>4593</v>
      </c>
      <c r="I1030" s="27" t="s">
        <v>121</v>
      </c>
      <c r="J1030" s="28">
        <v>21020</v>
      </c>
      <c r="K1030" s="27" t="s">
        <v>403</v>
      </c>
    </row>
    <row r="1031" spans="1:241">
      <c r="A1031">
        <v>1014</v>
      </c>
      <c r="C1031" s="27" t="s">
        <v>567</v>
      </c>
      <c r="D1031" s="28" t="s">
        <v>3016</v>
      </c>
      <c r="E1031" s="27" t="s">
        <v>3017</v>
      </c>
      <c r="F1031" t="s">
        <v>2444</v>
      </c>
      <c r="G1031" s="27" t="s">
        <v>90</v>
      </c>
      <c r="H1031" t="s">
        <v>4552</v>
      </c>
      <c r="I1031" s="27" t="s">
        <v>226</v>
      </c>
      <c r="J1031" s="28">
        <v>21020</v>
      </c>
      <c r="K1031" s="27" t="s">
        <v>403</v>
      </c>
    </row>
    <row r="1032" spans="1:241" ht="30">
      <c r="A1032">
        <v>1015</v>
      </c>
      <c r="B1032" t="s">
        <v>468</v>
      </c>
      <c r="C1032" s="400" t="s">
        <v>4594</v>
      </c>
      <c r="D1032" s="28" t="s">
        <v>3018</v>
      </c>
      <c r="E1032" s="27" t="s">
        <v>3019</v>
      </c>
      <c r="F1032" t="s">
        <v>2182</v>
      </c>
      <c r="G1032" s="27" t="s">
        <v>90</v>
      </c>
      <c r="I1032" s="27" t="s">
        <v>226</v>
      </c>
      <c r="J1032" s="28">
        <v>21405</v>
      </c>
      <c r="K1032" s="27" t="s">
        <v>1239</v>
      </c>
      <c r="L1032" s="390">
        <v>20895</v>
      </c>
      <c r="M1032" s="390" t="s">
        <v>464</v>
      </c>
      <c r="N1032" s="369"/>
      <c r="O1032" s="369"/>
      <c r="P1032" s="369"/>
      <c r="Q1032" s="27" t="s">
        <v>1786</v>
      </c>
      <c r="R1032" s="27" t="s">
        <v>1769</v>
      </c>
      <c r="S1032" s="370">
        <v>43191</v>
      </c>
      <c r="T1032" s="27" t="s">
        <v>4555</v>
      </c>
      <c r="U1032" s="370">
        <v>43191</v>
      </c>
      <c r="V1032" s="369"/>
      <c r="W1032" s="162" t="s">
        <v>4597</v>
      </c>
      <c r="X1032" s="162"/>
      <c r="Y1032" s="162"/>
      <c r="Z1032" s="162"/>
      <c r="AA1032" s="401" t="s">
        <v>4595</v>
      </c>
      <c r="AB1032" s="391">
        <v>110</v>
      </c>
      <c r="AC1032" s="369">
        <v>20</v>
      </c>
      <c r="AD1032" s="390" t="s">
        <v>1819</v>
      </c>
      <c r="AE1032" s="391">
        <f>BA1032+BK1032</f>
        <v>20.927046800000003</v>
      </c>
      <c r="AF1032" s="369"/>
      <c r="AG1032" s="391">
        <f>EU1032+EX1032</f>
        <v>5.5921052631578947</v>
      </c>
      <c r="AH1032" s="369">
        <f t="shared" ref="AH1032:AH1033" si="914">DM1032</f>
        <v>5.4</v>
      </c>
      <c r="AI1032" s="369">
        <f t="shared" ref="AI1032:AI1033" si="915">DO1032</f>
        <v>0</v>
      </c>
      <c r="AJ1032" s="391">
        <f>GW1032</f>
        <v>0.1118421052631579</v>
      </c>
      <c r="AK1032" s="391">
        <f>GU1032</f>
        <v>0.52542010526315797</v>
      </c>
      <c r="AL1032" s="391">
        <f>GS1032</f>
        <v>3.283875657894737</v>
      </c>
      <c r="AM1032" s="391">
        <f>HV1032</f>
        <v>0.10876666666666666</v>
      </c>
      <c r="AN1032" s="391">
        <f>IG1032</f>
        <v>2.3496240601503757</v>
      </c>
      <c r="AO1032" s="369"/>
      <c r="AP1032" s="369"/>
      <c r="AQ1032" s="391">
        <f>SUM(AE1032:AO1032)</f>
        <v>38.298680658395995</v>
      </c>
      <c r="AR1032" s="369">
        <f>IJ1032</f>
        <v>0</v>
      </c>
      <c r="AS1032" s="369">
        <f t="shared" ref="AS1032:AS1033" si="916">EE1032</f>
        <v>0</v>
      </c>
      <c r="AT1032" s="369">
        <v>0</v>
      </c>
      <c r="AU1032" s="391">
        <f>39.19-38.3</f>
        <v>0.89000000000000057</v>
      </c>
      <c r="AV1032" s="391">
        <f t="shared" ref="AV1032:AV1033" si="917">AQ1032+AT1032+AU1032+AR1032+AS1032</f>
        <v>39.188680658395995</v>
      </c>
      <c r="AW1032" s="394">
        <v>0.18799000000000002</v>
      </c>
      <c r="AX1032" s="394">
        <v>0.18799000000000002</v>
      </c>
      <c r="AY1032" s="392">
        <v>1</v>
      </c>
      <c r="AZ1032" s="391">
        <f>(AW1032-AX1032)*AY1032</f>
        <v>0</v>
      </c>
      <c r="BA1032" s="391">
        <f>AW1032*AB1032-AZ1032*AC1032</f>
        <v>20.678900000000002</v>
      </c>
      <c r="BB1032" s="391"/>
      <c r="BC1032" s="391"/>
      <c r="BD1032" s="391"/>
      <c r="BE1032" s="391"/>
      <c r="BF1032" s="391"/>
      <c r="BG1032" s="391"/>
      <c r="BH1032" s="391"/>
      <c r="BI1032" s="391"/>
      <c r="BJ1032" s="393">
        <v>1.2E-2</v>
      </c>
      <c r="BK1032" s="391">
        <f>BJ1032*BA1032</f>
        <v>0.24814680000000003</v>
      </c>
      <c r="BL1032" s="391"/>
      <c r="BM1032" s="369"/>
      <c r="BN1032" s="369"/>
      <c r="BO1032" s="369"/>
      <c r="BP1032" s="369"/>
      <c r="BQ1032" s="369"/>
      <c r="BR1032" s="369"/>
      <c r="BS1032" s="369"/>
      <c r="BT1032" s="369"/>
      <c r="BU1032" s="369"/>
      <c r="BV1032" s="369"/>
      <c r="BW1032" s="369"/>
      <c r="BX1032" s="369"/>
      <c r="BY1032" s="369"/>
      <c r="BZ1032" s="369"/>
      <c r="CA1032" s="369"/>
      <c r="CB1032" s="369"/>
      <c r="CC1032" s="369"/>
      <c r="CD1032" s="369"/>
      <c r="CE1032" s="369">
        <v>0</v>
      </c>
      <c r="CF1032" s="369">
        <v>3</v>
      </c>
      <c r="CG1032" s="369">
        <v>1.8</v>
      </c>
      <c r="CH1032" s="391">
        <f>CF1032*CG1032</f>
        <v>5.4</v>
      </c>
      <c r="CI1032" s="369"/>
      <c r="CJ1032" s="369"/>
      <c r="CK1032" s="369"/>
      <c r="CL1032" s="369"/>
      <c r="CM1032" s="369"/>
      <c r="CN1032" s="369"/>
      <c r="CO1032" s="369"/>
      <c r="CP1032" s="369"/>
      <c r="CQ1032" s="369"/>
      <c r="CR1032" s="369"/>
      <c r="CS1032" s="369"/>
      <c r="CT1032" s="369"/>
      <c r="CU1032" s="369"/>
      <c r="CV1032" s="369"/>
      <c r="CW1032" s="369"/>
      <c r="CX1032" s="369"/>
      <c r="CY1032" s="369"/>
      <c r="CZ1032" s="369"/>
      <c r="DA1032" s="369"/>
      <c r="DB1032" s="369"/>
      <c r="DC1032" s="369"/>
      <c r="DD1032" s="369"/>
      <c r="DE1032" s="369"/>
      <c r="DF1032" s="369"/>
      <c r="DG1032" s="369"/>
      <c r="DH1032" s="369"/>
      <c r="DI1032" s="369"/>
      <c r="DJ1032" s="369"/>
      <c r="DK1032" s="369"/>
      <c r="DL1032" s="369"/>
      <c r="DM1032" s="391">
        <f>CH1032+CM1032+CR1032+CW1032+DB1032+DG1032+DL1032</f>
        <v>5.4</v>
      </c>
      <c r="DN1032" s="369"/>
      <c r="DO1032" s="369"/>
      <c r="DP1032" s="391">
        <f>DM1032+DO1032</f>
        <v>5.4</v>
      </c>
      <c r="DQ1032" s="369"/>
      <c r="DR1032" s="369"/>
      <c r="DS1032" s="369"/>
      <c r="DT1032" s="369"/>
      <c r="DU1032" s="369"/>
      <c r="DV1032" s="369"/>
      <c r="DW1032" s="369"/>
      <c r="DX1032" s="369"/>
      <c r="DY1032" s="369"/>
      <c r="DZ1032" s="369"/>
      <c r="EA1032" s="369"/>
      <c r="EB1032" s="369"/>
      <c r="EC1032" s="369"/>
      <c r="ED1032" s="369"/>
      <c r="EE1032" s="369"/>
      <c r="EF1032" s="369">
        <v>180</v>
      </c>
      <c r="EG1032" s="369">
        <v>1800</v>
      </c>
      <c r="EH1032" s="369">
        <v>8</v>
      </c>
      <c r="EI1032" s="395">
        <v>0.95</v>
      </c>
      <c r="EJ1032" s="369">
        <v>1</v>
      </c>
      <c r="EK1032" s="369">
        <v>85</v>
      </c>
      <c r="EL1032" s="396">
        <f t="shared" ref="EL1032:EL1033" si="918">3600/EK1032*EH1032*EJ1032*EI1032</f>
        <v>321.88235294117646</v>
      </c>
      <c r="EM1032" s="369"/>
      <c r="EN1032" s="369"/>
      <c r="EO1032" s="369"/>
      <c r="EP1032" s="369"/>
      <c r="EQ1032" s="369"/>
      <c r="ER1032" s="369"/>
      <c r="ES1032" s="369"/>
      <c r="ET1032" s="369"/>
      <c r="EU1032" s="391">
        <f>(EG1032/EL1032+EM1032+EX1032+EP1032+EQ1032+ER1032+EO1032)</f>
        <v>5.5921052631578947</v>
      </c>
      <c r="EV1032" s="369"/>
      <c r="EW1032" s="369"/>
      <c r="EX1032" s="369"/>
      <c r="EY1032" s="369"/>
      <c r="EZ1032" s="369"/>
      <c r="FA1032" s="369"/>
      <c r="FB1032" s="369"/>
      <c r="FC1032" s="369"/>
      <c r="FD1032" s="369"/>
      <c r="FE1032" s="369"/>
      <c r="FF1032" s="369"/>
      <c r="FG1032" s="369"/>
      <c r="FH1032" s="369"/>
      <c r="FI1032" s="369"/>
      <c r="FJ1032" s="369"/>
      <c r="FK1032" s="369"/>
      <c r="FL1032" s="369"/>
      <c r="FM1032" s="369"/>
      <c r="FN1032" s="369"/>
      <c r="FO1032" s="369"/>
      <c r="FP1032" s="369"/>
      <c r="FQ1032" s="369"/>
      <c r="FR1032" s="369"/>
      <c r="FS1032" s="369"/>
      <c r="FT1032" s="369"/>
      <c r="FU1032" s="369"/>
      <c r="FV1032" s="369"/>
      <c r="FW1032" s="369"/>
      <c r="FX1032" s="369"/>
      <c r="FY1032" s="369"/>
      <c r="FZ1032" s="369"/>
      <c r="GA1032" s="369"/>
      <c r="GB1032" s="369"/>
      <c r="GC1032" s="369"/>
      <c r="GD1032" s="369"/>
      <c r="GE1032" s="369"/>
      <c r="GF1032" s="369"/>
      <c r="GG1032" s="369"/>
      <c r="GH1032" s="369"/>
      <c r="GI1032" s="369"/>
      <c r="GJ1032" s="369"/>
      <c r="GK1032" s="369"/>
      <c r="GL1032" s="369"/>
      <c r="GM1032" s="369"/>
      <c r="GN1032" s="369"/>
      <c r="GO1032" s="369"/>
      <c r="GP1032" s="392"/>
      <c r="GQ1032" s="369"/>
      <c r="GR1032" s="395">
        <v>0.125</v>
      </c>
      <c r="GS1032" s="391">
        <f>GR1032*(BA1032+EU1032)</f>
        <v>3.283875657894737</v>
      </c>
      <c r="GT1032" s="393">
        <v>0.02</v>
      </c>
      <c r="GU1032" s="391">
        <f>GT1032*(EU1032+BA1032)</f>
        <v>0.52542010526315797</v>
      </c>
      <c r="GV1032" s="395">
        <v>0.02</v>
      </c>
      <c r="GW1032" s="391">
        <f>GV1032*(EU1032-EP1032-EQ1032)</f>
        <v>0.1118421052631579</v>
      </c>
      <c r="GX1032" s="391">
        <f>GS1032+GU1032+GW1032</f>
        <v>3.9211378684210527</v>
      </c>
      <c r="GY1032" s="369" t="s">
        <v>43</v>
      </c>
      <c r="GZ1032" s="369" t="s">
        <v>87</v>
      </c>
      <c r="HA1032" s="369">
        <v>800</v>
      </c>
      <c r="HB1032" s="369">
        <v>450</v>
      </c>
      <c r="HC1032" s="369">
        <v>400</v>
      </c>
      <c r="HD1032" s="369">
        <v>63</v>
      </c>
      <c r="HE1032" s="369">
        <v>1000</v>
      </c>
      <c r="HF1032" s="391">
        <f>ROUNDUP(HE1032/HD1032,0)</f>
        <v>16</v>
      </c>
      <c r="HG1032" s="369">
        <v>5</v>
      </c>
      <c r="HH1032" s="391">
        <f>HF1032*HG1032</f>
        <v>80</v>
      </c>
      <c r="HI1032" s="369">
        <v>650</v>
      </c>
      <c r="HJ1032" s="391">
        <f>HH1032*HI1032</f>
        <v>52000</v>
      </c>
      <c r="HK1032" s="393">
        <v>0.1275</v>
      </c>
      <c r="HL1032" s="391">
        <f>HJ1032+(HJ1032*HK1032*2)</f>
        <v>65260</v>
      </c>
      <c r="HM1032" s="369">
        <v>2</v>
      </c>
      <c r="HN1032" s="396">
        <f t="shared" ref="HN1032:HN1033" si="919">HM1032*12*25*HE1032</f>
        <v>600000</v>
      </c>
      <c r="HO1032" s="391">
        <f>HL1032/HN1032</f>
        <v>0.10876666666666666</v>
      </c>
      <c r="HP1032" s="369"/>
      <c r="HQ1032" s="369"/>
      <c r="HR1032" s="369"/>
      <c r="HS1032" s="369"/>
      <c r="HT1032" s="369"/>
      <c r="HU1032" s="369"/>
      <c r="HV1032" s="391">
        <f>HO1032+HT1032</f>
        <v>0.10876666666666666</v>
      </c>
      <c r="HW1032" s="369"/>
      <c r="HX1032" s="369">
        <v>5016</v>
      </c>
      <c r="HY1032" s="369">
        <v>1976</v>
      </c>
      <c r="HZ1032" s="369">
        <v>1976</v>
      </c>
      <c r="IA1032" s="391">
        <f t="shared" ref="IA1032:IC1033" si="920">ROUNDDOWN(HX1032/HA1032,0)</f>
        <v>6</v>
      </c>
      <c r="IB1032" s="391">
        <f t="shared" si="920"/>
        <v>4</v>
      </c>
      <c r="IC1032" s="391">
        <f t="shared" si="920"/>
        <v>4</v>
      </c>
      <c r="ID1032" s="395">
        <v>0.95</v>
      </c>
      <c r="IE1032" s="391">
        <f>ROUNDUP(PRODUCT(IA1032:ID1032),2)</f>
        <v>91.2</v>
      </c>
      <c r="IF1032" s="369">
        <v>13500</v>
      </c>
      <c r="IG1032" s="394">
        <f>(IF1032/(IE1032*HD1032))</f>
        <v>2.3496240601503757</v>
      </c>
    </row>
    <row r="1033" spans="1:241">
      <c r="A1033">
        <v>1016</v>
      </c>
      <c r="B1033" t="s">
        <v>468</v>
      </c>
      <c r="C1033" s="400" t="s">
        <v>4596</v>
      </c>
      <c r="D1033" s="28" t="s">
        <v>627</v>
      </c>
      <c r="E1033" s="27" t="s">
        <v>628</v>
      </c>
      <c r="F1033" t="s">
        <v>2182</v>
      </c>
      <c r="G1033" s="27" t="s">
        <v>90</v>
      </c>
      <c r="I1033" s="27" t="s">
        <v>226</v>
      </c>
      <c r="J1033" s="28">
        <v>29164</v>
      </c>
      <c r="K1033" s="27" t="s">
        <v>229</v>
      </c>
      <c r="L1033" s="371"/>
      <c r="M1033" s="369"/>
      <c r="N1033" s="369"/>
      <c r="O1033" s="369"/>
      <c r="P1033" s="369"/>
      <c r="Q1033" s="27" t="s">
        <v>1782</v>
      </c>
      <c r="R1033" s="27" t="s">
        <v>1778</v>
      </c>
      <c r="S1033" s="370">
        <v>44256</v>
      </c>
      <c r="T1033" s="27" t="s">
        <v>4555</v>
      </c>
      <c r="U1033" s="370">
        <v>44249</v>
      </c>
      <c r="V1033" s="369"/>
      <c r="W1033" s="27" t="s">
        <v>4598</v>
      </c>
      <c r="X1033" s="27"/>
      <c r="Y1033" s="27"/>
      <c r="Z1033" s="27"/>
      <c r="AA1033" s="390" t="s">
        <v>4599</v>
      </c>
      <c r="AB1033" s="391">
        <v>181.7</v>
      </c>
      <c r="AC1033" s="369">
        <v>20</v>
      </c>
      <c r="AD1033" s="390" t="s">
        <v>596</v>
      </c>
      <c r="AE1033" s="391">
        <f t="shared" ref="AE1033" si="921">BA1033</f>
        <v>7.4297000000000004</v>
      </c>
      <c r="AF1033" s="369"/>
      <c r="AG1033" s="391">
        <f>EU1033+EX1033</f>
        <v>1.3706140350877194</v>
      </c>
      <c r="AH1033" s="369">
        <f t="shared" si="914"/>
        <v>0</v>
      </c>
      <c r="AI1033" s="369">
        <f t="shared" si="915"/>
        <v>0</v>
      </c>
      <c r="AJ1033" s="394">
        <f>GW1033</f>
        <v>2.7412280701754388E-2</v>
      </c>
      <c r="AK1033" s="391">
        <f>GU1033</f>
        <v>0.11000392543859649</v>
      </c>
      <c r="AL1033" s="391">
        <f>GS1033</f>
        <v>0.96803454385964915</v>
      </c>
      <c r="AM1033" s="394">
        <f>HV1033</f>
        <v>3.6037037037037034E-2</v>
      </c>
      <c r="AN1033" s="394">
        <f>IG1033</f>
        <v>1.1574074074074073E-2</v>
      </c>
      <c r="AO1033" s="369"/>
      <c r="AP1033" s="369"/>
      <c r="AQ1033" s="391">
        <f>SUM(AE1033:AO1033)</f>
        <v>9.9533758961988301</v>
      </c>
      <c r="AR1033" s="369"/>
      <c r="AS1033" s="369">
        <f t="shared" si="916"/>
        <v>0</v>
      </c>
      <c r="AT1033" s="369">
        <v>0</v>
      </c>
      <c r="AU1033" s="402">
        <f>9.95*3%</f>
        <v>0.29849999999999999</v>
      </c>
      <c r="AV1033" s="391">
        <f t="shared" si="917"/>
        <v>10.251875896198831</v>
      </c>
      <c r="AW1033" s="369">
        <v>4.1000000000000002E-2</v>
      </c>
      <c r="AX1033" s="369">
        <v>0.04</v>
      </c>
      <c r="AY1033" s="392">
        <v>1</v>
      </c>
      <c r="AZ1033" s="391">
        <f>(AW1033-AX1033)*AY1033</f>
        <v>1.0000000000000009E-3</v>
      </c>
      <c r="BA1033" s="391">
        <f>AW1033*AB1033-AZ1033*AC1033</f>
        <v>7.4297000000000004</v>
      </c>
      <c r="BB1033" s="391"/>
      <c r="BC1033" s="391"/>
      <c r="BD1033" s="391"/>
      <c r="BE1033" s="391"/>
      <c r="BF1033" s="391"/>
      <c r="BG1033" s="391"/>
      <c r="BH1033" s="391"/>
      <c r="BI1033" s="391"/>
      <c r="BJ1033" s="391"/>
      <c r="BK1033" s="391"/>
      <c r="BL1033" s="391"/>
      <c r="BM1033" s="369"/>
      <c r="BN1033" s="369"/>
      <c r="BO1033" s="369"/>
      <c r="BP1033" s="369"/>
      <c r="BQ1033" s="369"/>
      <c r="BR1033" s="369"/>
      <c r="BS1033" s="369"/>
      <c r="BT1033" s="369"/>
      <c r="BU1033" s="369"/>
      <c r="BV1033" s="369"/>
      <c r="BW1033" s="369"/>
      <c r="BX1033" s="369"/>
      <c r="BY1033" s="369"/>
      <c r="BZ1033" s="369"/>
      <c r="CA1033" s="369"/>
      <c r="CB1033" s="369"/>
      <c r="CC1033" s="369"/>
      <c r="CD1033" s="369"/>
      <c r="CE1033" s="369"/>
      <c r="CF1033" s="369"/>
      <c r="CG1033" s="369"/>
      <c r="CH1033" s="369"/>
      <c r="CI1033" s="369"/>
      <c r="CJ1033" s="369"/>
      <c r="CK1033" s="369"/>
      <c r="CL1033" s="369"/>
      <c r="CM1033" s="369"/>
      <c r="CN1033" s="369"/>
      <c r="CO1033" s="369"/>
      <c r="CP1033" s="369"/>
      <c r="CQ1033" s="369"/>
      <c r="CR1033" s="369"/>
      <c r="CS1033" s="369"/>
      <c r="CT1033" s="369"/>
      <c r="CU1033" s="369"/>
      <c r="CV1033" s="369"/>
      <c r="CW1033" s="369"/>
      <c r="CX1033" s="369"/>
      <c r="CY1033" s="369"/>
      <c r="CZ1033" s="369"/>
      <c r="DA1033" s="369"/>
      <c r="DB1033" s="369"/>
      <c r="DC1033" s="369"/>
      <c r="DD1033" s="369"/>
      <c r="DE1033" s="369"/>
      <c r="DF1033" s="369"/>
      <c r="DG1033" s="369"/>
      <c r="DH1033" s="369"/>
      <c r="DI1033" s="369"/>
      <c r="DJ1033" s="369"/>
      <c r="DK1033" s="369"/>
      <c r="DL1033" s="369"/>
      <c r="DM1033" s="369"/>
      <c r="DN1033" s="369"/>
      <c r="DO1033" s="369"/>
      <c r="DP1033" s="369"/>
      <c r="DQ1033" s="369"/>
      <c r="DR1033" s="369"/>
      <c r="DS1033" s="369"/>
      <c r="DT1033" s="369"/>
      <c r="DU1033" s="369"/>
      <c r="DV1033" s="369"/>
      <c r="DW1033" s="369"/>
      <c r="DX1033" s="369"/>
      <c r="DY1033" s="369"/>
      <c r="DZ1033" s="369"/>
      <c r="EA1033" s="369"/>
      <c r="EB1033" s="369"/>
      <c r="EC1033" s="369"/>
      <c r="ED1033" s="369"/>
      <c r="EE1033" s="369"/>
      <c r="EF1033" s="369">
        <v>150</v>
      </c>
      <c r="EG1033" s="369">
        <v>1500</v>
      </c>
      <c r="EH1033" s="369">
        <v>8</v>
      </c>
      <c r="EI1033" s="395">
        <v>0.95</v>
      </c>
      <c r="EJ1033" s="369">
        <v>2</v>
      </c>
      <c r="EK1033" s="369">
        <v>50</v>
      </c>
      <c r="EL1033" s="396">
        <f t="shared" si="918"/>
        <v>1094.3999999999999</v>
      </c>
      <c r="EM1033" s="369"/>
      <c r="EN1033" s="369"/>
      <c r="EO1033" s="369"/>
      <c r="EP1033" s="369"/>
      <c r="EQ1033" s="369"/>
      <c r="ER1033" s="369"/>
      <c r="ES1033" s="369"/>
      <c r="ET1033" s="369"/>
      <c r="EU1033" s="391">
        <f>(EG1033/EL1033+EM1033+EX1033+EP1033+EQ1033+ER1033+EO1033)</f>
        <v>1.3706140350877194</v>
      </c>
      <c r="EV1033" s="369"/>
      <c r="EW1033" s="369"/>
      <c r="EX1033" s="369"/>
      <c r="EY1033" s="369"/>
      <c r="EZ1033" s="369"/>
      <c r="FA1033" s="369"/>
      <c r="FB1033" s="369"/>
      <c r="FC1033" s="369"/>
      <c r="FD1033" s="369"/>
      <c r="FE1033" s="369"/>
      <c r="FF1033" s="369"/>
      <c r="FG1033" s="369"/>
      <c r="FH1033" s="369"/>
      <c r="FI1033" s="369"/>
      <c r="FJ1033" s="369"/>
      <c r="FK1033" s="369"/>
      <c r="FL1033" s="369"/>
      <c r="FM1033" s="369"/>
      <c r="FN1033" s="369"/>
      <c r="FO1033" s="369"/>
      <c r="FP1033" s="369"/>
      <c r="FQ1033" s="369"/>
      <c r="FR1033" s="369"/>
      <c r="FS1033" s="369"/>
      <c r="FT1033" s="369"/>
      <c r="FU1033" s="369"/>
      <c r="FV1033" s="369"/>
      <c r="FW1033" s="369"/>
      <c r="FX1033" s="369"/>
      <c r="FY1033" s="369"/>
      <c r="FZ1033" s="369"/>
      <c r="GA1033" s="369"/>
      <c r="GB1033" s="369"/>
      <c r="GC1033" s="369"/>
      <c r="GD1033" s="369"/>
      <c r="GE1033" s="369"/>
      <c r="GF1033" s="369"/>
      <c r="GG1033" s="369"/>
      <c r="GH1033" s="369"/>
      <c r="GI1033" s="369"/>
      <c r="GJ1033" s="369"/>
      <c r="GK1033" s="369"/>
      <c r="GL1033" s="369"/>
      <c r="GM1033" s="369"/>
      <c r="GN1033" s="369"/>
      <c r="GO1033" s="369"/>
      <c r="GP1033" s="392"/>
      <c r="GQ1033" s="369"/>
      <c r="GR1033" s="395">
        <v>0.11</v>
      </c>
      <c r="GS1033" s="391">
        <f>GR1033*(BA1033+EU1033)</f>
        <v>0.96803454385964915</v>
      </c>
      <c r="GT1033" s="393">
        <v>1.2500000000000001E-2</v>
      </c>
      <c r="GU1033" s="391">
        <f>GT1033*(EU1033+BA1033)</f>
        <v>0.11000392543859649</v>
      </c>
      <c r="GV1033" s="395">
        <v>0.02</v>
      </c>
      <c r="GW1033" s="391">
        <f>GV1033*(EU1033-EP1033-EQ1033)</f>
        <v>2.7412280701754388E-2</v>
      </c>
      <c r="GX1033" s="391">
        <f>GS1033+GU1033+GW1033</f>
        <v>1.1054507500000001</v>
      </c>
      <c r="GY1033" s="369" t="s">
        <v>43</v>
      </c>
      <c r="GZ1033" s="369" t="s">
        <v>87</v>
      </c>
      <c r="HA1033" s="369">
        <v>650</v>
      </c>
      <c r="HB1033" s="369">
        <v>450</v>
      </c>
      <c r="HC1033" s="369">
        <v>315</v>
      </c>
      <c r="HD1033" s="369">
        <v>300</v>
      </c>
      <c r="HE1033" s="369">
        <v>600</v>
      </c>
      <c r="HF1033" s="391">
        <f>ROUNDUP(HE1033/HD1033,0)</f>
        <v>2</v>
      </c>
      <c r="HG1033" s="369">
        <v>5</v>
      </c>
      <c r="HH1033" s="391">
        <f>HF1033*HG1033</f>
        <v>10</v>
      </c>
      <c r="HI1033" s="369">
        <v>650</v>
      </c>
      <c r="HJ1033" s="391">
        <f>HH1033*HI1033</f>
        <v>6500</v>
      </c>
      <c r="HK1033" s="369"/>
      <c r="HL1033" s="369"/>
      <c r="HM1033" s="369">
        <v>3</v>
      </c>
      <c r="HN1033" s="396">
        <f t="shared" si="919"/>
        <v>540000</v>
      </c>
      <c r="HO1033" s="394">
        <f>(IF(GY1033="carton box",HI1033/HD1033,HJ1033/HN1033))</f>
        <v>1.2037037037037037E-2</v>
      </c>
      <c r="HP1033" s="369">
        <v>160</v>
      </c>
      <c r="HQ1033" s="369">
        <v>0</v>
      </c>
      <c r="HR1033" s="394">
        <f>2.4/300*3</f>
        <v>2.4E-2</v>
      </c>
      <c r="HS1033" s="369">
        <v>1</v>
      </c>
      <c r="HT1033" s="394">
        <f>IF(ISERROR(HR1033/HS1033),0,HR1033/HS1033)</f>
        <v>2.4E-2</v>
      </c>
      <c r="HU1033" s="394"/>
      <c r="HV1033" s="394">
        <f>(HO1033+HT1033)</f>
        <v>3.6037037037037034E-2</v>
      </c>
      <c r="HW1033" s="369"/>
      <c r="HX1033" s="369">
        <v>4200</v>
      </c>
      <c r="HY1033" s="369">
        <v>1900</v>
      </c>
      <c r="HZ1033" s="369">
        <v>1975</v>
      </c>
      <c r="IA1033" s="391">
        <f t="shared" si="920"/>
        <v>6</v>
      </c>
      <c r="IB1033" s="391">
        <f t="shared" si="920"/>
        <v>4</v>
      </c>
      <c r="IC1033" s="391">
        <f t="shared" si="920"/>
        <v>6</v>
      </c>
      <c r="ID1033" s="395">
        <v>1</v>
      </c>
      <c r="IE1033" s="391">
        <f>PRODUCT(IA1033:ID1033)</f>
        <v>144</v>
      </c>
      <c r="IF1033" s="369">
        <v>500</v>
      </c>
      <c r="IG1033" s="391">
        <f>(IF1033/(IE1033*HD1033))</f>
        <v>1.1574074074074073E-2</v>
      </c>
    </row>
    <row r="1034" spans="1:241">
      <c r="A1034">
        <v>1017</v>
      </c>
      <c r="B1034" t="s">
        <v>468</v>
      </c>
      <c r="C1034" s="370" t="s">
        <v>4955</v>
      </c>
      <c r="D1034" s="28" t="s">
        <v>3020</v>
      </c>
      <c r="E1034" s="27" t="s">
        <v>3021</v>
      </c>
      <c r="F1034" t="s">
        <v>4834</v>
      </c>
      <c r="G1034" s="27" t="s">
        <v>90</v>
      </c>
      <c r="H1034" t="s">
        <v>4956</v>
      </c>
      <c r="I1034" s="27" t="s">
        <v>226</v>
      </c>
      <c r="J1034" s="28">
        <v>21820</v>
      </c>
      <c r="K1034" s="27" t="s">
        <v>408</v>
      </c>
    </row>
    <row r="1035" spans="1:241">
      <c r="A1035">
        <v>1018</v>
      </c>
      <c r="B1035" t="s">
        <v>468</v>
      </c>
      <c r="C1035" s="370" t="s">
        <v>4957</v>
      </c>
      <c r="D1035" s="28" t="s">
        <v>3022</v>
      </c>
      <c r="E1035" s="27" t="s">
        <v>3023</v>
      </c>
      <c r="F1035" t="s">
        <v>4834</v>
      </c>
      <c r="G1035" s="27" t="s">
        <v>90</v>
      </c>
      <c r="H1035" t="s">
        <v>4998</v>
      </c>
      <c r="I1035" s="27" t="s">
        <v>94</v>
      </c>
      <c r="J1035" s="28">
        <v>29148</v>
      </c>
      <c r="K1035" s="27" t="s">
        <v>4510</v>
      </c>
    </row>
    <row r="1036" spans="1:241">
      <c r="A1036">
        <v>1019</v>
      </c>
      <c r="B1036" s="253"/>
      <c r="C1036" s="370" t="s">
        <v>4958</v>
      </c>
      <c r="D1036" s="28" t="s">
        <v>3022</v>
      </c>
      <c r="E1036" s="27" t="s">
        <v>3023</v>
      </c>
      <c r="F1036" t="s">
        <v>2444</v>
      </c>
      <c r="G1036" s="27" t="s">
        <v>90</v>
      </c>
      <c r="I1036" s="27" t="s">
        <v>226</v>
      </c>
      <c r="J1036" s="28">
        <v>21820</v>
      </c>
      <c r="K1036" s="27" t="s">
        <v>408</v>
      </c>
      <c r="L1036" s="450">
        <v>29163</v>
      </c>
      <c r="M1036" s="28" t="s">
        <v>226</v>
      </c>
      <c r="N1036" s="28" t="s">
        <v>4999</v>
      </c>
      <c r="O1036" s="28" t="s">
        <v>1766</v>
      </c>
      <c r="P1036" s="370">
        <v>44686</v>
      </c>
      <c r="Q1036" s="370">
        <v>44683</v>
      </c>
      <c r="R1036" s="370" t="s">
        <v>4555</v>
      </c>
      <c r="S1036" s="370">
        <v>44686</v>
      </c>
      <c r="T1036" s="370" t="s">
        <v>1890</v>
      </c>
      <c r="U1036" s="370" t="s">
        <v>1194</v>
      </c>
      <c r="V1036"/>
      <c r="W1036" s="370" t="s">
        <v>4685</v>
      </c>
    </row>
    <row r="1037" spans="1:241">
      <c r="A1037">
        <v>1020</v>
      </c>
      <c r="B1037" t="s">
        <v>468</v>
      </c>
      <c r="C1037" s="453" t="s">
        <v>4959</v>
      </c>
      <c r="D1037" s="28" t="s">
        <v>3024</v>
      </c>
      <c r="E1037" s="27" t="s">
        <v>3025</v>
      </c>
      <c r="F1037" t="s">
        <v>4853</v>
      </c>
      <c r="G1037" s="27" t="s">
        <v>90</v>
      </c>
      <c r="H1037" t="s">
        <v>4960</v>
      </c>
      <c r="I1037" s="27" t="s">
        <v>226</v>
      </c>
      <c r="J1037" s="28">
        <v>21696</v>
      </c>
      <c r="K1037" s="27" t="s">
        <v>412</v>
      </c>
    </row>
    <row r="1038" spans="1:241">
      <c r="A1038">
        <v>1021</v>
      </c>
      <c r="C1038" s="27" t="s">
        <v>4568</v>
      </c>
      <c r="D1038" s="28" t="s">
        <v>1261</v>
      </c>
      <c r="E1038" s="27" t="s">
        <v>1262</v>
      </c>
      <c r="F1038" t="s">
        <v>2444</v>
      </c>
      <c r="G1038" s="27" t="s">
        <v>90</v>
      </c>
      <c r="I1038" s="27" t="s">
        <v>94</v>
      </c>
      <c r="J1038" s="28">
        <v>29268</v>
      </c>
      <c r="K1038" s="27" t="s">
        <v>229</v>
      </c>
      <c r="L1038" s="28"/>
      <c r="M1038" s="28"/>
      <c r="N1038" s="28" t="s">
        <v>4964</v>
      </c>
      <c r="O1038" s="28" t="s">
        <v>1763</v>
      </c>
      <c r="P1038" s="442">
        <v>44405</v>
      </c>
      <c r="Q1038" s="27"/>
      <c r="R1038" s="27"/>
      <c r="S1038" s="370"/>
      <c r="T1038" s="443"/>
      <c r="U1038" s="370"/>
      <c r="V1038" s="369"/>
      <c r="W1038" s="370" t="s">
        <v>4610</v>
      </c>
    </row>
    <row r="1039" spans="1:241">
      <c r="A1039">
        <v>1022</v>
      </c>
      <c r="B1039" t="s">
        <v>468</v>
      </c>
      <c r="C1039" s="453" t="s">
        <v>4962</v>
      </c>
      <c r="D1039" s="28" t="s">
        <v>1261</v>
      </c>
      <c r="E1039" s="27" t="s">
        <v>1262</v>
      </c>
      <c r="F1039" t="s">
        <v>4853</v>
      </c>
      <c r="G1039" s="27" t="s">
        <v>90</v>
      </c>
      <c r="H1039" t="s">
        <v>4963</v>
      </c>
      <c r="I1039" s="27" t="s">
        <v>94</v>
      </c>
      <c r="J1039" s="28">
        <v>20895</v>
      </c>
      <c r="K1039" s="27" t="s">
        <v>1242</v>
      </c>
      <c r="L1039">
        <v>21405</v>
      </c>
      <c r="M1039" t="s">
        <v>94</v>
      </c>
    </row>
    <row r="1040" spans="1:241">
      <c r="A1040">
        <v>1023</v>
      </c>
      <c r="B1040" t="s">
        <v>468</v>
      </c>
      <c r="C1040" s="27" t="s">
        <v>4602</v>
      </c>
      <c r="D1040" s="28" t="s">
        <v>3026</v>
      </c>
      <c r="E1040" s="27" t="s">
        <v>3027</v>
      </c>
      <c r="F1040" t="s">
        <v>4574</v>
      </c>
      <c r="G1040" s="27" t="s">
        <v>90</v>
      </c>
      <c r="H1040" t="s">
        <v>4600</v>
      </c>
      <c r="I1040" s="27" t="s">
        <v>226</v>
      </c>
      <c r="J1040" s="28">
        <v>21425</v>
      </c>
      <c r="K1040" s="27" t="s">
        <v>406</v>
      </c>
    </row>
    <row r="1041" spans="1:241">
      <c r="A1041">
        <v>1024</v>
      </c>
      <c r="B1041" t="s">
        <v>468</v>
      </c>
      <c r="C1041" s="27" t="s">
        <v>4603</v>
      </c>
      <c r="D1041" s="28" t="s">
        <v>3028</v>
      </c>
      <c r="E1041" s="27" t="s">
        <v>3029</v>
      </c>
      <c r="F1041" t="s">
        <v>4574</v>
      </c>
      <c r="G1041" s="27" t="s">
        <v>90</v>
      </c>
      <c r="H1041" t="s">
        <v>4601</v>
      </c>
      <c r="I1041" s="27" t="s">
        <v>226</v>
      </c>
      <c r="J1041" s="28">
        <v>21425</v>
      </c>
      <c r="K1041" s="27" t="s">
        <v>406</v>
      </c>
    </row>
    <row r="1042" spans="1:241">
      <c r="A1042">
        <v>1025</v>
      </c>
      <c r="B1042" t="s">
        <v>468</v>
      </c>
      <c r="C1042" s="28" t="s">
        <v>4967</v>
      </c>
      <c r="D1042" s="28" t="s">
        <v>3030</v>
      </c>
      <c r="E1042" s="27" t="s">
        <v>355</v>
      </c>
      <c r="F1042" t="s">
        <v>2221</v>
      </c>
      <c r="G1042" s="27" t="s">
        <v>90</v>
      </c>
      <c r="H1042" t="s">
        <v>4965</v>
      </c>
      <c r="I1042" s="27" t="s">
        <v>94</v>
      </c>
      <c r="J1042" s="28">
        <v>21523</v>
      </c>
      <c r="K1042" s="27" t="s">
        <v>411</v>
      </c>
    </row>
    <row r="1043" spans="1:241">
      <c r="A1043">
        <v>1026</v>
      </c>
      <c r="B1043" t="s">
        <v>468</v>
      </c>
      <c r="C1043" s="27" t="s">
        <v>4970</v>
      </c>
      <c r="D1043" s="28" t="s">
        <v>3030</v>
      </c>
      <c r="E1043" s="27" t="s">
        <v>355</v>
      </c>
      <c r="F1043" t="s">
        <v>4574</v>
      </c>
      <c r="G1043" s="27" t="s">
        <v>90</v>
      </c>
      <c r="H1043" t="s">
        <v>4969</v>
      </c>
      <c r="I1043" s="27" t="s">
        <v>94</v>
      </c>
      <c r="J1043" s="28">
        <v>21746</v>
      </c>
      <c r="K1043" s="27" t="s">
        <v>410</v>
      </c>
    </row>
    <row r="1044" spans="1:241">
      <c r="A1044">
        <v>1027</v>
      </c>
      <c r="B1044" t="s">
        <v>468</v>
      </c>
      <c r="C1044" s="28" t="s">
        <v>4967</v>
      </c>
      <c r="D1044" s="28" t="s">
        <v>3030</v>
      </c>
      <c r="E1044" s="27" t="s">
        <v>355</v>
      </c>
      <c r="F1044" t="s">
        <v>2221</v>
      </c>
      <c r="G1044" s="27" t="s">
        <v>90</v>
      </c>
      <c r="H1044" t="s">
        <v>4966</v>
      </c>
      <c r="I1044" s="27" t="s">
        <v>226</v>
      </c>
      <c r="J1044" s="28">
        <v>21541</v>
      </c>
      <c r="K1044" s="27" t="s">
        <v>411</v>
      </c>
    </row>
    <row r="1045" spans="1:241">
      <c r="A1045">
        <v>1028</v>
      </c>
      <c r="B1045" t="s">
        <v>468</v>
      </c>
      <c r="C1045" s="27" t="s">
        <v>4970</v>
      </c>
      <c r="D1045" s="28" t="s">
        <v>3030</v>
      </c>
      <c r="E1045" s="27" t="s">
        <v>355</v>
      </c>
      <c r="F1045" t="s">
        <v>4574</v>
      </c>
      <c r="G1045" s="27" t="s">
        <v>90</v>
      </c>
      <c r="H1045" t="s">
        <v>4968</v>
      </c>
      <c r="I1045" s="27" t="s">
        <v>226</v>
      </c>
      <c r="J1045" s="28">
        <v>21516</v>
      </c>
      <c r="K1045" s="27" t="s">
        <v>410</v>
      </c>
    </row>
    <row r="1046" spans="1:241">
      <c r="A1046">
        <v>1029</v>
      </c>
      <c r="B1046" t="s">
        <v>468</v>
      </c>
      <c r="C1046" s="27" t="s">
        <v>4604</v>
      </c>
      <c r="D1046" s="28" t="s">
        <v>3031</v>
      </c>
      <c r="E1046" s="27" t="s">
        <v>3032</v>
      </c>
      <c r="F1046" t="s">
        <v>4574</v>
      </c>
      <c r="G1046" s="27" t="s">
        <v>90</v>
      </c>
      <c r="H1046" s="27" t="s">
        <v>4605</v>
      </c>
      <c r="I1046" s="27" t="s">
        <v>94</v>
      </c>
      <c r="J1046" s="28">
        <v>21160</v>
      </c>
      <c r="K1046" s="27" t="s">
        <v>401</v>
      </c>
    </row>
    <row r="1047" spans="1:241">
      <c r="A1047">
        <v>1030</v>
      </c>
      <c r="B1047" t="s">
        <v>468</v>
      </c>
      <c r="C1047" s="27" t="s">
        <v>4604</v>
      </c>
      <c r="D1047" s="28" t="s">
        <v>3031</v>
      </c>
      <c r="E1047" s="27" t="s">
        <v>3032</v>
      </c>
      <c r="F1047" t="s">
        <v>4574</v>
      </c>
      <c r="G1047" s="27" t="s">
        <v>90</v>
      </c>
      <c r="H1047" s="27" t="s">
        <v>4606</v>
      </c>
      <c r="I1047" s="27" t="s">
        <v>226</v>
      </c>
      <c r="J1047" s="28">
        <v>21425</v>
      </c>
      <c r="K1047" s="27" t="s">
        <v>406</v>
      </c>
    </row>
    <row r="1048" spans="1:241">
      <c r="A1048">
        <v>1031</v>
      </c>
      <c r="B1048" t="s">
        <v>468</v>
      </c>
      <c r="C1048" s="27" t="s">
        <v>4971</v>
      </c>
      <c r="D1048" s="28" t="s">
        <v>3031</v>
      </c>
      <c r="E1048" s="27" t="s">
        <v>3032</v>
      </c>
      <c r="F1048" t="s">
        <v>4574</v>
      </c>
      <c r="G1048" s="27" t="s">
        <v>90</v>
      </c>
      <c r="H1048" s="27" t="s">
        <v>5000</v>
      </c>
      <c r="I1048" s="27" t="s">
        <v>226</v>
      </c>
      <c r="J1048" s="28">
        <v>21516</v>
      </c>
      <c r="K1048" s="27" t="s">
        <v>410</v>
      </c>
    </row>
    <row r="1049" spans="1:241" ht="25.5">
      <c r="A1049">
        <v>1032</v>
      </c>
      <c r="C1049" s="27" t="s">
        <v>567</v>
      </c>
      <c r="D1049" s="28" t="s">
        <v>3033</v>
      </c>
      <c r="E1049" s="27" t="s">
        <v>3034</v>
      </c>
      <c r="F1049" t="s">
        <v>2444</v>
      </c>
      <c r="G1049" s="27" t="s">
        <v>90</v>
      </c>
      <c r="I1049" s="27" t="s">
        <v>94</v>
      </c>
      <c r="J1049" s="28">
        <v>21190</v>
      </c>
      <c r="K1049" s="27" t="s">
        <v>4506</v>
      </c>
      <c r="L1049" s="371"/>
      <c r="M1049" s="369"/>
      <c r="N1049" s="27" t="s">
        <v>4608</v>
      </c>
      <c r="O1049" s="27" t="s">
        <v>1763</v>
      </c>
      <c r="P1049" s="370">
        <v>44385</v>
      </c>
      <c r="Q1049" s="369"/>
      <c r="R1049" s="369"/>
      <c r="S1049" s="369"/>
      <c r="T1049" s="369"/>
      <c r="U1049" s="369"/>
      <c r="V1049" s="369"/>
      <c r="W1049" s="162" t="s">
        <v>4607</v>
      </c>
    </row>
    <row r="1050" spans="1:241">
      <c r="A1050">
        <v>1033</v>
      </c>
      <c r="B1050" t="s">
        <v>468</v>
      </c>
      <c r="C1050" s="27" t="s">
        <v>4609</v>
      </c>
      <c r="D1050" s="28" t="s">
        <v>3033</v>
      </c>
      <c r="E1050" s="27" t="s">
        <v>3034</v>
      </c>
      <c r="F1050" t="s">
        <v>2444</v>
      </c>
      <c r="G1050" s="27" t="s">
        <v>90</v>
      </c>
      <c r="I1050" s="27" t="s">
        <v>226</v>
      </c>
      <c r="J1050" s="28">
        <v>21545</v>
      </c>
      <c r="K1050" s="27" t="s">
        <v>4507</v>
      </c>
      <c r="L1050" s="27">
        <v>21190</v>
      </c>
      <c r="M1050" s="27" t="s">
        <v>226</v>
      </c>
      <c r="N1050" s="369"/>
      <c r="O1050" s="369"/>
      <c r="P1050" s="369"/>
      <c r="Q1050" s="27" t="s">
        <v>1777</v>
      </c>
      <c r="R1050" s="27" t="s">
        <v>1769</v>
      </c>
      <c r="S1050" s="370">
        <v>43992</v>
      </c>
      <c r="T1050" s="27" t="s">
        <v>4555</v>
      </c>
      <c r="U1050" s="370">
        <v>44008</v>
      </c>
      <c r="V1050" s="369"/>
      <c r="W1050" s="162" t="s">
        <v>4610</v>
      </c>
    </row>
    <row r="1051" spans="1:241">
      <c r="A1051">
        <v>1034</v>
      </c>
      <c r="B1051" t="s">
        <v>468</v>
      </c>
      <c r="C1051" s="27" t="s">
        <v>4613</v>
      </c>
      <c r="D1051" s="28" t="s">
        <v>3035</v>
      </c>
      <c r="E1051" s="27" t="s">
        <v>3036</v>
      </c>
      <c r="F1051" t="s">
        <v>2182</v>
      </c>
      <c r="G1051" s="27" t="s">
        <v>90</v>
      </c>
      <c r="H1051" t="s">
        <v>4611</v>
      </c>
      <c r="I1051" s="27" t="s">
        <v>94</v>
      </c>
      <c r="J1051" s="28">
        <v>21712</v>
      </c>
      <c r="K1051" s="27" t="s">
        <v>400</v>
      </c>
    </row>
    <row r="1052" spans="1:241">
      <c r="A1052">
        <v>1035</v>
      </c>
      <c r="B1052" t="s">
        <v>468</v>
      </c>
      <c r="C1052" s="27" t="s">
        <v>4614</v>
      </c>
      <c r="D1052" s="28" t="s">
        <v>3035</v>
      </c>
      <c r="E1052" s="27" t="s">
        <v>3036</v>
      </c>
      <c r="F1052" t="s">
        <v>2182</v>
      </c>
      <c r="G1052" s="27" t="s">
        <v>90</v>
      </c>
      <c r="H1052" t="s">
        <v>4612</v>
      </c>
      <c r="I1052" s="27" t="s">
        <v>226</v>
      </c>
      <c r="J1052" s="28">
        <v>21628</v>
      </c>
      <c r="K1052" s="27" t="s">
        <v>4502</v>
      </c>
    </row>
    <row r="1053" spans="1:241" ht="51">
      <c r="A1053">
        <v>1036</v>
      </c>
      <c r="B1053" t="s">
        <v>468</v>
      </c>
      <c r="C1053" s="27" t="s">
        <v>4615</v>
      </c>
      <c r="D1053" s="28" t="s">
        <v>3037</v>
      </c>
      <c r="E1053" s="27" t="s">
        <v>144</v>
      </c>
      <c r="F1053" t="s">
        <v>2182</v>
      </c>
      <c r="G1053" s="27" t="s">
        <v>90</v>
      </c>
      <c r="I1053" s="27" t="s">
        <v>226</v>
      </c>
      <c r="J1053" s="28">
        <v>29164</v>
      </c>
      <c r="K1053" s="27" t="s">
        <v>229</v>
      </c>
      <c r="L1053" s="371"/>
      <c r="M1053" s="369"/>
      <c r="N1053" s="369"/>
      <c r="O1053" s="369"/>
      <c r="P1053" s="369"/>
      <c r="Q1053" s="27" t="s">
        <v>1035</v>
      </c>
      <c r="R1053" s="27" t="s">
        <v>1769</v>
      </c>
      <c r="S1053" s="370">
        <v>43191</v>
      </c>
      <c r="T1053" s="27" t="s">
        <v>2841</v>
      </c>
      <c r="U1053" s="369"/>
      <c r="V1053" s="369"/>
      <c r="W1053" s="162" t="s">
        <v>4616</v>
      </c>
      <c r="X1053" s="162"/>
      <c r="Y1053" s="162"/>
      <c r="Z1053" s="162"/>
      <c r="AA1053" s="390" t="s">
        <v>4617</v>
      </c>
      <c r="AB1053" s="391">
        <v>127.5</v>
      </c>
      <c r="AC1053" s="369">
        <v>20</v>
      </c>
      <c r="AD1053" s="390" t="s">
        <v>314</v>
      </c>
      <c r="AE1053" s="391">
        <f t="shared" ref="AE1053:AE1054" si="922">BA1053</f>
        <v>37.517000000000003</v>
      </c>
      <c r="AF1053" s="391"/>
      <c r="AG1053" s="391">
        <f>EU1053+EX1053+EV1053</f>
        <v>12.386222971830605</v>
      </c>
      <c r="AH1053" s="391">
        <f t="shared" ref="AH1053:AH1054" si="923">DM1053</f>
        <v>2.0573999999999999</v>
      </c>
      <c r="AI1053" s="391">
        <f t="shared" ref="AI1053:AI1054" si="924">DO1053</f>
        <v>0</v>
      </c>
      <c r="AJ1053" s="391">
        <f>GW1053</f>
        <v>0.22937583558340108</v>
      </c>
      <c r="AK1053" s="391">
        <f>GU1053</f>
        <v>0.99806445943661215</v>
      </c>
      <c r="AL1053" s="391">
        <f>GS1053</f>
        <v>7.7349995606337441</v>
      </c>
      <c r="AM1053" s="394">
        <f>HV1053</f>
        <v>0.76171875</v>
      </c>
      <c r="AN1053" s="394">
        <f>IG1053</f>
        <v>0.64338235294117652</v>
      </c>
      <c r="AO1053" s="391"/>
      <c r="AP1053" s="391"/>
      <c r="AQ1053" s="391">
        <f>SUM(AE1053:AO1053)</f>
        <v>62.328163930425546</v>
      </c>
      <c r="AR1053" s="391"/>
      <c r="AS1053" s="391">
        <f t="shared" ref="AS1053:AS1054" si="925">EE1053</f>
        <v>0</v>
      </c>
      <c r="AT1053" s="391">
        <f>61.48-62.73</f>
        <v>-1.25</v>
      </c>
      <c r="AU1053" s="391">
        <f>62.73-62.33</f>
        <v>0.39999999999999858</v>
      </c>
      <c r="AV1053" s="391">
        <f t="shared" ref="AV1053:AV1054" si="926">AQ1053+AT1053+AU1053+AR1053+AS1053</f>
        <v>61.478163930425545</v>
      </c>
      <c r="AW1053" s="394">
        <v>0.29559999999999997</v>
      </c>
      <c r="AX1053" s="394">
        <f>(292.4-(3*1.8))/1000</f>
        <v>0.28699999999999998</v>
      </c>
      <c r="AY1053" s="392">
        <v>1</v>
      </c>
      <c r="AZ1053" s="391">
        <f>(AW1053-AX1053)*AY1053</f>
        <v>8.5999999999999965E-3</v>
      </c>
      <c r="BA1053" s="391">
        <f>AW1053*AB1053-AZ1053*AC1053</f>
        <v>37.517000000000003</v>
      </c>
      <c r="BB1053" s="391"/>
      <c r="BC1053" s="391"/>
      <c r="BD1053" s="391"/>
      <c r="BE1053" s="391"/>
      <c r="BF1053" s="391"/>
      <c r="BG1053" s="391"/>
      <c r="BH1053" s="391"/>
      <c r="BI1053" s="391"/>
      <c r="BJ1053" s="369"/>
      <c r="BK1053" s="369"/>
      <c r="BL1053" s="369"/>
      <c r="BM1053" s="369"/>
      <c r="BN1053" s="369"/>
      <c r="BO1053" s="369"/>
      <c r="BP1053" s="369"/>
      <c r="BQ1053" s="369"/>
      <c r="BR1053" s="369"/>
      <c r="BS1053" s="369"/>
      <c r="BT1053" s="369"/>
      <c r="BU1053" s="369"/>
      <c r="BV1053" s="369"/>
      <c r="BW1053" s="369"/>
      <c r="BX1053" s="369"/>
      <c r="BY1053" s="369"/>
      <c r="BZ1053" s="369"/>
      <c r="CA1053" s="369"/>
      <c r="CB1053" s="369"/>
      <c r="CC1053" s="369"/>
      <c r="CD1053" s="369"/>
      <c r="CE1053" s="369">
        <v>0</v>
      </c>
      <c r="CF1053" s="369">
        <v>3</v>
      </c>
      <c r="CG1053" s="391">
        <f>0.6858</f>
        <v>0.68579999999999997</v>
      </c>
      <c r="CH1053" s="391">
        <f>CF1053*CG1053</f>
        <v>2.0573999999999999</v>
      </c>
      <c r="CI1053" s="369"/>
      <c r="CJ1053" s="369"/>
      <c r="CK1053" s="369"/>
      <c r="CL1053" s="369"/>
      <c r="CM1053" s="369"/>
      <c r="CN1053" s="369"/>
      <c r="CO1053" s="369"/>
      <c r="CP1053" s="369"/>
      <c r="CQ1053" s="369"/>
      <c r="CR1053" s="369"/>
      <c r="CS1053" s="369"/>
      <c r="CT1053" s="369"/>
      <c r="CU1053" s="369"/>
      <c r="CV1053" s="369"/>
      <c r="CW1053" s="369"/>
      <c r="CX1053" s="369"/>
      <c r="CY1053" s="369"/>
      <c r="CZ1053" s="369"/>
      <c r="DA1053" s="369"/>
      <c r="DB1053" s="369"/>
      <c r="DC1053" s="369"/>
      <c r="DD1053" s="369"/>
      <c r="DE1053" s="369"/>
      <c r="DF1053" s="369"/>
      <c r="DG1053" s="369"/>
      <c r="DH1053" s="369"/>
      <c r="DI1053" s="369"/>
      <c r="DJ1053" s="369"/>
      <c r="DK1053" s="369"/>
      <c r="DL1053" s="369"/>
      <c r="DM1053" s="391">
        <f>CH1053+CM1053+CR1053+CW1053+DB1053+DG1053+DL1053</f>
        <v>2.0573999999999999</v>
      </c>
      <c r="DN1053" s="403"/>
      <c r="DO1053" s="391">
        <f>DM1053*DN1053</f>
        <v>0</v>
      </c>
      <c r="DP1053" s="391">
        <f>DM1053+DO1053</f>
        <v>2.0573999999999999</v>
      </c>
      <c r="DQ1053" s="369"/>
      <c r="DR1053" s="369"/>
      <c r="DS1053" s="369"/>
      <c r="DT1053" s="369"/>
      <c r="DU1053" s="369"/>
      <c r="DV1053" s="369"/>
      <c r="DW1053" s="369"/>
      <c r="DX1053" s="369"/>
      <c r="DY1053" s="369"/>
      <c r="DZ1053" s="369"/>
      <c r="EA1053" s="369"/>
      <c r="EB1053" s="369"/>
      <c r="EC1053" s="369"/>
      <c r="ED1053" s="369"/>
      <c r="EE1053" s="369"/>
      <c r="EF1053" s="369">
        <v>350</v>
      </c>
      <c r="EG1053" s="369">
        <v>4375</v>
      </c>
      <c r="EH1053" s="369">
        <v>7.25</v>
      </c>
      <c r="EI1053" s="395">
        <v>0.95</v>
      </c>
      <c r="EJ1053" s="369">
        <v>1</v>
      </c>
      <c r="EK1053" s="369">
        <v>65</v>
      </c>
      <c r="EL1053" s="402">
        <f>ROUNDUP(3600/EK1053*EH1053*EJ1053*EI1053,2)</f>
        <v>381.46999999999997</v>
      </c>
      <c r="EM1053" s="369"/>
      <c r="EN1053" s="369"/>
      <c r="EO1053" s="369"/>
      <c r="EP1053" s="369"/>
      <c r="EQ1053" s="369"/>
      <c r="ER1053" s="369"/>
      <c r="ES1053" s="369"/>
      <c r="ET1053" s="369"/>
      <c r="EU1053" s="391">
        <f>(EG1053/EL1053+EM1053+EX1053+EP1053+EQ1053+ER1053+EO1053)</f>
        <v>11.468791779170054</v>
      </c>
      <c r="EV1053" s="391">
        <v>0.91743119266055051</v>
      </c>
      <c r="EW1053" s="391"/>
      <c r="EX1053" s="369"/>
      <c r="EY1053" s="369"/>
      <c r="EZ1053" s="369"/>
      <c r="FA1053" s="369"/>
      <c r="FB1053" s="369"/>
      <c r="FC1053" s="369"/>
      <c r="FD1053" s="369"/>
      <c r="FE1053" s="369"/>
      <c r="FF1053" s="369"/>
      <c r="FG1053" s="369"/>
      <c r="FH1053" s="369"/>
      <c r="FI1053" s="369"/>
      <c r="FJ1053" s="369"/>
      <c r="FK1053" s="369"/>
      <c r="FL1053" s="369"/>
      <c r="FM1053" s="369"/>
      <c r="FN1053" s="369"/>
      <c r="FO1053" s="369"/>
      <c r="FP1053" s="369"/>
      <c r="FQ1053" s="369"/>
      <c r="FR1053" s="369"/>
      <c r="FS1053" s="369"/>
      <c r="FT1053" s="369"/>
      <c r="FU1053" s="369"/>
      <c r="FV1053" s="369"/>
      <c r="FW1053" s="369"/>
      <c r="FX1053" s="369"/>
      <c r="FY1053" s="369"/>
      <c r="FZ1053" s="369"/>
      <c r="GA1053" s="369"/>
      <c r="GB1053" s="369"/>
      <c r="GC1053" s="369"/>
      <c r="GD1053" s="369"/>
      <c r="GE1053" s="369"/>
      <c r="GF1053" s="369"/>
      <c r="GG1053" s="369"/>
      <c r="GH1053" s="369"/>
      <c r="GI1053" s="369"/>
      <c r="GJ1053" s="369"/>
      <c r="GK1053" s="369"/>
      <c r="GL1053" s="369"/>
      <c r="GM1053" s="369"/>
      <c r="GN1053" s="369"/>
      <c r="GO1053" s="369"/>
      <c r="GP1053" s="392"/>
      <c r="GQ1053" s="369"/>
      <c r="GR1053" s="395">
        <v>0.155</v>
      </c>
      <c r="GS1053" s="391">
        <f>GR1053*(BA1053+EU1053+EV1053)</f>
        <v>7.7349995606337441</v>
      </c>
      <c r="GT1053" s="393">
        <v>0.02</v>
      </c>
      <c r="GU1053" s="391">
        <f>GT1053*(EU1053+BA1053+EV1053)</f>
        <v>0.99806445943661215</v>
      </c>
      <c r="GV1053" s="395">
        <v>0.02</v>
      </c>
      <c r="GW1053" s="391">
        <f>GV1053*(EU1053-EP1053-EQ1053)</f>
        <v>0.22937583558340108</v>
      </c>
      <c r="GX1053" s="391">
        <f>GS1053+GU1053+GW1053</f>
        <v>8.9624398556537574</v>
      </c>
      <c r="GY1053" s="369"/>
      <c r="GZ1053" s="369"/>
      <c r="HA1053" s="369"/>
      <c r="HB1053" s="369"/>
      <c r="HC1053" s="369"/>
      <c r="HD1053" s="369">
        <v>8</v>
      </c>
      <c r="HE1053" s="369">
        <v>600</v>
      </c>
      <c r="HF1053" s="391">
        <f>ROUNDUP(HE1053/HD1053,0)</f>
        <v>75</v>
      </c>
      <c r="HG1053" s="369">
        <v>5</v>
      </c>
      <c r="HH1053" s="391">
        <f>HF1053*HG1053</f>
        <v>375</v>
      </c>
      <c r="HI1053" s="396">
        <v>731.25</v>
      </c>
      <c r="HJ1053" s="396">
        <f>HH1053*HI1053</f>
        <v>274218.75</v>
      </c>
      <c r="HK1053" s="393">
        <v>0.125</v>
      </c>
      <c r="HL1053" s="396">
        <f>HJ1053*(HK1053+1)</f>
        <v>308496.09375</v>
      </c>
      <c r="HM1053" s="369">
        <v>2</v>
      </c>
      <c r="HN1053" s="396">
        <f t="shared" ref="HN1053:HN1054" si="927">HM1053*12*25*HE1053</f>
        <v>360000</v>
      </c>
      <c r="HO1053" s="391">
        <f>(IF(GY1053="carton box",HI1053/HD1053,HJ1053/HN1053))</f>
        <v>0.76171875</v>
      </c>
      <c r="HP1053" s="369"/>
      <c r="HQ1053" s="369"/>
      <c r="HR1053" s="369"/>
      <c r="HS1053" s="369"/>
      <c r="HT1053" s="369"/>
      <c r="HU1053" s="369"/>
      <c r="HV1053" s="391">
        <f>(HO1053+HT1053)</f>
        <v>0.76171875</v>
      </c>
      <c r="HW1053" s="369"/>
      <c r="HX1053" s="369"/>
      <c r="HY1053" s="369"/>
      <c r="HZ1053" s="369"/>
      <c r="IA1053" s="369"/>
      <c r="IB1053" s="369"/>
      <c r="IC1053" s="369"/>
      <c r="ID1053" s="369"/>
      <c r="IE1053" s="369">
        <v>136</v>
      </c>
      <c r="IF1053" s="369">
        <v>700</v>
      </c>
      <c r="IG1053" s="391">
        <f>(IF1053/(IE1053*HD1053))</f>
        <v>0.64338235294117652</v>
      </c>
    </row>
    <row r="1054" spans="1:241" ht="25.5">
      <c r="A1054">
        <v>1037</v>
      </c>
      <c r="B1054" t="s">
        <v>468</v>
      </c>
      <c r="C1054" s="27" t="s">
        <v>4618</v>
      </c>
      <c r="D1054" s="28" t="s">
        <v>3038</v>
      </c>
      <c r="E1054" s="27" t="s">
        <v>146</v>
      </c>
      <c r="F1054" t="s">
        <v>2182</v>
      </c>
      <c r="G1054" s="27" t="s">
        <v>90</v>
      </c>
      <c r="I1054" s="27" t="s">
        <v>226</v>
      </c>
      <c r="J1054" s="28">
        <v>29164</v>
      </c>
      <c r="K1054" s="27" t="s">
        <v>229</v>
      </c>
      <c r="L1054" s="371"/>
      <c r="M1054" s="369"/>
      <c r="N1054" s="369"/>
      <c r="O1054" s="369"/>
      <c r="P1054" s="369"/>
      <c r="Q1054" s="27" t="s">
        <v>1035</v>
      </c>
      <c r="R1054" s="27" t="s">
        <v>1769</v>
      </c>
      <c r="S1054" s="370">
        <v>43191</v>
      </c>
      <c r="T1054" s="27" t="s">
        <v>4555</v>
      </c>
      <c r="U1054" s="370">
        <v>43192</v>
      </c>
      <c r="V1054" s="369"/>
      <c r="W1054" s="162" t="s">
        <v>4619</v>
      </c>
      <c r="X1054" s="162"/>
      <c r="Y1054" s="162"/>
      <c r="Z1054" s="162"/>
      <c r="AA1054" s="390" t="s">
        <v>4617</v>
      </c>
      <c r="AB1054" s="391">
        <v>127.5</v>
      </c>
      <c r="AC1054" s="369">
        <v>20</v>
      </c>
      <c r="AD1054" s="390" t="s">
        <v>314</v>
      </c>
      <c r="AE1054" s="391">
        <f t="shared" si="922"/>
        <v>12.903</v>
      </c>
      <c r="AF1054" s="391"/>
      <c r="AG1054" s="391">
        <f>EU1054+EX1054+EV1054</f>
        <v>9.4169244506391969</v>
      </c>
      <c r="AH1054" s="391">
        <f t="shared" si="923"/>
        <v>0</v>
      </c>
      <c r="AI1054" s="391">
        <f t="shared" si="924"/>
        <v>0</v>
      </c>
      <c r="AJ1054" s="391">
        <f>GW1054</f>
        <v>0.17313848901278395</v>
      </c>
      <c r="AK1054" s="391">
        <f>GU1054</f>
        <v>0.44639848901278401</v>
      </c>
      <c r="AL1054" s="391">
        <f>GS1054</f>
        <v>3.459588289849076</v>
      </c>
      <c r="AM1054" s="394">
        <f>HV1054</f>
        <v>0.28000000000000003</v>
      </c>
      <c r="AN1054" s="394">
        <f>IG1054</f>
        <v>0.17156862745098039</v>
      </c>
      <c r="AO1054" s="391"/>
      <c r="AP1054" s="391"/>
      <c r="AQ1054" s="391">
        <f>SUM(AE1054:AO1054)</f>
        <v>26.850618345964826</v>
      </c>
      <c r="AR1054" s="391"/>
      <c r="AS1054" s="391">
        <f t="shared" si="925"/>
        <v>0</v>
      </c>
      <c r="AT1054" s="391">
        <v>0</v>
      </c>
      <c r="AU1054" s="391">
        <f>26.88-26.85</f>
        <v>2.9999999999997584E-2</v>
      </c>
      <c r="AV1054" s="391">
        <f t="shared" si="926"/>
        <v>26.880618345964823</v>
      </c>
      <c r="AW1054" s="394">
        <v>0.1012</v>
      </c>
      <c r="AX1054" s="394">
        <v>0.1012</v>
      </c>
      <c r="AY1054" s="392">
        <v>1</v>
      </c>
      <c r="AZ1054" s="391">
        <f>(AW1054-AX1054)*AY1054</f>
        <v>0</v>
      </c>
      <c r="BA1054" s="391">
        <f>AW1054*AB1054-AZ1054*AC1054</f>
        <v>12.903</v>
      </c>
      <c r="BB1054" s="391"/>
      <c r="BC1054" s="391"/>
      <c r="BD1054" s="391"/>
      <c r="BE1054" s="391"/>
      <c r="BF1054" s="391"/>
      <c r="BG1054" s="391"/>
      <c r="BH1054" s="391"/>
      <c r="BI1054" s="391"/>
      <c r="BJ1054" s="369"/>
      <c r="BK1054" s="369"/>
      <c r="BL1054" s="369"/>
      <c r="BM1054" s="369"/>
      <c r="BN1054" s="369"/>
      <c r="BO1054" s="369"/>
      <c r="BP1054" s="369"/>
      <c r="BQ1054" s="369"/>
      <c r="BR1054" s="369"/>
      <c r="BS1054" s="369"/>
      <c r="BT1054" s="369"/>
      <c r="BU1054" s="369"/>
      <c r="BV1054" s="369"/>
      <c r="BW1054" s="369"/>
      <c r="BX1054" s="369"/>
      <c r="BY1054" s="369"/>
      <c r="BZ1054" s="369"/>
      <c r="CA1054" s="369"/>
      <c r="CB1054" s="369"/>
      <c r="CC1054" s="369"/>
      <c r="CD1054" s="369"/>
      <c r="CE1054" s="369"/>
      <c r="CF1054" s="369"/>
      <c r="CG1054" s="369"/>
      <c r="CH1054" s="369"/>
      <c r="CI1054" s="369"/>
      <c r="CJ1054" s="369"/>
      <c r="CK1054" s="369"/>
      <c r="CL1054" s="369"/>
      <c r="CM1054" s="369"/>
      <c r="CN1054" s="369"/>
      <c r="CO1054" s="369"/>
      <c r="CP1054" s="369"/>
      <c r="CQ1054" s="369"/>
      <c r="CR1054" s="369"/>
      <c r="CS1054" s="369"/>
      <c r="CT1054" s="369"/>
      <c r="CU1054" s="369"/>
      <c r="CV1054" s="369"/>
      <c r="CW1054" s="369"/>
      <c r="CX1054" s="369"/>
      <c r="CY1054" s="369"/>
      <c r="CZ1054" s="369"/>
      <c r="DA1054" s="369"/>
      <c r="DB1054" s="369"/>
      <c r="DC1054" s="369"/>
      <c r="DD1054" s="369"/>
      <c r="DE1054" s="369"/>
      <c r="DF1054" s="369"/>
      <c r="DG1054" s="369"/>
      <c r="DH1054" s="369"/>
      <c r="DI1054" s="369"/>
      <c r="DJ1054" s="369"/>
      <c r="DK1054" s="369"/>
      <c r="DL1054" s="369"/>
      <c r="DM1054" s="391">
        <f>CH1054+CM1054+CR1054+CW1054+DB1054+DG1054+DL1054</f>
        <v>0</v>
      </c>
      <c r="DN1054" s="369"/>
      <c r="DO1054" s="369"/>
      <c r="DP1054" s="391">
        <f>DM1054+DO1054</f>
        <v>0</v>
      </c>
      <c r="DQ1054" s="369"/>
      <c r="DR1054" s="369"/>
      <c r="DS1054" s="369"/>
      <c r="DT1054" s="369"/>
      <c r="DU1054" s="369"/>
      <c r="DV1054" s="369"/>
      <c r="DW1054" s="369"/>
      <c r="DX1054" s="369"/>
      <c r="DY1054" s="369"/>
      <c r="DZ1054" s="369"/>
      <c r="EA1054" s="369"/>
      <c r="EB1054" s="369"/>
      <c r="EC1054" s="369"/>
      <c r="ED1054" s="369"/>
      <c r="EE1054" s="369"/>
      <c r="EF1054" s="369">
        <v>220</v>
      </c>
      <c r="EG1054" s="369">
        <v>3975</v>
      </c>
      <c r="EH1054" s="369">
        <v>7.25</v>
      </c>
      <c r="EI1054" s="395">
        <v>0.95</v>
      </c>
      <c r="EJ1054" s="369">
        <v>1</v>
      </c>
      <c r="EK1054" s="369">
        <v>54</v>
      </c>
      <c r="EL1054" s="402">
        <f>ROUNDUP(3600/EK1054*EH1054*EJ1054*EI1054,2)</f>
        <v>459.17</v>
      </c>
      <c r="EM1054" s="369"/>
      <c r="EN1054" s="369"/>
      <c r="EO1054" s="369"/>
      <c r="EP1054" s="369"/>
      <c r="EQ1054" s="369"/>
      <c r="ER1054" s="369"/>
      <c r="ES1054" s="369"/>
      <c r="ET1054" s="369"/>
      <c r="EU1054" s="391">
        <f>(EG1054/EL1054+EM1054+EX1054+EP1054+EQ1054+ER1054+EO1054)</f>
        <v>8.6569244506391971</v>
      </c>
      <c r="EV1054" s="369">
        <v>0.76</v>
      </c>
      <c r="EW1054" s="369"/>
      <c r="EX1054" s="369"/>
      <c r="EY1054" s="369"/>
      <c r="EZ1054" s="369"/>
      <c r="FA1054" s="369"/>
      <c r="FB1054" s="369"/>
      <c r="FC1054" s="369"/>
      <c r="FD1054" s="369"/>
      <c r="FE1054" s="369"/>
      <c r="FF1054" s="369"/>
      <c r="FG1054" s="369"/>
      <c r="FH1054" s="369"/>
      <c r="FI1054" s="369"/>
      <c r="FJ1054" s="369"/>
      <c r="FK1054" s="369"/>
      <c r="FL1054" s="369"/>
      <c r="FM1054" s="369"/>
      <c r="FN1054" s="369"/>
      <c r="FO1054" s="369"/>
      <c r="FP1054" s="369"/>
      <c r="FQ1054" s="369"/>
      <c r="FR1054" s="369"/>
      <c r="FS1054" s="369"/>
      <c r="FT1054" s="369"/>
      <c r="FU1054" s="369"/>
      <c r="FV1054" s="369"/>
      <c r="FW1054" s="369"/>
      <c r="FX1054" s="369"/>
      <c r="FY1054" s="369"/>
      <c r="FZ1054" s="369"/>
      <c r="GA1054" s="369"/>
      <c r="GB1054" s="369"/>
      <c r="GC1054" s="369"/>
      <c r="GD1054" s="369"/>
      <c r="GE1054" s="369"/>
      <c r="GF1054" s="369"/>
      <c r="GG1054" s="369"/>
      <c r="GH1054" s="369"/>
      <c r="GI1054" s="369"/>
      <c r="GJ1054" s="369"/>
      <c r="GK1054" s="369"/>
      <c r="GL1054" s="369"/>
      <c r="GM1054" s="369"/>
      <c r="GN1054" s="369"/>
      <c r="GO1054" s="369"/>
      <c r="GP1054" s="392"/>
      <c r="GQ1054" s="369"/>
      <c r="GR1054" s="395">
        <v>0.155</v>
      </c>
      <c r="GS1054" s="391">
        <f>GR1054*(BA1054+EU1054+EV1054)</f>
        <v>3.459588289849076</v>
      </c>
      <c r="GT1054" s="393">
        <v>0.02</v>
      </c>
      <c r="GU1054" s="391">
        <f>GT1054*(EU1054+BA1054+EV1054)</f>
        <v>0.44639848901278401</v>
      </c>
      <c r="GV1054" s="395">
        <v>0.02</v>
      </c>
      <c r="GW1054" s="391">
        <f>GV1054*(EU1054-EP1054-EQ1054)</f>
        <v>0.17313848901278395</v>
      </c>
      <c r="GX1054" s="391">
        <f>GS1054+GU1054+GW1054</f>
        <v>4.0791252678746437</v>
      </c>
      <c r="GY1054" s="369"/>
      <c r="GZ1054" s="369"/>
      <c r="HA1054" s="369"/>
      <c r="HB1054" s="369"/>
      <c r="HC1054" s="369"/>
      <c r="HD1054" s="369">
        <v>30</v>
      </c>
      <c r="HE1054" s="369">
        <v>600</v>
      </c>
      <c r="HF1054" s="391">
        <f>ROUNDUP(HE1054/HD1054,0)</f>
        <v>20</v>
      </c>
      <c r="HG1054" s="369">
        <v>5</v>
      </c>
      <c r="HH1054" s="391">
        <f>HF1054*HG1054</f>
        <v>100</v>
      </c>
      <c r="HI1054" s="369">
        <v>731.25</v>
      </c>
      <c r="HJ1054" s="396">
        <f>HH1054*HI1054</f>
        <v>73125</v>
      </c>
      <c r="HK1054" s="393">
        <v>0.125</v>
      </c>
      <c r="HL1054" s="396">
        <f>HJ1054*(HK1054+1)</f>
        <v>82265.625</v>
      </c>
      <c r="HM1054" s="369">
        <v>2</v>
      </c>
      <c r="HN1054" s="396">
        <f t="shared" si="927"/>
        <v>360000</v>
      </c>
      <c r="HO1054" s="391">
        <f>(IF(GY1054="carton box",HI1054/HD1054,HJ1054/HN1054))</f>
        <v>0.203125</v>
      </c>
      <c r="HP1054" s="369">
        <v>160</v>
      </c>
      <c r="HQ1054" s="369">
        <v>0</v>
      </c>
      <c r="HR1054" s="369">
        <v>7.0000000000000007E-2</v>
      </c>
      <c r="HS1054" s="369">
        <v>1</v>
      </c>
      <c r="HT1054" s="394">
        <f>IF(ISERROR(HR1054/HS1054),0,HR1054/HS1054)</f>
        <v>7.0000000000000007E-2</v>
      </c>
      <c r="HU1054" s="394"/>
      <c r="HV1054" s="391">
        <f>ROUNDUP((HO1054+HT1054),2)</f>
        <v>0.28000000000000003</v>
      </c>
      <c r="HW1054" s="369"/>
      <c r="HX1054" s="369"/>
      <c r="HY1054" s="369"/>
      <c r="HZ1054" s="369"/>
      <c r="IA1054" s="369"/>
      <c r="IB1054" s="369"/>
      <c r="IC1054" s="369"/>
      <c r="ID1054" s="369"/>
      <c r="IE1054" s="369">
        <v>136</v>
      </c>
      <c r="IF1054" s="369">
        <v>700</v>
      </c>
      <c r="IG1054" s="391">
        <f>(IF1054/(IE1054*HD1054))</f>
        <v>0.17156862745098039</v>
      </c>
    </row>
    <row r="1055" spans="1:241">
      <c r="A1055">
        <v>1038</v>
      </c>
      <c r="B1055" t="s">
        <v>468</v>
      </c>
      <c r="C1055" s="27" t="s">
        <v>4621</v>
      </c>
      <c r="D1055" s="28" t="s">
        <v>3039</v>
      </c>
      <c r="E1055" s="27" t="s">
        <v>345</v>
      </c>
      <c r="F1055" t="s">
        <v>2192</v>
      </c>
      <c r="G1055" s="27" t="s">
        <v>90</v>
      </c>
      <c r="H1055" t="s">
        <v>4620</v>
      </c>
      <c r="I1055" s="27" t="s">
        <v>226</v>
      </c>
      <c r="J1055" s="28">
        <v>21425</v>
      </c>
      <c r="K1055" s="27" t="s">
        <v>406</v>
      </c>
    </row>
    <row r="1056" spans="1:241">
      <c r="A1056">
        <v>1039</v>
      </c>
      <c r="B1056" t="s">
        <v>468</v>
      </c>
      <c r="C1056" s="27" t="s">
        <v>4622</v>
      </c>
      <c r="D1056" s="28" t="s">
        <v>3040</v>
      </c>
      <c r="E1056" s="27" t="s">
        <v>3041</v>
      </c>
      <c r="F1056" t="s">
        <v>2192</v>
      </c>
      <c r="G1056" s="27" t="s">
        <v>90</v>
      </c>
      <c r="H1056" s="27" t="s">
        <v>4626</v>
      </c>
      <c r="I1056" s="27" t="s">
        <v>226</v>
      </c>
      <c r="J1056" s="28">
        <v>21425</v>
      </c>
      <c r="K1056" s="27" t="s">
        <v>406</v>
      </c>
    </row>
    <row r="1057" spans="1:244">
      <c r="A1057">
        <v>1040</v>
      </c>
      <c r="B1057" t="s">
        <v>468</v>
      </c>
      <c r="C1057" s="27" t="s">
        <v>4623</v>
      </c>
      <c r="D1057" s="28" t="s">
        <v>3042</v>
      </c>
      <c r="E1057" s="27" t="s">
        <v>3043</v>
      </c>
      <c r="F1057" t="s">
        <v>2192</v>
      </c>
      <c r="G1057" s="27" t="s">
        <v>90</v>
      </c>
      <c r="H1057" s="27" t="s">
        <v>4627</v>
      </c>
      <c r="I1057" s="27" t="s">
        <v>94</v>
      </c>
      <c r="J1057" s="28">
        <v>21712</v>
      </c>
      <c r="K1057" s="27" t="s">
        <v>400</v>
      </c>
    </row>
    <row r="1058" spans="1:244">
      <c r="A1058">
        <v>1041</v>
      </c>
      <c r="B1058" t="s">
        <v>468</v>
      </c>
      <c r="C1058" s="27" t="s">
        <v>4624</v>
      </c>
      <c r="D1058" s="28" t="s">
        <v>3042</v>
      </c>
      <c r="E1058" s="27" t="s">
        <v>3043</v>
      </c>
      <c r="F1058" t="s">
        <v>2192</v>
      </c>
      <c r="G1058" s="27" t="s">
        <v>90</v>
      </c>
      <c r="H1058" s="27" t="s">
        <v>4625</v>
      </c>
      <c r="I1058" s="27" t="s">
        <v>226</v>
      </c>
      <c r="J1058" s="28">
        <v>21628</v>
      </c>
      <c r="K1058" s="27" t="s">
        <v>4502</v>
      </c>
    </row>
    <row r="1059" spans="1:244">
      <c r="A1059">
        <v>1042</v>
      </c>
      <c r="B1059" t="s">
        <v>468</v>
      </c>
      <c r="C1059" s="27" t="s">
        <v>4628</v>
      </c>
      <c r="D1059" s="28" t="s">
        <v>3042</v>
      </c>
      <c r="E1059" s="27" t="s">
        <v>3043</v>
      </c>
      <c r="F1059" t="s">
        <v>2192</v>
      </c>
      <c r="G1059" s="27" t="s">
        <v>90</v>
      </c>
      <c r="H1059" s="27" t="s">
        <v>4630</v>
      </c>
      <c r="I1059" s="27" t="s">
        <v>226</v>
      </c>
      <c r="J1059" s="28">
        <v>21425</v>
      </c>
      <c r="K1059" s="27" t="s">
        <v>406</v>
      </c>
    </row>
    <row r="1060" spans="1:244">
      <c r="A1060">
        <v>1043</v>
      </c>
      <c r="B1060" t="s">
        <v>468</v>
      </c>
      <c r="C1060" s="27" t="s">
        <v>4629</v>
      </c>
      <c r="D1060" s="28" t="s">
        <v>3044</v>
      </c>
      <c r="E1060" s="27" t="s">
        <v>3045</v>
      </c>
      <c r="F1060" t="s">
        <v>2192</v>
      </c>
      <c r="G1060" s="27" t="s">
        <v>90</v>
      </c>
      <c r="H1060" s="27" t="s">
        <v>4631</v>
      </c>
      <c r="I1060" s="27" t="s">
        <v>94</v>
      </c>
      <c r="J1060" s="28">
        <v>21712</v>
      </c>
      <c r="K1060" s="27" t="s">
        <v>400</v>
      </c>
    </row>
    <row r="1061" spans="1:244">
      <c r="A1061">
        <v>1044</v>
      </c>
      <c r="B1061" t="s">
        <v>468</v>
      </c>
      <c r="C1061" s="27" t="s">
        <v>4632</v>
      </c>
      <c r="D1061" s="28" t="s">
        <v>3044</v>
      </c>
      <c r="E1061" s="27" t="s">
        <v>3045</v>
      </c>
      <c r="F1061" t="s">
        <v>2192</v>
      </c>
      <c r="G1061" s="27" t="s">
        <v>90</v>
      </c>
      <c r="H1061" s="27" t="s">
        <v>4634</v>
      </c>
      <c r="I1061" s="27" t="s">
        <v>226</v>
      </c>
      <c r="J1061" s="28">
        <v>21628</v>
      </c>
      <c r="K1061" s="27" t="s">
        <v>4502</v>
      </c>
    </row>
    <row r="1062" spans="1:244">
      <c r="A1062">
        <v>1045</v>
      </c>
      <c r="B1062" t="s">
        <v>468</v>
      </c>
      <c r="C1062" s="27" t="s">
        <v>4633</v>
      </c>
      <c r="D1062" s="28" t="s">
        <v>3044</v>
      </c>
      <c r="E1062" s="27" t="s">
        <v>3045</v>
      </c>
      <c r="F1062" t="s">
        <v>2192</v>
      </c>
      <c r="G1062" s="27" t="s">
        <v>90</v>
      </c>
      <c r="H1062" s="27" t="s">
        <v>4635</v>
      </c>
      <c r="I1062" s="27" t="s">
        <v>226</v>
      </c>
      <c r="J1062" s="28">
        <v>21425</v>
      </c>
      <c r="K1062" s="27" t="s">
        <v>406</v>
      </c>
    </row>
    <row r="1063" spans="1:244" ht="25.5">
      <c r="A1063">
        <v>1046</v>
      </c>
      <c r="B1063" t="s">
        <v>468</v>
      </c>
      <c r="C1063" s="400" t="s">
        <v>4636</v>
      </c>
      <c r="D1063" s="28" t="s">
        <v>3046</v>
      </c>
      <c r="E1063" s="27" t="s">
        <v>1693</v>
      </c>
      <c r="F1063" t="s">
        <v>2182</v>
      </c>
      <c r="G1063" s="27" t="s">
        <v>90</v>
      </c>
      <c r="I1063" s="27" t="s">
        <v>226</v>
      </c>
      <c r="J1063" s="28">
        <v>29164</v>
      </c>
      <c r="K1063" s="27" t="s">
        <v>229</v>
      </c>
      <c r="L1063" s="371"/>
      <c r="M1063" s="369"/>
      <c r="N1063" s="369"/>
      <c r="O1063" s="369"/>
      <c r="P1063" s="369"/>
      <c r="Q1063" s="27" t="s">
        <v>1035</v>
      </c>
      <c r="R1063" s="27" t="s">
        <v>1769</v>
      </c>
      <c r="S1063" s="370">
        <v>43191</v>
      </c>
      <c r="T1063" s="27" t="s">
        <v>4555</v>
      </c>
      <c r="U1063" s="370">
        <v>43192</v>
      </c>
      <c r="V1063" s="369"/>
      <c r="W1063" s="162" t="s">
        <v>4637</v>
      </c>
      <c r="X1063" s="162"/>
      <c r="Y1063" s="162"/>
      <c r="Z1063" s="162"/>
      <c r="AA1063" s="27" t="s">
        <v>313</v>
      </c>
      <c r="AB1063" s="369">
        <v>103.12</v>
      </c>
      <c r="AC1063" s="369">
        <v>20</v>
      </c>
      <c r="AD1063" s="390" t="s">
        <v>314</v>
      </c>
      <c r="AE1063" s="391">
        <f t="shared" ref="AE1063" si="928">BA1063</f>
        <v>8.159104000000001</v>
      </c>
      <c r="AF1063" s="391"/>
      <c r="AG1063" s="391">
        <f>EU1063+EX1063+EV1063</f>
        <v>6.2619325454983956</v>
      </c>
      <c r="AH1063" s="391">
        <f t="shared" ref="AH1063" si="929">DM1063</f>
        <v>0</v>
      </c>
      <c r="AI1063" s="391">
        <f t="shared" ref="AI1063" si="930">DO1063</f>
        <v>0</v>
      </c>
      <c r="AJ1063" s="391">
        <f>GW1063</f>
        <v>0.1122386509099679</v>
      </c>
      <c r="AK1063" s="391">
        <f>GU1063</f>
        <v>0.28842073090996795</v>
      </c>
      <c r="AL1063" s="391">
        <f>GS1063</f>
        <v>2.2352606645522517</v>
      </c>
      <c r="AM1063" s="394">
        <f>HV1063</f>
        <v>0.203125</v>
      </c>
      <c r="AN1063" s="394">
        <f>IG1063</f>
        <v>0.17156862745098039</v>
      </c>
      <c r="AO1063" s="391"/>
      <c r="AP1063" s="391"/>
      <c r="AQ1063" s="391">
        <f>SUM(AE1063:AO1063)</f>
        <v>17.431650219321561</v>
      </c>
      <c r="AR1063" s="391"/>
      <c r="AS1063" s="391">
        <f t="shared" ref="AS1063" si="931">EE1063</f>
        <v>0</v>
      </c>
      <c r="AT1063" s="391">
        <v>0</v>
      </c>
      <c r="AU1063" s="391">
        <f>17.45-17.43</f>
        <v>1.9999999999999574E-2</v>
      </c>
      <c r="AV1063" s="391">
        <f t="shared" ref="AV1063" si="932">AQ1063+AT1063+AU1063+AR1063+AS1063</f>
        <v>17.451650219321561</v>
      </c>
      <c r="AW1063" s="369">
        <v>7.9199999999999993E-2</v>
      </c>
      <c r="AX1063" s="369">
        <v>7.8799999999999995E-2</v>
      </c>
      <c r="AY1063" s="392">
        <v>1</v>
      </c>
      <c r="AZ1063" s="391">
        <f>(AW1063-AX1063)*AY1063</f>
        <v>3.9999999999999758E-4</v>
      </c>
      <c r="BA1063" s="391">
        <f>AW1063*AB1063-AZ1063*AC1063</f>
        <v>8.159104000000001</v>
      </c>
      <c r="BB1063" s="391"/>
      <c r="BC1063" s="391"/>
      <c r="BD1063" s="391"/>
      <c r="BE1063" s="391"/>
      <c r="BF1063" s="391"/>
      <c r="BG1063" s="391"/>
      <c r="BH1063" s="391"/>
      <c r="BI1063" s="391"/>
      <c r="BJ1063" s="369"/>
      <c r="BK1063" s="369"/>
      <c r="BL1063" s="369"/>
      <c r="BM1063" s="369"/>
      <c r="BN1063" s="369"/>
      <c r="BO1063" s="369"/>
      <c r="BP1063" s="369"/>
      <c r="BQ1063" s="369"/>
      <c r="BR1063" s="369"/>
      <c r="BS1063" s="369"/>
      <c r="BT1063" s="369"/>
      <c r="BU1063" s="369"/>
      <c r="BV1063" s="369"/>
      <c r="BW1063" s="369"/>
      <c r="BX1063" s="369"/>
      <c r="BY1063" s="369"/>
      <c r="BZ1063" s="369"/>
      <c r="CA1063" s="369"/>
      <c r="CB1063" s="369"/>
      <c r="CC1063" s="369"/>
      <c r="CD1063" s="369"/>
      <c r="CE1063" s="369"/>
      <c r="CF1063" s="369"/>
      <c r="CG1063" s="369"/>
      <c r="CH1063" s="369"/>
      <c r="CI1063" s="369"/>
      <c r="CJ1063" s="369"/>
      <c r="CK1063" s="369"/>
      <c r="CL1063" s="369"/>
      <c r="CM1063" s="369"/>
      <c r="CN1063" s="369"/>
      <c r="CO1063" s="369"/>
      <c r="CP1063" s="369"/>
      <c r="CQ1063" s="369"/>
      <c r="CR1063" s="369"/>
      <c r="CS1063" s="369"/>
      <c r="CT1063" s="369"/>
      <c r="CU1063" s="369"/>
      <c r="CV1063" s="369"/>
      <c r="CW1063" s="369"/>
      <c r="CX1063" s="369"/>
      <c r="CY1063" s="369"/>
      <c r="CZ1063" s="369"/>
      <c r="DA1063" s="369"/>
      <c r="DB1063" s="369"/>
      <c r="DC1063" s="369"/>
      <c r="DD1063" s="369"/>
      <c r="DE1063" s="369"/>
      <c r="DF1063" s="369"/>
      <c r="DG1063" s="369"/>
      <c r="DH1063" s="369"/>
      <c r="DI1063" s="369"/>
      <c r="DJ1063" s="369"/>
      <c r="DK1063" s="369"/>
      <c r="DL1063" s="369"/>
      <c r="DM1063" s="369"/>
      <c r="DN1063" s="369"/>
      <c r="DO1063" s="369"/>
      <c r="DP1063" s="369"/>
      <c r="DQ1063" s="369"/>
      <c r="DR1063" s="369"/>
      <c r="DS1063" s="369"/>
      <c r="DT1063" s="369"/>
      <c r="DU1063" s="369"/>
      <c r="DV1063" s="369"/>
      <c r="DW1063" s="369"/>
      <c r="DX1063" s="369"/>
      <c r="DY1063" s="369"/>
      <c r="DZ1063" s="369"/>
      <c r="EA1063" s="369"/>
      <c r="EB1063" s="369"/>
      <c r="EC1063" s="369"/>
      <c r="ED1063" s="369"/>
      <c r="EE1063" s="369"/>
      <c r="EF1063" s="369">
        <v>150</v>
      </c>
      <c r="EG1063" s="369">
        <v>3025</v>
      </c>
      <c r="EH1063" s="369">
        <v>7.25</v>
      </c>
      <c r="EI1063" s="395">
        <v>0.95</v>
      </c>
      <c r="EJ1063" s="369">
        <v>1</v>
      </c>
      <c r="EK1063" s="369">
        <v>46</v>
      </c>
      <c r="EL1063" s="402">
        <f>ROUNDUP(3600/EK1063*EH1063*EJ1063*EI1063,2)</f>
        <v>539.03</v>
      </c>
      <c r="EM1063" s="369"/>
      <c r="EN1063" s="369"/>
      <c r="EO1063" s="369"/>
      <c r="EP1063" s="369"/>
      <c r="EQ1063" s="369"/>
      <c r="ER1063" s="369"/>
      <c r="ES1063" s="369"/>
      <c r="ET1063" s="369"/>
      <c r="EU1063" s="391">
        <f>(EG1063/EL1063+EM1063+EX1063+EP1063+EQ1063+ER1063+EO1063)</f>
        <v>5.6119325454983953</v>
      </c>
      <c r="EV1063" s="369">
        <v>0.65</v>
      </c>
      <c r="EW1063" s="369"/>
      <c r="EX1063" s="369"/>
      <c r="EY1063" s="369"/>
      <c r="EZ1063" s="369"/>
      <c r="FA1063" s="369"/>
      <c r="FB1063" s="369"/>
      <c r="FC1063" s="369"/>
      <c r="FD1063" s="369"/>
      <c r="FE1063" s="369"/>
      <c r="FF1063" s="369"/>
      <c r="FG1063" s="369"/>
      <c r="FH1063" s="369"/>
      <c r="FI1063" s="369"/>
      <c r="FJ1063" s="369"/>
      <c r="FK1063" s="369"/>
      <c r="FL1063" s="369"/>
      <c r="FM1063" s="369"/>
      <c r="FN1063" s="369"/>
      <c r="FO1063" s="369"/>
      <c r="FP1063" s="369"/>
      <c r="FQ1063" s="369"/>
      <c r="FR1063" s="369"/>
      <c r="FS1063" s="369"/>
      <c r="FT1063" s="369"/>
      <c r="FU1063" s="369"/>
      <c r="FV1063" s="369"/>
      <c r="FW1063" s="369"/>
      <c r="FX1063" s="369"/>
      <c r="FY1063" s="369"/>
      <c r="FZ1063" s="369"/>
      <c r="GA1063" s="369"/>
      <c r="GB1063" s="369"/>
      <c r="GC1063" s="369"/>
      <c r="GD1063" s="369"/>
      <c r="GE1063" s="369"/>
      <c r="GF1063" s="369"/>
      <c r="GG1063" s="369"/>
      <c r="GH1063" s="369"/>
      <c r="GI1063" s="369"/>
      <c r="GJ1063" s="369"/>
      <c r="GK1063" s="369"/>
      <c r="GL1063" s="369"/>
      <c r="GM1063" s="369"/>
      <c r="GN1063" s="369"/>
      <c r="GO1063" s="369"/>
      <c r="GP1063" s="392"/>
      <c r="GQ1063" s="369"/>
      <c r="GR1063" s="395">
        <v>0.155</v>
      </c>
      <c r="GS1063" s="391">
        <f>GR1063*(BA1063+EU1063+EV1063)</f>
        <v>2.2352606645522517</v>
      </c>
      <c r="GT1063" s="393">
        <v>0.02</v>
      </c>
      <c r="GU1063" s="391">
        <f>GT1063*(EU1063+BA1063+EV1063)</f>
        <v>0.28842073090996795</v>
      </c>
      <c r="GV1063" s="395">
        <v>0.02</v>
      </c>
      <c r="GW1063" s="391">
        <f>GV1063*(EU1063-EP1063-EQ1063)</f>
        <v>0.1122386509099679</v>
      </c>
      <c r="GX1063" s="391">
        <f>GS1063+GU1063+GW1063</f>
        <v>2.6359200463721875</v>
      </c>
      <c r="GY1063" s="369"/>
      <c r="GZ1063" s="369"/>
      <c r="HA1063" s="369"/>
      <c r="HB1063" s="369"/>
      <c r="HC1063" s="369"/>
      <c r="HD1063" s="369">
        <v>30</v>
      </c>
      <c r="HE1063" s="369">
        <v>600</v>
      </c>
      <c r="HF1063" s="391">
        <f>ROUNDUP(HE1063/HD1063,0)</f>
        <v>20</v>
      </c>
      <c r="HG1063" s="369">
        <v>5</v>
      </c>
      <c r="HH1063" s="391">
        <f>HF1063*HG1063</f>
        <v>100</v>
      </c>
      <c r="HI1063" s="369">
        <v>731.25</v>
      </c>
      <c r="HJ1063" s="396">
        <f>HH1063*HI1063</f>
        <v>73125</v>
      </c>
      <c r="HK1063" s="393">
        <v>0.125</v>
      </c>
      <c r="HL1063" s="396">
        <f>HJ1063*(HK1063+1)</f>
        <v>82265.625</v>
      </c>
      <c r="HM1063" s="369">
        <v>2</v>
      </c>
      <c r="HN1063" s="396">
        <f t="shared" ref="HN1063" si="933">HM1063*12*25*HE1063</f>
        <v>360000</v>
      </c>
      <c r="HO1063" s="391">
        <f>(IF(GY1063="carton box",HI1063/HD1063,HJ1063/HN1063))</f>
        <v>0.203125</v>
      </c>
      <c r="HP1063" s="369">
        <v>160</v>
      </c>
      <c r="HQ1063" s="369">
        <v>0</v>
      </c>
      <c r="HR1063" s="369">
        <v>0</v>
      </c>
      <c r="HS1063" s="369">
        <v>0</v>
      </c>
      <c r="HT1063" s="394">
        <f>IF(ISERROR(HR1063/HS1063),0,HR1063/HS1063)</f>
        <v>0</v>
      </c>
      <c r="HU1063" s="394"/>
      <c r="HV1063" s="391">
        <f>(HO1063+HT1063)</f>
        <v>0.203125</v>
      </c>
      <c r="HW1063" s="369"/>
      <c r="HX1063" s="369"/>
      <c r="HY1063" s="369"/>
      <c r="HZ1063" s="369"/>
      <c r="IA1063" s="369"/>
      <c r="IB1063" s="369"/>
      <c r="IC1063" s="369"/>
      <c r="ID1063" s="369"/>
      <c r="IE1063" s="369">
        <v>136</v>
      </c>
      <c r="IF1063" s="369">
        <v>700</v>
      </c>
      <c r="IG1063" s="391">
        <f>(IF1063/(IE1063*HD1063))</f>
        <v>0.17156862745098039</v>
      </c>
    </row>
    <row r="1064" spans="1:244">
      <c r="A1064">
        <v>1047</v>
      </c>
      <c r="B1064" t="s">
        <v>468</v>
      </c>
      <c r="C1064" s="27" t="s">
        <v>4638</v>
      </c>
      <c r="D1064" s="28" t="s">
        <v>3047</v>
      </c>
      <c r="E1064" s="27" t="s">
        <v>392</v>
      </c>
      <c r="F1064" t="s">
        <v>2192</v>
      </c>
      <c r="G1064" s="27" t="s">
        <v>90</v>
      </c>
      <c r="H1064" s="27" t="s">
        <v>4657</v>
      </c>
      <c r="I1064" s="27" t="s">
        <v>226</v>
      </c>
      <c r="J1064" s="28">
        <v>21425</v>
      </c>
      <c r="K1064" s="27" t="s">
        <v>406</v>
      </c>
    </row>
    <row r="1065" spans="1:244">
      <c r="A1065">
        <v>1048</v>
      </c>
      <c r="C1065" s="27" t="s">
        <v>567</v>
      </c>
      <c r="D1065" s="28" t="s">
        <v>83</v>
      </c>
      <c r="E1065" s="27" t="s">
        <v>84</v>
      </c>
      <c r="F1065" t="s">
        <v>2444</v>
      </c>
      <c r="G1065" s="27" t="s">
        <v>90</v>
      </c>
      <c r="I1065" s="27" t="s">
        <v>94</v>
      </c>
      <c r="J1065" s="28">
        <v>21590</v>
      </c>
      <c r="K1065" s="27" t="s">
        <v>397</v>
      </c>
      <c r="L1065" s="369"/>
      <c r="M1065" s="369"/>
      <c r="N1065" s="27" t="s">
        <v>1909</v>
      </c>
      <c r="O1065" s="27" t="s">
        <v>1791</v>
      </c>
      <c r="P1065" s="370">
        <v>44964</v>
      </c>
      <c r="Q1065" s="369"/>
      <c r="R1065" s="369"/>
      <c r="S1065" s="369"/>
      <c r="T1065" s="369"/>
      <c r="U1065" s="369"/>
      <c r="V1065" s="369"/>
      <c r="W1065" s="27" t="s">
        <v>1765</v>
      </c>
    </row>
    <row r="1066" spans="1:244">
      <c r="A1066">
        <v>1049</v>
      </c>
      <c r="B1066" t="s">
        <v>468</v>
      </c>
      <c r="C1066" s="400" t="s">
        <v>4639</v>
      </c>
      <c r="D1066" s="28" t="s">
        <v>83</v>
      </c>
      <c r="E1066" s="27" t="s">
        <v>84</v>
      </c>
      <c r="F1066" t="s">
        <v>2182</v>
      </c>
      <c r="G1066" s="27" t="s">
        <v>90</v>
      </c>
      <c r="I1066" s="27" t="s">
        <v>226</v>
      </c>
      <c r="J1066" s="28">
        <v>21590</v>
      </c>
      <c r="K1066" s="27" t="s">
        <v>397</v>
      </c>
      <c r="L1066" s="27">
        <v>20089</v>
      </c>
      <c r="M1066" s="27" t="s">
        <v>226</v>
      </c>
      <c r="N1066" s="369"/>
      <c r="O1066" s="369"/>
      <c r="P1066" s="369"/>
      <c r="Q1066" s="27" t="s">
        <v>1035</v>
      </c>
      <c r="R1066" s="27" t="s">
        <v>1769</v>
      </c>
      <c r="S1066" s="370">
        <v>43191</v>
      </c>
      <c r="T1066" s="27" t="s">
        <v>4555</v>
      </c>
      <c r="U1066" s="370">
        <v>43192</v>
      </c>
      <c r="V1066" s="369"/>
      <c r="W1066" s="27" t="s">
        <v>4640</v>
      </c>
      <c r="X1066" s="27"/>
      <c r="Y1066" s="27"/>
      <c r="Z1066" s="27"/>
      <c r="AA1066" s="27" t="s">
        <v>4641</v>
      </c>
      <c r="AB1066" s="391">
        <v>132</v>
      </c>
      <c r="AC1066" s="369">
        <v>20</v>
      </c>
      <c r="AD1066" s="390"/>
      <c r="AE1066" s="391">
        <f t="shared" ref="AE1066:AE1069" si="934">BA1066</f>
        <v>13.200000000000001</v>
      </c>
      <c r="AF1066" s="391"/>
      <c r="AG1066" s="391">
        <f>EU1066</f>
        <v>3.7313580246913576</v>
      </c>
      <c r="AH1066" s="391">
        <f t="shared" ref="AH1066:AH1069" si="935">DM1066</f>
        <v>3.9000000000000004</v>
      </c>
      <c r="AI1066" s="391">
        <f t="shared" ref="AI1066:AI1069" si="936">DO1066</f>
        <v>9.7500000000000017E-2</v>
      </c>
      <c r="AJ1066" s="391">
        <f>GW1066</f>
        <v>7.4627160493827158E-2</v>
      </c>
      <c r="AK1066" s="391">
        <f>GU1066</f>
        <v>0.2539703703703704</v>
      </c>
      <c r="AL1066" s="391">
        <f>GS1066</f>
        <v>2.1164197530864199</v>
      </c>
      <c r="AM1066" s="391">
        <f>HV1066</f>
        <v>5.4166666666666669E-2</v>
      </c>
      <c r="AN1066" s="391">
        <f>IG1066</f>
        <v>0.41000000000000003</v>
      </c>
      <c r="AO1066" s="391"/>
      <c r="AP1066" s="391"/>
      <c r="AQ1066" s="391">
        <f>SUM(AE1066:AO1066)</f>
        <v>23.838041975308645</v>
      </c>
      <c r="AR1066" s="391">
        <f>IJ1066</f>
        <v>0.16931358024691359</v>
      </c>
      <c r="AS1066" s="391">
        <f t="shared" ref="AS1066:AS1069" si="937">EE1066</f>
        <v>0</v>
      </c>
      <c r="AT1066" s="391">
        <v>0</v>
      </c>
      <c r="AU1066" s="391">
        <f>24.11-24.01</f>
        <v>9.9999999999997868E-2</v>
      </c>
      <c r="AV1066" s="391">
        <f t="shared" ref="AV1066:AV1069" si="938">AQ1066+AT1066+AU1066+AR1066+AS1066</f>
        <v>24.107355555555557</v>
      </c>
      <c r="AW1066" s="394">
        <v>0.1</v>
      </c>
      <c r="AX1066" s="394">
        <v>0.1</v>
      </c>
      <c r="AY1066" s="392">
        <v>0</v>
      </c>
      <c r="AZ1066" s="391">
        <f>(AW1066-AX1066)*AY1066</f>
        <v>0</v>
      </c>
      <c r="BA1066" s="391">
        <f>AW1066*AB1066-AZ1066*AC1066</f>
        <v>13.200000000000001</v>
      </c>
      <c r="BB1066" s="391"/>
      <c r="BC1066" s="391"/>
      <c r="BD1066" s="391"/>
      <c r="BE1066" s="391"/>
      <c r="BF1066" s="391"/>
      <c r="BG1066" s="391"/>
      <c r="BH1066" s="391"/>
      <c r="BI1066" s="391"/>
      <c r="BJ1066" s="391"/>
      <c r="BK1066" s="391"/>
      <c r="BL1066" s="391"/>
      <c r="BM1066" s="369"/>
      <c r="BN1066" s="369"/>
      <c r="BO1066" s="369"/>
      <c r="BP1066" s="369"/>
      <c r="BQ1066" s="369"/>
      <c r="BR1066" s="369"/>
      <c r="BS1066" s="369"/>
      <c r="BT1066" s="369"/>
      <c r="BU1066" s="369"/>
      <c r="BV1066" s="369"/>
      <c r="BW1066" s="369"/>
      <c r="BX1066" s="369"/>
      <c r="BY1066" s="369"/>
      <c r="BZ1066" s="369"/>
      <c r="CA1066" s="369"/>
      <c r="CB1066" s="369"/>
      <c r="CC1066" s="369"/>
      <c r="CD1066" s="369"/>
      <c r="CE1066" s="391">
        <v>0</v>
      </c>
      <c r="CF1066" s="391">
        <v>3</v>
      </c>
      <c r="CG1066" s="391">
        <v>1.3</v>
      </c>
      <c r="CH1066" s="391">
        <f>CF1066*CG1066</f>
        <v>3.9000000000000004</v>
      </c>
      <c r="CI1066" s="369"/>
      <c r="CJ1066" s="369"/>
      <c r="CK1066" s="369"/>
      <c r="CL1066" s="369"/>
      <c r="CM1066" s="369"/>
      <c r="CN1066" s="369"/>
      <c r="CO1066" s="369"/>
      <c r="CP1066" s="369"/>
      <c r="CQ1066" s="369"/>
      <c r="CR1066" s="369"/>
      <c r="CS1066" s="369"/>
      <c r="CT1066" s="369"/>
      <c r="CU1066" s="369"/>
      <c r="CV1066" s="369"/>
      <c r="CW1066" s="369"/>
      <c r="CX1066" s="369"/>
      <c r="CY1066" s="369"/>
      <c r="CZ1066" s="369"/>
      <c r="DA1066" s="369"/>
      <c r="DB1066" s="369"/>
      <c r="DC1066" s="369"/>
      <c r="DD1066" s="369"/>
      <c r="DE1066" s="369"/>
      <c r="DF1066" s="369"/>
      <c r="DG1066" s="369"/>
      <c r="DH1066" s="369"/>
      <c r="DI1066" s="369"/>
      <c r="DJ1066" s="369"/>
      <c r="DK1066" s="369"/>
      <c r="DL1066" s="369"/>
      <c r="DM1066" s="391">
        <f>CH1066+CM1066+CR1066+CW1066+DB1066+DG1066+DL1066</f>
        <v>3.9000000000000004</v>
      </c>
      <c r="DN1066" s="403">
        <v>2.5000000000000001E-2</v>
      </c>
      <c r="DO1066" s="391">
        <f>DM1066*DN1066</f>
        <v>9.7500000000000017E-2</v>
      </c>
      <c r="DP1066" s="391">
        <f>DM1066+DO1066</f>
        <v>3.9975000000000005</v>
      </c>
      <c r="DQ1066" s="369"/>
      <c r="DR1066" s="369"/>
      <c r="DS1066" s="369"/>
      <c r="DT1066" s="369"/>
      <c r="DU1066" s="369"/>
      <c r="DV1066" s="369"/>
      <c r="DW1066" s="369"/>
      <c r="DX1066" s="369"/>
      <c r="DY1066" s="395"/>
      <c r="DZ1066" s="369"/>
      <c r="EA1066" s="369"/>
      <c r="EB1066" s="396"/>
      <c r="EC1066" s="369"/>
      <c r="ED1066" s="369"/>
      <c r="EE1066" s="369"/>
      <c r="EF1066" s="369">
        <v>160</v>
      </c>
      <c r="EG1066" s="369">
        <v>1950</v>
      </c>
      <c r="EH1066" s="369">
        <v>7.5</v>
      </c>
      <c r="EI1066" s="395">
        <v>0.9</v>
      </c>
      <c r="EJ1066" s="369">
        <v>2</v>
      </c>
      <c r="EK1066" s="369">
        <v>66</v>
      </c>
      <c r="EL1066" s="396">
        <f>3600/EK1066*EH1066*EJ1066*EI1066</f>
        <v>736.36363636363649</v>
      </c>
      <c r="EM1066" s="369"/>
      <c r="EN1066" s="369"/>
      <c r="EO1066" s="369"/>
      <c r="EP1066" s="369"/>
      <c r="EQ1066" s="369"/>
      <c r="ER1066" s="391">
        <v>0.54320987654320974</v>
      </c>
      <c r="ES1066" s="391"/>
      <c r="ET1066" s="391"/>
      <c r="EU1066" s="391">
        <f>EG1066/EL1066+EM1066+EX1066+EP1066+EQ1066+ER1066+EO1066</f>
        <v>3.7313580246913576</v>
      </c>
      <c r="EV1066" s="369"/>
      <c r="EW1066" s="369"/>
      <c r="EX1066" s="369">
        <v>0.54</v>
      </c>
      <c r="EY1066" s="369"/>
      <c r="EZ1066" s="369"/>
      <c r="FA1066" s="369"/>
      <c r="FB1066" s="403"/>
      <c r="FC1066" s="391"/>
      <c r="FD1066" s="403"/>
      <c r="FE1066" s="391"/>
      <c r="FF1066" s="395"/>
      <c r="FG1066" s="391"/>
      <c r="FH1066" s="391"/>
      <c r="FI1066" s="391"/>
      <c r="FJ1066" s="391"/>
      <c r="FK1066" s="391"/>
      <c r="FL1066" s="391"/>
      <c r="FM1066" s="391"/>
      <c r="FN1066" s="391"/>
      <c r="FO1066" s="391"/>
      <c r="FP1066" s="391"/>
      <c r="FQ1066" s="391"/>
      <c r="FR1066" s="391"/>
      <c r="FS1066" s="391"/>
      <c r="FT1066" s="391"/>
      <c r="FU1066" s="391"/>
      <c r="FV1066" s="391"/>
      <c r="FW1066" s="391"/>
      <c r="FX1066" s="391"/>
      <c r="FY1066" s="391"/>
      <c r="FZ1066" s="391"/>
      <c r="GA1066" s="391"/>
      <c r="GB1066" s="391"/>
      <c r="GC1066" s="391"/>
      <c r="GD1066" s="391"/>
      <c r="GE1066" s="391"/>
      <c r="GF1066" s="391"/>
      <c r="GG1066" s="391"/>
      <c r="GH1066" s="391"/>
      <c r="GI1066" s="391"/>
      <c r="GJ1066" s="391"/>
      <c r="GK1066" s="391"/>
      <c r="GL1066" s="391"/>
      <c r="GM1066" s="391"/>
      <c r="GN1066" s="391"/>
      <c r="GO1066" s="391"/>
      <c r="GP1066" s="392"/>
      <c r="GQ1066" s="391"/>
      <c r="GR1066" s="395">
        <v>0.125</v>
      </c>
      <c r="GS1066" s="391">
        <f>GR1066*(BA1066+EU1066+EV1066)</f>
        <v>2.1164197530864199</v>
      </c>
      <c r="GT1066" s="393">
        <v>1.4999999999999999E-2</v>
      </c>
      <c r="GU1066" s="391">
        <f>GT1066*(EU1066+BA1066+EV1066)</f>
        <v>0.2539703703703704</v>
      </c>
      <c r="GV1066" s="395">
        <v>0.02</v>
      </c>
      <c r="GW1066" s="391">
        <f>GV1066*(EU1066-EP1066-EQ1066)</f>
        <v>7.4627160493827158E-2</v>
      </c>
      <c r="GX1066" s="391">
        <f>GS1066+GU1066+GW1066</f>
        <v>2.4450172839506172</v>
      </c>
      <c r="GY1066" s="369" t="s">
        <v>43</v>
      </c>
      <c r="GZ1066" s="369" t="s">
        <v>87</v>
      </c>
      <c r="HA1066" s="391">
        <v>650</v>
      </c>
      <c r="HB1066" s="391">
        <v>450</v>
      </c>
      <c r="HC1066" s="391">
        <v>330</v>
      </c>
      <c r="HD1066" s="391">
        <v>108</v>
      </c>
      <c r="HE1066" s="391">
        <v>1000</v>
      </c>
      <c r="HF1066" s="391">
        <f>ROUNDUP(HE1066/HD1066,0)</f>
        <v>10</v>
      </c>
      <c r="HG1066" s="391">
        <v>5</v>
      </c>
      <c r="HH1066" s="391">
        <f>HF1066*HG1066</f>
        <v>50</v>
      </c>
      <c r="HI1066" s="391">
        <v>650</v>
      </c>
      <c r="HJ1066" s="396">
        <f>HH1066*HI1066</f>
        <v>32500</v>
      </c>
      <c r="HK1066" s="369"/>
      <c r="HL1066" s="391"/>
      <c r="HM1066" s="369">
        <v>2</v>
      </c>
      <c r="HN1066" s="396">
        <f t="shared" ref="HN1066:HN1069" si="939">HM1066*12*25*HE1066</f>
        <v>600000</v>
      </c>
      <c r="HO1066" s="391">
        <f>(IF(GY1066="carton box",HI1066/HD1066,HJ1066/HN1066))</f>
        <v>5.4166666666666669E-2</v>
      </c>
      <c r="HP1066" s="391"/>
      <c r="HQ1066" s="369"/>
      <c r="HR1066" s="369"/>
      <c r="HS1066" s="391"/>
      <c r="HT1066" s="396"/>
      <c r="HU1066" s="396"/>
      <c r="HV1066" s="391">
        <f>(HO1066+HT1066)</f>
        <v>5.4166666666666669E-2</v>
      </c>
      <c r="HW1066" s="391"/>
      <c r="HX1066" s="391">
        <v>4200</v>
      </c>
      <c r="HY1066" s="391">
        <v>1900</v>
      </c>
      <c r="HZ1066" s="391">
        <v>1975</v>
      </c>
      <c r="IA1066" s="391">
        <f t="shared" ref="IA1066:IC1069" si="940">ROUNDDOWN(HX1066/HA1066,0)</f>
        <v>6</v>
      </c>
      <c r="IB1066" s="391">
        <f t="shared" si="940"/>
        <v>4</v>
      </c>
      <c r="IC1066" s="391">
        <f t="shared" si="940"/>
        <v>5</v>
      </c>
      <c r="ID1066" s="395">
        <v>0.95</v>
      </c>
      <c r="IE1066" s="391">
        <f>PRODUCT(IA1066:ID1066)</f>
        <v>114</v>
      </c>
      <c r="IF1066" s="369">
        <v>5000</v>
      </c>
      <c r="IG1066" s="391">
        <f>ROUNDUP((IF1066/(IE1066*HD1066)),2)</f>
        <v>0.41000000000000003</v>
      </c>
      <c r="IH1066" s="369"/>
      <c r="II1066" s="395">
        <v>0.01</v>
      </c>
      <c r="IJ1066" s="391">
        <f>II1066*(BA1066+EU1066)</f>
        <v>0.16931358024691359</v>
      </c>
    </row>
    <row r="1067" spans="1:244">
      <c r="A1067">
        <v>1050</v>
      </c>
      <c r="B1067" t="s">
        <v>468</v>
      </c>
      <c r="C1067" s="27" t="s">
        <v>4642</v>
      </c>
      <c r="D1067" s="28" t="s">
        <v>3048</v>
      </c>
      <c r="E1067" s="27" t="s">
        <v>3049</v>
      </c>
      <c r="F1067" t="s">
        <v>2182</v>
      </c>
      <c r="G1067" s="27" t="s">
        <v>90</v>
      </c>
      <c r="I1067" s="27" t="s">
        <v>94</v>
      </c>
      <c r="J1067" s="28">
        <v>21590</v>
      </c>
      <c r="K1067" s="27" t="s">
        <v>397</v>
      </c>
      <c r="L1067" s="371"/>
      <c r="M1067" s="27" t="s">
        <v>226</v>
      </c>
      <c r="N1067" s="369"/>
      <c r="O1067" s="369"/>
      <c r="P1067" s="369"/>
      <c r="Q1067" s="27" t="s">
        <v>1035</v>
      </c>
      <c r="R1067" s="27" t="s">
        <v>1194</v>
      </c>
      <c r="S1067" s="27" t="s">
        <v>4568</v>
      </c>
      <c r="T1067" s="27" t="s">
        <v>4555</v>
      </c>
      <c r="U1067" s="370">
        <v>44835</v>
      </c>
      <c r="V1067" s="369"/>
      <c r="W1067" s="27" t="s">
        <v>4643</v>
      </c>
      <c r="X1067" s="27"/>
      <c r="Y1067" s="27"/>
      <c r="Z1067" s="27"/>
      <c r="AA1067" s="27" t="s">
        <v>4644</v>
      </c>
      <c r="AB1067" s="402">
        <v>194.88</v>
      </c>
      <c r="AC1067" s="369">
        <v>20</v>
      </c>
      <c r="AD1067" s="390"/>
      <c r="AE1067" s="391">
        <f t="shared" si="934"/>
        <v>18.792278400000001</v>
      </c>
      <c r="AF1067" s="391"/>
      <c r="AG1067" s="391">
        <f>EU1067</f>
        <v>3.2560493827160486</v>
      </c>
      <c r="AH1067" s="391">
        <f t="shared" si="935"/>
        <v>3.9000000000000004</v>
      </c>
      <c r="AI1067" s="391">
        <f t="shared" si="936"/>
        <v>5.8500000000000003E-2</v>
      </c>
      <c r="AJ1067" s="391">
        <f>GW1067</f>
        <v>6.5120987654320978E-2</v>
      </c>
      <c r="AK1067" s="391">
        <f>GU1067</f>
        <v>0.27560409728395063</v>
      </c>
      <c r="AL1067" s="391">
        <f>GS1067</f>
        <v>2.4253160560987657</v>
      </c>
      <c r="AM1067" s="391">
        <f>HV1067</f>
        <v>0.70109649122807016</v>
      </c>
      <c r="AN1067" s="391">
        <f>IG1067</f>
        <v>0.31</v>
      </c>
      <c r="AO1067" s="391"/>
      <c r="AP1067" s="391"/>
      <c r="AQ1067" s="391">
        <f>SUM(AE1067:AO1067)</f>
        <v>29.783965414981154</v>
      </c>
      <c r="AR1067" s="391">
        <f>IJ1067</f>
        <v>0</v>
      </c>
      <c r="AS1067" s="391">
        <f t="shared" si="937"/>
        <v>0</v>
      </c>
      <c r="AT1067" s="391">
        <f>30.28-28.92</f>
        <v>1.3599999999999994</v>
      </c>
      <c r="AU1067" s="391">
        <f>28.92-28.88</f>
        <v>4.00000000000027E-2</v>
      </c>
      <c r="AV1067" s="391">
        <f t="shared" si="938"/>
        <v>31.183965414981156</v>
      </c>
      <c r="AW1067" s="394">
        <v>9.6430000000000002E-2</v>
      </c>
      <c r="AX1067" s="394">
        <v>9.6430000000000002E-2</v>
      </c>
      <c r="AY1067" s="392">
        <v>1</v>
      </c>
      <c r="AZ1067" s="391">
        <f>(AW1067-AX1067)*AY1067</f>
        <v>0</v>
      </c>
      <c r="BA1067" s="391">
        <f>AW1067*AB1067-AZ1067*AC1067</f>
        <v>18.792278400000001</v>
      </c>
      <c r="BB1067" s="391"/>
      <c r="BC1067" s="391"/>
      <c r="BD1067" s="391"/>
      <c r="BE1067" s="391"/>
      <c r="BF1067" s="391"/>
      <c r="BG1067" s="391"/>
      <c r="BH1067" s="391"/>
      <c r="BI1067" s="391"/>
      <c r="BJ1067" s="391"/>
      <c r="BK1067" s="391"/>
      <c r="BL1067" s="391"/>
      <c r="BM1067" s="369"/>
      <c r="BN1067" s="369"/>
      <c r="BO1067" s="369"/>
      <c r="BP1067" s="369"/>
      <c r="BQ1067" s="369"/>
      <c r="BR1067" s="369"/>
      <c r="BS1067" s="369"/>
      <c r="BT1067" s="369"/>
      <c r="BU1067" s="369"/>
      <c r="BV1067" s="369"/>
      <c r="BW1067" s="369"/>
      <c r="BX1067" s="369"/>
      <c r="BY1067" s="369"/>
      <c r="BZ1067" s="369"/>
      <c r="CA1067" s="369"/>
      <c r="CB1067" s="369"/>
      <c r="CC1067" s="369"/>
      <c r="CD1067" s="369"/>
      <c r="CE1067" s="391">
        <v>0</v>
      </c>
      <c r="CF1067" s="391">
        <v>3</v>
      </c>
      <c r="CG1067" s="391">
        <v>1.3</v>
      </c>
      <c r="CH1067" s="391">
        <f>CF1067*CG1067</f>
        <v>3.9000000000000004</v>
      </c>
      <c r="CI1067" s="369"/>
      <c r="CJ1067" s="369"/>
      <c r="CK1067" s="369"/>
      <c r="CL1067" s="369"/>
      <c r="CM1067" s="369"/>
      <c r="CN1067" s="369"/>
      <c r="CO1067" s="369"/>
      <c r="CP1067" s="369"/>
      <c r="CQ1067" s="369"/>
      <c r="CR1067" s="369"/>
      <c r="CS1067" s="369"/>
      <c r="CT1067" s="369"/>
      <c r="CU1067" s="369"/>
      <c r="CV1067" s="369"/>
      <c r="CW1067" s="369"/>
      <c r="CX1067" s="369"/>
      <c r="CY1067" s="369"/>
      <c r="CZ1067" s="369"/>
      <c r="DA1067" s="369"/>
      <c r="DB1067" s="369"/>
      <c r="DC1067" s="369"/>
      <c r="DD1067" s="369"/>
      <c r="DE1067" s="369"/>
      <c r="DF1067" s="369"/>
      <c r="DG1067" s="369"/>
      <c r="DH1067" s="369"/>
      <c r="DI1067" s="369"/>
      <c r="DJ1067" s="369"/>
      <c r="DK1067" s="369"/>
      <c r="DL1067" s="369"/>
      <c r="DM1067" s="391">
        <f>CH1067+CM1067+CR1067+CW1067+DB1067+DG1067+DL1067</f>
        <v>3.9000000000000004</v>
      </c>
      <c r="DN1067" s="403">
        <v>1.4999999999999999E-2</v>
      </c>
      <c r="DO1067" s="391">
        <f>DM1067*DN1067</f>
        <v>5.8500000000000003E-2</v>
      </c>
      <c r="DP1067" s="391">
        <f>DM1067+DO1067</f>
        <v>3.9585000000000004</v>
      </c>
      <c r="DQ1067" s="369"/>
      <c r="DR1067" s="369"/>
      <c r="DS1067" s="369"/>
      <c r="DT1067" s="369"/>
      <c r="DU1067" s="369"/>
      <c r="DV1067" s="369"/>
      <c r="DW1067" s="369"/>
      <c r="DX1067" s="369"/>
      <c r="DY1067" s="395"/>
      <c r="DZ1067" s="369"/>
      <c r="EA1067" s="369"/>
      <c r="EB1067" s="396"/>
      <c r="EC1067" s="369"/>
      <c r="ED1067" s="369"/>
      <c r="EE1067" s="369"/>
      <c r="EF1067" s="369">
        <v>160</v>
      </c>
      <c r="EG1067" s="369">
        <v>1600</v>
      </c>
      <c r="EH1067" s="369">
        <v>7.5</v>
      </c>
      <c r="EI1067" s="395">
        <v>0.9</v>
      </c>
      <c r="EJ1067" s="369">
        <v>2</v>
      </c>
      <c r="EK1067" s="369">
        <v>66</v>
      </c>
      <c r="EL1067" s="396">
        <f>3600/EK1067*EH1067*EJ1067*EI1067</f>
        <v>736.36363636363649</v>
      </c>
      <c r="EM1067" s="369"/>
      <c r="EN1067" s="369"/>
      <c r="EO1067" s="369"/>
      <c r="EP1067" s="369"/>
      <c r="EQ1067" s="369"/>
      <c r="ER1067" s="391">
        <v>0.54320987654320974</v>
      </c>
      <c r="ES1067" s="391"/>
      <c r="ET1067" s="391"/>
      <c r="EU1067" s="391">
        <f>EG1067/EL1067+EM1067+EX1067+EP1067+EQ1067+ER1067+EO1067</f>
        <v>3.2560493827160486</v>
      </c>
      <c r="EV1067" s="369"/>
      <c r="EW1067" s="369"/>
      <c r="EX1067" s="369">
        <v>0.54</v>
      </c>
      <c r="EY1067" s="369"/>
      <c r="EZ1067" s="369"/>
      <c r="FA1067" s="369"/>
      <c r="FB1067" s="395"/>
      <c r="FC1067" s="391"/>
      <c r="FD1067" s="393"/>
      <c r="FE1067" s="391"/>
      <c r="FF1067" s="395"/>
      <c r="FG1067" s="391"/>
      <c r="FH1067" s="391"/>
      <c r="FI1067" s="391"/>
      <c r="FJ1067" s="391"/>
      <c r="FK1067" s="391"/>
      <c r="FL1067" s="391"/>
      <c r="FM1067" s="391"/>
      <c r="FN1067" s="391"/>
      <c r="FO1067" s="391"/>
      <c r="FP1067" s="391"/>
      <c r="FQ1067" s="391"/>
      <c r="FR1067" s="391"/>
      <c r="FS1067" s="391"/>
      <c r="FT1067" s="391"/>
      <c r="FU1067" s="391"/>
      <c r="FV1067" s="391"/>
      <c r="FW1067" s="391"/>
      <c r="FX1067" s="391"/>
      <c r="FY1067" s="391"/>
      <c r="FZ1067" s="391"/>
      <c r="GA1067" s="391"/>
      <c r="GB1067" s="391"/>
      <c r="GC1067" s="391"/>
      <c r="GD1067" s="391"/>
      <c r="GE1067" s="391"/>
      <c r="GF1067" s="391"/>
      <c r="GG1067" s="391"/>
      <c r="GH1067" s="391"/>
      <c r="GI1067" s="391"/>
      <c r="GJ1067" s="391"/>
      <c r="GK1067" s="391"/>
      <c r="GL1067" s="391"/>
      <c r="GM1067" s="391"/>
      <c r="GN1067" s="391"/>
      <c r="GO1067" s="391"/>
      <c r="GP1067" s="392"/>
      <c r="GQ1067" s="391"/>
      <c r="GR1067" s="395">
        <v>0.11</v>
      </c>
      <c r="GS1067" s="391">
        <f>GR1067*(BA1067+EU1067+EV1067)</f>
        <v>2.4253160560987657</v>
      </c>
      <c r="GT1067" s="393">
        <v>1.2500000000000001E-2</v>
      </c>
      <c r="GU1067" s="391">
        <f>GT1067*(EU1067+BA1067+EV1067)</f>
        <v>0.27560409728395063</v>
      </c>
      <c r="GV1067" s="395">
        <v>0.02</v>
      </c>
      <c r="GW1067" s="391">
        <f>GV1067*(EU1067-EP1067-EQ1067)</f>
        <v>6.5120987654320978E-2</v>
      </c>
      <c r="GX1067" s="391">
        <f>GS1067+GU1067+GW1067</f>
        <v>2.7660411410370371</v>
      </c>
      <c r="GY1067" s="369" t="s">
        <v>1800</v>
      </c>
      <c r="GZ1067" s="369" t="s">
        <v>274</v>
      </c>
      <c r="HA1067" s="391">
        <v>605</v>
      </c>
      <c r="HB1067" s="391">
        <v>375</v>
      </c>
      <c r="HC1067" s="391">
        <v>345</v>
      </c>
      <c r="HD1067" s="391">
        <v>114</v>
      </c>
      <c r="HE1067" s="391"/>
      <c r="HF1067" s="391">
        <f>ROUNDUP(HE1067/HD1067,0)</f>
        <v>0</v>
      </c>
      <c r="HG1067" s="391"/>
      <c r="HH1067" s="391">
        <f>HF1067*HG1067</f>
        <v>0</v>
      </c>
      <c r="HI1067" s="391">
        <v>79.924999999999997</v>
      </c>
      <c r="HJ1067" s="396">
        <f>HH1067*HI1067</f>
        <v>0</v>
      </c>
      <c r="HK1067" s="369"/>
      <c r="HL1067" s="391"/>
      <c r="HM1067" s="369"/>
      <c r="HN1067" s="396">
        <f t="shared" si="939"/>
        <v>0</v>
      </c>
      <c r="HO1067" s="391">
        <f>(IF(GY1067="carton box",HI1067/HD1067,HJ1067/HN1067))</f>
        <v>0.70109649122807016</v>
      </c>
      <c r="HP1067" s="391"/>
      <c r="HQ1067" s="369"/>
      <c r="HR1067" s="369"/>
      <c r="HS1067" s="391"/>
      <c r="HT1067" s="396"/>
      <c r="HU1067" s="396"/>
      <c r="HV1067" s="391">
        <f>(HO1067+HT1067)</f>
        <v>0.70109649122807016</v>
      </c>
      <c r="HW1067" s="391"/>
      <c r="HX1067" s="391">
        <v>4200</v>
      </c>
      <c r="HY1067" s="391">
        <v>1900</v>
      </c>
      <c r="HZ1067" s="391">
        <v>1975</v>
      </c>
      <c r="IA1067" s="391">
        <f t="shared" si="940"/>
        <v>6</v>
      </c>
      <c r="IB1067" s="391">
        <f t="shared" si="940"/>
        <v>5</v>
      </c>
      <c r="IC1067" s="391">
        <f t="shared" si="940"/>
        <v>5</v>
      </c>
      <c r="ID1067" s="395">
        <v>0.95</v>
      </c>
      <c r="IE1067" s="391">
        <f>PRODUCT(IA1067:ID1067)</f>
        <v>142.5</v>
      </c>
      <c r="IF1067" s="369">
        <v>5000</v>
      </c>
      <c r="IG1067" s="391">
        <f>ROUNDUP((IF1067/(IE1067*HD1067)),2)</f>
        <v>0.31</v>
      </c>
      <c r="IH1067" s="369"/>
      <c r="II1067" s="395">
        <v>0</v>
      </c>
      <c r="IJ1067" s="391">
        <f>II1067*(BA1067+EU1067)</f>
        <v>0</v>
      </c>
    </row>
    <row r="1068" spans="1:244">
      <c r="A1068">
        <v>1051</v>
      </c>
      <c r="B1068" t="s">
        <v>468</v>
      </c>
      <c r="C1068" s="27" t="s">
        <v>4642</v>
      </c>
      <c r="D1068" s="28" t="s">
        <v>3048</v>
      </c>
      <c r="E1068" s="27" t="s">
        <v>3049</v>
      </c>
      <c r="F1068" t="s">
        <v>2182</v>
      </c>
      <c r="G1068" s="27" t="s">
        <v>90</v>
      </c>
      <c r="I1068" s="27" t="s">
        <v>226</v>
      </c>
      <c r="J1068" s="28">
        <v>21590</v>
      </c>
      <c r="K1068" s="27" t="s">
        <v>397</v>
      </c>
      <c r="L1068" s="369"/>
      <c r="M1068" s="369"/>
      <c r="N1068" s="369"/>
      <c r="O1068" s="369"/>
      <c r="P1068" s="369"/>
      <c r="Q1068" s="27" t="s">
        <v>1035</v>
      </c>
      <c r="R1068" s="27" t="s">
        <v>1194</v>
      </c>
      <c r="S1068" s="27" t="s">
        <v>4568</v>
      </c>
      <c r="T1068" s="27" t="s">
        <v>4555</v>
      </c>
      <c r="U1068" s="370">
        <v>44585</v>
      </c>
      <c r="V1068" s="369"/>
      <c r="W1068" s="27" t="s">
        <v>4645</v>
      </c>
      <c r="X1068" s="27"/>
      <c r="Y1068" s="27"/>
      <c r="Z1068" s="27"/>
      <c r="AA1068" s="27" t="s">
        <v>4644</v>
      </c>
      <c r="AB1068" s="402">
        <v>194.88</v>
      </c>
      <c r="AC1068" s="369">
        <v>20</v>
      </c>
      <c r="AD1068" s="390"/>
      <c r="AE1068" s="391">
        <f t="shared" si="934"/>
        <v>18.792278400000001</v>
      </c>
      <c r="AF1068" s="391"/>
      <c r="AG1068" s="391">
        <f>EU1068</f>
        <v>3.2560493827160486</v>
      </c>
      <c r="AH1068" s="391">
        <f t="shared" si="935"/>
        <v>3.9000000000000004</v>
      </c>
      <c r="AI1068" s="391">
        <f t="shared" si="936"/>
        <v>5.8500000000000003E-2</v>
      </c>
      <c r="AJ1068" s="391">
        <f>GW1068</f>
        <v>6.5120987654320978E-2</v>
      </c>
      <c r="AK1068" s="391">
        <f>GU1068</f>
        <v>0.27560409728395063</v>
      </c>
      <c r="AL1068" s="391">
        <f>GS1068</f>
        <v>2.4253160560987657</v>
      </c>
      <c r="AM1068" s="391">
        <f>HV1068</f>
        <v>5.4166666666666669E-2</v>
      </c>
      <c r="AN1068" s="391">
        <f>IG1068</f>
        <v>0.05</v>
      </c>
      <c r="AO1068" s="391"/>
      <c r="AP1068" s="391"/>
      <c r="AQ1068" s="391">
        <f>SUM(AE1068:AO1068)</f>
        <v>28.877035590419752</v>
      </c>
      <c r="AR1068" s="391">
        <f>IJ1068</f>
        <v>0</v>
      </c>
      <c r="AS1068" s="391">
        <f t="shared" si="937"/>
        <v>0</v>
      </c>
      <c r="AT1068" s="391">
        <v>0</v>
      </c>
      <c r="AU1068" s="391">
        <f>28.92-28.88</f>
        <v>4.00000000000027E-2</v>
      </c>
      <c r="AV1068" s="391">
        <f t="shared" si="938"/>
        <v>28.917035590419754</v>
      </c>
      <c r="AW1068" s="394">
        <v>9.6430000000000002E-2</v>
      </c>
      <c r="AX1068" s="394">
        <v>9.6430000000000002E-2</v>
      </c>
      <c r="AY1068" s="392">
        <v>1</v>
      </c>
      <c r="AZ1068" s="391">
        <f>(AW1068-AX1068)*AY1068</f>
        <v>0</v>
      </c>
      <c r="BA1068" s="391">
        <f>AW1068*AB1068-AZ1068*AC1068</f>
        <v>18.792278400000001</v>
      </c>
      <c r="BB1068" s="391"/>
      <c r="BC1068" s="391"/>
      <c r="BD1068" s="391"/>
      <c r="BE1068" s="391"/>
      <c r="BF1068" s="391"/>
      <c r="BG1068" s="391"/>
      <c r="BH1068" s="391"/>
      <c r="BI1068" s="391"/>
      <c r="BJ1068" s="391"/>
      <c r="BK1068" s="391"/>
      <c r="BL1068" s="391"/>
      <c r="BM1068" s="369"/>
      <c r="BN1068" s="369"/>
      <c r="BO1068" s="369"/>
      <c r="BP1068" s="369"/>
      <c r="BQ1068" s="369"/>
      <c r="BR1068" s="369"/>
      <c r="BS1068" s="369"/>
      <c r="BT1068" s="369"/>
      <c r="BU1068" s="369"/>
      <c r="BV1068" s="369"/>
      <c r="BW1068" s="369"/>
      <c r="BX1068" s="369"/>
      <c r="BY1068" s="369"/>
      <c r="BZ1068" s="369"/>
      <c r="CA1068" s="369"/>
      <c r="CB1068" s="369"/>
      <c r="CC1068" s="369"/>
      <c r="CD1068" s="369"/>
      <c r="CE1068" s="391">
        <v>0</v>
      </c>
      <c r="CF1068" s="391">
        <v>3</v>
      </c>
      <c r="CG1068" s="391">
        <v>1.3</v>
      </c>
      <c r="CH1068" s="391">
        <f>CF1068*CG1068</f>
        <v>3.9000000000000004</v>
      </c>
      <c r="CI1068" s="369"/>
      <c r="CJ1068" s="369"/>
      <c r="CK1068" s="369"/>
      <c r="CL1068" s="369"/>
      <c r="CM1068" s="369"/>
      <c r="CN1068" s="369"/>
      <c r="CO1068" s="369"/>
      <c r="CP1068" s="369"/>
      <c r="CQ1068" s="369"/>
      <c r="CR1068" s="369"/>
      <c r="CS1068" s="369"/>
      <c r="CT1068" s="369"/>
      <c r="CU1068" s="369"/>
      <c r="CV1068" s="369"/>
      <c r="CW1068" s="369"/>
      <c r="CX1068" s="369"/>
      <c r="CY1068" s="369"/>
      <c r="CZ1068" s="369"/>
      <c r="DA1068" s="369"/>
      <c r="DB1068" s="369"/>
      <c r="DC1068" s="369"/>
      <c r="DD1068" s="369"/>
      <c r="DE1068" s="369"/>
      <c r="DF1068" s="369"/>
      <c r="DG1068" s="369"/>
      <c r="DH1068" s="369"/>
      <c r="DI1068" s="369"/>
      <c r="DJ1068" s="369"/>
      <c r="DK1068" s="369"/>
      <c r="DL1068" s="369"/>
      <c r="DM1068" s="391">
        <f>CH1068+CM1068+CR1068+CW1068+DB1068+DG1068+DL1068</f>
        <v>3.9000000000000004</v>
      </c>
      <c r="DN1068" s="403">
        <v>1.4999999999999999E-2</v>
      </c>
      <c r="DO1068" s="391">
        <f>DM1068*DN1068</f>
        <v>5.8500000000000003E-2</v>
      </c>
      <c r="DP1068" s="391">
        <f>DM1068+DO1068</f>
        <v>3.9585000000000004</v>
      </c>
      <c r="DQ1068" s="369"/>
      <c r="DR1068" s="369"/>
      <c r="DS1068" s="369"/>
      <c r="DT1068" s="369"/>
      <c r="DU1068" s="369"/>
      <c r="DV1068" s="369"/>
      <c r="DW1068" s="369"/>
      <c r="DX1068" s="369"/>
      <c r="DY1068" s="395"/>
      <c r="DZ1068" s="369"/>
      <c r="EA1068" s="369"/>
      <c r="EB1068" s="396"/>
      <c r="EC1068" s="369"/>
      <c r="ED1068" s="369"/>
      <c r="EE1068" s="369"/>
      <c r="EF1068" s="369">
        <v>160</v>
      </c>
      <c r="EG1068" s="369">
        <v>1600</v>
      </c>
      <c r="EH1068" s="369">
        <v>7.5</v>
      </c>
      <c r="EI1068" s="395">
        <v>0.9</v>
      </c>
      <c r="EJ1068" s="369">
        <v>2</v>
      </c>
      <c r="EK1068" s="369">
        <v>66</v>
      </c>
      <c r="EL1068" s="396">
        <f>3600/EK1068*EH1068*EJ1068*EI1068</f>
        <v>736.36363636363649</v>
      </c>
      <c r="EM1068" s="369"/>
      <c r="EN1068" s="369"/>
      <c r="EO1068" s="369"/>
      <c r="EP1068" s="369"/>
      <c r="EQ1068" s="369"/>
      <c r="ER1068" s="391">
        <v>0.54320987654320974</v>
      </c>
      <c r="ES1068" s="391"/>
      <c r="ET1068" s="391"/>
      <c r="EU1068" s="391">
        <f>EG1068/EL1068+EM1068+EX1068+EP1068+EQ1068+ER1068+EO1068</f>
        <v>3.2560493827160486</v>
      </c>
      <c r="EV1068" s="369"/>
      <c r="EW1068" s="369"/>
      <c r="EX1068" s="369">
        <v>0.54</v>
      </c>
      <c r="EY1068" s="369"/>
      <c r="EZ1068" s="369"/>
      <c r="FA1068" s="369"/>
      <c r="FB1068" s="395"/>
      <c r="FC1068" s="391"/>
      <c r="FD1068" s="393"/>
      <c r="FE1068" s="391"/>
      <c r="FF1068" s="395"/>
      <c r="FG1068" s="391"/>
      <c r="FH1068" s="391"/>
      <c r="FI1068" s="391"/>
      <c r="FJ1068" s="391"/>
      <c r="FK1068" s="391"/>
      <c r="FL1068" s="391"/>
      <c r="FM1068" s="391"/>
      <c r="FN1068" s="391"/>
      <c r="FO1068" s="391"/>
      <c r="FP1068" s="391"/>
      <c r="FQ1068" s="391"/>
      <c r="FR1068" s="391"/>
      <c r="FS1068" s="391"/>
      <c r="FT1068" s="391"/>
      <c r="FU1068" s="391"/>
      <c r="FV1068" s="391"/>
      <c r="FW1068" s="391"/>
      <c r="FX1068" s="391"/>
      <c r="FY1068" s="391"/>
      <c r="FZ1068" s="391"/>
      <c r="GA1068" s="391"/>
      <c r="GB1068" s="391"/>
      <c r="GC1068" s="391"/>
      <c r="GD1068" s="391"/>
      <c r="GE1068" s="391"/>
      <c r="GF1068" s="391"/>
      <c r="GG1068" s="391"/>
      <c r="GH1068" s="391"/>
      <c r="GI1068" s="391"/>
      <c r="GJ1068" s="391"/>
      <c r="GK1068" s="391"/>
      <c r="GL1068" s="391"/>
      <c r="GM1068" s="391"/>
      <c r="GN1068" s="391"/>
      <c r="GO1068" s="391"/>
      <c r="GP1068" s="392"/>
      <c r="GQ1068" s="391"/>
      <c r="GR1068" s="395">
        <v>0.11</v>
      </c>
      <c r="GS1068" s="391">
        <f>GR1068*(BA1068+EU1068+EV1068)</f>
        <v>2.4253160560987657</v>
      </c>
      <c r="GT1068" s="393">
        <v>1.2500000000000001E-2</v>
      </c>
      <c r="GU1068" s="391">
        <f>GT1068*(EU1068+BA1068+EV1068)</f>
        <v>0.27560409728395063</v>
      </c>
      <c r="GV1068" s="395">
        <v>0.02</v>
      </c>
      <c r="GW1068" s="391">
        <f>GV1068*(EU1068-EP1068-EQ1068)</f>
        <v>6.5120987654320978E-2</v>
      </c>
      <c r="GX1068" s="391">
        <f>GS1068+GU1068+GW1068</f>
        <v>2.7660411410370371</v>
      </c>
      <c r="GY1068" s="369" t="s">
        <v>43</v>
      </c>
      <c r="GZ1068" s="369" t="s">
        <v>87</v>
      </c>
      <c r="HA1068" s="391">
        <v>650</v>
      </c>
      <c r="HB1068" s="391">
        <v>450</v>
      </c>
      <c r="HC1068" s="391">
        <v>330</v>
      </c>
      <c r="HD1068" s="391">
        <v>108</v>
      </c>
      <c r="HE1068" s="391">
        <v>200</v>
      </c>
      <c r="HF1068" s="391">
        <f>ROUNDUP(HE1068/HD1068,0)</f>
        <v>2</v>
      </c>
      <c r="HG1068" s="391">
        <v>5</v>
      </c>
      <c r="HH1068" s="391">
        <f>HF1068*HG1068</f>
        <v>10</v>
      </c>
      <c r="HI1068" s="391">
        <v>650</v>
      </c>
      <c r="HJ1068" s="396">
        <f>HH1068*HI1068</f>
        <v>6500</v>
      </c>
      <c r="HK1068" s="369"/>
      <c r="HL1068" s="391"/>
      <c r="HM1068" s="369">
        <v>2</v>
      </c>
      <c r="HN1068" s="396">
        <f t="shared" si="939"/>
        <v>120000</v>
      </c>
      <c r="HO1068" s="391">
        <f>(IF(GY1068="carton box",HI1068/HD1068,HJ1068/HN1068))</f>
        <v>5.4166666666666669E-2</v>
      </c>
      <c r="HP1068" s="391"/>
      <c r="HQ1068" s="369"/>
      <c r="HR1068" s="369"/>
      <c r="HS1068" s="391"/>
      <c r="HT1068" s="396"/>
      <c r="HU1068" s="396"/>
      <c r="HV1068" s="391">
        <f>(HO1068+HT1068)</f>
        <v>5.4166666666666669E-2</v>
      </c>
      <c r="HW1068" s="391"/>
      <c r="HX1068" s="391">
        <v>4200</v>
      </c>
      <c r="HY1068" s="391">
        <v>1900</v>
      </c>
      <c r="HZ1068" s="391">
        <v>1975</v>
      </c>
      <c r="IA1068" s="391">
        <f t="shared" si="940"/>
        <v>6</v>
      </c>
      <c r="IB1068" s="391">
        <f t="shared" si="940"/>
        <v>4</v>
      </c>
      <c r="IC1068" s="391">
        <f t="shared" si="940"/>
        <v>5</v>
      </c>
      <c r="ID1068" s="395">
        <v>0.95</v>
      </c>
      <c r="IE1068" s="391">
        <f>PRODUCT(IA1068:ID1068)</f>
        <v>114</v>
      </c>
      <c r="IF1068" s="369">
        <v>500</v>
      </c>
      <c r="IG1068" s="391">
        <f>ROUNDUP((IF1068/(IE1068*HD1068)),2)</f>
        <v>0.05</v>
      </c>
      <c r="IH1068" s="369"/>
      <c r="II1068" s="395">
        <v>0</v>
      </c>
      <c r="IJ1068" s="391">
        <f>II1068*(BA1068+EU1068)</f>
        <v>0</v>
      </c>
    </row>
    <row r="1069" spans="1:244" ht="25.5">
      <c r="A1069">
        <v>1052</v>
      </c>
      <c r="B1069" t="s">
        <v>468</v>
      </c>
      <c r="C1069" s="400" t="s">
        <v>4646</v>
      </c>
      <c r="D1069" s="28" t="s">
        <v>638</v>
      </c>
      <c r="E1069" s="27" t="s">
        <v>639</v>
      </c>
      <c r="F1069" t="s">
        <v>2182</v>
      </c>
      <c r="G1069" s="27" t="s">
        <v>90</v>
      </c>
      <c r="I1069" s="27" t="s">
        <v>226</v>
      </c>
      <c r="J1069" s="28">
        <v>21557</v>
      </c>
      <c r="K1069" s="27" t="s">
        <v>396</v>
      </c>
      <c r="L1069" s="27">
        <v>21205</v>
      </c>
      <c r="M1069" s="27" t="s">
        <v>226</v>
      </c>
      <c r="N1069" s="369"/>
      <c r="O1069" s="369"/>
      <c r="P1069" s="369"/>
      <c r="Q1069" s="27" t="s">
        <v>1035</v>
      </c>
      <c r="R1069" s="27" t="s">
        <v>1769</v>
      </c>
      <c r="S1069" s="370">
        <v>43539</v>
      </c>
      <c r="T1069" s="27" t="s">
        <v>4555</v>
      </c>
      <c r="U1069" s="370">
        <v>43571</v>
      </c>
      <c r="V1069" s="369"/>
      <c r="W1069" s="162" t="s">
        <v>4647</v>
      </c>
      <c r="X1069" s="162"/>
      <c r="Y1069" s="162"/>
      <c r="Z1069" s="162"/>
      <c r="AA1069" s="27" t="s">
        <v>4648</v>
      </c>
      <c r="AB1069" s="369">
        <v>98.5</v>
      </c>
      <c r="AC1069" s="369">
        <v>0</v>
      </c>
      <c r="AD1069" s="390"/>
      <c r="AE1069" s="391">
        <f t="shared" si="934"/>
        <v>22.31025</v>
      </c>
      <c r="AF1069" s="391"/>
      <c r="AG1069" s="391">
        <f>EU1069</f>
        <v>2.9856481481481487</v>
      </c>
      <c r="AH1069" s="391">
        <f t="shared" si="935"/>
        <v>0</v>
      </c>
      <c r="AI1069" s="391">
        <f t="shared" si="936"/>
        <v>0</v>
      </c>
      <c r="AJ1069" s="391">
        <f>GW1069</f>
        <v>0.2</v>
      </c>
      <c r="AK1069" s="391">
        <f>GU1069</f>
        <v>5.9712962962962975E-2</v>
      </c>
      <c r="AL1069" s="391">
        <f>GO1069+GQ1069+GS1069</f>
        <v>4.2028585648148145</v>
      </c>
      <c r="AM1069" s="391">
        <f>HV1069</f>
        <v>5.4166666666666669E-2</v>
      </c>
      <c r="AN1069" s="391">
        <f>IG1069</f>
        <v>0</v>
      </c>
      <c r="AO1069" s="391"/>
      <c r="AP1069" s="391"/>
      <c r="AQ1069" s="391">
        <f>SUM(AE1069:AO1069)</f>
        <v>29.81263634259259</v>
      </c>
      <c r="AR1069" s="391">
        <f>IJ1069</f>
        <v>0.37421447980878991</v>
      </c>
      <c r="AS1069" s="391">
        <f t="shared" si="937"/>
        <v>0</v>
      </c>
      <c r="AT1069" s="391">
        <v>0</v>
      </c>
      <c r="AU1069" s="391">
        <f>30.21-30.19</f>
        <v>1.9999999999999574E-2</v>
      </c>
      <c r="AV1069" s="391">
        <f t="shared" si="938"/>
        <v>30.206850822401378</v>
      </c>
      <c r="AW1069" s="369">
        <f>226.5/1000</f>
        <v>0.22650000000000001</v>
      </c>
      <c r="AX1069" s="369">
        <f>189/1000</f>
        <v>0.189</v>
      </c>
      <c r="AY1069" s="392">
        <v>1</v>
      </c>
      <c r="AZ1069" s="391">
        <f>(AW1069-AX1069)*AY1069</f>
        <v>3.7500000000000006E-2</v>
      </c>
      <c r="BA1069" s="391">
        <f>AW1069*AB1069-AZ1069*AC1069</f>
        <v>22.31025</v>
      </c>
      <c r="BB1069" s="391"/>
      <c r="BC1069" s="391"/>
      <c r="BD1069" s="391"/>
      <c r="BE1069" s="391"/>
      <c r="BF1069" s="391"/>
      <c r="BG1069" s="391"/>
      <c r="BH1069" s="391"/>
      <c r="BI1069" s="391"/>
      <c r="BJ1069" s="369"/>
      <c r="BK1069" s="369"/>
      <c r="BL1069" s="369"/>
      <c r="BM1069" s="369"/>
      <c r="BN1069" s="369"/>
      <c r="BO1069" s="369"/>
      <c r="BP1069" s="369"/>
      <c r="BQ1069" s="369"/>
      <c r="BR1069" s="369"/>
      <c r="BS1069" s="369"/>
      <c r="BT1069" s="369"/>
      <c r="BU1069" s="369"/>
      <c r="BV1069" s="369"/>
      <c r="BW1069" s="369"/>
      <c r="BX1069" s="369"/>
      <c r="BY1069" s="369"/>
      <c r="BZ1069" s="369"/>
      <c r="CA1069" s="369"/>
      <c r="CB1069" s="369"/>
      <c r="CC1069" s="369"/>
      <c r="CD1069" s="369"/>
      <c r="CE1069" s="369"/>
      <c r="CF1069" s="369"/>
      <c r="CG1069" s="369"/>
      <c r="CH1069" s="369"/>
      <c r="CI1069" s="369"/>
      <c r="CJ1069" s="369"/>
      <c r="CK1069" s="369"/>
      <c r="CL1069" s="369"/>
      <c r="CM1069" s="369"/>
      <c r="CN1069" s="369"/>
      <c r="CO1069" s="369"/>
      <c r="CP1069" s="369"/>
      <c r="CQ1069" s="369"/>
      <c r="CR1069" s="369"/>
      <c r="CS1069" s="369"/>
      <c r="CT1069" s="369"/>
      <c r="CU1069" s="369"/>
      <c r="CV1069" s="369"/>
      <c r="CW1069" s="369"/>
      <c r="CX1069" s="369"/>
      <c r="CY1069" s="369"/>
      <c r="CZ1069" s="369"/>
      <c r="DA1069" s="369"/>
      <c r="DB1069" s="369"/>
      <c r="DC1069" s="369"/>
      <c r="DD1069" s="369"/>
      <c r="DE1069" s="369"/>
      <c r="DF1069" s="369"/>
      <c r="DG1069" s="369"/>
      <c r="DH1069" s="369"/>
      <c r="DI1069" s="369"/>
      <c r="DJ1069" s="369"/>
      <c r="DK1069" s="369"/>
      <c r="DL1069" s="369"/>
      <c r="DM1069" s="369"/>
      <c r="DN1069" s="369"/>
      <c r="DO1069" s="369"/>
      <c r="DP1069" s="369"/>
      <c r="DQ1069" s="369"/>
      <c r="DR1069" s="369"/>
      <c r="DS1069" s="369"/>
      <c r="DT1069" s="369"/>
      <c r="DU1069" s="369"/>
      <c r="DV1069" s="369"/>
      <c r="DW1069" s="369"/>
      <c r="DX1069" s="369"/>
      <c r="DY1069" s="369"/>
      <c r="DZ1069" s="369"/>
      <c r="EA1069" s="369"/>
      <c r="EB1069" s="369"/>
      <c r="EC1069" s="369"/>
      <c r="ED1069" s="369"/>
      <c r="EE1069" s="369"/>
      <c r="EF1069" s="369">
        <v>200</v>
      </c>
      <c r="EG1069" s="369">
        <v>2450</v>
      </c>
      <c r="EH1069" s="369">
        <v>8</v>
      </c>
      <c r="EI1069" s="395">
        <v>0.9</v>
      </c>
      <c r="EJ1069" s="369">
        <v>2</v>
      </c>
      <c r="EK1069" s="369">
        <v>60</v>
      </c>
      <c r="EL1069" s="396">
        <f>3600/EK1069*EH1069*EJ1069*EI1069</f>
        <v>864</v>
      </c>
      <c r="EM1069" s="369">
        <v>7.4999999999999997E-2</v>
      </c>
      <c r="EN1069" s="369"/>
      <c r="EO1069" s="369"/>
      <c r="EP1069" s="369"/>
      <c r="EQ1069" s="369"/>
      <c r="ER1069" s="369"/>
      <c r="ES1069" s="369"/>
      <c r="ET1069" s="369"/>
      <c r="EU1069" s="391">
        <f>EG1069/EL1069+EM1069+EX1069+EP1069+EQ1069+ER1069+EO1069+EV1069</f>
        <v>2.9856481481481487</v>
      </c>
      <c r="EV1069" s="369">
        <v>7.4999999999999997E-2</v>
      </c>
      <c r="EW1069" s="369"/>
      <c r="EX1069" s="369"/>
      <c r="EY1069" s="369"/>
      <c r="EZ1069" s="369"/>
      <c r="FA1069" s="369"/>
      <c r="FB1069" s="369"/>
      <c r="FC1069" s="369"/>
      <c r="FD1069" s="369"/>
      <c r="FE1069" s="369"/>
      <c r="FF1069" s="369"/>
      <c r="FG1069" s="369"/>
      <c r="FH1069" s="369"/>
      <c r="FI1069" s="369"/>
      <c r="FJ1069" s="369"/>
      <c r="FK1069" s="369"/>
      <c r="FL1069" s="369"/>
      <c r="FM1069" s="369"/>
      <c r="FN1069" s="369"/>
      <c r="FO1069" s="369"/>
      <c r="FP1069" s="369"/>
      <c r="FQ1069" s="369"/>
      <c r="FR1069" s="369"/>
      <c r="FS1069" s="369"/>
      <c r="FT1069" s="369"/>
      <c r="FU1069" s="369"/>
      <c r="FV1069" s="369"/>
      <c r="FW1069" s="369"/>
      <c r="FX1069" s="369"/>
      <c r="FY1069" s="369"/>
      <c r="FZ1069" s="369"/>
      <c r="GA1069" s="369"/>
      <c r="GB1069" s="369"/>
      <c r="GC1069" s="369"/>
      <c r="GD1069" s="369"/>
      <c r="GE1069" s="369"/>
      <c r="GF1069" s="369"/>
      <c r="GG1069" s="369"/>
      <c r="GH1069" s="369"/>
      <c r="GI1069" s="369"/>
      <c r="GJ1069" s="369"/>
      <c r="GK1069" s="369"/>
      <c r="GL1069" s="369"/>
      <c r="GM1069" s="369"/>
      <c r="GN1069" s="395">
        <v>0.1</v>
      </c>
      <c r="GO1069" s="391">
        <f>GN1069*(EU1069+BA1069)</f>
        <v>2.5295898148148148</v>
      </c>
      <c r="GP1069" s="392">
        <v>7.4999999999999997E-2</v>
      </c>
      <c r="GQ1069" s="391">
        <f>GP1069*BA1069</f>
        <v>1.6732687499999999</v>
      </c>
      <c r="GR1069" s="395"/>
      <c r="GS1069" s="391"/>
      <c r="GT1069" s="393">
        <v>0.02</v>
      </c>
      <c r="GU1069" s="391">
        <f>GT1069*EU1069</f>
        <v>5.9712962962962975E-2</v>
      </c>
      <c r="GV1069" s="395"/>
      <c r="GW1069" s="391">
        <v>0.2</v>
      </c>
      <c r="GX1069" s="391">
        <f>GS1069+GU1069+GW1069</f>
        <v>0.25971296296296298</v>
      </c>
      <c r="GY1069" s="369" t="s">
        <v>43</v>
      </c>
      <c r="GZ1069" s="369" t="s">
        <v>87</v>
      </c>
      <c r="HA1069" s="391">
        <v>650</v>
      </c>
      <c r="HB1069" s="391">
        <v>450</v>
      </c>
      <c r="HC1069" s="391">
        <v>315</v>
      </c>
      <c r="HD1069" s="391">
        <v>100</v>
      </c>
      <c r="HE1069" s="391">
        <v>1400</v>
      </c>
      <c r="HF1069" s="391">
        <f>ROUNDUP(HE1069/HD1069,0)</f>
        <v>14</v>
      </c>
      <c r="HG1069" s="391">
        <v>5</v>
      </c>
      <c r="HH1069" s="391">
        <f>HF1069*HG1069</f>
        <v>70</v>
      </c>
      <c r="HI1069" s="391">
        <v>650</v>
      </c>
      <c r="HJ1069" s="396">
        <f>HH1069*HI1069</f>
        <v>45500</v>
      </c>
      <c r="HK1069" s="369"/>
      <c r="HL1069" s="369"/>
      <c r="HM1069" s="369">
        <v>2</v>
      </c>
      <c r="HN1069" s="396">
        <f t="shared" si="939"/>
        <v>840000</v>
      </c>
      <c r="HO1069" s="391">
        <f>(IF(GY1069="carton box",HI1069/HD1069,HJ1069/HN1069))</f>
        <v>5.4166666666666669E-2</v>
      </c>
      <c r="HP1069" s="369"/>
      <c r="HQ1069" s="369"/>
      <c r="HR1069" s="369"/>
      <c r="HS1069" s="369"/>
      <c r="HT1069" s="369"/>
      <c r="HU1069" s="369"/>
      <c r="HV1069" s="391">
        <f>(HO1069+HT1069)</f>
        <v>5.4166666666666669E-2</v>
      </c>
      <c r="HW1069" s="369"/>
      <c r="HX1069" s="369">
        <v>2800</v>
      </c>
      <c r="HY1069" s="369">
        <v>1890</v>
      </c>
      <c r="HZ1069" s="369">
        <v>1950</v>
      </c>
      <c r="IA1069" s="391">
        <f t="shared" si="940"/>
        <v>4</v>
      </c>
      <c r="IB1069" s="391">
        <f t="shared" si="940"/>
        <v>4</v>
      </c>
      <c r="IC1069" s="391">
        <f t="shared" si="940"/>
        <v>6</v>
      </c>
      <c r="ID1069" s="395">
        <v>0.95</v>
      </c>
      <c r="IE1069" s="391">
        <f>PRODUCT(IA1069:ID1069)</f>
        <v>91.199999999999989</v>
      </c>
      <c r="IF1069" s="369">
        <v>0</v>
      </c>
      <c r="IG1069" s="391">
        <f>ROUNDUP((IF1069/(IE1069*HD1069)),2)</f>
        <v>0</v>
      </c>
      <c r="IH1069" s="369"/>
      <c r="II1069" s="393">
        <v>0.10249999999999999</v>
      </c>
      <c r="IJ1069" s="391">
        <f>(IG1069+HV1069+GU1069+GS1069+EU1069+BA1069+GQ1069+GO1069)*II1069*(45/365)</f>
        <v>0.37421447980878991</v>
      </c>
    </row>
    <row r="1070" spans="1:244">
      <c r="A1070">
        <v>1053</v>
      </c>
      <c r="C1070" s="27" t="s">
        <v>567</v>
      </c>
      <c r="D1070" s="28" t="s">
        <v>3050</v>
      </c>
      <c r="E1070" s="27" t="s">
        <v>3051</v>
      </c>
      <c r="F1070" t="s">
        <v>2444</v>
      </c>
      <c r="G1070" s="27" t="s">
        <v>90</v>
      </c>
      <c r="I1070" s="27" t="s">
        <v>94</v>
      </c>
      <c r="J1070" s="28">
        <v>29268</v>
      </c>
      <c r="K1070" s="27" t="s">
        <v>229</v>
      </c>
      <c r="L1070" s="371"/>
      <c r="M1070" s="369"/>
      <c r="N1070" s="27" t="s">
        <v>4649</v>
      </c>
      <c r="O1070" s="27" t="s">
        <v>1763</v>
      </c>
      <c r="P1070" s="370">
        <v>44347</v>
      </c>
      <c r="Q1070" s="369"/>
      <c r="R1070" s="369"/>
      <c r="S1070" s="369"/>
      <c r="T1070" s="369"/>
      <c r="U1070" s="369"/>
      <c r="V1070" s="369"/>
      <c r="W1070" s="27" t="s">
        <v>1765</v>
      </c>
    </row>
    <row r="1071" spans="1:244">
      <c r="A1071">
        <v>1054</v>
      </c>
      <c r="B1071" t="s">
        <v>468</v>
      </c>
      <c r="C1071" s="400" t="s">
        <v>4650</v>
      </c>
      <c r="D1071" s="28" t="s">
        <v>3050</v>
      </c>
      <c r="E1071" s="27" t="s">
        <v>3051</v>
      </c>
      <c r="F1071" t="s">
        <v>2182</v>
      </c>
      <c r="G1071" s="27" t="s">
        <v>90</v>
      </c>
      <c r="I1071" s="27" t="s">
        <v>226</v>
      </c>
      <c r="J1071" s="28">
        <v>29164</v>
      </c>
      <c r="K1071" s="27" t="s">
        <v>229</v>
      </c>
      <c r="L1071" s="371"/>
      <c r="M1071" s="369"/>
      <c r="N1071" s="369"/>
      <c r="O1071" s="369"/>
      <c r="P1071" s="369"/>
      <c r="Q1071" s="27" t="s">
        <v>1777</v>
      </c>
      <c r="R1071" s="27" t="s">
        <v>1769</v>
      </c>
      <c r="S1071" s="370">
        <v>43635</v>
      </c>
      <c r="T1071" s="27" t="s">
        <v>4555</v>
      </c>
      <c r="U1071" s="370">
        <v>43721</v>
      </c>
      <c r="V1071" s="369"/>
      <c r="W1071" s="27" t="s">
        <v>4598</v>
      </c>
      <c r="X1071" s="27"/>
      <c r="Y1071" s="27"/>
      <c r="Z1071" s="27"/>
      <c r="AA1071" s="27" t="s">
        <v>4651</v>
      </c>
      <c r="AB1071" s="369">
        <v>135.38999999999999</v>
      </c>
      <c r="AC1071" s="369">
        <v>20</v>
      </c>
      <c r="AD1071" s="390" t="s">
        <v>280</v>
      </c>
      <c r="AE1071" s="391">
        <f t="shared" ref="AE1071" si="941">BA1071</f>
        <v>41.890899999999995</v>
      </c>
      <c r="AF1071" s="391"/>
      <c r="AG1071" s="391">
        <f>EU1071</f>
        <v>7.6754385964912277</v>
      </c>
      <c r="AH1071" s="391">
        <f t="shared" ref="AH1071" si="942">DM1071</f>
        <v>2.0699999999999998</v>
      </c>
      <c r="AI1071" s="394">
        <f t="shared" ref="AI1071" si="943">DO1071</f>
        <v>2.5874999999999999E-2</v>
      </c>
      <c r="AJ1071" s="391">
        <f>GW1071</f>
        <v>0.15350877192982457</v>
      </c>
      <c r="AK1071" s="391">
        <f>GU1071</f>
        <v>0.61957923245614033</v>
      </c>
      <c r="AL1071" s="391">
        <f>GS1071</f>
        <v>5.4522972456140346</v>
      </c>
      <c r="AM1071" s="391">
        <f>HV1071</f>
        <v>0.57291666666666663</v>
      </c>
      <c r="AN1071" s="391">
        <f>IG1071</f>
        <v>0.43402777777777779</v>
      </c>
      <c r="AO1071" s="391"/>
      <c r="AP1071" s="391"/>
      <c r="AQ1071" s="391">
        <f>SUM(AE1071:AO1071)</f>
        <v>58.894543290935658</v>
      </c>
      <c r="AR1071" s="391">
        <f>IJ1071</f>
        <v>0</v>
      </c>
      <c r="AS1071" s="391">
        <f t="shared" ref="AS1071" si="944">EE1071</f>
        <v>0</v>
      </c>
      <c r="AT1071" s="391">
        <v>0</v>
      </c>
      <c r="AU1071" s="391">
        <f>58.89*3%</f>
        <v>1.7666999999999999</v>
      </c>
      <c r="AV1071" s="391">
        <f t="shared" ref="AV1071" si="945">AQ1071+AT1071+AU1071+AR1071+AS1071</f>
        <v>60.661243290935658</v>
      </c>
      <c r="AW1071" s="394">
        <v>0.31</v>
      </c>
      <c r="AX1071" s="369">
        <v>0.30599999999999999</v>
      </c>
      <c r="AY1071" s="392">
        <v>1</v>
      </c>
      <c r="AZ1071" s="391">
        <f>(AW1071-AX1071)*AY1071</f>
        <v>4.0000000000000036E-3</v>
      </c>
      <c r="BA1071" s="391">
        <f>AW1071*AB1071-AZ1071*AC1071</f>
        <v>41.890899999999995</v>
      </c>
      <c r="BB1071" s="391"/>
      <c r="BC1071" s="391"/>
      <c r="BD1071" s="391"/>
      <c r="BE1071" s="391"/>
      <c r="BF1071" s="391"/>
      <c r="BG1071" s="391"/>
      <c r="BH1071" s="391"/>
      <c r="BI1071" s="391"/>
      <c r="BJ1071" s="369"/>
      <c r="BK1071" s="369"/>
      <c r="BL1071" s="369"/>
      <c r="BM1071" s="369"/>
      <c r="BN1071" s="369"/>
      <c r="BO1071" s="369"/>
      <c r="BP1071" s="369"/>
      <c r="BQ1071" s="369"/>
      <c r="BR1071" s="369"/>
      <c r="BS1071" s="369"/>
      <c r="BT1071" s="369"/>
      <c r="BU1071" s="369"/>
      <c r="BV1071" s="369"/>
      <c r="BW1071" s="369"/>
      <c r="BX1071" s="369"/>
      <c r="BY1071" s="369"/>
      <c r="BZ1071" s="369"/>
      <c r="CA1071" s="369"/>
      <c r="CB1071" s="369"/>
      <c r="CC1071" s="369"/>
      <c r="CD1071" s="369"/>
      <c r="CE1071" s="391">
        <v>0</v>
      </c>
      <c r="CF1071" s="391">
        <v>3</v>
      </c>
      <c r="CG1071" s="369">
        <v>0.69</v>
      </c>
      <c r="CH1071" s="391">
        <f>CF1071*CG1071</f>
        <v>2.0699999999999998</v>
      </c>
      <c r="CI1071" s="369"/>
      <c r="CJ1071" s="369"/>
      <c r="CK1071" s="369"/>
      <c r="CL1071" s="369"/>
      <c r="CM1071" s="369"/>
      <c r="CN1071" s="369"/>
      <c r="CO1071" s="369"/>
      <c r="CP1071" s="369"/>
      <c r="CQ1071" s="369"/>
      <c r="CR1071" s="369"/>
      <c r="CS1071" s="369"/>
      <c r="CT1071" s="369"/>
      <c r="CU1071" s="369"/>
      <c r="CV1071" s="369"/>
      <c r="CW1071" s="369"/>
      <c r="CX1071" s="369"/>
      <c r="CY1071" s="369"/>
      <c r="CZ1071" s="369"/>
      <c r="DA1071" s="369"/>
      <c r="DB1071" s="369"/>
      <c r="DC1071" s="369"/>
      <c r="DD1071" s="369"/>
      <c r="DE1071" s="369"/>
      <c r="DF1071" s="369"/>
      <c r="DG1071" s="369"/>
      <c r="DH1071" s="369"/>
      <c r="DI1071" s="369"/>
      <c r="DJ1071" s="369"/>
      <c r="DK1071" s="369"/>
      <c r="DL1071" s="369"/>
      <c r="DM1071" s="391">
        <f>CH1071+CM1071+CR1071+CW1071+DB1071+DG1071+DL1071</f>
        <v>2.0699999999999998</v>
      </c>
      <c r="DN1071" s="393">
        <v>1.2500000000000001E-2</v>
      </c>
      <c r="DO1071" s="391">
        <f>DM1071*DN1071</f>
        <v>2.5874999999999999E-2</v>
      </c>
      <c r="DP1071" s="391">
        <f>DM1071+DO1071</f>
        <v>2.0958749999999999</v>
      </c>
      <c r="DQ1071" s="369"/>
      <c r="DR1071" s="369"/>
      <c r="DS1071" s="369"/>
      <c r="DT1071" s="369"/>
      <c r="DU1071" s="369"/>
      <c r="DV1071" s="369"/>
      <c r="DW1071" s="369"/>
      <c r="DX1071" s="369"/>
      <c r="DY1071" s="369"/>
      <c r="DZ1071" s="369"/>
      <c r="EA1071" s="369"/>
      <c r="EB1071" s="369"/>
      <c r="EC1071" s="369"/>
      <c r="ED1071" s="369"/>
      <c r="EE1071" s="369"/>
      <c r="EF1071" s="369">
        <v>350</v>
      </c>
      <c r="EG1071" s="369">
        <v>3500</v>
      </c>
      <c r="EH1071" s="369">
        <v>8</v>
      </c>
      <c r="EI1071" s="395">
        <v>0.95</v>
      </c>
      <c r="EJ1071" s="369">
        <v>1</v>
      </c>
      <c r="EK1071" s="369">
        <v>60</v>
      </c>
      <c r="EL1071" s="396">
        <f>3600/EK1071*EH1071*EJ1071*EI1071</f>
        <v>456</v>
      </c>
      <c r="EM1071" s="369"/>
      <c r="EN1071" s="369"/>
      <c r="EO1071" s="369"/>
      <c r="EP1071" s="369"/>
      <c r="EQ1071" s="369"/>
      <c r="ER1071" s="391"/>
      <c r="ES1071" s="391"/>
      <c r="ET1071" s="391"/>
      <c r="EU1071" s="391">
        <f>EG1071/EL1071+EM1071+EX1071+EP1071+EQ1071+ER1071+EO1071</f>
        <v>7.6754385964912277</v>
      </c>
      <c r="EV1071" s="369"/>
      <c r="EW1071" s="369"/>
      <c r="EX1071" s="369"/>
      <c r="EY1071" s="369"/>
      <c r="EZ1071" s="369"/>
      <c r="FA1071" s="369"/>
      <c r="FB1071" s="369"/>
      <c r="FC1071" s="369"/>
      <c r="FD1071" s="369"/>
      <c r="FE1071" s="369"/>
      <c r="FF1071" s="369"/>
      <c r="FG1071" s="369"/>
      <c r="FH1071" s="369"/>
      <c r="FI1071" s="369"/>
      <c r="FJ1071" s="369"/>
      <c r="FK1071" s="369"/>
      <c r="FL1071" s="369"/>
      <c r="FM1071" s="369"/>
      <c r="FN1071" s="369"/>
      <c r="FO1071" s="369"/>
      <c r="FP1071" s="369"/>
      <c r="FQ1071" s="369"/>
      <c r="FR1071" s="369"/>
      <c r="FS1071" s="369"/>
      <c r="FT1071" s="369"/>
      <c r="FU1071" s="369"/>
      <c r="FV1071" s="369"/>
      <c r="FW1071" s="369"/>
      <c r="FX1071" s="369"/>
      <c r="FY1071" s="369"/>
      <c r="FZ1071" s="369"/>
      <c r="GA1071" s="369"/>
      <c r="GB1071" s="369"/>
      <c r="GC1071" s="369"/>
      <c r="GD1071" s="369"/>
      <c r="GE1071" s="369"/>
      <c r="GF1071" s="369"/>
      <c r="GG1071" s="369"/>
      <c r="GH1071" s="369"/>
      <c r="GI1071" s="369"/>
      <c r="GJ1071" s="369"/>
      <c r="GK1071" s="369"/>
      <c r="GL1071" s="369"/>
      <c r="GM1071" s="369"/>
      <c r="GN1071" s="369"/>
      <c r="GO1071" s="369"/>
      <c r="GP1071" s="392"/>
      <c r="GQ1071" s="369"/>
      <c r="GR1071" s="395">
        <v>0.11</v>
      </c>
      <c r="GS1071" s="391">
        <f>GR1071*(BA1071+EU1071+EV1071)</f>
        <v>5.4522972456140346</v>
      </c>
      <c r="GT1071" s="393">
        <v>1.2500000000000001E-2</v>
      </c>
      <c r="GU1071" s="391">
        <f>GT1071*(EU1071+BA1071+EV1071)</f>
        <v>0.61957923245614033</v>
      </c>
      <c r="GV1071" s="395">
        <v>0.02</v>
      </c>
      <c r="GW1071" s="391">
        <f>GV1071*(EU1071-EP1071-EQ1071)</f>
        <v>0.15350877192982457</v>
      </c>
      <c r="GX1071" s="391">
        <f>GS1071+GU1071+GW1071</f>
        <v>6.2253852499999995</v>
      </c>
      <c r="GY1071" s="369" t="s">
        <v>43</v>
      </c>
      <c r="GZ1071" s="369" t="s">
        <v>87</v>
      </c>
      <c r="HA1071" s="391">
        <v>650</v>
      </c>
      <c r="HB1071" s="391">
        <v>450</v>
      </c>
      <c r="HC1071" s="391">
        <v>315</v>
      </c>
      <c r="HD1071" s="391">
        <v>8</v>
      </c>
      <c r="HE1071" s="391">
        <v>1200</v>
      </c>
      <c r="HF1071" s="391">
        <f>ROUNDUP(HE1071/HD1071,0)</f>
        <v>150</v>
      </c>
      <c r="HG1071" s="391">
        <v>5</v>
      </c>
      <c r="HH1071" s="391">
        <f>HF1071*HG1071</f>
        <v>750</v>
      </c>
      <c r="HI1071" s="391">
        <v>550</v>
      </c>
      <c r="HJ1071" s="396">
        <f>HH1071*HI1071</f>
        <v>412500</v>
      </c>
      <c r="HK1071" s="369"/>
      <c r="HL1071" s="369"/>
      <c r="HM1071" s="369">
        <v>2</v>
      </c>
      <c r="HN1071" s="396">
        <f t="shared" ref="HN1071" si="946">HM1071*12*25*HE1071</f>
        <v>720000</v>
      </c>
      <c r="HO1071" s="391">
        <f>(IF(GY1071="carton box",HI1071/HD1071,HJ1071/HN1071))</f>
        <v>0.57291666666666663</v>
      </c>
      <c r="HP1071" s="369"/>
      <c r="HQ1071" s="369"/>
      <c r="HR1071" s="369"/>
      <c r="HS1071" s="369"/>
      <c r="HT1071" s="369"/>
      <c r="HU1071" s="369"/>
      <c r="HV1071" s="391">
        <f>(HO1071+HT1071)</f>
        <v>0.57291666666666663</v>
      </c>
      <c r="HW1071" s="369"/>
      <c r="HX1071" s="369">
        <v>4200</v>
      </c>
      <c r="HY1071" s="369">
        <v>1900</v>
      </c>
      <c r="HZ1071" s="369">
        <v>1975</v>
      </c>
      <c r="IA1071" s="391">
        <f t="shared" ref="IA1071:IC1071" si="947">ROUNDDOWN(HX1071/HA1071,0)</f>
        <v>6</v>
      </c>
      <c r="IB1071" s="391">
        <f t="shared" si="947"/>
        <v>4</v>
      </c>
      <c r="IC1071" s="391">
        <f t="shared" si="947"/>
        <v>6</v>
      </c>
      <c r="ID1071" s="395">
        <v>1</v>
      </c>
      <c r="IE1071" s="391">
        <f>PRODUCT(IA1071:ID1071)</f>
        <v>144</v>
      </c>
      <c r="IF1071" s="369">
        <v>500</v>
      </c>
      <c r="IG1071" s="391">
        <f>(IF1071/(IE1071*HD1071))</f>
        <v>0.43402777777777779</v>
      </c>
    </row>
    <row r="1072" spans="1:244">
      <c r="A1072">
        <v>1055</v>
      </c>
      <c r="C1072" s="27" t="s">
        <v>567</v>
      </c>
      <c r="D1072" s="28" t="s">
        <v>3052</v>
      </c>
      <c r="E1072" s="27" t="s">
        <v>3053</v>
      </c>
      <c r="F1072" t="s">
        <v>2444</v>
      </c>
      <c r="G1072" s="27" t="s">
        <v>90</v>
      </c>
      <c r="I1072" s="27" t="s">
        <v>94</v>
      </c>
      <c r="J1072" s="28">
        <v>29268</v>
      </c>
      <c r="K1072" s="27" t="s">
        <v>229</v>
      </c>
      <c r="L1072" s="371"/>
      <c r="M1072" s="369"/>
      <c r="N1072" s="369"/>
      <c r="O1072" s="27" t="s">
        <v>1763</v>
      </c>
      <c r="P1072" s="370">
        <v>44333</v>
      </c>
      <c r="Q1072" s="369"/>
      <c r="R1072" s="369"/>
      <c r="S1072" s="369"/>
      <c r="T1072" s="369"/>
      <c r="U1072" s="369"/>
      <c r="V1072" s="369"/>
      <c r="W1072" s="27" t="s">
        <v>1765</v>
      </c>
    </row>
    <row r="1073" spans="1:241">
      <c r="A1073">
        <v>1056</v>
      </c>
      <c r="B1073" t="s">
        <v>468</v>
      </c>
      <c r="C1073" s="400" t="s">
        <v>4652</v>
      </c>
      <c r="D1073" s="28" t="s">
        <v>3052</v>
      </c>
      <c r="E1073" s="27" t="s">
        <v>3053</v>
      </c>
      <c r="F1073" t="s">
        <v>2182</v>
      </c>
      <c r="G1073" s="27" t="s">
        <v>90</v>
      </c>
      <c r="I1073" s="27" t="s">
        <v>226</v>
      </c>
      <c r="J1073" s="28">
        <v>29164</v>
      </c>
      <c r="K1073" s="27" t="s">
        <v>229</v>
      </c>
      <c r="L1073" s="371"/>
      <c r="M1073" s="369"/>
      <c r="N1073" s="369"/>
      <c r="O1073" s="369"/>
      <c r="P1073" s="369"/>
      <c r="Q1073" s="27" t="s">
        <v>1039</v>
      </c>
      <c r="R1073" s="27" t="s">
        <v>1769</v>
      </c>
      <c r="S1073" s="370">
        <v>43678</v>
      </c>
      <c r="T1073" s="27" t="s">
        <v>4555</v>
      </c>
      <c r="U1073" s="370">
        <v>43685</v>
      </c>
      <c r="V1073" s="369"/>
      <c r="W1073" s="27" t="s">
        <v>4598</v>
      </c>
      <c r="X1073" s="27"/>
      <c r="Y1073" s="27"/>
      <c r="Z1073" s="27"/>
      <c r="AA1073" s="27" t="s">
        <v>4653</v>
      </c>
      <c r="AB1073" s="369">
        <v>124.52</v>
      </c>
      <c r="AC1073" s="369">
        <v>20</v>
      </c>
      <c r="AD1073" s="390" t="s">
        <v>280</v>
      </c>
      <c r="AE1073" s="391">
        <f t="shared" ref="AE1073" si="948">BA1073</f>
        <v>13.6172</v>
      </c>
      <c r="AF1073" s="391"/>
      <c r="AG1073" s="391">
        <f>EU1073</f>
        <v>4.0204678362573105</v>
      </c>
      <c r="AH1073" s="391">
        <f t="shared" ref="AH1073" si="949">DM1073</f>
        <v>0</v>
      </c>
      <c r="AI1073" s="394">
        <f t="shared" ref="AI1073" si="950">DO1073</f>
        <v>0</v>
      </c>
      <c r="AJ1073" s="391">
        <f>GW1073</f>
        <v>8.0409356725146208E-2</v>
      </c>
      <c r="AK1073" s="391">
        <f>GU1073</f>
        <v>0.22047084795321639</v>
      </c>
      <c r="AL1073" s="391">
        <f>GS1073</f>
        <v>1.9401434619883042</v>
      </c>
      <c r="AM1073" s="391">
        <f>HV1073</f>
        <v>0.18715277777777778</v>
      </c>
      <c r="AN1073" s="391">
        <f>IG1073</f>
        <v>7.2337962962962965E-2</v>
      </c>
      <c r="AO1073" s="391"/>
      <c r="AP1073" s="391"/>
      <c r="AQ1073" s="391">
        <f>SUM(AE1073:AO1073)</f>
        <v>20.138182243664716</v>
      </c>
      <c r="AR1073" s="391">
        <f>IJ1073</f>
        <v>0</v>
      </c>
      <c r="AS1073" s="391">
        <f t="shared" ref="AS1073" si="951">EE1073</f>
        <v>0</v>
      </c>
      <c r="AT1073" s="391">
        <v>0</v>
      </c>
      <c r="AU1073" s="391">
        <f>20.14*3%</f>
        <v>0.60419999999999996</v>
      </c>
      <c r="AV1073" s="391">
        <f t="shared" ref="AV1073" si="952">AQ1073+AT1073+AU1073+AR1073+AS1073</f>
        <v>20.742382243664714</v>
      </c>
      <c r="AW1073" s="369">
        <v>0.11</v>
      </c>
      <c r="AX1073" s="369">
        <v>0.106</v>
      </c>
      <c r="AY1073" s="392">
        <v>1</v>
      </c>
      <c r="AZ1073" s="391">
        <f>(AW1073-AX1073)*AY1073</f>
        <v>4.0000000000000036E-3</v>
      </c>
      <c r="BA1073" s="391">
        <f>AW1073*AB1073-AZ1073*AC1073</f>
        <v>13.6172</v>
      </c>
      <c r="BB1073" s="391"/>
      <c r="BC1073" s="391"/>
      <c r="BD1073" s="391"/>
      <c r="BE1073" s="391"/>
      <c r="BF1073" s="391"/>
      <c r="BG1073" s="391"/>
      <c r="BH1073" s="391"/>
      <c r="BI1073" s="391"/>
      <c r="BJ1073" s="369"/>
      <c r="BK1073" s="369"/>
      <c r="BL1073" s="369"/>
      <c r="BM1073" s="369"/>
      <c r="BN1073" s="369"/>
      <c r="BO1073" s="369"/>
      <c r="BP1073" s="369"/>
      <c r="BQ1073" s="369"/>
      <c r="BR1073" s="369"/>
      <c r="BS1073" s="369"/>
      <c r="BT1073" s="369"/>
      <c r="BU1073" s="369"/>
      <c r="BV1073" s="369"/>
      <c r="BW1073" s="369"/>
      <c r="BX1073" s="369"/>
      <c r="BY1073" s="369"/>
      <c r="BZ1073" s="369"/>
      <c r="CA1073" s="369"/>
      <c r="CB1073" s="369"/>
      <c r="CC1073" s="369"/>
      <c r="CD1073" s="369"/>
      <c r="CE1073" s="369"/>
      <c r="CF1073" s="369"/>
      <c r="CG1073" s="369"/>
      <c r="CH1073" s="391">
        <f>CF1073*CG1073</f>
        <v>0</v>
      </c>
      <c r="CI1073" s="369"/>
      <c r="CJ1073" s="369"/>
      <c r="CK1073" s="369"/>
      <c r="CL1073" s="369"/>
      <c r="CM1073" s="369"/>
      <c r="CN1073" s="369"/>
      <c r="CO1073" s="369"/>
      <c r="CP1073" s="369"/>
      <c r="CQ1073" s="369"/>
      <c r="CR1073" s="369"/>
      <c r="CS1073" s="369"/>
      <c r="CT1073" s="369"/>
      <c r="CU1073" s="369"/>
      <c r="CV1073" s="369"/>
      <c r="CW1073" s="369"/>
      <c r="CX1073" s="369"/>
      <c r="CY1073" s="369"/>
      <c r="CZ1073" s="369"/>
      <c r="DA1073" s="369"/>
      <c r="DB1073" s="369"/>
      <c r="DC1073" s="369"/>
      <c r="DD1073" s="369"/>
      <c r="DE1073" s="369"/>
      <c r="DF1073" s="369"/>
      <c r="DG1073" s="369"/>
      <c r="DH1073" s="369"/>
      <c r="DI1073" s="369"/>
      <c r="DJ1073" s="369"/>
      <c r="DK1073" s="369"/>
      <c r="DL1073" s="369"/>
      <c r="DM1073" s="391">
        <f>CH1073+CM1073+CR1073+CW1073+DB1073+DG1073+DL1073</f>
        <v>0</v>
      </c>
      <c r="DN1073" s="369"/>
      <c r="DO1073" s="369"/>
      <c r="DP1073" s="391">
        <f>DM1073+DO1073</f>
        <v>0</v>
      </c>
      <c r="DQ1073" s="369"/>
      <c r="DR1073" s="369"/>
      <c r="DS1073" s="369"/>
      <c r="DT1073" s="369"/>
      <c r="DU1073" s="369"/>
      <c r="DV1073" s="369"/>
      <c r="DW1073" s="369"/>
      <c r="DX1073" s="369"/>
      <c r="DY1073" s="369"/>
      <c r="DZ1073" s="369"/>
      <c r="EA1073" s="369"/>
      <c r="EB1073" s="369"/>
      <c r="EC1073" s="369"/>
      <c r="ED1073" s="369"/>
      <c r="EE1073" s="369"/>
      <c r="EF1073" s="369">
        <v>220</v>
      </c>
      <c r="EG1073" s="369">
        <v>2200</v>
      </c>
      <c r="EH1073" s="369">
        <v>8</v>
      </c>
      <c r="EI1073" s="395">
        <v>0.95</v>
      </c>
      <c r="EJ1073" s="369">
        <v>1</v>
      </c>
      <c r="EK1073" s="369">
        <v>50</v>
      </c>
      <c r="EL1073" s="396">
        <f>3600/EK1073*EH1073*EJ1073*EI1073</f>
        <v>547.19999999999993</v>
      </c>
      <c r="EM1073" s="369"/>
      <c r="EN1073" s="369"/>
      <c r="EO1073" s="369"/>
      <c r="EP1073" s="369"/>
      <c r="EQ1073" s="369"/>
      <c r="ER1073" s="369"/>
      <c r="ES1073" s="369"/>
      <c r="ET1073" s="369"/>
      <c r="EU1073" s="391">
        <f>EG1073/EL1073+EM1073+EX1073+EP1073+EQ1073+ER1073+EO1073</f>
        <v>4.0204678362573105</v>
      </c>
      <c r="EV1073" s="369"/>
      <c r="EW1073" s="369"/>
      <c r="EX1073" s="369"/>
      <c r="EY1073" s="369"/>
      <c r="EZ1073" s="369"/>
      <c r="FA1073" s="369"/>
      <c r="FB1073" s="369"/>
      <c r="FC1073" s="369"/>
      <c r="FD1073" s="369"/>
      <c r="FE1073" s="369"/>
      <c r="FF1073" s="369"/>
      <c r="FG1073" s="369"/>
      <c r="FH1073" s="369"/>
      <c r="FI1073" s="369"/>
      <c r="FJ1073" s="369"/>
      <c r="FK1073" s="369"/>
      <c r="FL1073" s="369"/>
      <c r="FM1073" s="369"/>
      <c r="FN1073" s="369"/>
      <c r="FO1073" s="369"/>
      <c r="FP1073" s="369"/>
      <c r="FQ1073" s="369"/>
      <c r="FR1073" s="369"/>
      <c r="FS1073" s="369"/>
      <c r="FT1073" s="369"/>
      <c r="FU1073" s="369"/>
      <c r="FV1073" s="369"/>
      <c r="FW1073" s="369"/>
      <c r="FX1073" s="369"/>
      <c r="FY1073" s="369"/>
      <c r="FZ1073" s="369"/>
      <c r="GA1073" s="369"/>
      <c r="GB1073" s="369"/>
      <c r="GC1073" s="369"/>
      <c r="GD1073" s="369"/>
      <c r="GE1073" s="369"/>
      <c r="GF1073" s="369"/>
      <c r="GG1073" s="369"/>
      <c r="GH1073" s="369"/>
      <c r="GI1073" s="369"/>
      <c r="GJ1073" s="369"/>
      <c r="GK1073" s="369"/>
      <c r="GL1073" s="369"/>
      <c r="GM1073" s="369"/>
      <c r="GN1073" s="369"/>
      <c r="GO1073" s="369"/>
      <c r="GP1073" s="392"/>
      <c r="GQ1073" s="369"/>
      <c r="GR1073" s="395">
        <v>0.11</v>
      </c>
      <c r="GS1073" s="391">
        <f>GR1073*(BA1073+EU1073+EV1073)</f>
        <v>1.9401434619883042</v>
      </c>
      <c r="GT1073" s="393">
        <v>1.2500000000000001E-2</v>
      </c>
      <c r="GU1073" s="391">
        <f>GT1073*(EU1073+BA1073+EV1073)</f>
        <v>0.22047084795321639</v>
      </c>
      <c r="GV1073" s="395">
        <v>0.02</v>
      </c>
      <c r="GW1073" s="391">
        <f>GV1073*(EU1073-EP1073-EQ1073)</f>
        <v>8.0409356725146208E-2</v>
      </c>
      <c r="GX1073" s="391">
        <f>GS1073+GU1073+GW1073</f>
        <v>2.241023666666667</v>
      </c>
      <c r="GY1073" s="369" t="s">
        <v>43</v>
      </c>
      <c r="GZ1073" s="369" t="s">
        <v>87</v>
      </c>
      <c r="HA1073" s="391">
        <v>650</v>
      </c>
      <c r="HB1073" s="391">
        <v>450</v>
      </c>
      <c r="HC1073" s="391">
        <v>315</v>
      </c>
      <c r="HD1073" s="391">
        <v>48</v>
      </c>
      <c r="HE1073" s="391">
        <v>1200</v>
      </c>
      <c r="HF1073" s="391">
        <f>ROUNDUP(HE1073/HD1073,0)</f>
        <v>25</v>
      </c>
      <c r="HG1073" s="391">
        <v>5</v>
      </c>
      <c r="HH1073" s="391">
        <f>HF1073*HG1073</f>
        <v>125</v>
      </c>
      <c r="HI1073" s="391">
        <v>550</v>
      </c>
      <c r="HJ1073" s="396">
        <f>HH1073*HI1073</f>
        <v>68750</v>
      </c>
      <c r="HK1073" s="369"/>
      <c r="HL1073" s="369"/>
      <c r="HM1073" s="369">
        <v>2</v>
      </c>
      <c r="HN1073" s="396">
        <f t="shared" ref="HN1073" si="953">HM1073*12*25*HE1073</f>
        <v>720000</v>
      </c>
      <c r="HO1073" s="391">
        <f>(IF(GY1073="carton box",HI1073/HD1073,HJ1073/HN1073))</f>
        <v>9.5486111111111105E-2</v>
      </c>
      <c r="HP1073" s="369">
        <v>160</v>
      </c>
      <c r="HQ1073" s="369">
        <v>0</v>
      </c>
      <c r="HR1073" s="391">
        <f>2.2/48*2</f>
        <v>9.1666666666666674E-2</v>
      </c>
      <c r="HS1073" s="369">
        <v>1</v>
      </c>
      <c r="HT1073" s="394">
        <f>IF(ISERROR(HR1073/HS1073),0,HR1073/HS1073)</f>
        <v>9.1666666666666674E-2</v>
      </c>
      <c r="HU1073" s="394"/>
      <c r="HV1073" s="391">
        <f>(HO1073+HT1073)</f>
        <v>0.18715277777777778</v>
      </c>
      <c r="HW1073" s="369"/>
      <c r="HX1073" s="369">
        <v>4200</v>
      </c>
      <c r="HY1073" s="369">
        <v>1900</v>
      </c>
      <c r="HZ1073" s="369">
        <v>1975</v>
      </c>
      <c r="IA1073" s="391">
        <f t="shared" ref="IA1073:IC1073" si="954">ROUNDDOWN(HX1073/HA1073,0)</f>
        <v>6</v>
      </c>
      <c r="IB1073" s="391">
        <f t="shared" si="954"/>
        <v>4</v>
      </c>
      <c r="IC1073" s="391">
        <f t="shared" si="954"/>
        <v>6</v>
      </c>
      <c r="ID1073" s="395">
        <v>1</v>
      </c>
      <c r="IE1073" s="391">
        <f>PRODUCT(IA1073:ID1073)</f>
        <v>144</v>
      </c>
      <c r="IF1073" s="369">
        <v>500</v>
      </c>
      <c r="IG1073" s="391">
        <f>(IF1073/(IE1073*HD1073))</f>
        <v>7.2337962962962965E-2</v>
      </c>
    </row>
    <row r="1074" spans="1:241">
      <c r="A1074">
        <v>1057</v>
      </c>
      <c r="C1074" s="27" t="s">
        <v>567</v>
      </c>
      <c r="D1074" s="28" t="s">
        <v>3054</v>
      </c>
      <c r="E1074" s="27" t="s">
        <v>3055</v>
      </c>
      <c r="F1074" t="s">
        <v>2444</v>
      </c>
      <c r="G1074" s="27" t="s">
        <v>90</v>
      </c>
      <c r="I1074" s="27" t="s">
        <v>94</v>
      </c>
      <c r="J1074" s="28">
        <v>29268</v>
      </c>
      <c r="K1074" s="27" t="s">
        <v>229</v>
      </c>
      <c r="L1074" s="371"/>
      <c r="M1074" s="369"/>
      <c r="N1074" s="369"/>
      <c r="O1074" s="27" t="s">
        <v>1763</v>
      </c>
      <c r="P1074" s="370">
        <v>44333</v>
      </c>
    </row>
    <row r="1075" spans="1:241">
      <c r="A1075">
        <v>1058</v>
      </c>
      <c r="B1075" t="s">
        <v>468</v>
      </c>
      <c r="C1075" s="27" t="s">
        <v>4654</v>
      </c>
      <c r="D1075" s="28" t="s">
        <v>3054</v>
      </c>
      <c r="E1075" s="27" t="s">
        <v>3055</v>
      </c>
      <c r="F1075" t="s">
        <v>2182</v>
      </c>
      <c r="G1075" s="27" t="s">
        <v>90</v>
      </c>
      <c r="I1075" s="27" t="s">
        <v>226</v>
      </c>
      <c r="J1075" s="28">
        <v>29164</v>
      </c>
      <c r="K1075" s="27" t="s">
        <v>229</v>
      </c>
      <c r="L1075" s="371"/>
      <c r="M1075" s="369"/>
      <c r="N1075" s="369"/>
      <c r="O1075" s="369"/>
      <c r="P1075" s="369"/>
      <c r="Q1075" s="27" t="s">
        <v>1039</v>
      </c>
      <c r="R1075" s="27" t="s">
        <v>1769</v>
      </c>
      <c r="S1075" s="370">
        <v>43673</v>
      </c>
      <c r="T1075" s="27" t="s">
        <v>4555</v>
      </c>
      <c r="U1075" s="370">
        <v>43685</v>
      </c>
      <c r="V1075" s="369"/>
      <c r="W1075" s="27" t="s">
        <v>4598</v>
      </c>
      <c r="X1075" s="27"/>
      <c r="Y1075" s="27"/>
      <c r="Z1075" s="27"/>
      <c r="AA1075" s="27" t="s">
        <v>313</v>
      </c>
      <c r="AB1075" s="369">
        <v>105.5</v>
      </c>
      <c r="AC1075" s="369">
        <f t="shared" ref="AC1075" si="955">AB1075-5</f>
        <v>100.5</v>
      </c>
      <c r="AD1075" s="390" t="s">
        <v>280</v>
      </c>
      <c r="AE1075" s="391">
        <f t="shared" ref="AE1075" si="956">BA1075</f>
        <v>8.6207499999999992</v>
      </c>
      <c r="AF1075" s="391"/>
      <c r="AG1075" s="391">
        <f>EU1075</f>
        <v>1.3706140350877194</v>
      </c>
      <c r="AH1075" s="391">
        <f t="shared" ref="AH1075" si="957">DM1075</f>
        <v>0</v>
      </c>
      <c r="AI1075" s="394">
        <f t="shared" ref="AI1075" si="958">DO1075</f>
        <v>0</v>
      </c>
      <c r="AJ1075" s="391">
        <f>GW1075</f>
        <v>2.7412280701754388E-2</v>
      </c>
      <c r="AK1075" s="391">
        <f>GU1075</f>
        <v>0.12489205043859648</v>
      </c>
      <c r="AL1075" s="391">
        <f>GS1075</f>
        <v>1.0990500438596491</v>
      </c>
      <c r="AM1075" s="391">
        <f>HV1075</f>
        <v>0.37277777777777776</v>
      </c>
      <c r="AN1075" s="391">
        <f>IG1075</f>
        <v>0.11574074074074074</v>
      </c>
      <c r="AO1075" s="391"/>
      <c r="AP1075" s="391"/>
      <c r="AQ1075" s="391">
        <f>SUM(AE1075:AO1075)</f>
        <v>11.731236928606236</v>
      </c>
      <c r="AR1075" s="391">
        <f>IJ1075</f>
        <v>0</v>
      </c>
      <c r="AS1075" s="391">
        <f t="shared" ref="AS1075" si="959">EE1075</f>
        <v>0</v>
      </c>
      <c r="AT1075" s="391">
        <v>0</v>
      </c>
      <c r="AU1075" s="391">
        <f>11.73*3%</f>
        <v>0.35189999999999999</v>
      </c>
      <c r="AV1075" s="391">
        <f t="shared" ref="AV1075" si="960">AQ1075+AT1075+AU1075+AR1075+AS1075</f>
        <v>12.083136928606237</v>
      </c>
      <c r="AW1075" s="369">
        <v>8.6000000000000007E-2</v>
      </c>
      <c r="AX1075" s="369">
        <v>8.1000000000000003E-2</v>
      </c>
      <c r="AY1075" s="392">
        <v>0.9</v>
      </c>
      <c r="AZ1075" s="391">
        <f>(AW1075-AX1075)*AY1075</f>
        <v>4.500000000000004E-3</v>
      </c>
      <c r="BA1075" s="391">
        <f>AW1075*AB1075-AZ1075*AC1075</f>
        <v>8.6207499999999992</v>
      </c>
      <c r="BB1075" s="391"/>
      <c r="BC1075" s="391"/>
      <c r="BD1075" s="391"/>
      <c r="BE1075" s="391"/>
      <c r="BF1075" s="391"/>
      <c r="BG1075" s="391"/>
      <c r="BH1075" s="391"/>
      <c r="BI1075" s="391"/>
      <c r="BJ1075" s="369"/>
      <c r="BK1075" s="369"/>
      <c r="BL1075" s="369"/>
      <c r="BM1075" s="369"/>
      <c r="BN1075" s="369"/>
      <c r="BO1075" s="369"/>
      <c r="BP1075" s="369"/>
      <c r="BQ1075" s="369"/>
      <c r="BR1075" s="369"/>
      <c r="BS1075" s="369"/>
      <c r="BT1075" s="369"/>
      <c r="BU1075" s="369"/>
      <c r="BV1075" s="369"/>
      <c r="BW1075" s="369"/>
      <c r="BX1075" s="369"/>
      <c r="BY1075" s="369"/>
      <c r="BZ1075" s="369"/>
      <c r="CA1075" s="369"/>
      <c r="CB1075" s="369"/>
      <c r="CC1075" s="369"/>
      <c r="CD1075" s="369"/>
      <c r="CE1075" s="369"/>
      <c r="CF1075" s="369"/>
      <c r="CG1075" s="369"/>
      <c r="CH1075" s="369"/>
      <c r="CI1075" s="369"/>
      <c r="CJ1075" s="369"/>
      <c r="CK1075" s="369"/>
      <c r="CL1075" s="369"/>
      <c r="CM1075" s="369"/>
      <c r="CN1075" s="369"/>
      <c r="CO1075" s="369"/>
      <c r="CP1075" s="369"/>
      <c r="CQ1075" s="369"/>
      <c r="CR1075" s="369"/>
      <c r="CS1075" s="369"/>
      <c r="CT1075" s="369"/>
      <c r="CU1075" s="369"/>
      <c r="CV1075" s="369"/>
      <c r="CW1075" s="369"/>
      <c r="CX1075" s="369"/>
      <c r="CY1075" s="369"/>
      <c r="CZ1075" s="369"/>
      <c r="DA1075" s="369"/>
      <c r="DB1075" s="369"/>
      <c r="DC1075" s="369"/>
      <c r="DD1075" s="369"/>
      <c r="DE1075" s="369"/>
      <c r="DF1075" s="369"/>
      <c r="DG1075" s="369"/>
      <c r="DH1075" s="369"/>
      <c r="DI1075" s="369"/>
      <c r="DJ1075" s="369"/>
      <c r="DK1075" s="369"/>
      <c r="DL1075" s="369"/>
      <c r="DM1075" s="369"/>
      <c r="DN1075" s="369"/>
      <c r="DO1075" s="369"/>
      <c r="DP1075" s="369"/>
      <c r="DQ1075" s="369"/>
      <c r="DR1075" s="369"/>
      <c r="DS1075" s="369"/>
      <c r="DT1075" s="369"/>
      <c r="DU1075" s="369"/>
      <c r="DV1075" s="369"/>
      <c r="DW1075" s="369"/>
      <c r="DX1075" s="369"/>
      <c r="DY1075" s="369"/>
      <c r="DZ1075" s="369"/>
      <c r="EA1075" s="369"/>
      <c r="EB1075" s="369"/>
      <c r="EC1075" s="369"/>
      <c r="ED1075" s="369"/>
      <c r="EE1075" s="369"/>
      <c r="EF1075" s="369">
        <v>150</v>
      </c>
      <c r="EG1075" s="369">
        <v>1500</v>
      </c>
      <c r="EH1075" s="369">
        <v>8</v>
      </c>
      <c r="EI1075" s="395">
        <v>0.95</v>
      </c>
      <c r="EJ1075" s="369">
        <v>2</v>
      </c>
      <c r="EK1075" s="369">
        <v>50</v>
      </c>
      <c r="EL1075" s="396">
        <f>3600/EK1075*EH1075*EJ1075*EI1075</f>
        <v>1094.3999999999999</v>
      </c>
      <c r="EM1075" s="369"/>
      <c r="EN1075" s="369"/>
      <c r="EO1075" s="369"/>
      <c r="EP1075" s="369"/>
      <c r="EQ1075" s="369"/>
      <c r="ER1075" s="369"/>
      <c r="ES1075" s="369"/>
      <c r="ET1075" s="369"/>
      <c r="EU1075" s="391">
        <f>EG1075/EL1075+EM1075+EX1075+EP1075+EQ1075+ER1075+EO1075</f>
        <v>1.3706140350877194</v>
      </c>
      <c r="EV1075" s="369"/>
      <c r="EW1075" s="369"/>
      <c r="EX1075" s="369"/>
      <c r="EY1075" s="369"/>
      <c r="EZ1075" s="369"/>
      <c r="FA1075" s="369"/>
      <c r="FB1075" s="369"/>
      <c r="FC1075" s="369"/>
      <c r="FD1075" s="369"/>
      <c r="FE1075" s="369"/>
      <c r="FF1075" s="369"/>
      <c r="FG1075" s="369"/>
      <c r="FH1075" s="369"/>
      <c r="FI1075" s="369"/>
      <c r="FJ1075" s="369"/>
      <c r="FK1075" s="369"/>
      <c r="FL1075" s="369"/>
      <c r="FM1075" s="369"/>
      <c r="FN1075" s="369"/>
      <c r="FO1075" s="369"/>
      <c r="FP1075" s="369"/>
      <c r="FQ1075" s="369"/>
      <c r="FR1075" s="369"/>
      <c r="FS1075" s="369"/>
      <c r="FT1075" s="369"/>
      <c r="FU1075" s="369"/>
      <c r="FV1075" s="369"/>
      <c r="FW1075" s="369"/>
      <c r="FX1075" s="369"/>
      <c r="FY1075" s="369"/>
      <c r="FZ1075" s="369"/>
      <c r="GA1075" s="369"/>
      <c r="GB1075" s="369"/>
      <c r="GC1075" s="369"/>
      <c r="GD1075" s="369"/>
      <c r="GE1075" s="369"/>
      <c r="GF1075" s="369"/>
      <c r="GG1075" s="369"/>
      <c r="GH1075" s="369"/>
      <c r="GI1075" s="369"/>
      <c r="GJ1075" s="369"/>
      <c r="GK1075" s="369"/>
      <c r="GL1075" s="369"/>
      <c r="GM1075" s="369"/>
      <c r="GN1075" s="369"/>
      <c r="GO1075" s="369"/>
      <c r="GP1075" s="392"/>
      <c r="GQ1075" s="369"/>
      <c r="GR1075" s="395">
        <v>0.11</v>
      </c>
      <c r="GS1075" s="391">
        <f>GR1075*(BA1075+EU1075+EV1075)</f>
        <v>1.0990500438596491</v>
      </c>
      <c r="GT1075" s="393">
        <v>1.2500000000000001E-2</v>
      </c>
      <c r="GU1075" s="391">
        <f>GT1075*(EU1075+BA1075+EV1075)</f>
        <v>0.12489205043859648</v>
      </c>
      <c r="GV1075" s="395">
        <v>0.02</v>
      </c>
      <c r="GW1075" s="391">
        <f>GV1075*(EU1075-EP1075-EQ1075)</f>
        <v>2.7412280701754388E-2</v>
      </c>
      <c r="GX1075" s="391">
        <f>GS1075+GU1075+GW1075</f>
        <v>1.251354375</v>
      </c>
      <c r="GY1075" s="369" t="s">
        <v>43</v>
      </c>
      <c r="GZ1075" s="369" t="s">
        <v>87</v>
      </c>
      <c r="HA1075" s="391">
        <v>650</v>
      </c>
      <c r="HB1075" s="391">
        <v>450</v>
      </c>
      <c r="HC1075" s="391">
        <v>315</v>
      </c>
      <c r="HD1075" s="391">
        <v>30</v>
      </c>
      <c r="HE1075" s="391">
        <v>1200</v>
      </c>
      <c r="HF1075" s="391">
        <f>ROUNDUP(HE1075/HD1075,0)</f>
        <v>40</v>
      </c>
      <c r="HG1075" s="391">
        <v>5</v>
      </c>
      <c r="HH1075" s="391">
        <f>HF1075*HG1075</f>
        <v>200</v>
      </c>
      <c r="HI1075" s="391">
        <v>550</v>
      </c>
      <c r="HJ1075" s="396">
        <f>HH1075*HI1075</f>
        <v>110000</v>
      </c>
      <c r="HK1075" s="369"/>
      <c r="HL1075" s="369"/>
      <c r="HM1075" s="369">
        <v>2</v>
      </c>
      <c r="HN1075" s="396">
        <f t="shared" ref="HN1075" si="961">HM1075*12*25*HE1075</f>
        <v>720000</v>
      </c>
      <c r="HO1075" s="391">
        <f>(IF(GY1075="carton box",HI1075/HD1075,HJ1075/HN1075))</f>
        <v>0.15277777777777779</v>
      </c>
      <c r="HP1075" s="369">
        <v>160</v>
      </c>
      <c r="HQ1075" s="369">
        <v>0</v>
      </c>
      <c r="HR1075" s="369">
        <f>2.2/30*3</f>
        <v>0.22</v>
      </c>
      <c r="HS1075" s="369">
        <v>1</v>
      </c>
      <c r="HT1075" s="394">
        <f>IF(ISERROR(HR1075/HS1075),0,HR1075/HS1075)</f>
        <v>0.22</v>
      </c>
      <c r="HU1075" s="394"/>
      <c r="HV1075" s="391">
        <f>(HO1075+HT1075)</f>
        <v>0.37277777777777776</v>
      </c>
      <c r="HW1075" s="369"/>
      <c r="HX1075" s="369">
        <v>4200</v>
      </c>
      <c r="HY1075" s="369">
        <v>1900</v>
      </c>
      <c r="HZ1075" s="369">
        <v>1975</v>
      </c>
      <c r="IA1075" s="391">
        <f t="shared" ref="IA1075:IC1075" si="962">ROUNDDOWN(HX1075/HA1075,0)</f>
        <v>6</v>
      </c>
      <c r="IB1075" s="391">
        <f t="shared" si="962"/>
        <v>4</v>
      </c>
      <c r="IC1075" s="391">
        <f t="shared" si="962"/>
        <v>6</v>
      </c>
      <c r="ID1075" s="395">
        <v>1</v>
      </c>
      <c r="IE1075" s="391">
        <f>PRODUCT(IA1075:ID1075)</f>
        <v>144</v>
      </c>
      <c r="IF1075" s="369">
        <v>500</v>
      </c>
      <c r="IG1075" s="391">
        <f>(IF1075/(IE1075*HD1075))</f>
        <v>0.11574074074074074</v>
      </c>
    </row>
    <row r="1076" spans="1:241">
      <c r="A1076">
        <v>1059</v>
      </c>
      <c r="B1076" t="s">
        <v>468</v>
      </c>
      <c r="C1076" s="27" t="s">
        <v>4655</v>
      </c>
      <c r="D1076" s="28" t="s">
        <v>3056</v>
      </c>
      <c r="E1076" s="27" t="s">
        <v>3057</v>
      </c>
      <c r="F1076" t="s">
        <v>2192</v>
      </c>
      <c r="G1076" s="27" t="s">
        <v>90</v>
      </c>
      <c r="H1076" s="27" t="s">
        <v>4656</v>
      </c>
      <c r="I1076" s="27" t="s">
        <v>94</v>
      </c>
      <c r="J1076" s="28">
        <v>21712</v>
      </c>
      <c r="K1076" s="27" t="s">
        <v>400</v>
      </c>
    </row>
    <row r="1077" spans="1:241">
      <c r="A1077">
        <v>1060</v>
      </c>
      <c r="B1077" t="s">
        <v>468</v>
      </c>
      <c r="C1077" s="27" t="s">
        <v>4659</v>
      </c>
      <c r="D1077" s="28" t="s">
        <v>3056</v>
      </c>
      <c r="E1077" s="27" t="s">
        <v>3057</v>
      </c>
      <c r="F1077" t="s">
        <v>2192</v>
      </c>
      <c r="G1077" s="27" t="s">
        <v>90</v>
      </c>
      <c r="H1077" t="s">
        <v>4658</v>
      </c>
      <c r="I1077" s="27" t="s">
        <v>226</v>
      </c>
      <c r="J1077" s="28">
        <v>21425</v>
      </c>
      <c r="K1077" s="27" t="s">
        <v>406</v>
      </c>
    </row>
    <row r="1078" spans="1:241">
      <c r="A1078">
        <v>1061</v>
      </c>
      <c r="B1078" t="s">
        <v>468</v>
      </c>
      <c r="C1078" s="27" t="s">
        <v>4660</v>
      </c>
      <c r="D1078" s="28" t="s">
        <v>3056</v>
      </c>
      <c r="E1078" s="27" t="s">
        <v>3057</v>
      </c>
      <c r="F1078" t="s">
        <v>2192</v>
      </c>
      <c r="G1078" s="27" t="s">
        <v>90</v>
      </c>
      <c r="H1078" s="27" t="s">
        <v>4661</v>
      </c>
      <c r="I1078" s="27" t="s">
        <v>226</v>
      </c>
      <c r="J1078" s="28">
        <v>21628</v>
      </c>
      <c r="K1078" s="27" t="s">
        <v>4502</v>
      </c>
    </row>
    <row r="1079" spans="1:241">
      <c r="A1079">
        <v>1062</v>
      </c>
      <c r="B1079" t="s">
        <v>468</v>
      </c>
      <c r="C1079" s="27" t="s">
        <v>4662</v>
      </c>
      <c r="D1079" s="28" t="s">
        <v>3058</v>
      </c>
      <c r="E1079" s="27" t="s">
        <v>3041</v>
      </c>
      <c r="F1079" t="s">
        <v>2192</v>
      </c>
      <c r="G1079" s="27" t="s">
        <v>90</v>
      </c>
      <c r="H1079" s="27" t="s">
        <v>4665</v>
      </c>
      <c r="I1079" s="27" t="s">
        <v>94</v>
      </c>
      <c r="J1079" s="28">
        <v>21712</v>
      </c>
      <c r="K1079" s="27" t="s">
        <v>400</v>
      </c>
    </row>
    <row r="1080" spans="1:241">
      <c r="A1080">
        <v>1063</v>
      </c>
      <c r="B1080" t="s">
        <v>468</v>
      </c>
      <c r="C1080" s="27" t="s">
        <v>4663</v>
      </c>
      <c r="D1080" s="28" t="s">
        <v>3058</v>
      </c>
      <c r="E1080" s="27" t="s">
        <v>3041</v>
      </c>
      <c r="F1080" t="s">
        <v>2192</v>
      </c>
      <c r="G1080" s="27" t="s">
        <v>90</v>
      </c>
      <c r="H1080" t="s">
        <v>4666</v>
      </c>
      <c r="I1080" s="27" t="s">
        <v>226</v>
      </c>
      <c r="J1080" s="28">
        <v>21425</v>
      </c>
      <c r="K1080" s="27" t="s">
        <v>406</v>
      </c>
    </row>
    <row r="1081" spans="1:241">
      <c r="A1081">
        <v>1064</v>
      </c>
      <c r="B1081" t="s">
        <v>468</v>
      </c>
      <c r="C1081" s="27" t="s">
        <v>4664</v>
      </c>
      <c r="D1081" s="28" t="s">
        <v>3058</v>
      </c>
      <c r="E1081" s="27" t="s">
        <v>3041</v>
      </c>
      <c r="F1081" t="s">
        <v>2192</v>
      </c>
      <c r="G1081" s="27" t="s">
        <v>90</v>
      </c>
      <c r="H1081" s="27" t="s">
        <v>4667</v>
      </c>
      <c r="I1081" s="27" t="s">
        <v>226</v>
      </c>
      <c r="J1081" s="28">
        <v>21628</v>
      </c>
      <c r="K1081" s="27" t="s">
        <v>4502</v>
      </c>
    </row>
    <row r="1082" spans="1:241">
      <c r="A1082">
        <v>1065</v>
      </c>
      <c r="B1082" t="s">
        <v>468</v>
      </c>
      <c r="C1082" s="27" t="s">
        <v>4668</v>
      </c>
      <c r="D1082" s="28" t="s">
        <v>3059</v>
      </c>
      <c r="E1082" s="27" t="s">
        <v>3060</v>
      </c>
      <c r="F1082" t="s">
        <v>2192</v>
      </c>
      <c r="G1082" s="27" t="s">
        <v>90</v>
      </c>
      <c r="H1082" s="27" t="s">
        <v>4669</v>
      </c>
      <c r="I1082" s="27" t="s">
        <v>94</v>
      </c>
      <c r="J1082" s="28">
        <v>21712</v>
      </c>
      <c r="K1082" s="27" t="s">
        <v>400</v>
      </c>
    </row>
    <row r="1083" spans="1:241">
      <c r="A1083">
        <v>1066</v>
      </c>
      <c r="B1083" t="s">
        <v>468</v>
      </c>
      <c r="C1083" s="27" t="s">
        <v>4670</v>
      </c>
      <c r="D1083" s="28" t="s">
        <v>3059</v>
      </c>
      <c r="E1083" s="27" t="s">
        <v>3060</v>
      </c>
      <c r="F1083" t="s">
        <v>2192</v>
      </c>
      <c r="G1083" s="27" t="s">
        <v>90</v>
      </c>
      <c r="H1083" s="27" t="s">
        <v>4671</v>
      </c>
      <c r="I1083" s="27" t="s">
        <v>226</v>
      </c>
      <c r="J1083" s="28">
        <v>21425</v>
      </c>
      <c r="K1083" s="27" t="s">
        <v>406</v>
      </c>
    </row>
    <row r="1084" spans="1:241">
      <c r="A1084">
        <v>1067</v>
      </c>
      <c r="B1084" t="s">
        <v>468</v>
      </c>
      <c r="C1084" s="27" t="s">
        <v>4672</v>
      </c>
      <c r="D1084" s="28" t="s">
        <v>3059</v>
      </c>
      <c r="E1084" s="27" t="s">
        <v>3060</v>
      </c>
      <c r="F1084" t="s">
        <v>2192</v>
      </c>
      <c r="G1084" s="27" t="s">
        <v>90</v>
      </c>
      <c r="H1084" s="27" t="s">
        <v>4673</v>
      </c>
      <c r="I1084" s="27" t="s">
        <v>226</v>
      </c>
      <c r="J1084" s="28">
        <v>21628</v>
      </c>
      <c r="K1084" s="27" t="s">
        <v>4502</v>
      </c>
    </row>
    <row r="1085" spans="1:241">
      <c r="A1085">
        <v>1068</v>
      </c>
      <c r="C1085" s="27" t="s">
        <v>567</v>
      </c>
      <c r="D1085" s="28" t="s">
        <v>3061</v>
      </c>
      <c r="E1085" s="27" t="s">
        <v>3062</v>
      </c>
      <c r="F1085" t="s">
        <v>2444</v>
      </c>
      <c r="G1085" s="27" t="s">
        <v>90</v>
      </c>
      <c r="I1085" s="27" t="s">
        <v>94</v>
      </c>
      <c r="J1085" s="28">
        <v>21589</v>
      </c>
      <c r="K1085" s="27" t="s">
        <v>405</v>
      </c>
      <c r="L1085" s="27"/>
      <c r="M1085" s="27"/>
      <c r="N1085" s="369"/>
      <c r="O1085" s="369" t="s">
        <v>1763</v>
      </c>
      <c r="P1085" s="370">
        <v>44385</v>
      </c>
    </row>
    <row r="1086" spans="1:241">
      <c r="A1086">
        <v>1069</v>
      </c>
      <c r="B1086" t="s">
        <v>468</v>
      </c>
      <c r="C1086" s="27" t="s">
        <v>4674</v>
      </c>
      <c r="D1086" s="28" t="s">
        <v>3061</v>
      </c>
      <c r="E1086" s="27" t="s">
        <v>3062</v>
      </c>
      <c r="F1086" t="s">
        <v>2192</v>
      </c>
      <c r="G1086" s="27" t="s">
        <v>90</v>
      </c>
      <c r="H1086" s="27" t="s">
        <v>4675</v>
      </c>
      <c r="I1086" s="27" t="s">
        <v>226</v>
      </c>
      <c r="J1086" s="28">
        <v>21557</v>
      </c>
      <c r="K1086" s="27" t="s">
        <v>396</v>
      </c>
    </row>
    <row r="1087" spans="1:241">
      <c r="A1087">
        <v>1070</v>
      </c>
      <c r="B1087" t="s">
        <v>468</v>
      </c>
      <c r="C1087" s="27" t="s">
        <v>4677</v>
      </c>
      <c r="D1087" s="28" t="s">
        <v>3061</v>
      </c>
      <c r="E1087" s="27" t="s">
        <v>3062</v>
      </c>
      <c r="F1087" t="s">
        <v>2192</v>
      </c>
      <c r="G1087" s="27" t="s">
        <v>90</v>
      </c>
      <c r="H1087" s="27" t="s">
        <v>4676</v>
      </c>
      <c r="I1087" s="27" t="s">
        <v>226</v>
      </c>
      <c r="J1087" s="28">
        <v>21628</v>
      </c>
      <c r="K1087" s="27" t="s">
        <v>4502</v>
      </c>
    </row>
    <row r="1088" spans="1:241">
      <c r="A1088">
        <v>1071</v>
      </c>
      <c r="B1088" t="s">
        <v>468</v>
      </c>
      <c r="C1088" s="27" t="s">
        <v>4678</v>
      </c>
      <c r="D1088" s="28" t="s">
        <v>3063</v>
      </c>
      <c r="E1088" s="27" t="s">
        <v>3064</v>
      </c>
      <c r="F1088" t="s">
        <v>2192</v>
      </c>
      <c r="G1088" s="27" t="s">
        <v>90</v>
      </c>
      <c r="H1088" s="27" t="s">
        <v>4679</v>
      </c>
      <c r="I1088" s="27" t="s">
        <v>94</v>
      </c>
      <c r="J1088" s="28">
        <v>21712</v>
      </c>
      <c r="K1088" s="27" t="s">
        <v>400</v>
      </c>
    </row>
    <row r="1089" spans="1:390">
      <c r="A1089">
        <v>1072</v>
      </c>
      <c r="B1089" t="s">
        <v>468</v>
      </c>
      <c r="C1089" s="27" t="s">
        <v>4680</v>
      </c>
      <c r="D1089" s="28" t="s">
        <v>3063</v>
      </c>
      <c r="E1089" s="27" t="s">
        <v>3064</v>
      </c>
      <c r="F1089" t="s">
        <v>2192</v>
      </c>
      <c r="G1089" s="27" t="s">
        <v>90</v>
      </c>
      <c r="H1089" s="27" t="s">
        <v>4681</v>
      </c>
      <c r="I1089" s="27" t="s">
        <v>226</v>
      </c>
      <c r="J1089" s="28">
        <v>21628</v>
      </c>
      <c r="K1089" s="27" t="s">
        <v>4502</v>
      </c>
    </row>
    <row r="1090" spans="1:390">
      <c r="A1090">
        <v>1073</v>
      </c>
      <c r="C1090" s="27" t="s">
        <v>4682</v>
      </c>
      <c r="D1090" s="28" t="s">
        <v>3065</v>
      </c>
      <c r="E1090" s="27" t="s">
        <v>3066</v>
      </c>
      <c r="F1090" t="s">
        <v>2444</v>
      </c>
      <c r="G1090" s="27" t="s">
        <v>90</v>
      </c>
      <c r="I1090" s="27" t="s">
        <v>94</v>
      </c>
      <c r="J1090" s="28">
        <v>21020</v>
      </c>
      <c r="K1090" s="27" t="s">
        <v>403</v>
      </c>
      <c r="L1090" s="28">
        <v>21020</v>
      </c>
      <c r="M1090" s="27" t="s">
        <v>226</v>
      </c>
      <c r="N1090" s="27" t="s">
        <v>4683</v>
      </c>
      <c r="O1090" s="369"/>
      <c r="P1090" s="369"/>
      <c r="Q1090" s="27" t="s">
        <v>1818</v>
      </c>
      <c r="R1090" s="27" t="s">
        <v>1769</v>
      </c>
      <c r="S1090" s="370">
        <v>43325</v>
      </c>
      <c r="T1090" s="27" t="s">
        <v>4555</v>
      </c>
      <c r="U1090" s="370">
        <v>44470</v>
      </c>
      <c r="V1090" s="369"/>
      <c r="W1090" s="27" t="s">
        <v>4684</v>
      </c>
    </row>
    <row r="1091" spans="1:390">
      <c r="A1091">
        <v>1074</v>
      </c>
      <c r="C1091" s="27" t="s">
        <v>4682</v>
      </c>
      <c r="D1091" s="28" t="s">
        <v>3065</v>
      </c>
      <c r="E1091" s="27" t="s">
        <v>3066</v>
      </c>
      <c r="F1091" t="s">
        <v>2444</v>
      </c>
      <c r="G1091" s="27" t="s">
        <v>90</v>
      </c>
      <c r="I1091" s="27" t="s">
        <v>226</v>
      </c>
      <c r="J1091" s="28">
        <v>21020</v>
      </c>
      <c r="K1091" s="27" t="s">
        <v>403</v>
      </c>
      <c r="L1091" s="371"/>
      <c r="M1091" s="369"/>
      <c r="N1091" s="369"/>
      <c r="O1091" s="369"/>
      <c r="P1091" s="369"/>
      <c r="Q1091" s="27" t="s">
        <v>1818</v>
      </c>
      <c r="R1091" s="27" t="s">
        <v>1769</v>
      </c>
      <c r="S1091" s="370">
        <v>43325</v>
      </c>
      <c r="T1091" s="27" t="s">
        <v>4555</v>
      </c>
      <c r="U1091" s="370">
        <v>44470</v>
      </c>
      <c r="V1091" s="369"/>
      <c r="W1091" s="27" t="s">
        <v>4685</v>
      </c>
    </row>
    <row r="1092" spans="1:390" ht="45">
      <c r="A1092">
        <v>1075</v>
      </c>
      <c r="B1092" t="s">
        <v>468</v>
      </c>
      <c r="C1092" s="400" t="s">
        <v>4686</v>
      </c>
      <c r="D1092" s="28" t="s">
        <v>1267</v>
      </c>
      <c r="E1092" s="27" t="s">
        <v>1268</v>
      </c>
      <c r="F1092" t="s">
        <v>2182</v>
      </c>
      <c r="G1092" s="27" t="s">
        <v>90</v>
      </c>
      <c r="I1092" s="27" t="s">
        <v>94</v>
      </c>
      <c r="J1092" s="28">
        <v>29268</v>
      </c>
      <c r="K1092" s="27" t="s">
        <v>229</v>
      </c>
      <c r="L1092" s="371"/>
      <c r="M1092" s="369"/>
      <c r="N1092" s="369"/>
      <c r="O1092" s="369"/>
      <c r="P1092" s="369"/>
      <c r="Q1092" s="27" t="s">
        <v>1777</v>
      </c>
      <c r="R1092" s="27" t="s">
        <v>1778</v>
      </c>
      <c r="S1092" s="370">
        <v>44363</v>
      </c>
      <c r="T1092" s="27" t="s">
        <v>4555</v>
      </c>
      <c r="U1092" s="370">
        <v>44366</v>
      </c>
      <c r="V1092" s="369"/>
      <c r="W1092" s="27" t="s">
        <v>4598</v>
      </c>
      <c r="X1092" s="27"/>
      <c r="Y1092" s="27"/>
      <c r="Z1092" s="27"/>
      <c r="AA1092" s="27" t="s">
        <v>313</v>
      </c>
      <c r="AB1092" s="369">
        <v>117.66</v>
      </c>
      <c r="AC1092" s="369">
        <f t="shared" ref="AC1092" si="963">AB1092-5</f>
        <v>112.66</v>
      </c>
      <c r="AD1092" s="390" t="s">
        <v>596</v>
      </c>
      <c r="AE1092" s="391">
        <f t="shared" ref="AE1092:AE1093" si="964">BA1092</f>
        <v>115.3068</v>
      </c>
      <c r="AF1092" s="391">
        <f>DU1092+DZ1092</f>
        <v>10.406779568868421</v>
      </c>
      <c r="AG1092" s="391">
        <f>EU1092+FA1092</f>
        <v>18.692671974808817</v>
      </c>
      <c r="AH1092" s="391">
        <f t="shared" ref="AH1092:AH1094" si="965">DM1092</f>
        <v>2.36</v>
      </c>
      <c r="AI1092" s="391">
        <f t="shared" ref="AI1092:AI1094" si="966">DO1092</f>
        <v>2.9499999999999998E-2</v>
      </c>
      <c r="AJ1092" s="391">
        <f>GW1092</f>
        <v>0.33450292397660819</v>
      </c>
      <c r="AK1092" s="391">
        <f>GU1092</f>
        <v>1.6503993274853803</v>
      </c>
      <c r="AL1092" s="391">
        <f>GS1092</f>
        <v>14.523514081871346</v>
      </c>
      <c r="AM1092" s="391">
        <f>HV1092</f>
        <v>1.8162393162393162</v>
      </c>
      <c r="AN1092" s="391">
        <f>IG1092</f>
        <v>2.0833333333333335</v>
      </c>
      <c r="AO1092" s="391"/>
      <c r="AP1092" s="391"/>
      <c r="AQ1092" s="391">
        <f>SUM(AE1092:AO1092)</f>
        <v>167.20374052658326</v>
      </c>
      <c r="AR1092" s="391">
        <f>IJ1092</f>
        <v>0</v>
      </c>
      <c r="AS1092" s="391">
        <f t="shared" ref="AS1092:AS1094" si="967">EE1092</f>
        <v>0</v>
      </c>
      <c r="AT1092" s="391">
        <v>0</v>
      </c>
      <c r="AU1092" s="391">
        <f>166.83*3%</f>
        <v>5.0049000000000001</v>
      </c>
      <c r="AV1092" s="391">
        <f t="shared" ref="AV1092:AV1094" si="968">AQ1092+AT1092+AU1092+AR1092+AS1092</f>
        <v>172.20864052658325</v>
      </c>
      <c r="AW1092" s="394">
        <v>0.98</v>
      </c>
      <c r="AX1092" s="394">
        <v>0.98</v>
      </c>
      <c r="AY1092" s="392">
        <v>1</v>
      </c>
      <c r="AZ1092" s="391">
        <f>(AW1092-AX1092)*AY1092</f>
        <v>0</v>
      </c>
      <c r="BA1092" s="391">
        <f>AW1092*AB1092-AZ1092*AC1092</f>
        <v>115.3068</v>
      </c>
      <c r="BB1092" s="391"/>
      <c r="BC1092" s="391"/>
      <c r="BD1092" s="391"/>
      <c r="BE1092" s="391"/>
      <c r="BF1092" s="391"/>
      <c r="BG1092" s="391"/>
      <c r="BH1092" s="391"/>
      <c r="BI1092" s="391"/>
      <c r="BJ1092" s="369"/>
      <c r="BK1092" s="369"/>
      <c r="BL1092" s="369"/>
      <c r="BM1092" s="369"/>
      <c r="BN1092" s="369"/>
      <c r="BO1092" s="369"/>
      <c r="BP1092" s="369"/>
      <c r="BQ1092" s="369"/>
      <c r="BR1092" s="369"/>
      <c r="BS1092" s="369"/>
      <c r="BT1092" s="369"/>
      <c r="BU1092" s="369"/>
      <c r="BV1092" s="369"/>
      <c r="BW1092" s="369"/>
      <c r="BX1092" s="369"/>
      <c r="BY1092" s="369"/>
      <c r="BZ1092" s="369"/>
      <c r="CA1092" s="369"/>
      <c r="CB1092" s="369"/>
      <c r="CC1092" s="369"/>
      <c r="CD1092" s="369"/>
      <c r="CE1092" s="369"/>
      <c r="CF1092" s="369"/>
      <c r="CG1092" s="369"/>
      <c r="CH1092" s="369"/>
      <c r="CI1092" s="369"/>
      <c r="CJ1092" s="404" t="s">
        <v>4687</v>
      </c>
      <c r="CK1092" s="369">
        <v>1</v>
      </c>
      <c r="CL1092" s="369">
        <f>0.59*4</f>
        <v>2.36</v>
      </c>
      <c r="CM1092" s="369">
        <f>CL1092*CK1092</f>
        <v>2.36</v>
      </c>
      <c r="CN1092" s="369"/>
      <c r="CO1092" s="369"/>
      <c r="CP1092" s="369"/>
      <c r="CQ1092" s="369"/>
      <c r="CR1092" s="369"/>
      <c r="CS1092" s="369"/>
      <c r="CT1092" s="369"/>
      <c r="CU1092" s="369"/>
      <c r="CV1092" s="369"/>
      <c r="CW1092" s="369"/>
      <c r="CX1092" s="369"/>
      <c r="CY1092" s="369"/>
      <c r="CZ1092" s="369"/>
      <c r="DA1092" s="369"/>
      <c r="DB1092" s="369"/>
      <c r="DC1092" s="369"/>
      <c r="DD1092" s="369"/>
      <c r="DE1092" s="369"/>
      <c r="DF1092" s="369"/>
      <c r="DG1092" s="369"/>
      <c r="DH1092" s="369"/>
      <c r="DI1092" s="369"/>
      <c r="DJ1092" s="369"/>
      <c r="DK1092" s="369"/>
      <c r="DL1092" s="369"/>
      <c r="DM1092" s="369">
        <f>DL1092+DG1092+DB1092+CW1092+CR1092+CM1092+CH1092</f>
        <v>2.36</v>
      </c>
      <c r="DN1092" s="393">
        <v>1.2500000000000001E-2</v>
      </c>
      <c r="DO1092" s="391">
        <f>DN1092*DM1092</f>
        <v>2.9499999999999998E-2</v>
      </c>
      <c r="DP1092" s="394">
        <f>DO1092+DM1092</f>
        <v>2.3895</v>
      </c>
      <c r="DQ1092" s="369" t="s">
        <v>4688</v>
      </c>
      <c r="DR1092" s="369" t="s">
        <v>138</v>
      </c>
      <c r="DS1092" s="369">
        <v>1</v>
      </c>
      <c r="DT1092" s="391">
        <f>KP1092</f>
        <v>6.9705839399210525</v>
      </c>
      <c r="DU1092" s="391">
        <f>DT1092*DS1092</f>
        <v>6.9705839399210525</v>
      </c>
      <c r="DV1092" s="369" t="s">
        <v>1815</v>
      </c>
      <c r="DW1092" s="369" t="s">
        <v>4689</v>
      </c>
      <c r="DX1092" s="369">
        <v>1</v>
      </c>
      <c r="DY1092" s="391">
        <f>MA1092</f>
        <v>3.4361956289473685</v>
      </c>
      <c r="DZ1092" s="391">
        <f>DY1092*DX1092</f>
        <v>3.4361956289473685</v>
      </c>
      <c r="EA1092" s="369"/>
      <c r="EB1092" s="369"/>
      <c r="EC1092" s="369"/>
      <c r="ED1092" s="369"/>
      <c r="EE1092" s="369"/>
      <c r="EF1092" s="369">
        <v>650</v>
      </c>
      <c r="EG1092" s="369">
        <v>5720</v>
      </c>
      <c r="EH1092" s="369">
        <v>8</v>
      </c>
      <c r="EI1092" s="395">
        <v>0.95</v>
      </c>
      <c r="EJ1092" s="369">
        <v>1</v>
      </c>
      <c r="EK1092" s="369">
        <v>80</v>
      </c>
      <c r="EL1092" s="396">
        <f>3600/EK1092*EH1092*EJ1092*EI1092</f>
        <v>342</v>
      </c>
      <c r="EM1092" s="369"/>
      <c r="EN1092" s="369"/>
      <c r="EO1092" s="369"/>
      <c r="EP1092" s="369"/>
      <c r="EQ1092" s="369"/>
      <c r="ER1092" s="369"/>
      <c r="ES1092" s="369"/>
      <c r="ET1092" s="369"/>
      <c r="EU1092" s="391">
        <f>EG1092/EL1092+EM1092+EP1092+EQ1092+ER1092+EO1092</f>
        <v>16.725146198830409</v>
      </c>
      <c r="EV1092" s="369"/>
      <c r="EW1092" s="369"/>
      <c r="EX1092" s="391">
        <f>550/(3600*8*0.95/45)</f>
        <v>0.90460526315789469</v>
      </c>
      <c r="EY1092" s="391">
        <f>134957/(650*12*25)+44500/(400*12*25)</f>
        <v>1.0629205128205128</v>
      </c>
      <c r="EZ1092" s="369"/>
      <c r="FA1092" s="391">
        <f>EX1092+EY1092</f>
        <v>1.9675257759784075</v>
      </c>
      <c r="FB1092" s="369"/>
      <c r="FC1092" s="369"/>
      <c r="FD1092" s="369"/>
      <c r="FE1092" s="369"/>
      <c r="FF1092" s="369"/>
      <c r="FG1092" s="369"/>
      <c r="FH1092" s="369"/>
      <c r="FI1092" s="369"/>
      <c r="FJ1092" s="369"/>
      <c r="FK1092" s="369"/>
      <c r="FL1092" s="369"/>
      <c r="FM1092" s="369"/>
      <c r="FN1092" s="369"/>
      <c r="FO1092" s="369"/>
      <c r="FP1092" s="369"/>
      <c r="FQ1092" s="369"/>
      <c r="FR1092" s="369"/>
      <c r="FS1092" s="369"/>
      <c r="FT1092" s="369"/>
      <c r="FU1092" s="369"/>
      <c r="FV1092" s="369"/>
      <c r="FW1092" s="369"/>
      <c r="FX1092" s="369"/>
      <c r="FY1092" s="369"/>
      <c r="FZ1092" s="369"/>
      <c r="GA1092" s="369"/>
      <c r="GB1092" s="369"/>
      <c r="GC1092" s="369"/>
      <c r="GD1092" s="369"/>
      <c r="GE1092" s="369"/>
      <c r="GF1092" s="369"/>
      <c r="GG1092" s="369"/>
      <c r="GH1092" s="369"/>
      <c r="GI1092" s="369"/>
      <c r="GJ1092" s="369"/>
      <c r="GK1092" s="369"/>
      <c r="GL1092" s="369"/>
      <c r="GM1092" s="369"/>
      <c r="GN1092" s="369"/>
      <c r="GO1092" s="369"/>
      <c r="GP1092" s="392"/>
      <c r="GQ1092" s="369"/>
      <c r="GR1092" s="395">
        <v>0.11</v>
      </c>
      <c r="GS1092" s="391">
        <f>GR1092*(BA1092+EU1092+EV1092)</f>
        <v>14.523514081871346</v>
      </c>
      <c r="GT1092" s="393">
        <v>1.2500000000000001E-2</v>
      </c>
      <c r="GU1092" s="391">
        <f>GT1092*(EU1092+BA1092+EV1092)</f>
        <v>1.6503993274853803</v>
      </c>
      <c r="GV1092" s="395">
        <v>0.02</v>
      </c>
      <c r="GW1092" s="391">
        <f>GV1092*(EU1092-EP1092-EQ1092)</f>
        <v>0.33450292397660819</v>
      </c>
      <c r="GX1092" s="391">
        <f>GS1092+GU1092+GW1092</f>
        <v>16.508416333333333</v>
      </c>
      <c r="GY1092" s="369" t="s">
        <v>130</v>
      </c>
      <c r="GZ1092" s="369" t="s">
        <v>130</v>
      </c>
      <c r="HA1092" s="391">
        <v>1600</v>
      </c>
      <c r="HB1092" s="391">
        <v>800</v>
      </c>
      <c r="HC1092" s="391">
        <v>1800</v>
      </c>
      <c r="HD1092" s="391">
        <v>40</v>
      </c>
      <c r="HE1092" s="391">
        <v>650</v>
      </c>
      <c r="HF1092" s="391">
        <f>ROUNDUP(HE1092/HD1092,0)</f>
        <v>17</v>
      </c>
      <c r="HG1092" s="391">
        <v>5</v>
      </c>
      <c r="HH1092" s="391">
        <f>HF1092*HG1092</f>
        <v>85</v>
      </c>
      <c r="HI1092" s="391">
        <v>12500</v>
      </c>
      <c r="HJ1092" s="396">
        <f>HH1092*HI1092</f>
        <v>1062500</v>
      </c>
      <c r="HK1092" s="369"/>
      <c r="HL1092" s="369"/>
      <c r="HM1092" s="369">
        <v>3</v>
      </c>
      <c r="HN1092" s="396">
        <f t="shared" ref="HN1092" si="969">HM1092*12*25*HE1092</f>
        <v>585000</v>
      </c>
      <c r="HO1092" s="391">
        <f>(IF(GY1092="carton box",HI1092/HD1092,HJ1092/HN1092))</f>
        <v>1.8162393162393162</v>
      </c>
      <c r="HP1092" s="369">
        <v>160</v>
      </c>
      <c r="HQ1092" s="369">
        <v>0</v>
      </c>
      <c r="HR1092" s="369">
        <v>0</v>
      </c>
      <c r="HS1092" s="369">
        <v>0</v>
      </c>
      <c r="HT1092" s="394">
        <f>IF(ISERROR(HR1092/HS1092),0,HR1092/HS1092)</f>
        <v>0</v>
      </c>
      <c r="HU1092" s="394"/>
      <c r="HV1092" s="391">
        <f>(HO1092+HT1092)</f>
        <v>1.8162393162393162</v>
      </c>
      <c r="HW1092" s="369"/>
      <c r="HX1092" s="369">
        <v>4200</v>
      </c>
      <c r="HY1092" s="369">
        <v>1900</v>
      </c>
      <c r="HZ1092" s="369">
        <v>1975</v>
      </c>
      <c r="IA1092" s="391">
        <f t="shared" ref="IA1092:IC1092" si="970">ROUNDDOWN(HX1092/HA1092,0)</f>
        <v>2</v>
      </c>
      <c r="IB1092" s="391">
        <f t="shared" si="970"/>
        <v>2</v>
      </c>
      <c r="IC1092" s="391">
        <f t="shared" si="970"/>
        <v>1</v>
      </c>
      <c r="ID1092" s="395">
        <v>1</v>
      </c>
      <c r="IE1092" s="391">
        <f>PRODUCT(IA1092:ID1092)+2</f>
        <v>6</v>
      </c>
      <c r="IF1092" s="369">
        <v>500</v>
      </c>
      <c r="IG1092" s="391">
        <f>(IF1092/(IE1092*HD1092))</f>
        <v>2.0833333333333335</v>
      </c>
      <c r="IH1092" s="369"/>
      <c r="II1092" s="369"/>
      <c r="IJ1092" s="369"/>
      <c r="IK1092" s="369"/>
      <c r="IL1092" s="369"/>
      <c r="IM1092" s="404" t="s">
        <v>4690</v>
      </c>
      <c r="IN1092" s="369">
        <v>203.92</v>
      </c>
      <c r="IO1092" s="369">
        <v>20</v>
      </c>
      <c r="IP1092" s="369" t="s">
        <v>24</v>
      </c>
      <c r="IQ1092" s="394">
        <v>1.7232499999999998E-2</v>
      </c>
      <c r="IR1092" s="394">
        <v>1.508E-2</v>
      </c>
      <c r="IS1092" s="392">
        <v>1</v>
      </c>
      <c r="IT1092" s="391">
        <f>(IQ1092-IR1092)*IS1092</f>
        <v>2.1524999999999982E-3</v>
      </c>
      <c r="IU1092" s="391">
        <f>IQ1092*IN1092-IT1092*IO1092</f>
        <v>3.4710013999999991</v>
      </c>
      <c r="IV1092" s="369">
        <v>1</v>
      </c>
      <c r="IW1092" s="369">
        <v>1.96</v>
      </c>
      <c r="IX1092" s="369">
        <f>IV1092*IW1092</f>
        <v>1.96</v>
      </c>
      <c r="IY1092" s="369"/>
      <c r="IZ1092" s="369"/>
      <c r="JA1092" s="369"/>
      <c r="JB1092" s="369"/>
      <c r="JC1092" s="369"/>
      <c r="JD1092" s="369"/>
      <c r="JE1092" s="369"/>
      <c r="JF1092" s="369"/>
      <c r="JG1092" s="369"/>
      <c r="JH1092" s="369"/>
      <c r="JI1092" s="369"/>
      <c r="JJ1092" s="369"/>
      <c r="JK1092" s="369"/>
      <c r="JL1092" s="369"/>
      <c r="JM1092" s="369"/>
      <c r="JN1092" s="369"/>
      <c r="JO1092" s="369"/>
      <c r="JP1092" s="369"/>
      <c r="JQ1092" s="369"/>
      <c r="JR1092" s="369"/>
      <c r="JS1092" s="369">
        <f>JR1092+JM1092+JH1092+JC1092+IX1092</f>
        <v>1.96</v>
      </c>
      <c r="JT1092" s="393">
        <v>1.2500000000000001E-2</v>
      </c>
      <c r="JU1092" s="391">
        <f>JT1092*JS1092</f>
        <v>2.4500000000000001E-2</v>
      </c>
      <c r="JV1092" s="391">
        <f>JU1092+JS1092</f>
        <v>1.9844999999999999</v>
      </c>
      <c r="JW1092" s="369">
        <v>180</v>
      </c>
      <c r="JX1092" s="369">
        <v>1800</v>
      </c>
      <c r="JY1092" s="369">
        <v>8</v>
      </c>
      <c r="JZ1092" s="395">
        <v>0.95</v>
      </c>
      <c r="KA1092" s="369">
        <v>4</v>
      </c>
      <c r="KB1092" s="369"/>
      <c r="KC1092" s="404">
        <v>58</v>
      </c>
      <c r="KD1092" s="417">
        <f>3600/KC1092*KA1092*JZ1092*JY1092</f>
        <v>1886.8965517241379</v>
      </c>
      <c r="KE1092" s="418">
        <f>JX1092/KD1092+KF1092</f>
        <v>0.95394736842105265</v>
      </c>
      <c r="KF1092" s="391">
        <v>0</v>
      </c>
      <c r="KG1092" s="395">
        <v>0.11</v>
      </c>
      <c r="KH1092" s="391">
        <f>KG1092*(KE1092+IU1092)</f>
        <v>0.4867443645263157</v>
      </c>
      <c r="KI1092" s="393">
        <v>1.2500000000000001E-2</v>
      </c>
      <c r="KJ1092" s="391">
        <f>KI1092*(KE1092+IU1092)</f>
        <v>5.531185960526315E-2</v>
      </c>
      <c r="KK1092" s="391"/>
      <c r="KL1092" s="391"/>
      <c r="KM1092" s="391"/>
      <c r="KN1092" s="395">
        <v>0.02</v>
      </c>
      <c r="KO1092" s="391">
        <f>KN1092*KE1092</f>
        <v>1.9078947368421053E-2</v>
      </c>
      <c r="KP1092" s="391">
        <f>IU1092+JS1092+JU1092+KE1092+KH1092+KJ1092+KO1092</f>
        <v>6.9705839399210525</v>
      </c>
      <c r="KQ1092" s="369" t="s">
        <v>4690</v>
      </c>
      <c r="KR1092" s="369">
        <v>203.92</v>
      </c>
      <c r="KS1092" s="369">
        <v>20</v>
      </c>
      <c r="KT1092" s="369" t="s">
        <v>24</v>
      </c>
      <c r="KU1092" s="394">
        <v>1.15E-2</v>
      </c>
      <c r="KV1092" s="394">
        <v>9.640000000000001E-3</v>
      </c>
      <c r="KW1092" s="395">
        <v>1</v>
      </c>
      <c r="KX1092" s="391">
        <f>(KU1092-KV1092)*KW1092</f>
        <v>1.8599999999999988E-3</v>
      </c>
      <c r="KY1092" s="391">
        <f>KU1092*KR1092-KX1092*KS1092</f>
        <v>2.3078799999999999</v>
      </c>
      <c r="KZ1092" s="369"/>
      <c r="LA1092" s="369"/>
      <c r="LB1092" s="369"/>
      <c r="LC1092" s="369"/>
      <c r="LD1092" s="369"/>
      <c r="LE1092" s="369"/>
      <c r="LF1092" s="369"/>
      <c r="LG1092" s="369"/>
      <c r="LH1092" s="369">
        <v>180</v>
      </c>
      <c r="LI1092" s="369">
        <v>1800</v>
      </c>
      <c r="LJ1092" s="369">
        <v>8</v>
      </c>
      <c r="LK1092" s="395">
        <v>0.95</v>
      </c>
      <c r="LL1092" s="369">
        <v>4</v>
      </c>
      <c r="LM1092" s="369"/>
      <c r="LN1092" s="369">
        <v>45</v>
      </c>
      <c r="LO1092" s="396">
        <f>3600/LN1092*LL1092*LK1092*LJ1092</f>
        <v>2432</v>
      </c>
      <c r="LP1092" s="391">
        <f>LI1092/LO1092</f>
        <v>0.74013157894736847</v>
      </c>
      <c r="LQ1092" s="391"/>
      <c r="LR1092" s="395">
        <v>0.11</v>
      </c>
      <c r="LS1092" s="391">
        <f>LR1092*(LP1092+KY1092)</f>
        <v>0.33528127368421051</v>
      </c>
      <c r="LT1092" s="393">
        <v>1.2500000000000001E-2</v>
      </c>
      <c r="LU1092" s="391">
        <f>LT1092*(LP1092+KY1092)</f>
        <v>3.8100144736842111E-2</v>
      </c>
      <c r="LV1092" s="391"/>
      <c r="LW1092" s="391"/>
      <c r="LX1092" s="391"/>
      <c r="LY1092" s="395">
        <v>0.02</v>
      </c>
      <c r="LZ1092" s="391">
        <f>LY1092*LP1092</f>
        <v>1.4802631578947369E-2</v>
      </c>
      <c r="MA1092" s="391">
        <f>KY1092+LD1092+LF1092+LP1092+LS1092+LU1092+LZ1092</f>
        <v>3.4361956289473685</v>
      </c>
    </row>
    <row r="1093" spans="1:390">
      <c r="A1093">
        <v>1076</v>
      </c>
      <c r="B1093" t="s">
        <v>468</v>
      </c>
      <c r="C1093" s="27" t="s">
        <v>4691</v>
      </c>
      <c r="D1093" s="28" t="s">
        <v>3067</v>
      </c>
      <c r="E1093" s="27" t="s">
        <v>880</v>
      </c>
      <c r="F1093" t="s">
        <v>2182</v>
      </c>
      <c r="G1093" s="27" t="s">
        <v>90</v>
      </c>
      <c r="I1093" s="27" t="s">
        <v>226</v>
      </c>
      <c r="J1093" s="28">
        <v>21628</v>
      </c>
      <c r="K1093" s="27" t="s">
        <v>4502</v>
      </c>
      <c r="L1093" s="371"/>
      <c r="M1093" s="369"/>
      <c r="N1093" s="369"/>
      <c r="O1093" s="369"/>
      <c r="P1093" s="369"/>
      <c r="Q1093" s="27" t="s">
        <v>1857</v>
      </c>
      <c r="R1093" s="27" t="s">
        <v>1194</v>
      </c>
      <c r="S1093" s="370">
        <v>45119</v>
      </c>
      <c r="T1093" s="27" t="s">
        <v>4555</v>
      </c>
      <c r="U1093" s="370">
        <v>45140</v>
      </c>
      <c r="V1093" s="369"/>
      <c r="W1093" s="390"/>
      <c r="X1093" s="390"/>
      <c r="Y1093" s="390"/>
      <c r="Z1093" s="390"/>
      <c r="AA1093" s="27" t="s">
        <v>469</v>
      </c>
      <c r="AB1093" s="369">
        <v>98.55</v>
      </c>
      <c r="AC1093" s="369">
        <v>20</v>
      </c>
      <c r="AD1093" s="390" t="s">
        <v>4692</v>
      </c>
      <c r="AE1093" s="391">
        <f t="shared" si="964"/>
        <v>0.51202499999999995</v>
      </c>
      <c r="AF1093" s="391">
        <f>DU1093+DZ1093</f>
        <v>0</v>
      </c>
      <c r="AG1093" s="391">
        <f>EU1093+FA1093</f>
        <v>0.5771604938271605</v>
      </c>
      <c r="AH1093" s="391">
        <f t="shared" si="965"/>
        <v>0</v>
      </c>
      <c r="AI1093" s="391">
        <f t="shared" si="966"/>
        <v>0</v>
      </c>
      <c r="AJ1093" s="391">
        <f>GW1093</f>
        <v>1.131687242798354E-2</v>
      </c>
      <c r="AK1093" s="391">
        <f>GU1093</f>
        <v>7.2145061728395065E-3</v>
      </c>
      <c r="AL1093" s="391">
        <f>GS1093</f>
        <v>0.12253336805555556</v>
      </c>
      <c r="AM1093" s="391">
        <f>HV1093</f>
        <v>1.0891854938271606E-2</v>
      </c>
      <c r="AN1093" s="391">
        <f>IG1093</f>
        <v>1.0891854938271606E-2</v>
      </c>
      <c r="AO1093" s="391"/>
      <c r="AP1093" s="391"/>
      <c r="AQ1093" s="391">
        <f>SUM(AE1093:AO1093)</f>
        <v>1.2520339503600826</v>
      </c>
      <c r="AR1093" s="391">
        <f>IJ1093</f>
        <v>0</v>
      </c>
      <c r="AS1093" s="391">
        <f t="shared" si="967"/>
        <v>0</v>
      </c>
      <c r="AT1093" s="391">
        <v>0</v>
      </c>
      <c r="AU1093" s="391">
        <v>0</v>
      </c>
      <c r="AV1093" s="391">
        <f t="shared" si="968"/>
        <v>1.2520339503600826</v>
      </c>
      <c r="AW1093" s="369">
        <v>5.4999999999999997E-3</v>
      </c>
      <c r="AX1093" s="369">
        <v>4.0000000000000001E-3</v>
      </c>
      <c r="AY1093" s="392">
        <v>1</v>
      </c>
      <c r="AZ1093" s="391">
        <f>(AW1093-AX1093)*AY1093</f>
        <v>1.4999999999999996E-3</v>
      </c>
      <c r="BA1093" s="394">
        <f>AW1093*AB1093-AZ1093*AC1093</f>
        <v>0.51202499999999995</v>
      </c>
      <c r="BB1093" s="394"/>
      <c r="BC1093" s="394"/>
      <c r="BD1093" s="394"/>
      <c r="BE1093" s="394"/>
      <c r="BF1093" s="394"/>
      <c r="BG1093" s="394"/>
      <c r="BH1093" s="394"/>
      <c r="BI1093" s="394"/>
      <c r="BJ1093" s="369"/>
      <c r="BK1093" s="369"/>
      <c r="BL1093" s="369"/>
      <c r="BM1093" s="369"/>
      <c r="BN1093" s="369"/>
      <c r="BO1093" s="369"/>
      <c r="BP1093" s="369"/>
      <c r="BQ1093" s="369"/>
      <c r="BR1093" s="369"/>
      <c r="BS1093" s="369"/>
      <c r="BT1093" s="369"/>
      <c r="BU1093" s="369"/>
      <c r="BV1093" s="369"/>
      <c r="BW1093" s="369"/>
      <c r="BX1093" s="369"/>
      <c r="BY1093" s="369"/>
      <c r="BZ1093" s="369"/>
      <c r="CA1093" s="369"/>
      <c r="CB1093" s="369"/>
      <c r="CC1093" s="369"/>
      <c r="CD1093" s="369"/>
      <c r="CE1093" s="369"/>
      <c r="CF1093" s="369"/>
      <c r="CG1093" s="369"/>
      <c r="CH1093" s="369"/>
      <c r="CI1093" s="369"/>
      <c r="CJ1093" s="369"/>
      <c r="CK1093" s="369"/>
      <c r="CL1093" s="369"/>
      <c r="CM1093" s="369"/>
      <c r="CN1093" s="369"/>
      <c r="CO1093" s="369"/>
      <c r="CP1093" s="369"/>
      <c r="CQ1093" s="369"/>
      <c r="CR1093" s="369"/>
      <c r="CS1093" s="369"/>
      <c r="CT1093" s="369"/>
      <c r="CU1093" s="369"/>
      <c r="CV1093" s="369"/>
      <c r="CW1093" s="369"/>
      <c r="CX1093" s="369"/>
      <c r="CY1093" s="369"/>
      <c r="CZ1093" s="369"/>
      <c r="DA1093" s="369"/>
      <c r="DB1093" s="369"/>
      <c r="DC1093" s="369"/>
      <c r="DD1093" s="369"/>
      <c r="DE1093" s="369"/>
      <c r="DF1093" s="369"/>
      <c r="DG1093" s="369"/>
      <c r="DH1093" s="369"/>
      <c r="DI1093" s="369"/>
      <c r="DJ1093" s="369"/>
      <c r="DK1093" s="369"/>
      <c r="DL1093" s="369"/>
      <c r="DM1093" s="369"/>
      <c r="DN1093" s="369"/>
      <c r="DO1093" s="369"/>
      <c r="DP1093" s="369"/>
      <c r="DQ1093" s="369"/>
      <c r="DR1093" s="369"/>
      <c r="DS1093" s="369"/>
      <c r="DT1093" s="369"/>
      <c r="DU1093" s="369"/>
      <c r="DV1093" s="369"/>
      <c r="DW1093" s="369"/>
      <c r="DX1093" s="369"/>
      <c r="DY1093" s="369"/>
      <c r="DZ1093" s="369"/>
      <c r="EA1093" s="369"/>
      <c r="EB1093" s="369"/>
      <c r="EC1093" s="369"/>
      <c r="ED1093" s="369"/>
      <c r="EE1093" s="369"/>
      <c r="EF1093" s="369">
        <v>110</v>
      </c>
      <c r="EG1093" s="369">
        <v>1100</v>
      </c>
      <c r="EH1093" s="369">
        <v>7.5</v>
      </c>
      <c r="EI1093" s="395">
        <v>0.9</v>
      </c>
      <c r="EJ1093" s="369">
        <v>4</v>
      </c>
      <c r="EK1093" s="369">
        <v>50</v>
      </c>
      <c r="EL1093" s="396">
        <f>3600/EK1093*EH1093*EJ1093*EI1093</f>
        <v>1944</v>
      </c>
      <c r="EM1093" s="394">
        <v>5.6584362139917698E-3</v>
      </c>
      <c r="EN1093" s="369"/>
      <c r="EO1093" s="394">
        <v>5.6584362139917698E-3</v>
      </c>
      <c r="EP1093" s="369"/>
      <c r="EQ1093" s="369"/>
      <c r="ER1093" s="369"/>
      <c r="ES1093" s="369"/>
      <c r="ET1093" s="369"/>
      <c r="EU1093" s="391">
        <f>EG1093/EL1093+EM1093+EP1093+EQ1093+ER1093+EO1093</f>
        <v>0.5771604938271605</v>
      </c>
      <c r="EV1093" s="369"/>
      <c r="EW1093" s="369"/>
      <c r="EX1093" s="369"/>
      <c r="EY1093" s="369"/>
      <c r="EZ1093" s="369"/>
      <c r="FA1093" s="369"/>
      <c r="FB1093" s="369"/>
      <c r="FC1093" s="369"/>
      <c r="FD1093" s="369"/>
      <c r="FE1093" s="369"/>
      <c r="FF1093" s="369"/>
      <c r="FG1093" s="369"/>
      <c r="FH1093" s="369"/>
      <c r="FI1093" s="369"/>
      <c r="FJ1093" s="369"/>
      <c r="FK1093" s="369"/>
      <c r="FL1093" s="369"/>
      <c r="FM1093" s="369"/>
      <c r="FN1093" s="369"/>
      <c r="FO1093" s="369"/>
      <c r="FP1093" s="369"/>
      <c r="FQ1093" s="369"/>
      <c r="FR1093" s="369"/>
      <c r="FS1093" s="369"/>
      <c r="FT1093" s="369"/>
      <c r="FU1093" s="369"/>
      <c r="FV1093" s="369"/>
      <c r="FW1093" s="369"/>
      <c r="FX1093" s="369"/>
      <c r="FY1093" s="369"/>
      <c r="FZ1093" s="369"/>
      <c r="GA1093" s="369"/>
      <c r="GB1093" s="369"/>
      <c r="GC1093" s="369"/>
      <c r="GD1093" s="369"/>
      <c r="GE1093" s="369"/>
      <c r="GF1093" s="369"/>
      <c r="GG1093" s="369"/>
      <c r="GH1093" s="369"/>
      <c r="GI1093" s="369"/>
      <c r="GJ1093" s="369"/>
      <c r="GK1093" s="369"/>
      <c r="GL1093" s="369"/>
      <c r="GM1093" s="369"/>
      <c r="GN1093" s="369"/>
      <c r="GO1093" s="369"/>
      <c r="GP1093" s="392"/>
      <c r="GQ1093" s="369"/>
      <c r="GR1093" s="395">
        <v>0.1125</v>
      </c>
      <c r="GS1093" s="391">
        <f>GR1093*(BA1093+EU1093+EV1093)</f>
        <v>0.12253336805555556</v>
      </c>
      <c r="GT1093" s="393">
        <v>1.2500000000000001E-2</v>
      </c>
      <c r="GU1093" s="391">
        <f>GT1093*EU1093</f>
        <v>7.2145061728395065E-3</v>
      </c>
      <c r="GV1093" s="395">
        <v>0.02</v>
      </c>
      <c r="GW1093" s="394">
        <f>GV1093*(EU1093-EO1093-EM1093)</f>
        <v>1.131687242798354E-2</v>
      </c>
      <c r="GX1093" s="391">
        <f>GS1093+GU1093+GW1093</f>
        <v>0.14106474665637861</v>
      </c>
      <c r="GY1093" s="369"/>
      <c r="GZ1093" s="369"/>
      <c r="HA1093" s="369"/>
      <c r="HB1093" s="369"/>
      <c r="HC1093" s="369"/>
      <c r="HD1093" s="369"/>
      <c r="HE1093" s="369"/>
      <c r="HF1093" s="369"/>
      <c r="HG1093" s="369"/>
      <c r="HH1093" s="369"/>
      <c r="HI1093" s="369"/>
      <c r="HJ1093" s="369"/>
      <c r="HK1093" s="369"/>
      <c r="HL1093" s="369"/>
      <c r="HM1093" s="369"/>
      <c r="HN1093" s="369"/>
      <c r="HO1093" s="369"/>
      <c r="HP1093" s="369"/>
      <c r="HQ1093" s="369"/>
      <c r="HR1093" s="369"/>
      <c r="HS1093" s="369"/>
      <c r="HT1093" s="369"/>
      <c r="HU1093" s="369"/>
      <c r="HV1093" s="391">
        <v>1.0891854938271606E-2</v>
      </c>
      <c r="HW1093" s="369"/>
      <c r="HX1093" s="369"/>
      <c r="HY1093" s="369"/>
      <c r="HZ1093" s="369"/>
      <c r="IA1093" s="369"/>
      <c r="IB1093" s="369"/>
      <c r="IC1093" s="369"/>
      <c r="ID1093" s="369"/>
      <c r="IE1093" s="369"/>
      <c r="IF1093" s="369"/>
      <c r="IG1093" s="391">
        <v>1.0891854938271606E-2</v>
      </c>
    </row>
    <row r="1094" spans="1:390" ht="25.5">
      <c r="A1094">
        <v>1077</v>
      </c>
      <c r="B1094" t="s">
        <v>468</v>
      </c>
      <c r="C1094" s="27" t="s">
        <v>4972</v>
      </c>
      <c r="D1094" s="28" t="s">
        <v>3067</v>
      </c>
      <c r="E1094" s="27" t="s">
        <v>880</v>
      </c>
      <c r="F1094" t="s">
        <v>2182</v>
      </c>
      <c r="G1094" s="27" t="s">
        <v>90</v>
      </c>
      <c r="I1094" s="27" t="s">
        <v>226</v>
      </c>
      <c r="J1094" s="28">
        <v>21599</v>
      </c>
      <c r="K1094" s="27" t="s">
        <v>1240</v>
      </c>
      <c r="L1094" s="28">
        <v>20178</v>
      </c>
      <c r="M1094" s="27" t="s">
        <v>226</v>
      </c>
      <c r="N1094" s="28"/>
      <c r="O1094" s="28"/>
      <c r="P1094" s="442"/>
      <c r="Q1094" s="27" t="s">
        <v>1818</v>
      </c>
      <c r="R1094" s="27" t="s">
        <v>1769</v>
      </c>
      <c r="S1094" s="370">
        <v>43230</v>
      </c>
      <c r="T1094" s="450" t="s">
        <v>4555</v>
      </c>
      <c r="U1094" s="370">
        <v>43922</v>
      </c>
      <c r="V1094" s="369"/>
      <c r="W1094" s="444" t="s">
        <v>5001</v>
      </c>
      <c r="X1094" s="444"/>
      <c r="Y1094" s="444"/>
      <c r="Z1094" s="444"/>
      <c r="AA1094" s="369" t="s">
        <v>5002</v>
      </c>
      <c r="AB1094" s="391">
        <v>91.3</v>
      </c>
      <c r="AC1094" s="391">
        <v>20</v>
      </c>
      <c r="AD1094" s="369" t="s">
        <v>314</v>
      </c>
      <c r="AE1094" s="391">
        <f>BA1094+BK1094</f>
        <v>0.37775132825000002</v>
      </c>
      <c r="AF1094" s="391">
        <f t="shared" ref="AF1094" si="971">DU1094+DZ1094</f>
        <v>0</v>
      </c>
      <c r="AG1094" s="391">
        <f t="shared" ref="AG1094" si="972">EU1094+FA1094</f>
        <v>0.65625</v>
      </c>
      <c r="AH1094" s="391">
        <f t="shared" si="965"/>
        <v>0</v>
      </c>
      <c r="AI1094" s="391">
        <f t="shared" si="966"/>
        <v>0</v>
      </c>
      <c r="AJ1094" s="391">
        <f>GW1094</f>
        <v>1.0340013282500001E-2</v>
      </c>
      <c r="AK1094" s="391">
        <f>GU1094</f>
        <v>2.0680026565000002E-2</v>
      </c>
      <c r="AL1094" s="391">
        <f>GS1094</f>
        <v>0.1331276710121875</v>
      </c>
      <c r="AM1094" s="391">
        <f>HV1094</f>
        <v>3.5962500000000001E-2</v>
      </c>
      <c r="AN1094" s="391">
        <f>IG1094</f>
        <v>9.3390804597701146E-2</v>
      </c>
      <c r="AO1094" s="369"/>
      <c r="AP1094" s="369"/>
      <c r="AQ1094" s="391">
        <f>SUM(AE1094:AO1094)</f>
        <v>1.3275023437073887</v>
      </c>
      <c r="AR1094" s="391">
        <f>IJ1094</f>
        <v>0</v>
      </c>
      <c r="AS1094" s="391">
        <f t="shared" si="967"/>
        <v>0</v>
      </c>
      <c r="AT1094" s="391">
        <v>0</v>
      </c>
      <c r="AU1094" s="391">
        <f>1.29-1.33</f>
        <v>-4.0000000000000036E-2</v>
      </c>
      <c r="AV1094" s="391">
        <f t="shared" si="968"/>
        <v>1.2875023437073887</v>
      </c>
      <c r="AW1094" s="391">
        <f>0.0036925+0.0005</f>
        <v>4.1925E-3</v>
      </c>
      <c r="AX1094" s="391">
        <v>3.6925E-3</v>
      </c>
      <c r="AY1094" s="399">
        <v>1</v>
      </c>
      <c r="AZ1094" s="391">
        <f>(AW1094-AX1094)*AY1094</f>
        <v>5.0000000000000001E-4</v>
      </c>
      <c r="BA1094" s="391">
        <f>AW1094*AB1094-AZ1094*AC1094</f>
        <v>0.37277525</v>
      </c>
      <c r="BB1094" s="391"/>
      <c r="BC1094" s="391"/>
      <c r="BD1094" s="391"/>
      <c r="BE1094" s="391"/>
      <c r="BF1094" s="391"/>
      <c r="BG1094" s="391"/>
      <c r="BH1094" s="391"/>
      <c r="BI1094" s="391"/>
      <c r="BJ1094" s="458">
        <v>1.2999999999999999E-2</v>
      </c>
      <c r="BK1094" s="394">
        <f>BJ1094*AW1094*AB1094</f>
        <v>4.9760782499999991E-3</v>
      </c>
      <c r="BL1094" s="394"/>
      <c r="BM1094" s="391"/>
      <c r="BN1094" s="369"/>
      <c r="BO1094" s="369"/>
      <c r="BP1094" s="369"/>
      <c r="BQ1094" s="369"/>
      <c r="BR1094" s="369"/>
      <c r="BS1094" s="369"/>
      <c r="BT1094" s="369"/>
      <c r="BU1094" s="369"/>
      <c r="BV1094" s="369"/>
      <c r="BW1094" s="369"/>
      <c r="BX1094" s="369"/>
      <c r="BY1094" s="369"/>
      <c r="BZ1094" s="369"/>
      <c r="CA1094" s="369"/>
      <c r="CB1094" s="369"/>
      <c r="CC1094" s="369"/>
      <c r="CD1094" s="369"/>
      <c r="CE1094" s="369"/>
      <c r="CF1094" s="369"/>
      <c r="CG1094" s="369"/>
      <c r="CH1094" s="369"/>
      <c r="CI1094" s="369"/>
      <c r="CJ1094" s="369"/>
      <c r="CK1094" s="391"/>
      <c r="CL1094" s="391"/>
      <c r="CM1094" s="391"/>
      <c r="CN1094" s="369"/>
      <c r="CO1094" s="369"/>
      <c r="CP1094" s="369"/>
      <c r="CQ1094" s="369"/>
      <c r="CR1094" s="369"/>
      <c r="CS1094" s="369"/>
      <c r="CT1094" s="369"/>
      <c r="CU1094" s="369"/>
      <c r="CV1094" s="369"/>
      <c r="CW1094" s="369"/>
      <c r="CX1094" s="369"/>
      <c r="CY1094" s="369"/>
      <c r="CZ1094" s="369"/>
      <c r="DA1094" s="369"/>
      <c r="DB1094" s="369"/>
      <c r="DC1094" s="369"/>
      <c r="DD1094" s="369"/>
      <c r="DE1094" s="369"/>
      <c r="DF1094" s="369"/>
      <c r="DG1094" s="369"/>
      <c r="DH1094" s="369"/>
      <c r="DI1094" s="369"/>
      <c r="DJ1094" s="369"/>
      <c r="DK1094" s="369"/>
      <c r="DL1094" s="369"/>
      <c r="DM1094" s="369"/>
      <c r="DN1094" s="458"/>
      <c r="DO1094" s="369"/>
      <c r="DP1094" s="369"/>
      <c r="DQ1094" s="369"/>
      <c r="DR1094" s="369"/>
      <c r="DS1094" s="369"/>
      <c r="DT1094" s="369"/>
      <c r="DU1094" s="369"/>
      <c r="DV1094" s="369"/>
      <c r="DW1094" s="369"/>
      <c r="DX1094" s="369"/>
      <c r="DY1094" s="369"/>
      <c r="DZ1094" s="369"/>
      <c r="EA1094" s="369"/>
      <c r="EB1094" s="369"/>
      <c r="EC1094" s="369"/>
      <c r="ED1094" s="369"/>
      <c r="EE1094" s="369"/>
      <c r="EF1094" s="369">
        <v>150</v>
      </c>
      <c r="EG1094" s="369">
        <f>0.105*60*60*8</f>
        <v>3024</v>
      </c>
      <c r="EH1094" s="369">
        <v>8</v>
      </c>
      <c r="EI1094" s="395">
        <v>1</v>
      </c>
      <c r="EJ1094" s="369">
        <v>8</v>
      </c>
      <c r="EK1094" s="369">
        <v>50</v>
      </c>
      <c r="EL1094" s="369">
        <f>3600/EK1094*EH1094*EJ1094*EI1094</f>
        <v>4608</v>
      </c>
      <c r="EM1094" s="369"/>
      <c r="EN1094" s="369"/>
      <c r="EO1094" s="369"/>
      <c r="EP1094" s="369"/>
      <c r="EQ1094" s="369"/>
      <c r="ER1094" s="369"/>
      <c r="ES1094" s="369"/>
      <c r="ET1094" s="369"/>
      <c r="EU1094" s="391">
        <f>EG1094/EL1094+EM1094+EP1094+EQ1094+ER1094+EO1094</f>
        <v>0.65625</v>
      </c>
      <c r="EV1094" s="369"/>
      <c r="EW1094" s="369"/>
      <c r="EX1094" s="369"/>
      <c r="EY1094" s="369"/>
      <c r="EZ1094" s="369"/>
      <c r="FA1094" s="369"/>
      <c r="FB1094" s="369"/>
      <c r="FC1094" s="369"/>
      <c r="FD1094" s="369"/>
      <c r="FE1094" s="399"/>
      <c r="FF1094" s="369"/>
      <c r="FG1094" s="369"/>
      <c r="FH1094" s="369"/>
      <c r="FI1094" s="369"/>
      <c r="FJ1094" s="369"/>
      <c r="FK1094" s="369"/>
      <c r="FL1094" s="369"/>
      <c r="FM1094" s="369"/>
      <c r="FN1094" s="369"/>
      <c r="FO1094" s="369"/>
      <c r="FP1094" s="369"/>
      <c r="FQ1094" s="369"/>
      <c r="FR1094" s="369"/>
      <c r="FS1094" s="369"/>
      <c r="FT1094" s="369"/>
      <c r="FU1094" s="369"/>
      <c r="FV1094" s="369"/>
      <c r="FW1094" s="369"/>
      <c r="FX1094" s="369"/>
      <c r="FY1094" s="369"/>
      <c r="FZ1094" s="369"/>
      <c r="GA1094" s="369"/>
      <c r="GB1094" s="369"/>
      <c r="GC1094" s="369"/>
      <c r="GD1094" s="369"/>
      <c r="GE1094" s="369"/>
      <c r="GF1094" s="369"/>
      <c r="GG1094" s="369"/>
      <c r="GH1094" s="369"/>
      <c r="GI1094" s="369"/>
      <c r="GJ1094" s="369"/>
      <c r="GK1094" s="369"/>
      <c r="GL1094" s="369"/>
      <c r="GM1094" s="369"/>
      <c r="GN1094" s="399"/>
      <c r="GO1094" s="369"/>
      <c r="GP1094" s="399"/>
      <c r="GQ1094" s="369"/>
      <c r="GR1094" s="399">
        <v>0.125</v>
      </c>
      <c r="GS1094" s="391">
        <f>GR1094*(GU1094+GW1094+EU1094+BK1094+BA1094)</f>
        <v>0.1331276710121875</v>
      </c>
      <c r="GT1094" s="399">
        <v>0.02</v>
      </c>
      <c r="GU1094" s="391">
        <f>GT1094*(EU1094+BK1094+BA1094)</f>
        <v>2.0680026565000002E-2</v>
      </c>
      <c r="GV1094" s="395">
        <v>0.01</v>
      </c>
      <c r="GW1094" s="391">
        <f>GV1094*(EU1094+BK1094+BA1094)</f>
        <v>1.0340013282500001E-2</v>
      </c>
      <c r="GX1094" s="391">
        <f>GS1094+GU1094+GW1094</f>
        <v>0.16414771085968752</v>
      </c>
      <c r="GY1094" s="369" t="s">
        <v>5003</v>
      </c>
      <c r="GZ1094" s="369"/>
      <c r="HA1094" s="394"/>
      <c r="HB1094" s="394"/>
      <c r="HC1094" s="394"/>
      <c r="HD1094" s="394">
        <v>1200</v>
      </c>
      <c r="HE1094" s="394">
        <v>400</v>
      </c>
      <c r="HF1094" s="394">
        <f>HE1094/HD1094</f>
        <v>0.33333333333333331</v>
      </c>
      <c r="HG1094" s="394">
        <v>7.5</v>
      </c>
      <c r="HH1094" s="391">
        <f>HF1094*HG1094</f>
        <v>2.5</v>
      </c>
      <c r="HI1094" s="391">
        <v>1750</v>
      </c>
      <c r="HJ1094" s="391">
        <f>HH1094*HI1094</f>
        <v>4375</v>
      </c>
      <c r="HK1094" s="399">
        <v>0.2</v>
      </c>
      <c r="HL1094" s="391">
        <f>(1+HK1094)*HJ1094</f>
        <v>5250</v>
      </c>
      <c r="HM1094" s="391">
        <v>2</v>
      </c>
      <c r="HN1094" s="391">
        <f t="shared" ref="HN1094" si="973">HM1094*12*25*HE1094</f>
        <v>240000</v>
      </c>
      <c r="HO1094" s="391">
        <f t="shared" ref="HO1094" si="974">(IF(GY1094="carton box",HI1094/HD1094,HJ1094/HN1094))</f>
        <v>1.8229166666666668E-2</v>
      </c>
      <c r="HP1094" s="391"/>
      <c r="HQ1094" s="391"/>
      <c r="HR1094" s="391">
        <f>2.14+0.52</f>
        <v>2.66</v>
      </c>
      <c r="HS1094" s="391">
        <v>150</v>
      </c>
      <c r="HT1094" s="391">
        <f>IF(ISERROR(HR1094/HS1094),0,HR1094/HS1094)</f>
        <v>1.7733333333333334E-2</v>
      </c>
      <c r="HU1094" s="447"/>
      <c r="HV1094" s="391">
        <f>HT1094+HO1094</f>
        <v>3.5962500000000001E-2</v>
      </c>
      <c r="HW1094" s="369"/>
      <c r="HX1094" s="391"/>
      <c r="HY1094" s="391"/>
      <c r="HZ1094" s="391"/>
      <c r="IA1094" s="391"/>
      <c r="IB1094" s="391"/>
      <c r="IC1094" s="391"/>
      <c r="ID1094" s="399"/>
      <c r="IE1094" s="391">
        <v>58</v>
      </c>
      <c r="IF1094" s="391">
        <v>6500</v>
      </c>
      <c r="IG1094" s="391">
        <f>(IF1094/(IE1094*HD1094))</f>
        <v>9.3390804597701146E-2</v>
      </c>
    </row>
    <row r="1095" spans="1:390">
      <c r="A1095">
        <v>1078</v>
      </c>
      <c r="B1095" t="s">
        <v>468</v>
      </c>
      <c r="C1095" s="400" t="s">
        <v>4693</v>
      </c>
      <c r="D1095" s="28" t="s">
        <v>3068</v>
      </c>
      <c r="E1095" s="27" t="s">
        <v>3069</v>
      </c>
      <c r="F1095" t="s">
        <v>2182</v>
      </c>
      <c r="G1095" s="27" t="s">
        <v>90</v>
      </c>
      <c r="I1095" s="27" t="s">
        <v>94</v>
      </c>
      <c r="J1095" s="28">
        <v>29268</v>
      </c>
      <c r="K1095" s="27" t="s">
        <v>229</v>
      </c>
      <c r="L1095" s="371"/>
      <c r="M1095" s="369"/>
      <c r="N1095" s="369"/>
      <c r="O1095" s="369"/>
      <c r="P1095" s="369"/>
      <c r="Q1095" s="27" t="s">
        <v>1777</v>
      </c>
      <c r="R1095" s="27" t="s">
        <v>1778</v>
      </c>
      <c r="S1095" s="370">
        <v>44363</v>
      </c>
      <c r="T1095" s="27" t="s">
        <v>4555</v>
      </c>
      <c r="U1095" s="370">
        <v>44366</v>
      </c>
      <c r="V1095" s="369"/>
      <c r="W1095" s="27" t="s">
        <v>4598</v>
      </c>
      <c r="X1095" s="27"/>
      <c r="Y1095" s="27"/>
      <c r="Z1095" s="27"/>
      <c r="AA1095" s="27" t="s">
        <v>313</v>
      </c>
      <c r="AB1095" s="369">
        <v>117.66</v>
      </c>
      <c r="AC1095" s="369">
        <f t="shared" ref="AC1095:AC1097" si="975">AB1095-5</f>
        <v>112.66</v>
      </c>
      <c r="AD1095" s="390" t="s">
        <v>596</v>
      </c>
      <c r="AE1095" s="391">
        <f t="shared" ref="AE1095:AE1100" si="976">BA1095</f>
        <v>7.1409299999999991</v>
      </c>
      <c r="AF1095" s="391">
        <f>DU1095+DZ1095</f>
        <v>0</v>
      </c>
      <c r="AG1095" s="391">
        <f t="shared" ref="AG1095:AG1100" si="977">EU1095+FA1095</f>
        <v>3.4364035087719293</v>
      </c>
      <c r="AH1095" s="391">
        <f t="shared" ref="AH1095:AH1100" si="978">DM1095</f>
        <v>0</v>
      </c>
      <c r="AI1095" s="391">
        <f t="shared" ref="AI1095:AI1100" si="979">DO1095</f>
        <v>0</v>
      </c>
      <c r="AJ1095" s="391">
        <f t="shared" ref="AJ1095:AJ1100" si="980">GW1095</f>
        <v>6.4144736842105254E-2</v>
      </c>
      <c r="AK1095" s="391">
        <f t="shared" ref="AK1095:AK1100" si="981">GU1095</f>
        <v>0.12935208552631577</v>
      </c>
      <c r="AL1095" s="391">
        <f t="shared" ref="AL1095:AL1100" si="982">GS1095</f>
        <v>1.1382983526315786</v>
      </c>
      <c r="AM1095" s="391">
        <f t="shared" ref="AM1095:AM1100" si="983">HV1095</f>
        <v>0.31166666666666665</v>
      </c>
      <c r="AN1095" s="391">
        <f t="shared" ref="AN1095:AN1100" si="984">IG1095</f>
        <v>7.716049382716049E-2</v>
      </c>
      <c r="AO1095" s="391"/>
      <c r="AP1095" s="391"/>
      <c r="AQ1095" s="391">
        <f t="shared" ref="AQ1095:AQ1100" si="985">SUM(AE1095:AO1095)</f>
        <v>12.297955844265754</v>
      </c>
      <c r="AR1095" s="391">
        <f t="shared" ref="AR1095:AR1100" si="986">IJ1095</f>
        <v>0</v>
      </c>
      <c r="AS1095" s="391">
        <f t="shared" ref="AS1095:AS1097" si="987">EE1095</f>
        <v>0</v>
      </c>
      <c r="AT1095" s="391">
        <v>0</v>
      </c>
      <c r="AU1095" s="391">
        <f>12.07*3%</f>
        <v>0.36209999999999998</v>
      </c>
      <c r="AV1095" s="391">
        <f t="shared" ref="AV1095:AV1100" si="988">AQ1095+AT1095+AU1095+AR1095+AS1095</f>
        <v>12.660055844265754</v>
      </c>
      <c r="AW1095" s="369">
        <v>6.5000000000000002E-2</v>
      </c>
      <c r="AX1095" s="369">
        <v>0.06</v>
      </c>
      <c r="AY1095" s="392">
        <v>0.9</v>
      </c>
      <c r="AZ1095" s="391">
        <f t="shared" ref="AZ1095:AZ1100" si="989">(AW1095-AX1095)*AY1095</f>
        <v>4.500000000000004E-3</v>
      </c>
      <c r="BA1095" s="391">
        <f t="shared" ref="BA1095:BA1100" si="990">AW1095*AB1095-AZ1095*AC1095</f>
        <v>7.1409299999999991</v>
      </c>
      <c r="BB1095" s="391"/>
      <c r="BC1095" s="391"/>
      <c r="BD1095" s="391"/>
      <c r="BE1095" s="391"/>
      <c r="BF1095" s="391"/>
      <c r="BG1095" s="391"/>
      <c r="BH1095" s="391"/>
      <c r="BI1095" s="391"/>
      <c r="BJ1095" s="369"/>
      <c r="BK1095" s="369"/>
      <c r="BL1095" s="369"/>
      <c r="BM1095" s="369"/>
      <c r="BN1095" s="369"/>
      <c r="BO1095" s="369"/>
      <c r="BP1095" s="369"/>
      <c r="BQ1095" s="369"/>
      <c r="BR1095" s="369"/>
      <c r="BS1095" s="369"/>
      <c r="BT1095" s="369"/>
      <c r="BU1095" s="369"/>
      <c r="BV1095" s="369"/>
      <c r="BW1095" s="369"/>
      <c r="BX1095" s="369"/>
      <c r="BY1095" s="369"/>
      <c r="BZ1095" s="369"/>
      <c r="CA1095" s="369"/>
      <c r="CB1095" s="369"/>
      <c r="CC1095" s="369"/>
      <c r="CD1095" s="369"/>
      <c r="CE1095" s="369"/>
      <c r="CF1095" s="369"/>
      <c r="CG1095" s="369"/>
      <c r="CH1095" s="369"/>
      <c r="CI1095" s="369"/>
      <c r="CJ1095" s="369"/>
      <c r="CK1095" s="369"/>
      <c r="CL1095" s="369"/>
      <c r="CM1095" s="369"/>
      <c r="CN1095" s="369"/>
      <c r="CO1095" s="369"/>
      <c r="CP1095" s="369"/>
      <c r="CQ1095" s="369"/>
      <c r="CR1095" s="369"/>
      <c r="CS1095" s="369"/>
      <c r="CT1095" s="369"/>
      <c r="CU1095" s="369"/>
      <c r="CV1095" s="369"/>
      <c r="CW1095" s="369"/>
      <c r="CX1095" s="369"/>
      <c r="CY1095" s="369"/>
      <c r="CZ1095" s="369"/>
      <c r="DA1095" s="369"/>
      <c r="DB1095" s="369"/>
      <c r="DC1095" s="369"/>
      <c r="DD1095" s="369"/>
      <c r="DE1095" s="369"/>
      <c r="DF1095" s="369"/>
      <c r="DG1095" s="369"/>
      <c r="DH1095" s="369"/>
      <c r="DI1095" s="369"/>
      <c r="DJ1095" s="369"/>
      <c r="DK1095" s="369"/>
      <c r="DL1095" s="369"/>
      <c r="DM1095" s="369"/>
      <c r="DN1095" s="369"/>
      <c r="DO1095" s="369"/>
      <c r="DP1095" s="369"/>
      <c r="DQ1095" s="369"/>
      <c r="DR1095" s="369"/>
      <c r="DS1095" s="369"/>
      <c r="DT1095" s="369"/>
      <c r="DU1095" s="369"/>
      <c r="DV1095" s="369"/>
      <c r="DW1095" s="369"/>
      <c r="DX1095" s="369"/>
      <c r="DY1095" s="369"/>
      <c r="DZ1095" s="369"/>
      <c r="EA1095" s="369"/>
      <c r="EB1095" s="369"/>
      <c r="EC1095" s="369"/>
      <c r="ED1095" s="369"/>
      <c r="EE1095" s="369"/>
      <c r="EF1095" s="369">
        <v>325</v>
      </c>
      <c r="EG1095" s="369">
        <v>3250</v>
      </c>
      <c r="EH1095" s="369">
        <v>8</v>
      </c>
      <c r="EI1095" s="395">
        <v>0.95</v>
      </c>
      <c r="EJ1095" s="369">
        <v>2</v>
      </c>
      <c r="EK1095" s="369">
        <v>54</v>
      </c>
      <c r="EL1095" s="396">
        <f t="shared" ref="EL1095:EL1100" si="991">3600/EK1095*EH1095*EJ1095*EI1095</f>
        <v>1013.3333333333334</v>
      </c>
      <c r="EM1095" s="369"/>
      <c r="EN1095" s="369"/>
      <c r="EO1095" s="369"/>
      <c r="EP1095" s="369"/>
      <c r="EQ1095" s="369"/>
      <c r="ER1095" s="369"/>
      <c r="ES1095" s="369"/>
      <c r="ET1095" s="369"/>
      <c r="EU1095" s="391">
        <f t="shared" ref="EU1095:EU1100" si="992">EG1095/EL1095+EM1095+EP1095+EQ1095+ER1095+EO1095</f>
        <v>3.2072368421052628</v>
      </c>
      <c r="EV1095" s="369"/>
      <c r="EW1095" s="369"/>
      <c r="EX1095" s="369"/>
      <c r="EY1095" s="391">
        <f>27500/(400*12*25)</f>
        <v>0.22916666666666666</v>
      </c>
      <c r="EZ1095" s="369"/>
      <c r="FA1095" s="391">
        <f t="shared" ref="FA1095:FA1100" si="993">EX1095+EY1095</f>
        <v>0.22916666666666666</v>
      </c>
      <c r="FB1095" s="369"/>
      <c r="FC1095" s="369"/>
      <c r="FD1095" s="369"/>
      <c r="FE1095" s="369"/>
      <c r="FF1095" s="369"/>
      <c r="FG1095" s="369"/>
      <c r="FH1095" s="369"/>
      <c r="FI1095" s="369"/>
      <c r="FJ1095" s="369"/>
      <c r="FK1095" s="369"/>
      <c r="FL1095" s="369"/>
      <c r="FM1095" s="369"/>
      <c r="FN1095" s="369"/>
      <c r="FO1095" s="369"/>
      <c r="FP1095" s="369"/>
      <c r="FQ1095" s="369"/>
      <c r="FR1095" s="369"/>
      <c r="FS1095" s="369"/>
      <c r="FT1095" s="369"/>
      <c r="FU1095" s="369"/>
      <c r="FV1095" s="369"/>
      <c r="FW1095" s="369"/>
      <c r="FX1095" s="369"/>
      <c r="FY1095" s="369"/>
      <c r="FZ1095" s="369"/>
      <c r="GA1095" s="369"/>
      <c r="GB1095" s="369"/>
      <c r="GC1095" s="369"/>
      <c r="GD1095" s="369"/>
      <c r="GE1095" s="369"/>
      <c r="GF1095" s="369"/>
      <c r="GG1095" s="369"/>
      <c r="GH1095" s="369"/>
      <c r="GI1095" s="369"/>
      <c r="GJ1095" s="369"/>
      <c r="GK1095" s="369"/>
      <c r="GL1095" s="369"/>
      <c r="GM1095" s="369"/>
      <c r="GN1095" s="369"/>
      <c r="GO1095" s="369"/>
      <c r="GP1095" s="392"/>
      <c r="GQ1095" s="369"/>
      <c r="GR1095" s="395">
        <v>0.11</v>
      </c>
      <c r="GS1095" s="391">
        <f t="shared" ref="GS1095:GS1100" si="994">GR1095*(BA1095+EU1095+EV1095)</f>
        <v>1.1382983526315786</v>
      </c>
      <c r="GT1095" s="393">
        <v>1.2500000000000001E-2</v>
      </c>
      <c r="GU1095" s="391">
        <f t="shared" ref="GU1095:GU1100" si="995">GT1095*(EU1095+BA1095+EV1095)</f>
        <v>0.12935208552631577</v>
      </c>
      <c r="GV1095" s="395">
        <v>0.02</v>
      </c>
      <c r="GW1095" s="391">
        <f t="shared" ref="GW1095:GW1100" si="996">GV1095*(EU1095-EP1095-EQ1095)</f>
        <v>6.4144736842105254E-2</v>
      </c>
      <c r="GX1095" s="391">
        <f t="shared" ref="GX1095:GX1100" si="997">GS1095+GU1095+GW1095</f>
        <v>1.3317951749999997</v>
      </c>
      <c r="GY1095" s="369" t="s">
        <v>43</v>
      </c>
      <c r="GZ1095" s="369" t="s">
        <v>61</v>
      </c>
      <c r="HA1095" s="391">
        <v>650</v>
      </c>
      <c r="HB1095" s="391">
        <v>450</v>
      </c>
      <c r="HC1095" s="391">
        <v>315</v>
      </c>
      <c r="HD1095" s="391">
        <v>45</v>
      </c>
      <c r="HE1095" s="391">
        <v>650</v>
      </c>
      <c r="HF1095" s="391">
        <f t="shared" ref="HF1095:HF1100" si="998">ROUNDUP(HE1095/HD1095,0)</f>
        <v>15</v>
      </c>
      <c r="HG1095" s="391">
        <v>5</v>
      </c>
      <c r="HH1095" s="391">
        <f t="shared" ref="HH1095:HH1100" si="999">HF1095*HG1095</f>
        <v>75</v>
      </c>
      <c r="HI1095" s="391">
        <v>650</v>
      </c>
      <c r="HJ1095" s="396">
        <f t="shared" ref="HJ1095:HJ1100" si="1000">HH1095*HI1095</f>
        <v>48750</v>
      </c>
      <c r="HK1095" s="369"/>
      <c r="HL1095" s="369"/>
      <c r="HM1095" s="369">
        <v>2</v>
      </c>
      <c r="HN1095" s="396">
        <f t="shared" ref="HN1095:HN1100" si="1001">HM1095*12*25*HE1095</f>
        <v>390000</v>
      </c>
      <c r="HO1095" s="391">
        <f t="shared" ref="HO1095:HO1100" si="1002">(IF(GY1095="carton box",HI1095/HD1095,HJ1095/HN1095))</f>
        <v>0.125</v>
      </c>
      <c r="HP1095" s="391">
        <v>160</v>
      </c>
      <c r="HQ1095" s="369">
        <v>0</v>
      </c>
      <c r="HR1095" s="391">
        <f>4.2/45*2</f>
        <v>0.18666666666666668</v>
      </c>
      <c r="HS1095" s="369">
        <v>1</v>
      </c>
      <c r="HT1095" s="394">
        <f>IF(ISERROR(HR1095/HS1095),0,HR1095/HS1095)</f>
        <v>0.18666666666666668</v>
      </c>
      <c r="HU1095" s="394"/>
      <c r="HV1095" s="391">
        <f t="shared" ref="HV1095:HV1100" si="1003">(HO1095+HT1095)</f>
        <v>0.31166666666666665</v>
      </c>
      <c r="HW1095" s="369"/>
      <c r="HX1095" s="369">
        <v>4200</v>
      </c>
      <c r="HY1095" s="369">
        <v>1900</v>
      </c>
      <c r="HZ1095" s="369">
        <v>1975</v>
      </c>
      <c r="IA1095" s="391">
        <f t="shared" ref="IA1095:IC1100" si="1004">ROUNDDOWN(HX1095/HA1095,0)</f>
        <v>6</v>
      </c>
      <c r="IB1095" s="391">
        <f t="shared" si="1004"/>
        <v>4</v>
      </c>
      <c r="IC1095" s="391">
        <f t="shared" si="1004"/>
        <v>6</v>
      </c>
      <c r="ID1095" s="395">
        <v>1</v>
      </c>
      <c r="IE1095" s="391">
        <f>PRODUCT(IA1095:ID1095)</f>
        <v>144</v>
      </c>
      <c r="IF1095" s="369">
        <v>500</v>
      </c>
      <c r="IG1095" s="391">
        <f t="shared" ref="IG1095:IG1100" si="1005">(IF1095/(IE1095*HD1095))</f>
        <v>7.716049382716049E-2</v>
      </c>
    </row>
    <row r="1096" spans="1:390">
      <c r="A1096">
        <v>1079</v>
      </c>
      <c r="B1096" t="s">
        <v>468</v>
      </c>
      <c r="C1096" s="400" t="s">
        <v>4694</v>
      </c>
      <c r="D1096" s="28" t="s">
        <v>3070</v>
      </c>
      <c r="E1096" s="27" t="s">
        <v>3071</v>
      </c>
      <c r="F1096" t="s">
        <v>2182</v>
      </c>
      <c r="G1096" s="27" t="s">
        <v>90</v>
      </c>
      <c r="I1096" s="27" t="s">
        <v>94</v>
      </c>
      <c r="J1096" s="28">
        <v>29268</v>
      </c>
      <c r="K1096" s="27" t="s">
        <v>229</v>
      </c>
      <c r="L1096" s="371"/>
      <c r="M1096" s="369"/>
      <c r="N1096" s="369"/>
      <c r="O1096" s="369"/>
      <c r="P1096" s="369"/>
      <c r="Q1096" s="27" t="s">
        <v>1777</v>
      </c>
      <c r="R1096" s="27" t="s">
        <v>1778</v>
      </c>
      <c r="S1096" s="370">
        <v>44363</v>
      </c>
      <c r="T1096" s="27" t="s">
        <v>4555</v>
      </c>
      <c r="U1096" s="370">
        <v>44366</v>
      </c>
      <c r="V1096" s="369"/>
      <c r="W1096" s="27" t="s">
        <v>4598</v>
      </c>
      <c r="X1096" s="27"/>
      <c r="Y1096" s="27"/>
      <c r="Z1096" s="27"/>
      <c r="AA1096" s="27" t="s">
        <v>313</v>
      </c>
      <c r="AB1096" s="369">
        <v>117.66</v>
      </c>
      <c r="AC1096" s="369">
        <f t="shared" si="975"/>
        <v>112.66</v>
      </c>
      <c r="AD1096" s="390" t="s">
        <v>596</v>
      </c>
      <c r="AE1096" s="391">
        <f t="shared" si="976"/>
        <v>7.1409299999999991</v>
      </c>
      <c r="AF1096" s="391">
        <f>DU1096+DZ1096</f>
        <v>0</v>
      </c>
      <c r="AG1096" s="391">
        <f t="shared" si="977"/>
        <v>3.4364035087719293</v>
      </c>
      <c r="AH1096" s="391">
        <f t="shared" si="978"/>
        <v>0</v>
      </c>
      <c r="AI1096" s="391">
        <f t="shared" si="979"/>
        <v>0</v>
      </c>
      <c r="AJ1096" s="391">
        <f t="shared" si="980"/>
        <v>6.4144736842105254E-2</v>
      </c>
      <c r="AK1096" s="391">
        <f t="shared" si="981"/>
        <v>0.12935208552631577</v>
      </c>
      <c r="AL1096" s="391">
        <f t="shared" si="982"/>
        <v>1.1382983526315786</v>
      </c>
      <c r="AM1096" s="391">
        <f t="shared" si="983"/>
        <v>0.31166666666666665</v>
      </c>
      <c r="AN1096" s="391">
        <f t="shared" si="984"/>
        <v>7.716049382716049E-2</v>
      </c>
      <c r="AO1096" s="391"/>
      <c r="AP1096" s="391"/>
      <c r="AQ1096" s="391">
        <f t="shared" si="985"/>
        <v>12.297955844265754</v>
      </c>
      <c r="AR1096" s="391">
        <f t="shared" si="986"/>
        <v>0</v>
      </c>
      <c r="AS1096" s="391">
        <f t="shared" si="987"/>
        <v>0</v>
      </c>
      <c r="AT1096" s="391">
        <v>0</v>
      </c>
      <c r="AU1096" s="391">
        <f>12.07*3%</f>
        <v>0.36209999999999998</v>
      </c>
      <c r="AV1096" s="391">
        <f t="shared" si="988"/>
        <v>12.660055844265754</v>
      </c>
      <c r="AW1096" s="369">
        <v>6.5000000000000002E-2</v>
      </c>
      <c r="AX1096" s="369">
        <v>0.06</v>
      </c>
      <c r="AY1096" s="392">
        <v>0.9</v>
      </c>
      <c r="AZ1096" s="391">
        <f t="shared" si="989"/>
        <v>4.500000000000004E-3</v>
      </c>
      <c r="BA1096" s="391">
        <f t="shared" si="990"/>
        <v>7.1409299999999991</v>
      </c>
      <c r="BB1096" s="391"/>
      <c r="BC1096" s="391"/>
      <c r="BD1096" s="391"/>
      <c r="BE1096" s="391"/>
      <c r="BF1096" s="391"/>
      <c r="BG1096" s="391"/>
      <c r="BH1096" s="391"/>
      <c r="BI1096" s="391"/>
      <c r="BJ1096" s="369"/>
      <c r="BK1096" s="369"/>
      <c r="BL1096" s="369"/>
      <c r="BM1096" s="369"/>
      <c r="BN1096" s="369"/>
      <c r="BO1096" s="369"/>
      <c r="BP1096" s="369"/>
      <c r="BQ1096" s="369"/>
      <c r="BR1096" s="369"/>
      <c r="BS1096" s="369"/>
      <c r="BT1096" s="369"/>
      <c r="BU1096" s="369"/>
      <c r="BV1096" s="369"/>
      <c r="BW1096" s="369"/>
      <c r="BX1096" s="369"/>
      <c r="BY1096" s="369"/>
      <c r="BZ1096" s="369"/>
      <c r="CA1096" s="369"/>
      <c r="CB1096" s="369"/>
      <c r="CC1096" s="369"/>
      <c r="CD1096" s="369"/>
      <c r="CE1096" s="369"/>
      <c r="CF1096" s="369"/>
      <c r="CG1096" s="369"/>
      <c r="CH1096" s="369"/>
      <c r="CI1096" s="369"/>
      <c r="CJ1096" s="369"/>
      <c r="CK1096" s="369"/>
      <c r="CL1096" s="369"/>
      <c r="CM1096" s="369"/>
      <c r="CN1096" s="369"/>
      <c r="CO1096" s="369"/>
      <c r="CP1096" s="369"/>
      <c r="CQ1096" s="369"/>
      <c r="CR1096" s="369"/>
      <c r="CS1096" s="369"/>
      <c r="CT1096" s="369"/>
      <c r="CU1096" s="369"/>
      <c r="CV1096" s="369"/>
      <c r="CW1096" s="369"/>
      <c r="CX1096" s="369"/>
      <c r="CY1096" s="369"/>
      <c r="CZ1096" s="369"/>
      <c r="DA1096" s="369"/>
      <c r="DB1096" s="369"/>
      <c r="DC1096" s="369"/>
      <c r="DD1096" s="369"/>
      <c r="DE1096" s="369"/>
      <c r="DF1096" s="369"/>
      <c r="DG1096" s="369"/>
      <c r="DH1096" s="369"/>
      <c r="DI1096" s="369"/>
      <c r="DJ1096" s="369"/>
      <c r="DK1096" s="369"/>
      <c r="DL1096" s="369"/>
      <c r="DM1096" s="369"/>
      <c r="DN1096" s="369"/>
      <c r="DO1096" s="369"/>
      <c r="DP1096" s="369"/>
      <c r="DQ1096" s="369"/>
      <c r="DR1096" s="369"/>
      <c r="DS1096" s="369"/>
      <c r="DT1096" s="369"/>
      <c r="DU1096" s="369"/>
      <c r="DV1096" s="369"/>
      <c r="DW1096" s="369"/>
      <c r="DX1096" s="369"/>
      <c r="DY1096" s="369"/>
      <c r="DZ1096" s="369"/>
      <c r="EA1096" s="369"/>
      <c r="EB1096" s="369"/>
      <c r="EC1096" s="369"/>
      <c r="ED1096" s="369"/>
      <c r="EE1096" s="369"/>
      <c r="EF1096" s="369">
        <v>325</v>
      </c>
      <c r="EG1096" s="369">
        <v>3250</v>
      </c>
      <c r="EH1096" s="369">
        <v>8</v>
      </c>
      <c r="EI1096" s="395">
        <v>0.95</v>
      </c>
      <c r="EJ1096" s="369">
        <v>2</v>
      </c>
      <c r="EK1096" s="369">
        <v>54</v>
      </c>
      <c r="EL1096" s="396">
        <f t="shared" si="991"/>
        <v>1013.3333333333334</v>
      </c>
      <c r="EM1096" s="369"/>
      <c r="EN1096" s="369"/>
      <c r="EO1096" s="369"/>
      <c r="EP1096" s="369"/>
      <c r="EQ1096" s="369"/>
      <c r="ER1096" s="369"/>
      <c r="ES1096" s="369"/>
      <c r="ET1096" s="369"/>
      <c r="EU1096" s="391">
        <f t="shared" si="992"/>
        <v>3.2072368421052628</v>
      </c>
      <c r="EV1096" s="369"/>
      <c r="EW1096" s="369"/>
      <c r="EX1096" s="369"/>
      <c r="EY1096" s="391">
        <f>27500/(400*12*25)</f>
        <v>0.22916666666666666</v>
      </c>
      <c r="EZ1096" s="369"/>
      <c r="FA1096" s="391">
        <f t="shared" si="993"/>
        <v>0.22916666666666666</v>
      </c>
      <c r="FB1096" s="369"/>
      <c r="FC1096" s="369"/>
      <c r="FD1096" s="369"/>
      <c r="FE1096" s="369"/>
      <c r="FF1096" s="369"/>
      <c r="FG1096" s="369"/>
      <c r="FH1096" s="369"/>
      <c r="FI1096" s="369"/>
      <c r="FJ1096" s="369"/>
      <c r="FK1096" s="369"/>
      <c r="FL1096" s="369"/>
      <c r="FM1096" s="369"/>
      <c r="FN1096" s="369"/>
      <c r="FO1096" s="369"/>
      <c r="FP1096" s="369"/>
      <c r="FQ1096" s="369"/>
      <c r="FR1096" s="369"/>
      <c r="FS1096" s="369"/>
      <c r="FT1096" s="369"/>
      <c r="FU1096" s="369"/>
      <c r="FV1096" s="369"/>
      <c r="FW1096" s="369"/>
      <c r="FX1096" s="369"/>
      <c r="FY1096" s="369"/>
      <c r="FZ1096" s="369"/>
      <c r="GA1096" s="369"/>
      <c r="GB1096" s="369"/>
      <c r="GC1096" s="369"/>
      <c r="GD1096" s="369"/>
      <c r="GE1096" s="369"/>
      <c r="GF1096" s="369"/>
      <c r="GG1096" s="369"/>
      <c r="GH1096" s="369"/>
      <c r="GI1096" s="369"/>
      <c r="GJ1096" s="369"/>
      <c r="GK1096" s="369"/>
      <c r="GL1096" s="369"/>
      <c r="GM1096" s="369"/>
      <c r="GN1096" s="369"/>
      <c r="GO1096" s="369"/>
      <c r="GP1096" s="392"/>
      <c r="GQ1096" s="369"/>
      <c r="GR1096" s="395">
        <v>0.11</v>
      </c>
      <c r="GS1096" s="391">
        <f t="shared" si="994"/>
        <v>1.1382983526315786</v>
      </c>
      <c r="GT1096" s="393">
        <v>1.2500000000000001E-2</v>
      </c>
      <c r="GU1096" s="391">
        <f t="shared" si="995"/>
        <v>0.12935208552631577</v>
      </c>
      <c r="GV1096" s="395">
        <v>0.02</v>
      </c>
      <c r="GW1096" s="391">
        <f t="shared" si="996"/>
        <v>6.4144736842105254E-2</v>
      </c>
      <c r="GX1096" s="391">
        <f t="shared" si="997"/>
        <v>1.3317951749999997</v>
      </c>
      <c r="GY1096" s="369" t="s">
        <v>43</v>
      </c>
      <c r="GZ1096" s="369" t="s">
        <v>61</v>
      </c>
      <c r="HA1096" s="391">
        <v>650</v>
      </c>
      <c r="HB1096" s="391">
        <v>450</v>
      </c>
      <c r="HC1096" s="391">
        <v>315</v>
      </c>
      <c r="HD1096" s="391">
        <v>45</v>
      </c>
      <c r="HE1096" s="391">
        <v>650</v>
      </c>
      <c r="HF1096" s="391">
        <f t="shared" si="998"/>
        <v>15</v>
      </c>
      <c r="HG1096" s="391">
        <v>5</v>
      </c>
      <c r="HH1096" s="391">
        <f t="shared" si="999"/>
        <v>75</v>
      </c>
      <c r="HI1096" s="391">
        <v>650</v>
      </c>
      <c r="HJ1096" s="396">
        <f t="shared" si="1000"/>
        <v>48750</v>
      </c>
      <c r="HK1096" s="369"/>
      <c r="HL1096" s="369"/>
      <c r="HM1096" s="369">
        <v>2</v>
      </c>
      <c r="HN1096" s="396">
        <f t="shared" si="1001"/>
        <v>390000</v>
      </c>
      <c r="HO1096" s="391">
        <f t="shared" si="1002"/>
        <v>0.125</v>
      </c>
      <c r="HP1096" s="391">
        <v>160</v>
      </c>
      <c r="HQ1096" s="369">
        <v>0</v>
      </c>
      <c r="HR1096" s="391">
        <f>4.2/45*2</f>
        <v>0.18666666666666668</v>
      </c>
      <c r="HS1096" s="369">
        <v>1</v>
      </c>
      <c r="HT1096" s="394">
        <f>IF(ISERROR(HR1096/HS1096),0,HR1096/HS1096)</f>
        <v>0.18666666666666668</v>
      </c>
      <c r="HU1096" s="394"/>
      <c r="HV1096" s="391">
        <f t="shared" si="1003"/>
        <v>0.31166666666666665</v>
      </c>
      <c r="HW1096" s="369"/>
      <c r="HX1096" s="369">
        <v>4200</v>
      </c>
      <c r="HY1096" s="369">
        <v>1900</v>
      </c>
      <c r="HZ1096" s="369">
        <v>1975</v>
      </c>
      <c r="IA1096" s="391">
        <f t="shared" si="1004"/>
        <v>6</v>
      </c>
      <c r="IB1096" s="391">
        <f t="shared" si="1004"/>
        <v>4</v>
      </c>
      <c r="IC1096" s="391">
        <f t="shared" si="1004"/>
        <v>6</v>
      </c>
      <c r="ID1096" s="395">
        <v>1</v>
      </c>
      <c r="IE1096" s="391">
        <f>PRODUCT(IA1096:ID1096)</f>
        <v>144</v>
      </c>
      <c r="IF1096" s="369">
        <v>500</v>
      </c>
      <c r="IG1096" s="391">
        <f t="shared" si="1005"/>
        <v>7.716049382716049E-2</v>
      </c>
    </row>
    <row r="1097" spans="1:390">
      <c r="A1097">
        <v>1080</v>
      </c>
      <c r="B1097" t="s">
        <v>468</v>
      </c>
      <c r="C1097" s="400" t="s">
        <v>4695</v>
      </c>
      <c r="D1097" s="28" t="s">
        <v>3072</v>
      </c>
      <c r="E1097" s="27" t="s">
        <v>3073</v>
      </c>
      <c r="F1097" t="s">
        <v>2182</v>
      </c>
      <c r="G1097" s="27" t="s">
        <v>90</v>
      </c>
      <c r="I1097" s="27" t="s">
        <v>94</v>
      </c>
      <c r="J1097" s="28">
        <v>29268</v>
      </c>
      <c r="K1097" s="27" t="s">
        <v>229</v>
      </c>
      <c r="L1097" s="371"/>
      <c r="M1097" s="369"/>
      <c r="N1097" s="369"/>
      <c r="O1097" s="369"/>
      <c r="P1097" s="369"/>
      <c r="Q1097" s="27" t="s">
        <v>1777</v>
      </c>
      <c r="R1097" s="27" t="s">
        <v>1778</v>
      </c>
      <c r="S1097" s="370">
        <v>44363</v>
      </c>
      <c r="T1097" s="27" t="s">
        <v>4555</v>
      </c>
      <c r="U1097" s="370">
        <v>44366</v>
      </c>
      <c r="V1097" s="369"/>
      <c r="W1097" s="27" t="s">
        <v>4598</v>
      </c>
      <c r="X1097" s="27"/>
      <c r="Y1097" s="27"/>
      <c r="Z1097" s="27"/>
      <c r="AA1097" s="27" t="s">
        <v>313</v>
      </c>
      <c r="AB1097" s="369">
        <v>117.66</v>
      </c>
      <c r="AC1097" s="369">
        <f t="shared" si="975"/>
        <v>112.66</v>
      </c>
      <c r="AD1097" s="390" t="s">
        <v>596</v>
      </c>
      <c r="AE1097" s="391">
        <f t="shared" si="976"/>
        <v>13.713624000000001</v>
      </c>
      <c r="AF1097" s="391">
        <f>DU1097+DZ1097</f>
        <v>0</v>
      </c>
      <c r="AG1097" s="391">
        <f t="shared" si="977"/>
        <v>6.0604532163742704</v>
      </c>
      <c r="AH1097" s="391">
        <f t="shared" si="978"/>
        <v>0</v>
      </c>
      <c r="AI1097" s="391">
        <f t="shared" si="979"/>
        <v>0</v>
      </c>
      <c r="AJ1097" s="391">
        <f t="shared" si="980"/>
        <v>0.1169590643274854</v>
      </c>
      <c r="AK1097" s="391">
        <f t="shared" si="981"/>
        <v>0.24451971520467841</v>
      </c>
      <c r="AL1097" s="391">
        <f t="shared" si="982"/>
        <v>2.1517734938011697</v>
      </c>
      <c r="AM1097" s="391">
        <f t="shared" si="983"/>
        <v>0.35166666666666668</v>
      </c>
      <c r="AN1097" s="391">
        <f t="shared" si="984"/>
        <v>8.6805555555555552E-2</v>
      </c>
      <c r="AO1097" s="391"/>
      <c r="AP1097" s="391"/>
      <c r="AQ1097" s="391">
        <f t="shared" si="985"/>
        <v>22.725801711929829</v>
      </c>
      <c r="AR1097" s="391">
        <f t="shared" si="986"/>
        <v>0</v>
      </c>
      <c r="AS1097" s="391">
        <f t="shared" si="987"/>
        <v>0</v>
      </c>
      <c r="AT1097" s="391">
        <v>0</v>
      </c>
      <c r="AU1097" s="391">
        <f>22.51*3%</f>
        <v>0.67530000000000001</v>
      </c>
      <c r="AV1097" s="391">
        <f t="shared" si="988"/>
        <v>23.401101711929829</v>
      </c>
      <c r="AW1097" s="394">
        <v>0.12000000000000001</v>
      </c>
      <c r="AX1097" s="369">
        <v>0.11600000000000001</v>
      </c>
      <c r="AY1097" s="392">
        <v>0.9</v>
      </c>
      <c r="AZ1097" s="391">
        <f t="shared" si="989"/>
        <v>3.6000000000000034E-3</v>
      </c>
      <c r="BA1097" s="391">
        <f t="shared" si="990"/>
        <v>13.713624000000001</v>
      </c>
      <c r="BB1097" s="391"/>
      <c r="BC1097" s="391"/>
      <c r="BD1097" s="391"/>
      <c r="BE1097" s="391"/>
      <c r="BF1097" s="391"/>
      <c r="BG1097" s="391"/>
      <c r="BH1097" s="391"/>
      <c r="BI1097" s="391"/>
      <c r="BJ1097" s="369"/>
      <c r="BK1097" s="369"/>
      <c r="BL1097" s="369"/>
      <c r="BM1097" s="369"/>
      <c r="BN1097" s="369"/>
      <c r="BO1097" s="369"/>
      <c r="BP1097" s="369"/>
      <c r="BQ1097" s="369"/>
      <c r="BR1097" s="369"/>
      <c r="BS1097" s="369"/>
      <c r="BT1097" s="369"/>
      <c r="BU1097" s="369"/>
      <c r="BV1097" s="369"/>
      <c r="BW1097" s="369"/>
      <c r="BX1097" s="369"/>
      <c r="BY1097" s="369"/>
      <c r="BZ1097" s="369"/>
      <c r="CA1097" s="369"/>
      <c r="CB1097" s="369"/>
      <c r="CC1097" s="369"/>
      <c r="CD1097" s="369"/>
      <c r="CE1097" s="369"/>
      <c r="CF1097" s="369"/>
      <c r="CG1097" s="369"/>
      <c r="CH1097" s="369"/>
      <c r="CI1097" s="369"/>
      <c r="CJ1097" s="369"/>
      <c r="CK1097" s="369"/>
      <c r="CL1097" s="369"/>
      <c r="CM1097" s="369"/>
      <c r="CN1097" s="369"/>
      <c r="CO1097" s="369"/>
      <c r="CP1097" s="369"/>
      <c r="CQ1097" s="369"/>
      <c r="CR1097" s="369"/>
      <c r="CS1097" s="369"/>
      <c r="CT1097" s="369"/>
      <c r="CU1097" s="369"/>
      <c r="CV1097" s="369"/>
      <c r="CW1097" s="369"/>
      <c r="CX1097" s="369"/>
      <c r="CY1097" s="369"/>
      <c r="CZ1097" s="369"/>
      <c r="DA1097" s="369"/>
      <c r="DB1097" s="369"/>
      <c r="DC1097" s="369"/>
      <c r="DD1097" s="369"/>
      <c r="DE1097" s="369"/>
      <c r="DF1097" s="369"/>
      <c r="DG1097" s="369"/>
      <c r="DH1097" s="369"/>
      <c r="DI1097" s="369"/>
      <c r="DJ1097" s="369"/>
      <c r="DK1097" s="369"/>
      <c r="DL1097" s="369"/>
      <c r="DM1097" s="369"/>
      <c r="DN1097" s="369"/>
      <c r="DO1097" s="369"/>
      <c r="DP1097" s="369"/>
      <c r="DQ1097" s="369"/>
      <c r="DR1097" s="369"/>
      <c r="DS1097" s="369"/>
      <c r="DT1097" s="369"/>
      <c r="DU1097" s="369"/>
      <c r="DV1097" s="369"/>
      <c r="DW1097" s="369"/>
      <c r="DX1097" s="369"/>
      <c r="DY1097" s="369"/>
      <c r="DZ1097" s="369"/>
      <c r="EA1097" s="369"/>
      <c r="EB1097" s="369"/>
      <c r="EC1097" s="369"/>
      <c r="ED1097" s="369"/>
      <c r="EE1097" s="369"/>
      <c r="EF1097" s="369">
        <v>320</v>
      </c>
      <c r="EG1097" s="369">
        <v>3200</v>
      </c>
      <c r="EH1097" s="369">
        <v>8</v>
      </c>
      <c r="EI1097" s="395">
        <v>0.95</v>
      </c>
      <c r="EJ1097" s="369">
        <v>1</v>
      </c>
      <c r="EK1097" s="369">
        <v>50</v>
      </c>
      <c r="EL1097" s="396">
        <f t="shared" si="991"/>
        <v>547.19999999999993</v>
      </c>
      <c r="EM1097" s="369"/>
      <c r="EN1097" s="369"/>
      <c r="EO1097" s="369"/>
      <c r="EP1097" s="369"/>
      <c r="EQ1097" s="369"/>
      <c r="ER1097" s="369"/>
      <c r="ES1097" s="369"/>
      <c r="ET1097" s="369"/>
      <c r="EU1097" s="391">
        <f t="shared" si="992"/>
        <v>5.84795321637427</v>
      </c>
      <c r="EV1097" s="369"/>
      <c r="EW1097" s="369"/>
      <c r="EX1097" s="369"/>
      <c r="EY1097" s="391">
        <f>25500/(400*12*25)</f>
        <v>0.21249999999999999</v>
      </c>
      <c r="EZ1097" s="369"/>
      <c r="FA1097" s="391">
        <f t="shared" si="993"/>
        <v>0.21249999999999999</v>
      </c>
      <c r="FB1097" s="369"/>
      <c r="FC1097" s="369"/>
      <c r="FD1097" s="369"/>
      <c r="FE1097" s="369"/>
      <c r="FF1097" s="369"/>
      <c r="FG1097" s="369"/>
      <c r="FH1097" s="369"/>
      <c r="FI1097" s="369"/>
      <c r="FJ1097" s="369"/>
      <c r="FK1097" s="369"/>
      <c r="FL1097" s="369"/>
      <c r="FM1097" s="369"/>
      <c r="FN1097" s="369"/>
      <c r="FO1097" s="369"/>
      <c r="FP1097" s="369"/>
      <c r="FQ1097" s="369"/>
      <c r="FR1097" s="369"/>
      <c r="FS1097" s="369"/>
      <c r="FT1097" s="369"/>
      <c r="FU1097" s="369"/>
      <c r="FV1097" s="369"/>
      <c r="FW1097" s="369"/>
      <c r="FX1097" s="369"/>
      <c r="FY1097" s="369"/>
      <c r="FZ1097" s="369"/>
      <c r="GA1097" s="369"/>
      <c r="GB1097" s="369"/>
      <c r="GC1097" s="369"/>
      <c r="GD1097" s="369"/>
      <c r="GE1097" s="369"/>
      <c r="GF1097" s="369"/>
      <c r="GG1097" s="369"/>
      <c r="GH1097" s="369"/>
      <c r="GI1097" s="369"/>
      <c r="GJ1097" s="369"/>
      <c r="GK1097" s="369"/>
      <c r="GL1097" s="369"/>
      <c r="GM1097" s="369"/>
      <c r="GN1097" s="369"/>
      <c r="GO1097" s="369"/>
      <c r="GP1097" s="392"/>
      <c r="GQ1097" s="369"/>
      <c r="GR1097" s="395">
        <v>0.11</v>
      </c>
      <c r="GS1097" s="391">
        <f t="shared" si="994"/>
        <v>2.1517734938011697</v>
      </c>
      <c r="GT1097" s="393">
        <v>1.2500000000000001E-2</v>
      </c>
      <c r="GU1097" s="391">
        <f t="shared" si="995"/>
        <v>0.24451971520467841</v>
      </c>
      <c r="GV1097" s="395">
        <v>0.02</v>
      </c>
      <c r="GW1097" s="391">
        <f t="shared" si="996"/>
        <v>0.1169590643274854</v>
      </c>
      <c r="GX1097" s="391">
        <f t="shared" si="997"/>
        <v>2.5132522733333338</v>
      </c>
      <c r="GY1097" s="369" t="s">
        <v>43</v>
      </c>
      <c r="GZ1097" s="369" t="s">
        <v>61</v>
      </c>
      <c r="HA1097" s="391">
        <v>650</v>
      </c>
      <c r="HB1097" s="391">
        <v>450</v>
      </c>
      <c r="HC1097" s="391">
        <v>315</v>
      </c>
      <c r="HD1097" s="391">
        <v>40</v>
      </c>
      <c r="HE1097" s="391">
        <v>650</v>
      </c>
      <c r="HF1097" s="391">
        <f t="shared" si="998"/>
        <v>17</v>
      </c>
      <c r="HG1097" s="391">
        <v>5</v>
      </c>
      <c r="HH1097" s="391">
        <f t="shared" si="999"/>
        <v>85</v>
      </c>
      <c r="HI1097" s="391">
        <v>650</v>
      </c>
      <c r="HJ1097" s="396">
        <f t="shared" si="1000"/>
        <v>55250</v>
      </c>
      <c r="HK1097" s="369"/>
      <c r="HL1097" s="369"/>
      <c r="HM1097" s="369">
        <v>2</v>
      </c>
      <c r="HN1097" s="396">
        <f t="shared" si="1001"/>
        <v>390000</v>
      </c>
      <c r="HO1097" s="391">
        <f t="shared" si="1002"/>
        <v>0.14166666666666666</v>
      </c>
      <c r="HP1097" s="391">
        <v>160</v>
      </c>
      <c r="HQ1097" s="369">
        <v>0</v>
      </c>
      <c r="HR1097" s="391">
        <f>4.2/40*2</f>
        <v>0.21000000000000002</v>
      </c>
      <c r="HS1097" s="369">
        <v>1</v>
      </c>
      <c r="HT1097" s="394">
        <f>IF(ISERROR(HR1097/HS1097),0,HR1097/HS1097)</f>
        <v>0.21000000000000002</v>
      </c>
      <c r="HU1097" s="394"/>
      <c r="HV1097" s="391">
        <f t="shared" si="1003"/>
        <v>0.35166666666666668</v>
      </c>
      <c r="HW1097" s="369"/>
      <c r="HX1097" s="369">
        <v>4200</v>
      </c>
      <c r="HY1097" s="369">
        <v>1900</v>
      </c>
      <c r="HZ1097" s="369">
        <v>1975</v>
      </c>
      <c r="IA1097" s="391">
        <f t="shared" si="1004"/>
        <v>6</v>
      </c>
      <c r="IB1097" s="391">
        <f t="shared" si="1004"/>
        <v>4</v>
      </c>
      <c r="IC1097" s="391">
        <f t="shared" si="1004"/>
        <v>6</v>
      </c>
      <c r="ID1097" s="395">
        <v>1</v>
      </c>
      <c r="IE1097" s="391">
        <f>PRODUCT(IA1097:ID1097)</f>
        <v>144</v>
      </c>
      <c r="IF1097" s="369">
        <v>500</v>
      </c>
      <c r="IG1097" s="391">
        <f t="shared" si="1005"/>
        <v>8.6805555555555552E-2</v>
      </c>
    </row>
    <row r="1098" spans="1:390" ht="75">
      <c r="A1098">
        <v>1081</v>
      </c>
      <c r="B1098" t="s">
        <v>468</v>
      </c>
      <c r="C1098" s="400" t="s">
        <v>4696</v>
      </c>
      <c r="D1098" s="28" t="s">
        <v>3074</v>
      </c>
      <c r="E1098" s="27" t="s">
        <v>200</v>
      </c>
      <c r="F1098" t="s">
        <v>2182</v>
      </c>
      <c r="G1098" s="27" t="s">
        <v>90</v>
      </c>
      <c r="I1098" s="27" t="s">
        <v>94</v>
      </c>
      <c r="J1098" s="28">
        <v>29268</v>
      </c>
      <c r="K1098" s="27" t="s">
        <v>229</v>
      </c>
      <c r="L1098" s="371"/>
      <c r="M1098" s="369"/>
      <c r="N1098" s="369"/>
      <c r="O1098" s="369"/>
      <c r="P1098" s="369"/>
      <c r="Q1098" s="27" t="s">
        <v>1777</v>
      </c>
      <c r="R1098" s="27" t="s">
        <v>1778</v>
      </c>
      <c r="S1098" s="370">
        <v>44363</v>
      </c>
      <c r="T1098" s="27" t="s">
        <v>4555</v>
      </c>
      <c r="U1098" s="370">
        <v>44366</v>
      </c>
      <c r="V1098" s="369"/>
      <c r="W1098" s="162" t="s">
        <v>4697</v>
      </c>
      <c r="X1098" s="162"/>
      <c r="Y1098" s="162"/>
      <c r="Z1098" s="162"/>
      <c r="AA1098" s="27" t="s">
        <v>313</v>
      </c>
      <c r="AB1098" s="369">
        <v>117.66</v>
      </c>
      <c r="AC1098" s="369">
        <v>20</v>
      </c>
      <c r="AD1098" s="390" t="s">
        <v>24</v>
      </c>
      <c r="AE1098" s="391">
        <f t="shared" si="976"/>
        <v>48.313580000000002</v>
      </c>
      <c r="AF1098" s="391">
        <f>DU1098+DZ1098+EE1098</f>
        <v>9.160330998371931</v>
      </c>
      <c r="AG1098" s="391">
        <f t="shared" si="977"/>
        <v>16.805838911381016</v>
      </c>
      <c r="AH1098" s="391">
        <f t="shared" si="978"/>
        <v>10.89</v>
      </c>
      <c r="AI1098" s="391">
        <f t="shared" si="979"/>
        <v>0.13612500000000002</v>
      </c>
      <c r="AJ1098" s="391">
        <f t="shared" si="980"/>
        <v>0.30105263157894735</v>
      </c>
      <c r="AK1098" s="391">
        <f t="shared" si="981"/>
        <v>0.79207764473684217</v>
      </c>
      <c r="AL1098" s="391">
        <f t="shared" si="982"/>
        <v>6.9702832736842106</v>
      </c>
      <c r="AM1098" s="391">
        <f t="shared" si="983"/>
        <v>2.1961111111111111</v>
      </c>
      <c r="AN1098" s="391">
        <f t="shared" si="984"/>
        <v>1.0416666666666667</v>
      </c>
      <c r="AO1098" s="391"/>
      <c r="AP1098" s="391"/>
      <c r="AQ1098" s="391">
        <f t="shared" si="985"/>
        <v>96.607066237530731</v>
      </c>
      <c r="AR1098" s="391">
        <f t="shared" si="986"/>
        <v>0</v>
      </c>
      <c r="AS1098" s="391">
        <v>0</v>
      </c>
      <c r="AT1098" s="391">
        <v>0</v>
      </c>
      <c r="AU1098" s="391">
        <f>0.03*96.61+0.47</f>
        <v>3.3682999999999996</v>
      </c>
      <c r="AV1098" s="391">
        <f t="shared" si="988"/>
        <v>99.975366237530736</v>
      </c>
      <c r="AW1098" s="369">
        <v>0.41300000000000003</v>
      </c>
      <c r="AX1098" s="369">
        <v>0.39900000000000002</v>
      </c>
      <c r="AY1098" s="392">
        <v>1</v>
      </c>
      <c r="AZ1098" s="391">
        <f t="shared" si="989"/>
        <v>1.4000000000000012E-2</v>
      </c>
      <c r="BA1098" s="391">
        <f t="shared" si="990"/>
        <v>48.313580000000002</v>
      </c>
      <c r="BB1098" s="391"/>
      <c r="BC1098" s="391"/>
      <c r="BD1098" s="391"/>
      <c r="BE1098" s="391"/>
      <c r="BF1098" s="391"/>
      <c r="BG1098" s="391"/>
      <c r="BH1098" s="391"/>
      <c r="BI1098" s="391"/>
      <c r="BJ1098" s="369"/>
      <c r="BK1098" s="369"/>
      <c r="BL1098" s="369"/>
      <c r="BM1098" s="369"/>
      <c r="BN1098" s="369"/>
      <c r="BO1098" s="369"/>
      <c r="BP1098" s="369"/>
      <c r="BQ1098" s="369"/>
      <c r="BR1098" s="369"/>
      <c r="BS1098" s="369"/>
      <c r="BT1098" s="369"/>
      <c r="BU1098" s="369"/>
      <c r="BV1098" s="369"/>
      <c r="BW1098" s="369"/>
      <c r="BX1098" s="369"/>
      <c r="BY1098" s="369"/>
      <c r="BZ1098" s="369"/>
      <c r="CA1098" s="369"/>
      <c r="CB1098" s="369"/>
      <c r="CC1098" s="369"/>
      <c r="CD1098" s="369"/>
      <c r="CE1098" s="369"/>
      <c r="CF1098" s="369"/>
      <c r="CG1098" s="369"/>
      <c r="CH1098" s="369"/>
      <c r="CI1098" s="369" t="s">
        <v>546</v>
      </c>
      <c r="CJ1098" s="369" t="s">
        <v>547</v>
      </c>
      <c r="CK1098" s="369">
        <v>1</v>
      </c>
      <c r="CL1098" s="391">
        <v>8.7100000000000009</v>
      </c>
      <c r="CM1098" s="391">
        <f>CL1098*CK1098</f>
        <v>8.7100000000000009</v>
      </c>
      <c r="CN1098" s="369" t="s">
        <v>548</v>
      </c>
      <c r="CO1098" s="369" t="s">
        <v>549</v>
      </c>
      <c r="CP1098" s="369">
        <v>1</v>
      </c>
      <c r="CQ1098" s="369">
        <v>1.26</v>
      </c>
      <c r="CR1098" s="369">
        <f>CQ1098*CP1098</f>
        <v>1.26</v>
      </c>
      <c r="CS1098" s="369">
        <v>8200320</v>
      </c>
      <c r="CT1098" s="369" t="s">
        <v>4698</v>
      </c>
      <c r="CU1098" s="369">
        <v>2</v>
      </c>
      <c r="CV1098" s="369">
        <v>0.46</v>
      </c>
      <c r="CW1098" s="369">
        <f>CV1098*CU1098</f>
        <v>0.92</v>
      </c>
      <c r="CX1098" s="369"/>
      <c r="CY1098" s="369"/>
      <c r="CZ1098" s="369"/>
      <c r="DA1098" s="369"/>
      <c r="DB1098" s="369"/>
      <c r="DC1098" s="369"/>
      <c r="DD1098" s="369"/>
      <c r="DE1098" s="369"/>
      <c r="DF1098" s="369"/>
      <c r="DG1098" s="369"/>
      <c r="DH1098" s="369"/>
      <c r="DI1098" s="369"/>
      <c r="DJ1098" s="369"/>
      <c r="DK1098" s="369"/>
      <c r="DL1098" s="369"/>
      <c r="DM1098" s="369">
        <f>DL1098+DG1098+DB1098+CW1098+CR1098+CM1098+CH1098</f>
        <v>10.89</v>
      </c>
      <c r="DN1098" s="393">
        <v>1.2500000000000001E-2</v>
      </c>
      <c r="DO1098" s="391">
        <f>DN1098*DM1098</f>
        <v>0.13612500000000002</v>
      </c>
      <c r="DP1098" s="391">
        <f>DO1098+DM1098</f>
        <v>11.026125</v>
      </c>
      <c r="DQ1098" s="369" t="s">
        <v>4699</v>
      </c>
      <c r="DR1098" s="369" t="s">
        <v>4700</v>
      </c>
      <c r="DS1098" s="369">
        <v>1</v>
      </c>
      <c r="DT1098" s="391">
        <f>KP1098</f>
        <v>4.0374236140350881</v>
      </c>
      <c r="DU1098" s="391">
        <f>DT1098*DS1098</f>
        <v>4.0374236140350881</v>
      </c>
      <c r="DV1098" s="369" t="s">
        <v>4701</v>
      </c>
      <c r="DW1098" s="369" t="s">
        <v>607</v>
      </c>
      <c r="DX1098" s="369">
        <v>1</v>
      </c>
      <c r="DY1098" s="391">
        <f>MA1098</f>
        <v>4.0374236140350881</v>
      </c>
      <c r="DZ1098" s="391">
        <f>DY1098*DX1098</f>
        <v>4.0374236140350881</v>
      </c>
      <c r="EA1098" s="369" t="s">
        <v>4702</v>
      </c>
      <c r="EB1098" s="369" t="s">
        <v>609</v>
      </c>
      <c r="EC1098" s="369">
        <v>1</v>
      </c>
      <c r="ED1098" s="391">
        <f>NZ1098</f>
        <v>1.0854837703017544</v>
      </c>
      <c r="EE1098" s="391">
        <f>ED1098*EC1098</f>
        <v>1.0854837703017544</v>
      </c>
      <c r="EF1098" s="369">
        <v>650</v>
      </c>
      <c r="EG1098" s="369">
        <v>5720</v>
      </c>
      <c r="EH1098" s="369">
        <v>8</v>
      </c>
      <c r="EI1098" s="395">
        <v>0.95</v>
      </c>
      <c r="EJ1098" s="369">
        <v>1</v>
      </c>
      <c r="EK1098" s="369">
        <v>72</v>
      </c>
      <c r="EL1098" s="396">
        <f t="shared" si="991"/>
        <v>380</v>
      </c>
      <c r="EM1098" s="369"/>
      <c r="EN1098" s="369"/>
      <c r="EO1098" s="369"/>
      <c r="EP1098" s="369"/>
      <c r="EQ1098" s="369"/>
      <c r="ER1098" s="369"/>
      <c r="ES1098" s="369"/>
      <c r="ET1098" s="369"/>
      <c r="EU1098" s="391">
        <f t="shared" si="992"/>
        <v>15.052631578947368</v>
      </c>
      <c r="EV1098" s="369"/>
      <c r="EW1098" s="369"/>
      <c r="EX1098" s="391">
        <f>550/(3600*8*0.95/70)</f>
        <v>1.4071637426900585</v>
      </c>
      <c r="EY1098" s="394">
        <f>134957/(650*12*25*2)</f>
        <v>0.34604358974358973</v>
      </c>
      <c r="EZ1098" s="369"/>
      <c r="FA1098" s="391">
        <f t="shared" si="993"/>
        <v>1.7532073324336483</v>
      </c>
      <c r="FB1098" s="369"/>
      <c r="FC1098" s="369"/>
      <c r="FD1098" s="369"/>
      <c r="FE1098" s="369"/>
      <c r="FF1098" s="369"/>
      <c r="FG1098" s="369"/>
      <c r="FH1098" s="369"/>
      <c r="FI1098" s="369"/>
      <c r="FJ1098" s="369"/>
      <c r="FK1098" s="369"/>
      <c r="FL1098" s="369"/>
      <c r="FM1098" s="369"/>
      <c r="FN1098" s="369"/>
      <c r="FO1098" s="369"/>
      <c r="FP1098" s="369"/>
      <c r="FQ1098" s="369"/>
      <c r="FR1098" s="369"/>
      <c r="FS1098" s="369"/>
      <c r="FT1098" s="369"/>
      <c r="FU1098" s="369"/>
      <c r="FV1098" s="369"/>
      <c r="FW1098" s="369"/>
      <c r="FX1098" s="369"/>
      <c r="FY1098" s="369"/>
      <c r="FZ1098" s="369"/>
      <c r="GA1098" s="369"/>
      <c r="GB1098" s="369"/>
      <c r="GC1098" s="369"/>
      <c r="GD1098" s="369"/>
      <c r="GE1098" s="369"/>
      <c r="GF1098" s="369"/>
      <c r="GG1098" s="369"/>
      <c r="GH1098" s="369"/>
      <c r="GI1098" s="369"/>
      <c r="GJ1098" s="369"/>
      <c r="GK1098" s="369"/>
      <c r="GL1098" s="369"/>
      <c r="GM1098" s="369"/>
      <c r="GN1098" s="369"/>
      <c r="GO1098" s="369"/>
      <c r="GP1098" s="392"/>
      <c r="GQ1098" s="369"/>
      <c r="GR1098" s="395">
        <v>0.11</v>
      </c>
      <c r="GS1098" s="391">
        <f t="shared" si="994"/>
        <v>6.9702832736842106</v>
      </c>
      <c r="GT1098" s="393">
        <v>1.2500000000000001E-2</v>
      </c>
      <c r="GU1098" s="391">
        <f t="shared" si="995"/>
        <v>0.79207764473684217</v>
      </c>
      <c r="GV1098" s="395">
        <v>0.02</v>
      </c>
      <c r="GW1098" s="391">
        <f t="shared" si="996"/>
        <v>0.30105263157894735</v>
      </c>
      <c r="GX1098" s="391">
        <f t="shared" si="997"/>
        <v>8.0634135499999999</v>
      </c>
      <c r="GY1098" s="369" t="s">
        <v>130</v>
      </c>
      <c r="GZ1098" s="369" t="s">
        <v>87</v>
      </c>
      <c r="HA1098" s="369">
        <v>810</v>
      </c>
      <c r="HB1098" s="369">
        <v>570</v>
      </c>
      <c r="HC1098" s="369">
        <v>425</v>
      </c>
      <c r="HD1098" s="369">
        <v>8</v>
      </c>
      <c r="HE1098" s="369">
        <v>300</v>
      </c>
      <c r="HF1098" s="391">
        <f t="shared" si="998"/>
        <v>38</v>
      </c>
      <c r="HG1098" s="391">
        <v>5</v>
      </c>
      <c r="HH1098" s="391">
        <f t="shared" si="999"/>
        <v>190</v>
      </c>
      <c r="HI1098" s="369">
        <v>1100</v>
      </c>
      <c r="HJ1098" s="396">
        <f t="shared" si="1000"/>
        <v>209000</v>
      </c>
      <c r="HK1098" s="369"/>
      <c r="HL1098" s="369"/>
      <c r="HM1098" s="369">
        <v>2</v>
      </c>
      <c r="HN1098" s="396">
        <f t="shared" si="1001"/>
        <v>180000</v>
      </c>
      <c r="HO1098" s="391">
        <f t="shared" si="1002"/>
        <v>1.1611111111111112</v>
      </c>
      <c r="HP1098" s="391">
        <v>160</v>
      </c>
      <c r="HQ1098" s="369">
        <v>0</v>
      </c>
      <c r="HR1098" s="391">
        <f>1.38/8*6</f>
        <v>1.0349999999999999</v>
      </c>
      <c r="HS1098" s="369">
        <v>1</v>
      </c>
      <c r="HT1098" s="394">
        <f>IF(ISERROR(HR1098/HS1098),0,HR1098/HS1098)</f>
        <v>1.0349999999999999</v>
      </c>
      <c r="HU1098" s="394"/>
      <c r="HV1098" s="391">
        <f t="shared" si="1003"/>
        <v>2.1961111111111111</v>
      </c>
      <c r="HW1098" s="369"/>
      <c r="HX1098" s="369">
        <v>4200</v>
      </c>
      <c r="HY1098" s="369">
        <v>1900</v>
      </c>
      <c r="HZ1098" s="369">
        <v>1975</v>
      </c>
      <c r="IA1098" s="391">
        <f t="shared" si="1004"/>
        <v>5</v>
      </c>
      <c r="IB1098" s="391">
        <f t="shared" si="1004"/>
        <v>3</v>
      </c>
      <c r="IC1098" s="391">
        <f t="shared" si="1004"/>
        <v>4</v>
      </c>
      <c r="ID1098" s="395">
        <v>1</v>
      </c>
      <c r="IE1098" s="391">
        <f>PRODUCT(IA1098:ID1098)</f>
        <v>60</v>
      </c>
      <c r="IF1098" s="369">
        <v>500</v>
      </c>
      <c r="IG1098" s="391">
        <f t="shared" si="1005"/>
        <v>1.0416666666666667</v>
      </c>
      <c r="IH1098" s="369"/>
      <c r="II1098" s="369"/>
      <c r="IJ1098" s="369"/>
      <c r="IK1098" s="369"/>
      <c r="IL1098" s="369"/>
      <c r="IM1098" s="404" t="s">
        <v>4690</v>
      </c>
      <c r="IN1098" s="369">
        <v>203.92</v>
      </c>
      <c r="IO1098" s="369">
        <v>20</v>
      </c>
      <c r="IP1098" s="369" t="s">
        <v>24</v>
      </c>
      <c r="IQ1098" s="369">
        <v>1.4999999999999999E-2</v>
      </c>
      <c r="IR1098" s="369">
        <v>1.4E-2</v>
      </c>
      <c r="IS1098" s="392">
        <v>1</v>
      </c>
      <c r="IT1098" s="391">
        <f>(IQ1098-IR1098)*IS1098</f>
        <v>9.9999999999999915E-4</v>
      </c>
      <c r="IU1098" s="391">
        <f>IQ1098*IN1098-IT1098*IO1098</f>
        <v>3.0387999999999997</v>
      </c>
      <c r="IV1098" s="369"/>
      <c r="IW1098" s="369"/>
      <c r="IX1098" s="369"/>
      <c r="IY1098" s="369"/>
      <c r="IZ1098" s="369"/>
      <c r="JA1098" s="369"/>
      <c r="JB1098" s="369"/>
      <c r="JC1098" s="369"/>
      <c r="JD1098" s="369"/>
      <c r="JE1098" s="369"/>
      <c r="JF1098" s="369"/>
      <c r="JG1098" s="369"/>
      <c r="JH1098" s="369"/>
      <c r="JI1098" s="369"/>
      <c r="JJ1098" s="369"/>
      <c r="JK1098" s="369"/>
      <c r="JL1098" s="369"/>
      <c r="JM1098" s="369"/>
      <c r="JN1098" s="369"/>
      <c r="JO1098" s="369"/>
      <c r="JP1098" s="369"/>
      <c r="JQ1098" s="369"/>
      <c r="JR1098" s="369"/>
      <c r="JS1098" s="369"/>
      <c r="JT1098" s="369"/>
      <c r="JU1098" s="369"/>
      <c r="JV1098" s="369"/>
      <c r="JW1098" s="369">
        <v>150</v>
      </c>
      <c r="JX1098" s="369">
        <v>1500</v>
      </c>
      <c r="JY1098" s="369">
        <v>8</v>
      </c>
      <c r="JZ1098" s="395">
        <v>0.95</v>
      </c>
      <c r="KA1098" s="369">
        <v>6</v>
      </c>
      <c r="KB1098" s="369"/>
      <c r="KC1098" s="404">
        <v>60</v>
      </c>
      <c r="KD1098" s="417">
        <f>3600/KC1098*KA1098*JZ1098*JY1098</f>
        <v>2736</v>
      </c>
      <c r="KE1098" s="418">
        <f>JX1098/KD1098+KF1098</f>
        <v>0.54824561403508776</v>
      </c>
      <c r="KF1098" s="391">
        <v>0</v>
      </c>
      <c r="KG1098" s="395">
        <v>0.11</v>
      </c>
      <c r="KH1098" s="391">
        <f>KG1098*(KE1098+IU1098)</f>
        <v>0.39457501754385965</v>
      </c>
      <c r="KI1098" s="393">
        <v>1.2500000000000001E-2</v>
      </c>
      <c r="KJ1098" s="391">
        <f>KI1098*(KE1098+IU1098)</f>
        <v>4.4838070175438595E-2</v>
      </c>
      <c r="KK1098" s="391"/>
      <c r="KL1098" s="391"/>
      <c r="KM1098" s="391"/>
      <c r="KN1098" s="395">
        <v>0.02</v>
      </c>
      <c r="KO1098" s="391">
        <f>KN1098*KE1098</f>
        <v>1.0964912280701756E-2</v>
      </c>
      <c r="KP1098" s="391">
        <f>IU1098+JS1098+JU1098+KE1098+KH1098+KJ1098+KO1098</f>
        <v>4.0374236140350881</v>
      </c>
      <c r="KQ1098" s="369" t="s">
        <v>4690</v>
      </c>
      <c r="KR1098" s="369">
        <v>203.92</v>
      </c>
      <c r="KS1098" s="369">
        <v>20</v>
      </c>
      <c r="KT1098" s="369" t="s">
        <v>24</v>
      </c>
      <c r="KU1098" s="369">
        <v>1.4999999999999999E-2</v>
      </c>
      <c r="KV1098" s="369">
        <v>1.4E-2</v>
      </c>
      <c r="KW1098" s="395">
        <v>1</v>
      </c>
      <c r="KX1098" s="391">
        <f>(KU1098-KV1098)*KW1098</f>
        <v>9.9999999999999915E-4</v>
      </c>
      <c r="KY1098" s="391">
        <f>KU1098*KR1098-KX1098*KS1098</f>
        <v>3.0387999999999997</v>
      </c>
      <c r="KZ1098" s="369"/>
      <c r="LA1098" s="369"/>
      <c r="LB1098" s="369"/>
      <c r="LC1098" s="369"/>
      <c r="LD1098" s="369"/>
      <c r="LE1098" s="369"/>
      <c r="LF1098" s="369"/>
      <c r="LG1098" s="369"/>
      <c r="LH1098" s="369">
        <v>150</v>
      </c>
      <c r="LI1098" s="369">
        <v>1500</v>
      </c>
      <c r="LJ1098" s="369">
        <v>8</v>
      </c>
      <c r="LK1098" s="395">
        <v>0.95</v>
      </c>
      <c r="LL1098" s="369">
        <v>6</v>
      </c>
      <c r="LM1098" s="369"/>
      <c r="LN1098" s="369">
        <v>60</v>
      </c>
      <c r="LO1098" s="396">
        <f>3600/LN1098*LL1098*LK1098*LJ1098</f>
        <v>2736</v>
      </c>
      <c r="LP1098" s="391">
        <f>LI1098/LO1098</f>
        <v>0.54824561403508776</v>
      </c>
      <c r="LQ1098" s="391"/>
      <c r="LR1098" s="395">
        <v>0.11</v>
      </c>
      <c r="LS1098" s="391">
        <f>LR1098*(LP1098+KY1098)</f>
        <v>0.39457501754385965</v>
      </c>
      <c r="LT1098" s="393">
        <v>1.2500000000000001E-2</v>
      </c>
      <c r="LU1098" s="391">
        <f>LT1098*(LP1098+KY1098)</f>
        <v>4.4838070175438595E-2</v>
      </c>
      <c r="LV1098" s="391"/>
      <c r="LW1098" s="391"/>
      <c r="LX1098" s="391"/>
      <c r="LY1098" s="395">
        <v>0.02</v>
      </c>
      <c r="LZ1098" s="391">
        <f>LY1098*LP1098</f>
        <v>1.0964912280701756E-2</v>
      </c>
      <c r="MA1098" s="391">
        <f>KY1098+LD1098+LF1098+LP1098+LS1098+LU1098+LZ1098</f>
        <v>4.0374236140350881</v>
      </c>
      <c r="MB1098" s="404" t="s">
        <v>4690</v>
      </c>
      <c r="MC1098" s="369">
        <v>203.92</v>
      </c>
      <c r="MD1098" s="369">
        <v>20</v>
      </c>
      <c r="ME1098" s="404" t="s">
        <v>24</v>
      </c>
      <c r="MF1098" s="394">
        <v>2.1146666666666666E-3</v>
      </c>
      <c r="MG1098" s="369">
        <v>1.0039999999999999E-3</v>
      </c>
      <c r="MH1098" s="395">
        <v>1</v>
      </c>
      <c r="MI1098" s="391">
        <f>(MF1098-MG1098)*MH1098</f>
        <v>1.1106666666666667E-3</v>
      </c>
      <c r="MJ1098" s="391">
        <f>MF1098*MC1098-MI1098*MD1098</f>
        <v>0.40900949333333325</v>
      </c>
      <c r="MK1098" s="369"/>
      <c r="ML1098" s="369"/>
      <c r="MM1098" s="369"/>
      <c r="MN1098" s="369"/>
      <c r="MO1098" s="369"/>
      <c r="MP1098" s="369"/>
      <c r="MQ1098" s="369"/>
      <c r="MR1098" s="369"/>
      <c r="MS1098" s="369"/>
      <c r="MT1098" s="369"/>
      <c r="MU1098" s="369"/>
      <c r="MV1098" s="395"/>
      <c r="MW1098" s="369"/>
      <c r="MX1098" s="369"/>
      <c r="MY1098" s="396"/>
      <c r="MZ1098" s="391"/>
      <c r="NA1098" s="395"/>
      <c r="NB1098" s="391"/>
      <c r="NC1098" s="393"/>
      <c r="ND1098" s="391"/>
      <c r="NE1098" s="395"/>
      <c r="NF1098" s="391"/>
      <c r="NG1098" s="391"/>
      <c r="NH1098" s="369"/>
      <c r="NI1098" s="369"/>
      <c r="NJ1098" s="369"/>
      <c r="NK1098" s="369"/>
      <c r="NL1098" s="369">
        <v>150</v>
      </c>
      <c r="NM1098" s="369">
        <v>1500</v>
      </c>
      <c r="NN1098" s="369">
        <v>8</v>
      </c>
      <c r="NO1098" s="395">
        <v>0.95</v>
      </c>
      <c r="NP1098" s="369">
        <v>6</v>
      </c>
      <c r="NQ1098" s="369">
        <v>60</v>
      </c>
      <c r="NR1098" s="396">
        <f>3600/NQ1098*NP1098*NO1098*NN1098</f>
        <v>2736</v>
      </c>
      <c r="NS1098" s="391">
        <f>NM1098/NR1098</f>
        <v>0.54824561403508776</v>
      </c>
      <c r="NT1098" s="395">
        <v>0.11</v>
      </c>
      <c r="NU1098" s="391">
        <f>NT1098*(NS1098+MJ1098)</f>
        <v>0.10529806181052631</v>
      </c>
      <c r="NV1098" s="393">
        <v>1.2500000000000001E-2</v>
      </c>
      <c r="NW1098" s="391">
        <f>NV1098*(NS1098+MJ1098)</f>
        <v>1.1965688842105263E-2</v>
      </c>
      <c r="NX1098" s="395">
        <v>0.02</v>
      </c>
      <c r="NY1098" s="391">
        <f>NX1098*NS1098</f>
        <v>1.0964912280701756E-2</v>
      </c>
      <c r="NZ1098" s="391">
        <f>NY1098+NW1098+NU1098+NS1098+MJ1098+NH1098+NJ1098</f>
        <v>1.0854837703017544</v>
      </c>
    </row>
    <row r="1099" spans="1:390">
      <c r="A1099">
        <v>1082</v>
      </c>
      <c r="B1099" t="s">
        <v>468</v>
      </c>
      <c r="C1099" s="400" t="s">
        <v>4703</v>
      </c>
      <c r="D1099" s="28" t="s">
        <v>1269</v>
      </c>
      <c r="E1099" s="27" t="s">
        <v>1270</v>
      </c>
      <c r="F1099" t="s">
        <v>2182</v>
      </c>
      <c r="G1099" s="27" t="s">
        <v>90</v>
      </c>
      <c r="I1099" s="27" t="s">
        <v>94</v>
      </c>
      <c r="J1099" s="28">
        <v>29268</v>
      </c>
      <c r="K1099" s="27" t="s">
        <v>229</v>
      </c>
      <c r="L1099" s="371"/>
      <c r="M1099" s="369"/>
      <c r="N1099" s="369"/>
      <c r="O1099" s="369"/>
      <c r="P1099" s="369"/>
      <c r="Q1099" s="27" t="s">
        <v>1777</v>
      </c>
      <c r="R1099" s="27" t="s">
        <v>1778</v>
      </c>
      <c r="S1099" s="370">
        <v>44363</v>
      </c>
      <c r="T1099" s="27" t="s">
        <v>4555</v>
      </c>
      <c r="U1099" s="370">
        <v>44366</v>
      </c>
      <c r="V1099" s="369"/>
      <c r="W1099" s="27" t="s">
        <v>4598</v>
      </c>
      <c r="X1099" s="27"/>
      <c r="Y1099" s="27"/>
      <c r="Z1099" s="27"/>
      <c r="AA1099" s="27" t="s">
        <v>4704</v>
      </c>
      <c r="AB1099" s="369">
        <v>115.46</v>
      </c>
      <c r="AC1099" s="369">
        <f t="shared" ref="AC1099:AC1100" si="1006">AB1099-5</f>
        <v>110.46</v>
      </c>
      <c r="AD1099" s="390" t="s">
        <v>596</v>
      </c>
      <c r="AE1099" s="391">
        <f t="shared" si="976"/>
        <v>168.75124399999999</v>
      </c>
      <c r="AF1099" s="391">
        <f>DU1099+DZ1099+EE1099</f>
        <v>0</v>
      </c>
      <c r="AG1099" s="391">
        <f t="shared" si="977"/>
        <v>15.953991228070176</v>
      </c>
      <c r="AH1099" s="391">
        <f t="shared" si="978"/>
        <v>0</v>
      </c>
      <c r="AI1099" s="391">
        <f t="shared" si="979"/>
        <v>0</v>
      </c>
      <c r="AJ1099" s="391">
        <f t="shared" si="980"/>
        <v>0.31359649122807021</v>
      </c>
      <c r="AK1099" s="391">
        <f t="shared" si="981"/>
        <v>2.3053883570175437</v>
      </c>
      <c r="AL1099" s="391">
        <f t="shared" si="982"/>
        <v>20.287417541754383</v>
      </c>
      <c r="AM1099" s="391">
        <f t="shared" si="983"/>
        <v>2.841880341880342</v>
      </c>
      <c r="AN1099" s="391">
        <f t="shared" si="984"/>
        <v>2.3148148148148149</v>
      </c>
      <c r="AO1099" s="391"/>
      <c r="AP1099" s="391"/>
      <c r="AQ1099" s="391">
        <f t="shared" si="985"/>
        <v>212.76833277476533</v>
      </c>
      <c r="AR1099" s="391">
        <f t="shared" si="986"/>
        <v>0</v>
      </c>
      <c r="AS1099" s="391">
        <v>0</v>
      </c>
      <c r="AT1099" s="391">
        <v>0</v>
      </c>
      <c r="AU1099" s="391">
        <f>212.49*3%</f>
        <v>6.3746999999999998</v>
      </c>
      <c r="AV1099" s="391">
        <f t="shared" si="988"/>
        <v>219.14303277476532</v>
      </c>
      <c r="AW1099" s="369">
        <v>1.4650000000000001</v>
      </c>
      <c r="AX1099" s="369">
        <v>1.4610000000000001</v>
      </c>
      <c r="AY1099" s="392">
        <v>0.9</v>
      </c>
      <c r="AZ1099" s="391">
        <f t="shared" si="989"/>
        <v>3.6000000000000034E-3</v>
      </c>
      <c r="BA1099" s="391">
        <f t="shared" si="990"/>
        <v>168.75124399999999</v>
      </c>
      <c r="BB1099" s="391"/>
      <c r="BC1099" s="391"/>
      <c r="BD1099" s="391"/>
      <c r="BE1099" s="391"/>
      <c r="BF1099" s="391"/>
      <c r="BG1099" s="391"/>
      <c r="BH1099" s="391"/>
      <c r="BI1099" s="391"/>
      <c r="BJ1099" s="369"/>
      <c r="BK1099" s="369"/>
      <c r="BL1099" s="369"/>
      <c r="BM1099" s="369"/>
      <c r="BN1099" s="369"/>
      <c r="BO1099" s="369"/>
      <c r="BP1099" s="369"/>
      <c r="BQ1099" s="369"/>
      <c r="BR1099" s="369"/>
      <c r="BS1099" s="369"/>
      <c r="BT1099" s="369"/>
      <c r="BU1099" s="369"/>
      <c r="BV1099" s="369"/>
      <c r="BW1099" s="369"/>
      <c r="BX1099" s="369"/>
      <c r="BY1099" s="369"/>
      <c r="BZ1099" s="369"/>
      <c r="CA1099" s="369"/>
      <c r="CB1099" s="369"/>
      <c r="CC1099" s="369"/>
      <c r="CD1099" s="369"/>
      <c r="CE1099" s="369"/>
      <c r="CF1099" s="369"/>
      <c r="CG1099" s="369"/>
      <c r="CH1099" s="369"/>
      <c r="CI1099" s="369"/>
      <c r="CJ1099" s="369"/>
      <c r="CK1099" s="369"/>
      <c r="CL1099" s="369"/>
      <c r="CM1099" s="369"/>
      <c r="CN1099" s="369"/>
      <c r="CO1099" s="369"/>
      <c r="CP1099" s="369"/>
      <c r="CQ1099" s="369"/>
      <c r="CR1099" s="369"/>
      <c r="CS1099" s="369"/>
      <c r="CT1099" s="369"/>
      <c r="CU1099" s="369"/>
      <c r="CV1099" s="369"/>
      <c r="CW1099" s="369"/>
      <c r="CX1099" s="369"/>
      <c r="CY1099" s="369"/>
      <c r="CZ1099" s="369"/>
      <c r="DA1099" s="369"/>
      <c r="DB1099" s="369"/>
      <c r="DC1099" s="369"/>
      <c r="DD1099" s="369"/>
      <c r="DE1099" s="369"/>
      <c r="DF1099" s="369"/>
      <c r="DG1099" s="369"/>
      <c r="DH1099" s="369"/>
      <c r="DI1099" s="369"/>
      <c r="DJ1099" s="369"/>
      <c r="DK1099" s="369"/>
      <c r="DL1099" s="369"/>
      <c r="DM1099" s="369"/>
      <c r="DN1099" s="369"/>
      <c r="DO1099" s="369"/>
      <c r="DP1099" s="369"/>
      <c r="DQ1099" s="369"/>
      <c r="DR1099" s="369"/>
      <c r="DS1099" s="369"/>
      <c r="DT1099" s="369"/>
      <c r="DU1099" s="369"/>
      <c r="DV1099" s="369"/>
      <c r="DW1099" s="369"/>
      <c r="DX1099" s="369"/>
      <c r="DY1099" s="369"/>
      <c r="DZ1099" s="369"/>
      <c r="EA1099" s="369"/>
      <c r="EB1099" s="369"/>
      <c r="EC1099" s="369"/>
      <c r="ED1099" s="369"/>
      <c r="EE1099" s="369"/>
      <c r="EF1099" s="369">
        <v>650</v>
      </c>
      <c r="EG1099" s="369">
        <v>5720</v>
      </c>
      <c r="EH1099" s="369">
        <v>8</v>
      </c>
      <c r="EI1099" s="395">
        <v>0.95</v>
      </c>
      <c r="EJ1099" s="369">
        <v>1</v>
      </c>
      <c r="EK1099" s="369">
        <v>75</v>
      </c>
      <c r="EL1099" s="396">
        <f t="shared" si="991"/>
        <v>364.79999999999995</v>
      </c>
      <c r="EM1099" s="369"/>
      <c r="EN1099" s="369"/>
      <c r="EO1099" s="369"/>
      <c r="EP1099" s="369"/>
      <c r="EQ1099" s="369"/>
      <c r="ER1099" s="369"/>
      <c r="ES1099" s="369"/>
      <c r="ET1099" s="369"/>
      <c r="EU1099" s="391">
        <f t="shared" si="992"/>
        <v>15.67982456140351</v>
      </c>
      <c r="EV1099" s="369"/>
      <c r="EW1099" s="369"/>
      <c r="EX1099" s="369"/>
      <c r="EY1099" s="394">
        <f>32900/(400*12*25)</f>
        <v>0.27416666666666667</v>
      </c>
      <c r="EZ1099" s="369"/>
      <c r="FA1099" s="391">
        <f t="shared" si="993"/>
        <v>0.27416666666666667</v>
      </c>
      <c r="FB1099" s="369"/>
      <c r="FC1099" s="369"/>
      <c r="FD1099" s="369"/>
      <c r="FE1099" s="369"/>
      <c r="FF1099" s="369"/>
      <c r="FG1099" s="369"/>
      <c r="FH1099" s="369"/>
      <c r="FI1099" s="369"/>
      <c r="FJ1099" s="369"/>
      <c r="FK1099" s="369"/>
      <c r="FL1099" s="369"/>
      <c r="FM1099" s="369"/>
      <c r="FN1099" s="369"/>
      <c r="FO1099" s="369"/>
      <c r="FP1099" s="369"/>
      <c r="FQ1099" s="369"/>
      <c r="FR1099" s="369"/>
      <c r="FS1099" s="369"/>
      <c r="FT1099" s="369"/>
      <c r="FU1099" s="369"/>
      <c r="FV1099" s="369"/>
      <c r="FW1099" s="369"/>
      <c r="FX1099" s="369"/>
      <c r="FY1099" s="369"/>
      <c r="FZ1099" s="369"/>
      <c r="GA1099" s="369"/>
      <c r="GB1099" s="369"/>
      <c r="GC1099" s="369"/>
      <c r="GD1099" s="369"/>
      <c r="GE1099" s="369"/>
      <c r="GF1099" s="369"/>
      <c r="GG1099" s="369"/>
      <c r="GH1099" s="369"/>
      <c r="GI1099" s="369"/>
      <c r="GJ1099" s="369"/>
      <c r="GK1099" s="369"/>
      <c r="GL1099" s="369"/>
      <c r="GM1099" s="369"/>
      <c r="GN1099" s="369"/>
      <c r="GO1099" s="369"/>
      <c r="GP1099" s="392"/>
      <c r="GQ1099" s="369"/>
      <c r="GR1099" s="395">
        <v>0.11</v>
      </c>
      <c r="GS1099" s="391">
        <f t="shared" si="994"/>
        <v>20.287417541754383</v>
      </c>
      <c r="GT1099" s="393">
        <v>1.2500000000000001E-2</v>
      </c>
      <c r="GU1099" s="391">
        <f t="shared" si="995"/>
        <v>2.3053883570175437</v>
      </c>
      <c r="GV1099" s="395">
        <v>0.02</v>
      </c>
      <c r="GW1099" s="391">
        <f t="shared" si="996"/>
        <v>0.31359649122807021</v>
      </c>
      <c r="GX1099" s="391">
        <f t="shared" si="997"/>
        <v>22.906402389999997</v>
      </c>
      <c r="GY1099" s="369" t="s">
        <v>43</v>
      </c>
      <c r="GZ1099" s="369" t="s">
        <v>130</v>
      </c>
      <c r="HA1099" s="369">
        <v>1600</v>
      </c>
      <c r="HB1099" s="369">
        <v>800</v>
      </c>
      <c r="HC1099" s="369">
        <v>1800</v>
      </c>
      <c r="HD1099" s="369">
        <v>36</v>
      </c>
      <c r="HE1099" s="369">
        <v>650</v>
      </c>
      <c r="HF1099" s="369">
        <f t="shared" si="998"/>
        <v>19</v>
      </c>
      <c r="HG1099" s="369">
        <v>5</v>
      </c>
      <c r="HH1099" s="369">
        <f t="shared" si="999"/>
        <v>95</v>
      </c>
      <c r="HI1099" s="369">
        <v>17500</v>
      </c>
      <c r="HJ1099" s="369">
        <f t="shared" si="1000"/>
        <v>1662500</v>
      </c>
      <c r="HK1099" s="369"/>
      <c r="HL1099" s="369"/>
      <c r="HM1099" s="369">
        <v>3</v>
      </c>
      <c r="HN1099" s="369">
        <f t="shared" si="1001"/>
        <v>585000</v>
      </c>
      <c r="HO1099" s="391">
        <f t="shared" si="1002"/>
        <v>2.841880341880342</v>
      </c>
      <c r="HP1099" s="369"/>
      <c r="HQ1099" s="369"/>
      <c r="HR1099" s="369"/>
      <c r="HS1099" s="369"/>
      <c r="HT1099" s="369"/>
      <c r="HU1099" s="369"/>
      <c r="HV1099" s="391">
        <f t="shared" si="1003"/>
        <v>2.841880341880342</v>
      </c>
      <c r="HW1099" s="369"/>
      <c r="HX1099" s="369">
        <v>4200</v>
      </c>
      <c r="HY1099" s="369">
        <v>1900</v>
      </c>
      <c r="HZ1099" s="369">
        <v>1975</v>
      </c>
      <c r="IA1099" s="391">
        <f t="shared" si="1004"/>
        <v>2</v>
      </c>
      <c r="IB1099" s="391">
        <f t="shared" si="1004"/>
        <v>2</v>
      </c>
      <c r="IC1099" s="391">
        <f t="shared" si="1004"/>
        <v>1</v>
      </c>
      <c r="ID1099" s="395">
        <v>1</v>
      </c>
      <c r="IE1099" s="369">
        <f>PRODUCT(IA1099:ID1099)+2</f>
        <v>6</v>
      </c>
      <c r="IF1099" s="369">
        <v>500</v>
      </c>
      <c r="IG1099" s="391">
        <f t="shared" si="1005"/>
        <v>2.3148148148148149</v>
      </c>
    </row>
    <row r="1100" spans="1:390">
      <c r="A1100">
        <v>1083</v>
      </c>
      <c r="B1100" t="s">
        <v>468</v>
      </c>
      <c r="C1100" s="27" t="s">
        <v>4705</v>
      </c>
      <c r="D1100" s="28" t="s">
        <v>3075</v>
      </c>
      <c r="E1100" s="27" t="s">
        <v>3076</v>
      </c>
      <c r="F1100" t="s">
        <v>2182</v>
      </c>
      <c r="G1100" s="27" t="s">
        <v>90</v>
      </c>
      <c r="I1100" s="27" t="s">
        <v>94</v>
      </c>
      <c r="J1100" s="28">
        <v>29268</v>
      </c>
      <c r="K1100" s="27" t="s">
        <v>229</v>
      </c>
      <c r="L1100" s="371"/>
      <c r="M1100" s="369"/>
      <c r="N1100" s="369"/>
      <c r="O1100" s="369"/>
      <c r="P1100" s="369"/>
      <c r="Q1100" s="27" t="s">
        <v>4706</v>
      </c>
      <c r="R1100" s="27" t="s">
        <v>1836</v>
      </c>
      <c r="S1100" s="370">
        <v>45327</v>
      </c>
      <c r="T1100" s="27" t="s">
        <v>4555</v>
      </c>
      <c r="U1100" s="370">
        <v>45334</v>
      </c>
      <c r="V1100" s="369"/>
      <c r="W1100" s="390"/>
      <c r="X1100" s="390"/>
      <c r="Y1100" s="390"/>
      <c r="Z1100" s="390"/>
      <c r="AA1100" s="390"/>
      <c r="AB1100" s="369">
        <v>115.46</v>
      </c>
      <c r="AC1100" s="369">
        <f t="shared" si="1006"/>
        <v>110.46</v>
      </c>
      <c r="AD1100" s="390" t="s">
        <v>596</v>
      </c>
      <c r="AE1100" s="391">
        <f t="shared" si="976"/>
        <v>168.75124399999999</v>
      </c>
      <c r="AF1100" s="391">
        <f>DU1100+DZ1100+EE1100</f>
        <v>0</v>
      </c>
      <c r="AG1100" s="391">
        <f t="shared" si="977"/>
        <v>16.223991228070176</v>
      </c>
      <c r="AH1100" s="391">
        <f t="shared" si="978"/>
        <v>17.060000000000002</v>
      </c>
      <c r="AI1100" s="391">
        <f t="shared" si="979"/>
        <v>0</v>
      </c>
      <c r="AJ1100" s="391">
        <f t="shared" si="980"/>
        <v>0.31359649122807021</v>
      </c>
      <c r="AK1100" s="391">
        <f t="shared" si="981"/>
        <v>2.3053883570175437</v>
      </c>
      <c r="AL1100" s="391">
        <f t="shared" si="982"/>
        <v>20.287417541754383</v>
      </c>
      <c r="AM1100" s="391">
        <f t="shared" si="983"/>
        <v>2.841880341880342</v>
      </c>
      <c r="AN1100" s="391">
        <f t="shared" si="984"/>
        <v>2.3148148148148149</v>
      </c>
      <c r="AO1100" s="391"/>
      <c r="AP1100" s="391"/>
      <c r="AQ1100" s="391">
        <f t="shared" si="985"/>
        <v>230.09833277476534</v>
      </c>
      <c r="AR1100" s="391">
        <f t="shared" si="986"/>
        <v>0</v>
      </c>
      <c r="AS1100" s="391">
        <v>0</v>
      </c>
      <c r="AT1100" s="391">
        <v>0</v>
      </c>
      <c r="AU1100" s="391">
        <f>212.49*3%+(192.92-219.14)</f>
        <v>-19.845299999999998</v>
      </c>
      <c r="AV1100" s="391">
        <f t="shared" si="988"/>
        <v>210.25303277476533</v>
      </c>
      <c r="AW1100" s="369">
        <v>1.4650000000000001</v>
      </c>
      <c r="AX1100" s="369">
        <v>1.4610000000000001</v>
      </c>
      <c r="AY1100" s="392">
        <v>0.9</v>
      </c>
      <c r="AZ1100" s="391">
        <f t="shared" si="989"/>
        <v>3.6000000000000034E-3</v>
      </c>
      <c r="BA1100" s="391">
        <f t="shared" si="990"/>
        <v>168.75124399999999</v>
      </c>
      <c r="BB1100" s="391"/>
      <c r="BC1100" s="391"/>
      <c r="BD1100" s="391"/>
      <c r="BE1100" s="391"/>
      <c r="BF1100" s="391"/>
      <c r="BG1100" s="391"/>
      <c r="BH1100" s="391"/>
      <c r="BI1100" s="391"/>
      <c r="BJ1100" s="369"/>
      <c r="BK1100" s="369"/>
      <c r="BL1100" s="369"/>
      <c r="BM1100" s="369"/>
      <c r="BN1100" s="369"/>
      <c r="BO1100" s="369"/>
      <c r="BP1100" s="369"/>
      <c r="BQ1100" s="369"/>
      <c r="BR1100" s="369"/>
      <c r="BS1100" s="369"/>
      <c r="BT1100" s="369"/>
      <c r="BU1100" s="369"/>
      <c r="BV1100" s="369"/>
      <c r="BW1100" s="369"/>
      <c r="BX1100" s="369"/>
      <c r="BY1100" s="369"/>
      <c r="BZ1100" s="369"/>
      <c r="CA1100" s="369"/>
      <c r="CB1100" s="369"/>
      <c r="CC1100" s="369"/>
      <c r="CD1100" s="369"/>
      <c r="CE1100" s="369"/>
      <c r="CF1100" s="369"/>
      <c r="CG1100" s="369"/>
      <c r="CH1100" s="369"/>
      <c r="CI1100" s="369" t="s">
        <v>515</v>
      </c>
      <c r="CJ1100" s="369" t="s">
        <v>597</v>
      </c>
      <c r="CK1100" s="369">
        <v>1</v>
      </c>
      <c r="CL1100" s="369">
        <v>6.18</v>
      </c>
      <c r="CM1100" s="391">
        <f>CL1100*CK1100</f>
        <v>6.18</v>
      </c>
      <c r="CN1100" s="369" t="s">
        <v>513</v>
      </c>
      <c r="CO1100" s="369" t="s">
        <v>514</v>
      </c>
      <c r="CP1100" s="369">
        <v>1</v>
      </c>
      <c r="CQ1100" s="369">
        <v>10.88</v>
      </c>
      <c r="CR1100" s="369">
        <f>CQ1100*CP1100</f>
        <v>10.88</v>
      </c>
      <c r="CS1100" s="369"/>
      <c r="CT1100" s="369"/>
      <c r="CU1100" s="369"/>
      <c r="CV1100" s="369"/>
      <c r="CW1100" s="369"/>
      <c r="CX1100" s="369"/>
      <c r="CY1100" s="369"/>
      <c r="CZ1100" s="369"/>
      <c r="DA1100" s="369"/>
      <c r="DB1100" s="369"/>
      <c r="DC1100" s="369"/>
      <c r="DD1100" s="369"/>
      <c r="DE1100" s="369"/>
      <c r="DF1100" s="369"/>
      <c r="DG1100" s="369"/>
      <c r="DH1100" s="369"/>
      <c r="DI1100" s="369"/>
      <c r="DJ1100" s="369"/>
      <c r="DK1100" s="369"/>
      <c r="DL1100" s="369"/>
      <c r="DM1100" s="369">
        <f>DL1100+DG1100+DB1100+CW1100+CR1100+CM1100+CH1100</f>
        <v>17.060000000000002</v>
      </c>
      <c r="DN1100" s="369"/>
      <c r="DO1100" s="369"/>
      <c r="DP1100" s="391">
        <f>DO1100+DM1100</f>
        <v>17.060000000000002</v>
      </c>
      <c r="DQ1100" s="369"/>
      <c r="DR1100" s="369"/>
      <c r="DS1100" s="369"/>
      <c r="DT1100" s="369"/>
      <c r="DU1100" s="369"/>
      <c r="DV1100" s="369"/>
      <c r="DW1100" s="369"/>
      <c r="DX1100" s="369"/>
      <c r="DY1100" s="369"/>
      <c r="DZ1100" s="369"/>
      <c r="EA1100" s="369"/>
      <c r="EB1100" s="369"/>
      <c r="EC1100" s="369"/>
      <c r="ED1100" s="369"/>
      <c r="EE1100" s="369"/>
      <c r="EF1100" s="369">
        <v>650</v>
      </c>
      <c r="EG1100" s="369">
        <v>5720</v>
      </c>
      <c r="EH1100" s="369">
        <v>8</v>
      </c>
      <c r="EI1100" s="395">
        <v>0.95</v>
      </c>
      <c r="EJ1100" s="369">
        <v>1</v>
      </c>
      <c r="EK1100" s="369">
        <v>75</v>
      </c>
      <c r="EL1100" s="396">
        <f t="shared" si="991"/>
        <v>364.79999999999995</v>
      </c>
      <c r="EM1100" s="369"/>
      <c r="EN1100" s="369"/>
      <c r="EO1100" s="369"/>
      <c r="EP1100" s="369"/>
      <c r="EQ1100" s="369"/>
      <c r="ER1100" s="369"/>
      <c r="ES1100" s="369"/>
      <c r="ET1100" s="369"/>
      <c r="EU1100" s="391">
        <f t="shared" si="992"/>
        <v>15.67982456140351</v>
      </c>
      <c r="EV1100" s="369"/>
      <c r="EW1100" s="369"/>
      <c r="EX1100" s="369">
        <v>0.27</v>
      </c>
      <c r="EY1100" s="394">
        <f>32900/(400*12*25)</f>
        <v>0.27416666666666667</v>
      </c>
      <c r="EZ1100" s="369"/>
      <c r="FA1100" s="391">
        <f t="shared" si="993"/>
        <v>0.54416666666666669</v>
      </c>
      <c r="FB1100" s="369"/>
      <c r="FC1100" s="369"/>
      <c r="FD1100" s="369"/>
      <c r="FE1100" s="369"/>
      <c r="FF1100" s="369"/>
      <c r="FG1100" s="369"/>
      <c r="FH1100" s="369"/>
      <c r="FI1100" s="369"/>
      <c r="FJ1100" s="369"/>
      <c r="FK1100" s="369"/>
      <c r="FL1100" s="369"/>
      <c r="FM1100" s="369"/>
      <c r="FN1100" s="369"/>
      <c r="FO1100" s="369"/>
      <c r="FP1100" s="369"/>
      <c r="FQ1100" s="369"/>
      <c r="FR1100" s="369"/>
      <c r="FS1100" s="369"/>
      <c r="FT1100" s="369"/>
      <c r="FU1100" s="369"/>
      <c r="FV1100" s="369"/>
      <c r="FW1100" s="369"/>
      <c r="FX1100" s="369"/>
      <c r="FY1100" s="369"/>
      <c r="FZ1100" s="369"/>
      <c r="GA1100" s="369"/>
      <c r="GB1100" s="369"/>
      <c r="GC1100" s="369"/>
      <c r="GD1100" s="369"/>
      <c r="GE1100" s="369"/>
      <c r="GF1100" s="369"/>
      <c r="GG1100" s="369"/>
      <c r="GH1100" s="369"/>
      <c r="GI1100" s="369"/>
      <c r="GJ1100" s="369"/>
      <c r="GK1100" s="369"/>
      <c r="GL1100" s="369"/>
      <c r="GM1100" s="369"/>
      <c r="GN1100" s="369"/>
      <c r="GO1100" s="369"/>
      <c r="GP1100" s="392"/>
      <c r="GQ1100" s="369"/>
      <c r="GR1100" s="395">
        <v>0.11</v>
      </c>
      <c r="GS1100" s="391">
        <f t="shared" si="994"/>
        <v>20.287417541754383</v>
      </c>
      <c r="GT1100" s="393">
        <v>1.2500000000000001E-2</v>
      </c>
      <c r="GU1100" s="391">
        <f t="shared" si="995"/>
        <v>2.3053883570175437</v>
      </c>
      <c r="GV1100" s="395">
        <v>0.02</v>
      </c>
      <c r="GW1100" s="391">
        <f t="shared" si="996"/>
        <v>0.31359649122807021</v>
      </c>
      <c r="GX1100" s="391">
        <f t="shared" si="997"/>
        <v>22.906402389999997</v>
      </c>
      <c r="GY1100" s="369" t="s">
        <v>43</v>
      </c>
      <c r="GZ1100" s="369" t="s">
        <v>130</v>
      </c>
      <c r="HA1100" s="369">
        <v>1600</v>
      </c>
      <c r="HB1100" s="369">
        <v>800</v>
      </c>
      <c r="HC1100" s="369">
        <v>1800</v>
      </c>
      <c r="HD1100" s="369">
        <v>36</v>
      </c>
      <c r="HE1100" s="369">
        <v>650</v>
      </c>
      <c r="HF1100" s="369">
        <f t="shared" si="998"/>
        <v>19</v>
      </c>
      <c r="HG1100" s="369">
        <v>5</v>
      </c>
      <c r="HH1100" s="369">
        <f t="shared" si="999"/>
        <v>95</v>
      </c>
      <c r="HI1100" s="369">
        <v>17500</v>
      </c>
      <c r="HJ1100" s="369">
        <f t="shared" si="1000"/>
        <v>1662500</v>
      </c>
      <c r="HK1100" s="369"/>
      <c r="HL1100" s="369"/>
      <c r="HM1100" s="369">
        <v>3</v>
      </c>
      <c r="HN1100" s="369">
        <f t="shared" si="1001"/>
        <v>585000</v>
      </c>
      <c r="HO1100" s="391">
        <f t="shared" si="1002"/>
        <v>2.841880341880342</v>
      </c>
      <c r="HP1100" s="369"/>
      <c r="HQ1100" s="369"/>
      <c r="HR1100" s="369"/>
      <c r="HS1100" s="369"/>
      <c r="HT1100" s="369"/>
      <c r="HU1100" s="369"/>
      <c r="HV1100" s="391">
        <f t="shared" si="1003"/>
        <v>2.841880341880342</v>
      </c>
      <c r="HW1100" s="369"/>
      <c r="HX1100" s="369">
        <v>4200</v>
      </c>
      <c r="HY1100" s="369">
        <v>1900</v>
      </c>
      <c r="HZ1100" s="369">
        <v>1975</v>
      </c>
      <c r="IA1100" s="391">
        <f t="shared" si="1004"/>
        <v>2</v>
      </c>
      <c r="IB1100" s="391">
        <f t="shared" si="1004"/>
        <v>2</v>
      </c>
      <c r="IC1100" s="391">
        <f t="shared" si="1004"/>
        <v>1</v>
      </c>
      <c r="ID1100" s="395">
        <v>1</v>
      </c>
      <c r="IE1100" s="369">
        <f>PRODUCT(IA1100:ID1100)+2</f>
        <v>6</v>
      </c>
      <c r="IF1100" s="369">
        <v>500</v>
      </c>
      <c r="IG1100" s="391">
        <f t="shared" si="1005"/>
        <v>2.3148148148148149</v>
      </c>
    </row>
    <row r="1101" spans="1:390">
      <c r="A1101">
        <v>1084</v>
      </c>
      <c r="B1101" t="s">
        <v>468</v>
      </c>
      <c r="C1101" s="27" t="s">
        <v>4707</v>
      </c>
      <c r="D1101" s="28" t="s">
        <v>3077</v>
      </c>
      <c r="E1101" s="27" t="s">
        <v>3078</v>
      </c>
      <c r="F1101" t="s">
        <v>2192</v>
      </c>
      <c r="G1101" s="27" t="s">
        <v>90</v>
      </c>
      <c r="H1101" s="27" t="s">
        <v>4708</v>
      </c>
      <c r="I1101" s="27" t="s">
        <v>226</v>
      </c>
      <c r="J1101" s="28">
        <v>21425</v>
      </c>
      <c r="K1101" s="27" t="s">
        <v>406</v>
      </c>
    </row>
    <row r="1102" spans="1:390">
      <c r="A1102">
        <v>1085</v>
      </c>
      <c r="C1102" s="27" t="s">
        <v>567</v>
      </c>
      <c r="D1102" s="28" t="s">
        <v>3077</v>
      </c>
      <c r="E1102" s="27" t="s">
        <v>3078</v>
      </c>
      <c r="F1102" t="s">
        <v>2444</v>
      </c>
      <c r="G1102" s="27" t="s">
        <v>90</v>
      </c>
      <c r="I1102" s="27" t="s">
        <v>226</v>
      </c>
      <c r="J1102" s="28">
        <v>21020</v>
      </c>
      <c r="K1102" s="27" t="s">
        <v>403</v>
      </c>
      <c r="L1102" s="369"/>
      <c r="M1102" s="369"/>
      <c r="N1102" s="27" t="s">
        <v>1764</v>
      </c>
      <c r="O1102" s="27" t="s">
        <v>1763</v>
      </c>
      <c r="P1102" s="370">
        <v>43104</v>
      </c>
      <c r="Q1102" s="369"/>
      <c r="R1102" s="369"/>
      <c r="S1102" s="369"/>
      <c r="T1102" s="369"/>
      <c r="U1102" s="369"/>
      <c r="V1102" s="369"/>
      <c r="W1102" s="27" t="s">
        <v>1765</v>
      </c>
    </row>
    <row r="1103" spans="1:390">
      <c r="A1103">
        <v>1086</v>
      </c>
      <c r="C1103" s="27" t="s">
        <v>567</v>
      </c>
      <c r="D1103" s="28" t="s">
        <v>320</v>
      </c>
      <c r="E1103" s="27" t="s">
        <v>321</v>
      </c>
      <c r="F1103" t="s">
        <v>2444</v>
      </c>
      <c r="G1103" s="27" t="s">
        <v>90</v>
      </c>
      <c r="I1103" s="27" t="s">
        <v>121</v>
      </c>
      <c r="J1103" s="28">
        <v>21205</v>
      </c>
      <c r="K1103" s="27" t="s">
        <v>395</v>
      </c>
      <c r="L1103" s="369"/>
      <c r="M1103" s="369"/>
      <c r="N1103" s="369"/>
      <c r="O1103" s="27" t="s">
        <v>4538</v>
      </c>
      <c r="P1103" s="370">
        <v>44947</v>
      </c>
      <c r="Q1103" s="369"/>
      <c r="R1103" s="369"/>
      <c r="S1103" s="369"/>
      <c r="T1103" s="369"/>
      <c r="U1103" s="369"/>
      <c r="V1103" s="369"/>
      <c r="W1103" s="27" t="s">
        <v>1765</v>
      </c>
    </row>
    <row r="1104" spans="1:390">
      <c r="A1104">
        <v>1087</v>
      </c>
      <c r="C1104" s="27" t="s">
        <v>567</v>
      </c>
      <c r="D1104" s="28" t="s">
        <v>320</v>
      </c>
      <c r="E1104" s="27" t="s">
        <v>321</v>
      </c>
      <c r="F1104" t="s">
        <v>2444</v>
      </c>
      <c r="G1104" s="27" t="s">
        <v>90</v>
      </c>
      <c r="I1104" s="27" t="s">
        <v>226</v>
      </c>
      <c r="J1104" s="28">
        <v>21557</v>
      </c>
      <c r="K1104" s="27" t="s">
        <v>396</v>
      </c>
      <c r="L1104" s="369"/>
      <c r="M1104" s="369"/>
      <c r="N1104" s="369"/>
      <c r="O1104" s="27" t="s">
        <v>1763</v>
      </c>
      <c r="P1104" s="370">
        <v>43671</v>
      </c>
      <c r="Q1104" s="369"/>
      <c r="R1104" s="369"/>
      <c r="S1104" s="369"/>
      <c r="T1104" s="369"/>
      <c r="U1104" s="369"/>
      <c r="V1104" s="369"/>
      <c r="W1104" s="27" t="s">
        <v>1765</v>
      </c>
    </row>
    <row r="1105" spans="1:170">
      <c r="A1105">
        <v>1088</v>
      </c>
      <c r="C1105" s="27" t="s">
        <v>567</v>
      </c>
      <c r="D1105" s="28" t="s">
        <v>3079</v>
      </c>
      <c r="E1105" s="27" t="s">
        <v>3080</v>
      </c>
      <c r="F1105" t="s">
        <v>2444</v>
      </c>
      <c r="G1105" s="27" t="s">
        <v>90</v>
      </c>
      <c r="I1105" s="27" t="s">
        <v>121</v>
      </c>
      <c r="J1105" s="28">
        <v>21592</v>
      </c>
      <c r="K1105" s="27" t="s">
        <v>410</v>
      </c>
      <c r="L1105" s="369"/>
      <c r="M1105" s="369"/>
      <c r="N1105" s="369"/>
      <c r="O1105" s="370" t="s">
        <v>1766</v>
      </c>
      <c r="P1105" s="370">
        <v>43941</v>
      </c>
      <c r="Q1105" s="27"/>
      <c r="R1105" s="27"/>
      <c r="S1105" s="369"/>
      <c r="T1105" s="369"/>
      <c r="U1105" s="369"/>
      <c r="V1105" s="369"/>
      <c r="W1105" s="27" t="s">
        <v>1765</v>
      </c>
      <c r="X1105" s="162"/>
      <c r="Y1105" s="369"/>
      <c r="Z1105" s="162"/>
      <c r="AA1105" s="162"/>
      <c r="AB1105" s="162"/>
      <c r="AC1105" s="162"/>
      <c r="AD1105" s="162"/>
      <c r="AE1105" s="162"/>
      <c r="AF1105" s="162"/>
      <c r="AG1105" s="162"/>
      <c r="AH1105" s="162"/>
      <c r="AI1105" s="162"/>
      <c r="AJ1105" s="162"/>
      <c r="AK1105" s="162"/>
      <c r="AL1105" s="162"/>
      <c r="AM1105" s="162"/>
      <c r="AN1105" s="162"/>
      <c r="AO1105" s="162"/>
      <c r="AP1105" s="162"/>
      <c r="AQ1105" s="162"/>
      <c r="AR1105" s="162"/>
      <c r="AS1105" s="162"/>
      <c r="AT1105" s="162"/>
      <c r="AU1105" s="162"/>
      <c r="AV1105" s="162"/>
      <c r="AW1105" s="162"/>
      <c r="AX1105" s="162"/>
      <c r="AY1105" s="162"/>
      <c r="AZ1105" s="162"/>
      <c r="BA1105" s="162"/>
      <c r="BB1105" s="162"/>
      <c r="BC1105" s="162"/>
      <c r="BD1105" s="162"/>
      <c r="BE1105" s="162"/>
      <c r="BF1105" s="162"/>
      <c r="BG1105" s="162"/>
      <c r="BH1105" s="162"/>
      <c r="BI1105" s="162"/>
      <c r="BJ1105" s="162"/>
      <c r="BK1105" s="162"/>
      <c r="BL1105" s="162"/>
      <c r="BM1105" s="162"/>
      <c r="BN1105" s="162"/>
      <c r="BO1105" s="162"/>
      <c r="BP1105" s="162"/>
      <c r="BQ1105" s="162"/>
      <c r="BR1105" s="162"/>
      <c r="BS1105" s="162"/>
      <c r="BT1105" s="162"/>
      <c r="BU1105" s="162"/>
      <c r="BV1105" s="162"/>
      <c r="BW1105" s="162"/>
      <c r="BX1105" s="162"/>
      <c r="BY1105" s="162"/>
      <c r="BZ1105" s="162"/>
      <c r="CA1105" s="162"/>
      <c r="CB1105" s="162"/>
      <c r="CC1105" s="162"/>
      <c r="CD1105" s="162"/>
      <c r="CE1105" s="162"/>
      <c r="CF1105" s="162"/>
      <c r="CG1105" s="162"/>
      <c r="CH1105" s="162"/>
      <c r="CI1105" s="162"/>
      <c r="CJ1105" s="162"/>
      <c r="CK1105" s="162"/>
      <c r="CL1105" s="162"/>
      <c r="CM1105" s="162"/>
      <c r="CN1105" s="162"/>
      <c r="CO1105" s="162"/>
      <c r="CP1105" s="162"/>
      <c r="CQ1105" s="162"/>
      <c r="CR1105" s="162"/>
      <c r="CS1105" s="162"/>
      <c r="CT1105" s="162"/>
      <c r="CU1105" s="162"/>
      <c r="CV1105" s="162"/>
      <c r="CW1105" s="162"/>
      <c r="CX1105" s="162"/>
      <c r="CY1105" s="162"/>
      <c r="CZ1105" s="162"/>
      <c r="DA1105" s="162"/>
      <c r="DB1105" s="162"/>
      <c r="DC1105" s="162"/>
      <c r="DD1105" s="162"/>
      <c r="DE1105" s="162"/>
      <c r="DF1105" s="162"/>
      <c r="DG1105" s="162"/>
      <c r="DH1105" s="162"/>
      <c r="DI1105" s="162"/>
      <c r="DJ1105" s="162"/>
      <c r="DK1105" s="162"/>
      <c r="DL1105" s="162"/>
      <c r="DM1105" s="162"/>
      <c r="DN1105" s="162"/>
      <c r="DO1105" s="162"/>
      <c r="DP1105" s="162"/>
      <c r="DQ1105" s="162"/>
      <c r="DR1105" s="162"/>
      <c r="DS1105" s="162"/>
      <c r="DT1105" s="162"/>
      <c r="DU1105" s="162"/>
      <c r="DV1105" s="162"/>
      <c r="DW1105" s="162"/>
      <c r="DX1105" s="162"/>
      <c r="DY1105" s="405"/>
      <c r="DZ1105" s="162"/>
      <c r="EA1105" s="162"/>
      <c r="EB1105" s="162"/>
      <c r="EC1105" s="162"/>
      <c r="ED1105" s="162"/>
      <c r="EE1105" s="162"/>
      <c r="EF1105" s="162"/>
      <c r="EG1105" s="162"/>
      <c r="EH1105" s="162"/>
      <c r="EI1105" s="162"/>
      <c r="EJ1105" s="162"/>
      <c r="EK1105" s="162"/>
      <c r="EL1105" s="162"/>
      <c r="EM1105" s="162"/>
      <c r="EN1105" s="162"/>
      <c r="EO1105" s="162"/>
      <c r="EP1105" s="162"/>
      <c r="EQ1105" s="162"/>
      <c r="ER1105" s="162"/>
      <c r="ES1105" s="162"/>
      <c r="ET1105" s="162"/>
      <c r="EU1105" s="162"/>
      <c r="EV1105" s="162"/>
      <c r="EW1105" s="162"/>
      <c r="EX1105" s="162"/>
      <c r="EY1105" s="162"/>
      <c r="EZ1105" s="162"/>
      <c r="FA1105" s="162"/>
      <c r="FB1105" s="162"/>
      <c r="FC1105" s="162"/>
      <c r="FD1105" s="162"/>
      <c r="FE1105" s="162"/>
      <c r="FF1105" s="162"/>
      <c r="FG1105" s="162"/>
      <c r="FH1105" s="162"/>
      <c r="FI1105" s="162"/>
      <c r="FJ1105" s="162"/>
      <c r="FK1105" s="162"/>
      <c r="FL1105" s="162"/>
      <c r="FM1105" s="162"/>
      <c r="FN1105" s="162"/>
    </row>
    <row r="1106" spans="1:170">
      <c r="A1106">
        <v>1089</v>
      </c>
      <c r="B1106" t="s">
        <v>468</v>
      </c>
      <c r="C1106" s="27" t="s">
        <v>4709</v>
      </c>
      <c r="D1106" s="28" t="s">
        <v>3081</v>
      </c>
      <c r="E1106" s="27" t="s">
        <v>3082</v>
      </c>
      <c r="F1106" t="s">
        <v>4574</v>
      </c>
      <c r="G1106" s="27" t="s">
        <v>90</v>
      </c>
      <c r="H1106" s="27" t="s">
        <v>4710</v>
      </c>
      <c r="I1106" s="27" t="s">
        <v>226</v>
      </c>
      <c r="J1106" s="28">
        <v>21425</v>
      </c>
      <c r="K1106" s="27" t="s">
        <v>406</v>
      </c>
    </row>
    <row r="1107" spans="1:170">
      <c r="A1107">
        <v>1090</v>
      </c>
      <c r="B1107" t="s">
        <v>468</v>
      </c>
      <c r="C1107" s="27" t="s">
        <v>4712</v>
      </c>
      <c r="D1107" s="28" t="s">
        <v>3081</v>
      </c>
      <c r="E1107" s="27" t="s">
        <v>3082</v>
      </c>
      <c r="F1107" t="s">
        <v>4574</v>
      </c>
      <c r="G1107" s="27" t="s">
        <v>90</v>
      </c>
      <c r="H1107" t="s">
        <v>4711</v>
      </c>
      <c r="I1107" s="27" t="s">
        <v>226</v>
      </c>
      <c r="J1107" s="28">
        <v>21516</v>
      </c>
      <c r="K1107" s="27" t="s">
        <v>410</v>
      </c>
    </row>
    <row r="1108" spans="1:170">
      <c r="A1108">
        <v>1091</v>
      </c>
      <c r="C1108" s="27" t="s">
        <v>567</v>
      </c>
      <c r="D1108" s="28" t="s">
        <v>3083</v>
      </c>
      <c r="E1108" s="27" t="s">
        <v>3084</v>
      </c>
      <c r="F1108" t="s">
        <v>2444</v>
      </c>
      <c r="G1108" s="27" t="s">
        <v>90</v>
      </c>
      <c r="I1108" s="27" t="s">
        <v>121</v>
      </c>
      <c r="J1108" s="28">
        <v>21160</v>
      </c>
      <c r="K1108" s="27" t="s">
        <v>401</v>
      </c>
      <c r="L1108" s="369"/>
      <c r="M1108" s="369"/>
      <c r="N1108" s="27" t="s">
        <v>1764</v>
      </c>
      <c r="O1108" s="27" t="s">
        <v>1763</v>
      </c>
      <c r="P1108" s="370">
        <v>43105</v>
      </c>
      <c r="Q1108" s="369"/>
      <c r="R1108" s="369"/>
      <c r="S1108" s="369"/>
      <c r="T1108" s="369"/>
      <c r="U1108" s="369"/>
      <c r="V1108" s="369"/>
      <c r="W1108" s="27" t="s">
        <v>1765</v>
      </c>
    </row>
    <row r="1109" spans="1:170">
      <c r="A1109">
        <v>1092</v>
      </c>
      <c r="C1109" s="27" t="s">
        <v>567</v>
      </c>
      <c r="D1109" s="28" t="s">
        <v>3083</v>
      </c>
      <c r="E1109" s="27" t="s">
        <v>3084</v>
      </c>
      <c r="F1109" t="s">
        <v>2444</v>
      </c>
      <c r="G1109" s="27" t="s">
        <v>90</v>
      </c>
      <c r="I1109" s="27" t="s">
        <v>121</v>
      </c>
      <c r="J1109" s="28">
        <v>21020</v>
      </c>
      <c r="K1109" s="27" t="s">
        <v>403</v>
      </c>
      <c r="L1109" s="369"/>
      <c r="M1109" s="369"/>
      <c r="N1109" s="27" t="s">
        <v>1764</v>
      </c>
      <c r="O1109" s="27" t="s">
        <v>1763</v>
      </c>
      <c r="P1109" s="370">
        <v>43105</v>
      </c>
      <c r="Q1109" s="369"/>
      <c r="R1109" s="369"/>
      <c r="S1109" s="369"/>
      <c r="T1109" s="369"/>
      <c r="U1109" s="369"/>
      <c r="V1109" s="369"/>
      <c r="W1109" s="27" t="s">
        <v>1765</v>
      </c>
    </row>
    <row r="1110" spans="1:170">
      <c r="A1110">
        <v>1093</v>
      </c>
      <c r="C1110" s="27" t="s">
        <v>567</v>
      </c>
      <c r="D1110" s="28" t="s">
        <v>3083</v>
      </c>
      <c r="E1110" s="27" t="s">
        <v>3084</v>
      </c>
      <c r="F1110" t="s">
        <v>2444</v>
      </c>
      <c r="G1110" s="27" t="s">
        <v>90</v>
      </c>
      <c r="I1110" s="27" t="s">
        <v>94</v>
      </c>
      <c r="J1110" s="28">
        <v>21160</v>
      </c>
      <c r="K1110" s="27" t="s">
        <v>401</v>
      </c>
      <c r="L1110" s="369"/>
      <c r="M1110" s="369"/>
      <c r="N1110" s="27" t="s">
        <v>1889</v>
      </c>
      <c r="O1110" s="27" t="s">
        <v>1766</v>
      </c>
      <c r="P1110" s="370">
        <v>43752</v>
      </c>
      <c r="Q1110" s="369"/>
      <c r="R1110" s="369"/>
      <c r="S1110" s="369"/>
      <c r="T1110" s="369"/>
      <c r="U1110" s="369"/>
      <c r="V1110" s="369"/>
      <c r="W1110" s="27" t="s">
        <v>1765</v>
      </c>
    </row>
    <row r="1111" spans="1:170">
      <c r="A1111">
        <v>1094</v>
      </c>
      <c r="C1111" s="27" t="s">
        <v>567</v>
      </c>
      <c r="D1111" s="28" t="s">
        <v>3083</v>
      </c>
      <c r="E1111" s="27" t="s">
        <v>3084</v>
      </c>
      <c r="F1111" t="s">
        <v>2444</v>
      </c>
      <c r="G1111" s="27" t="s">
        <v>90</v>
      </c>
      <c r="I1111" s="27" t="s">
        <v>226</v>
      </c>
      <c r="J1111" s="28">
        <v>21020</v>
      </c>
      <c r="K1111" s="27" t="s">
        <v>403</v>
      </c>
      <c r="L1111" s="369"/>
      <c r="M1111" s="369"/>
      <c r="N1111" s="27" t="s">
        <v>1764</v>
      </c>
      <c r="O1111" s="27" t="s">
        <v>1763</v>
      </c>
      <c r="P1111" s="370">
        <v>43104</v>
      </c>
      <c r="Q1111" s="369"/>
      <c r="R1111" s="369"/>
      <c r="S1111" s="369"/>
      <c r="T1111" s="369"/>
      <c r="U1111" s="369"/>
      <c r="V1111" s="369"/>
      <c r="W1111" s="27" t="s">
        <v>1765</v>
      </c>
    </row>
    <row r="1112" spans="1:170">
      <c r="A1112">
        <v>1095</v>
      </c>
      <c r="C1112" s="27" t="s">
        <v>567</v>
      </c>
      <c r="D1112" s="28" t="s">
        <v>3085</v>
      </c>
      <c r="E1112" s="27" t="s">
        <v>92</v>
      </c>
      <c r="F1112" t="s">
        <v>2444</v>
      </c>
      <c r="G1112" s="27" t="s">
        <v>90</v>
      </c>
      <c r="I1112" s="27" t="s">
        <v>121</v>
      </c>
      <c r="J1112" s="28">
        <v>29010</v>
      </c>
      <c r="K1112" s="27" t="s">
        <v>229</v>
      </c>
      <c r="L1112" s="371"/>
      <c r="M1112" s="369"/>
      <c r="N1112" s="27" t="s">
        <v>1764</v>
      </c>
      <c r="O1112" s="27" t="s">
        <v>1763</v>
      </c>
      <c r="P1112" s="370">
        <v>43105</v>
      </c>
      <c r="Q1112" s="369"/>
      <c r="R1112" s="369"/>
      <c r="S1112" s="369"/>
      <c r="T1112" s="369"/>
      <c r="U1112" s="369"/>
      <c r="V1112" s="369"/>
      <c r="W1112" s="27" t="s">
        <v>1765</v>
      </c>
    </row>
    <row r="1113" spans="1:170">
      <c r="A1113">
        <v>1096</v>
      </c>
      <c r="C1113" s="27" t="s">
        <v>567</v>
      </c>
      <c r="D1113" s="28" t="s">
        <v>3085</v>
      </c>
      <c r="E1113" s="27" t="s">
        <v>92</v>
      </c>
      <c r="F1113" t="s">
        <v>2444</v>
      </c>
      <c r="G1113" s="27" t="s">
        <v>90</v>
      </c>
      <c r="I1113" s="27" t="s">
        <v>94</v>
      </c>
      <c r="J1113" s="28">
        <v>29268</v>
      </c>
      <c r="K1113" s="27" t="s">
        <v>229</v>
      </c>
      <c r="L1113" s="371"/>
      <c r="M1113" s="369"/>
      <c r="N1113" s="27" t="s">
        <v>2675</v>
      </c>
      <c r="O1113" s="27" t="s">
        <v>1766</v>
      </c>
      <c r="P1113" s="370">
        <v>43349</v>
      </c>
      <c r="Q1113" s="369"/>
      <c r="R1113" s="369"/>
      <c r="S1113" s="369"/>
      <c r="T1113" s="369"/>
      <c r="U1113" s="369"/>
      <c r="V1113" s="369"/>
      <c r="W1113" s="27" t="s">
        <v>1765</v>
      </c>
    </row>
    <row r="1114" spans="1:170">
      <c r="A1114">
        <v>1097</v>
      </c>
      <c r="C1114" s="27" t="s">
        <v>567</v>
      </c>
      <c r="D1114" s="28" t="s">
        <v>3085</v>
      </c>
      <c r="E1114" s="27" t="s">
        <v>92</v>
      </c>
      <c r="F1114" t="s">
        <v>2444</v>
      </c>
      <c r="G1114" s="27" t="s">
        <v>90</v>
      </c>
      <c r="I1114" s="27" t="s">
        <v>226</v>
      </c>
      <c r="J1114" s="28">
        <v>29164</v>
      </c>
      <c r="K1114" s="27" t="s">
        <v>229</v>
      </c>
      <c r="L1114" s="371"/>
      <c r="M1114" s="369"/>
      <c r="N1114" s="27" t="s">
        <v>1764</v>
      </c>
      <c r="O1114" s="27" t="s">
        <v>1763</v>
      </c>
      <c r="P1114" s="370">
        <v>43104</v>
      </c>
      <c r="Q1114" s="369"/>
      <c r="R1114" s="369"/>
      <c r="S1114" s="369"/>
      <c r="T1114" s="369"/>
      <c r="U1114" s="369"/>
      <c r="V1114" s="369"/>
      <c r="W1114" s="27" t="s">
        <v>1765</v>
      </c>
    </row>
    <row r="1115" spans="1:170" ht="25.5">
      <c r="A1115">
        <v>1098</v>
      </c>
      <c r="C1115" s="27" t="s">
        <v>4568</v>
      </c>
      <c r="D1115" s="28" t="s">
        <v>3086</v>
      </c>
      <c r="E1115" s="27" t="s">
        <v>3087</v>
      </c>
      <c r="F1115" t="s">
        <v>2444</v>
      </c>
      <c r="G1115" s="27" t="s">
        <v>90</v>
      </c>
      <c r="I1115" s="27" t="s">
        <v>121</v>
      </c>
      <c r="J1115" s="28">
        <v>20900</v>
      </c>
      <c r="K1115" s="27" t="s">
        <v>1246</v>
      </c>
      <c r="L1115" s="28"/>
      <c r="M1115" s="28"/>
      <c r="N1115" s="28" t="s">
        <v>4973</v>
      </c>
      <c r="O1115" s="28" t="s">
        <v>4538</v>
      </c>
      <c r="P1115" s="442">
        <v>44603</v>
      </c>
      <c r="Q1115" s="27"/>
      <c r="R1115" s="27"/>
      <c r="S1115" s="370"/>
      <c r="T1115" s="443"/>
      <c r="U1115" s="370"/>
      <c r="V1115" s="369"/>
      <c r="W1115" s="162" t="s">
        <v>4974</v>
      </c>
    </row>
    <row r="1116" spans="1:170">
      <c r="A1116">
        <v>1099</v>
      </c>
      <c r="C1116" s="27" t="s">
        <v>4568</v>
      </c>
      <c r="D1116" s="28" t="s">
        <v>3086</v>
      </c>
      <c r="E1116" s="27" t="s">
        <v>3087</v>
      </c>
      <c r="F1116" t="s">
        <v>2444</v>
      </c>
      <c r="G1116" s="27" t="s">
        <v>90</v>
      </c>
      <c r="I1116" s="27" t="s">
        <v>94</v>
      </c>
      <c r="J1116" s="28">
        <v>20900</v>
      </c>
      <c r="K1116" s="27" t="s">
        <v>1246</v>
      </c>
      <c r="L1116" s="28"/>
      <c r="M1116" s="28"/>
      <c r="N1116" s="28" t="s">
        <v>4975</v>
      </c>
      <c r="O1116" s="28" t="s">
        <v>1766</v>
      </c>
      <c r="P1116" s="442">
        <v>44607</v>
      </c>
      <c r="Q1116" s="27"/>
      <c r="R1116" s="27"/>
      <c r="S1116" s="370"/>
      <c r="T1116" s="443"/>
      <c r="U1116" s="370"/>
      <c r="V1116" s="369"/>
      <c r="W1116" s="27" t="s">
        <v>1765</v>
      </c>
    </row>
    <row r="1117" spans="1:170">
      <c r="A1117">
        <v>1100</v>
      </c>
      <c r="C1117" s="27" t="s">
        <v>4568</v>
      </c>
      <c r="D1117" s="28" t="s">
        <v>3086</v>
      </c>
      <c r="E1117" s="27" t="s">
        <v>3087</v>
      </c>
      <c r="F1117" t="s">
        <v>2444</v>
      </c>
      <c r="G1117" s="27" t="s">
        <v>90</v>
      </c>
      <c r="I1117" s="27" t="s">
        <v>226</v>
      </c>
      <c r="J1117" s="28">
        <v>21556</v>
      </c>
      <c r="K1117" s="27" t="s">
        <v>4508</v>
      </c>
      <c r="L1117" s="28"/>
      <c r="M1117" s="28"/>
      <c r="N1117" s="28" t="s">
        <v>4822</v>
      </c>
      <c r="O1117" s="28" t="s">
        <v>1766</v>
      </c>
      <c r="P1117" s="442">
        <v>43676</v>
      </c>
      <c r="Q1117" s="27"/>
      <c r="R1117" s="27"/>
      <c r="S1117" s="370"/>
      <c r="T1117" s="443"/>
      <c r="U1117" s="370"/>
      <c r="V1117" s="369"/>
      <c r="W1117" s="370" t="s">
        <v>1765</v>
      </c>
    </row>
    <row r="1118" spans="1:170">
      <c r="A1118">
        <v>1101</v>
      </c>
      <c r="C1118" t="s">
        <v>567</v>
      </c>
      <c r="D1118" s="28" t="s">
        <v>322</v>
      </c>
      <c r="E1118" s="27" t="s">
        <v>323</v>
      </c>
      <c r="F1118" t="s">
        <v>2444</v>
      </c>
      <c r="G1118" s="27" t="s">
        <v>90</v>
      </c>
      <c r="I1118" s="27" t="s">
        <v>121</v>
      </c>
      <c r="J1118" s="28">
        <v>21697</v>
      </c>
      <c r="K1118" s="27" t="s">
        <v>227</v>
      </c>
      <c r="L1118" s="371"/>
      <c r="M1118" s="369"/>
      <c r="N1118" s="27" t="s">
        <v>1764</v>
      </c>
      <c r="O1118" s="27" t="s">
        <v>1763</v>
      </c>
      <c r="P1118" s="370">
        <v>43104</v>
      </c>
      <c r="Q1118" s="369"/>
      <c r="R1118" s="369"/>
      <c r="S1118" s="369"/>
      <c r="T1118" s="369"/>
      <c r="U1118" s="369"/>
      <c r="V1118" s="369"/>
      <c r="W1118" s="27" t="s">
        <v>1765</v>
      </c>
    </row>
    <row r="1119" spans="1:170">
      <c r="A1119">
        <v>1102</v>
      </c>
      <c r="C1119" t="s">
        <v>567</v>
      </c>
      <c r="D1119" s="28" t="s">
        <v>322</v>
      </c>
      <c r="E1119" s="27" t="s">
        <v>323</v>
      </c>
      <c r="F1119" t="s">
        <v>2444</v>
      </c>
      <c r="G1119" s="27" t="s">
        <v>90</v>
      </c>
      <c r="I1119" s="27" t="s">
        <v>94</v>
      </c>
      <c r="J1119" s="28">
        <v>21697</v>
      </c>
      <c r="K1119" s="27" t="s">
        <v>227</v>
      </c>
      <c r="L1119" s="371"/>
      <c r="M1119" s="369"/>
      <c r="N1119" s="27" t="s">
        <v>4568</v>
      </c>
      <c r="O1119" s="27" t="s">
        <v>1763</v>
      </c>
      <c r="P1119" s="370">
        <v>43672</v>
      </c>
      <c r="Q1119" s="369"/>
      <c r="R1119" s="369"/>
      <c r="S1119" s="369"/>
      <c r="T1119" s="369"/>
      <c r="U1119" s="369"/>
      <c r="V1119" s="369"/>
      <c r="W1119" s="27" t="s">
        <v>1765</v>
      </c>
    </row>
    <row r="1120" spans="1:170">
      <c r="A1120">
        <v>1103</v>
      </c>
      <c r="C1120" t="s">
        <v>567</v>
      </c>
      <c r="D1120" s="28" t="s">
        <v>3088</v>
      </c>
      <c r="E1120" s="27" t="s">
        <v>3089</v>
      </c>
      <c r="F1120" t="s">
        <v>2444</v>
      </c>
      <c r="G1120" s="27" t="s">
        <v>90</v>
      </c>
      <c r="I1120" s="27" t="s">
        <v>121</v>
      </c>
      <c r="J1120" s="28">
        <v>21758</v>
      </c>
      <c r="K1120" s="27" t="s">
        <v>398</v>
      </c>
      <c r="L1120" s="371"/>
      <c r="M1120" s="369"/>
      <c r="N1120" s="27" t="s">
        <v>4568</v>
      </c>
      <c r="O1120" s="27" t="s">
        <v>4713</v>
      </c>
      <c r="P1120" s="370">
        <v>44932</v>
      </c>
      <c r="Q1120" s="369"/>
      <c r="R1120" s="369"/>
      <c r="S1120" s="369"/>
      <c r="T1120" s="369"/>
      <c r="U1120" s="369"/>
      <c r="V1120" s="369"/>
      <c r="W1120" s="27" t="s">
        <v>1765</v>
      </c>
    </row>
    <row r="1121" spans="1:23">
      <c r="A1121">
        <v>1104</v>
      </c>
      <c r="C1121" t="s">
        <v>567</v>
      </c>
      <c r="D1121" s="28" t="s">
        <v>3088</v>
      </c>
      <c r="E1121" s="27" t="s">
        <v>3089</v>
      </c>
      <c r="F1121" t="s">
        <v>2444</v>
      </c>
      <c r="G1121" s="27" t="s">
        <v>90</v>
      </c>
      <c r="I1121" s="27" t="s">
        <v>226</v>
      </c>
      <c r="J1121" s="28">
        <v>21085</v>
      </c>
      <c r="K1121" s="27" t="s">
        <v>399</v>
      </c>
      <c r="L1121" s="371"/>
      <c r="M1121" s="369"/>
      <c r="N1121" s="27" t="s">
        <v>1764</v>
      </c>
      <c r="O1121" s="27" t="s">
        <v>1763</v>
      </c>
      <c r="P1121" s="370">
        <v>43104</v>
      </c>
      <c r="Q1121" s="369"/>
      <c r="R1121" s="369"/>
      <c r="S1121" s="369"/>
      <c r="T1121" s="369"/>
      <c r="U1121" s="369"/>
      <c r="V1121" s="369"/>
      <c r="W1121" s="27" t="s">
        <v>1765</v>
      </c>
    </row>
    <row r="1122" spans="1:23">
      <c r="A1122">
        <v>1105</v>
      </c>
      <c r="C1122" t="s">
        <v>567</v>
      </c>
      <c r="D1122" s="28" t="s">
        <v>3090</v>
      </c>
      <c r="E1122" s="27" t="s">
        <v>3091</v>
      </c>
      <c r="F1122" t="s">
        <v>2444</v>
      </c>
      <c r="G1122" s="27" t="s">
        <v>90</v>
      </c>
      <c r="I1122" s="27" t="s">
        <v>121</v>
      </c>
      <c r="J1122" s="28">
        <v>21758</v>
      </c>
      <c r="K1122" s="27" t="s">
        <v>398</v>
      </c>
      <c r="L1122" s="371"/>
      <c r="M1122" s="369"/>
      <c r="N1122" s="27" t="s">
        <v>4568</v>
      </c>
      <c r="O1122" s="27" t="s">
        <v>4713</v>
      </c>
      <c r="P1122" s="370">
        <v>44932</v>
      </c>
      <c r="Q1122" s="369"/>
      <c r="R1122" s="369"/>
      <c r="S1122" s="369"/>
      <c r="T1122" s="369"/>
      <c r="U1122" s="369"/>
      <c r="V1122" s="369"/>
      <c r="W1122" s="27" t="s">
        <v>1765</v>
      </c>
    </row>
    <row r="1123" spans="1:23">
      <c r="A1123">
        <v>1106</v>
      </c>
      <c r="C1123" t="s">
        <v>567</v>
      </c>
      <c r="D1123" s="28" t="s">
        <v>3090</v>
      </c>
      <c r="E1123" s="27" t="s">
        <v>3091</v>
      </c>
      <c r="F1123" t="s">
        <v>2444</v>
      </c>
      <c r="G1123" s="27" t="s">
        <v>90</v>
      </c>
      <c r="I1123" s="27" t="s">
        <v>94</v>
      </c>
      <c r="J1123" s="28">
        <v>21085</v>
      </c>
      <c r="K1123" s="27" t="s">
        <v>399</v>
      </c>
      <c r="L1123" s="371"/>
      <c r="M1123" s="369"/>
      <c r="N1123" s="27" t="s">
        <v>4568</v>
      </c>
      <c r="O1123" s="27" t="s">
        <v>4714</v>
      </c>
      <c r="P1123" s="370">
        <v>43672</v>
      </c>
      <c r="Q1123" s="369"/>
      <c r="R1123" s="369"/>
      <c r="S1123" s="369"/>
      <c r="T1123" s="369"/>
      <c r="U1123" s="369"/>
      <c r="V1123" s="369"/>
      <c r="W1123" s="27" t="s">
        <v>1765</v>
      </c>
    </row>
    <row r="1124" spans="1:23">
      <c r="A1124">
        <v>1107</v>
      </c>
      <c r="C1124" t="s">
        <v>567</v>
      </c>
      <c r="D1124" s="28" t="s">
        <v>3090</v>
      </c>
      <c r="E1124" s="27" t="s">
        <v>3091</v>
      </c>
      <c r="F1124" t="s">
        <v>2444</v>
      </c>
      <c r="G1124" s="27" t="s">
        <v>90</v>
      </c>
      <c r="I1124" s="27" t="s">
        <v>226</v>
      </c>
      <c r="J1124" s="28">
        <v>21085</v>
      </c>
      <c r="K1124" s="27" t="s">
        <v>399</v>
      </c>
      <c r="L1124" s="371"/>
      <c r="M1124" s="369"/>
      <c r="N1124" s="27" t="s">
        <v>1764</v>
      </c>
      <c r="O1124" s="27" t="s">
        <v>1763</v>
      </c>
      <c r="P1124" s="370">
        <v>43104</v>
      </c>
      <c r="Q1124" s="369"/>
      <c r="R1124" s="369"/>
      <c r="S1124" s="369"/>
      <c r="T1124" s="369"/>
      <c r="U1124" s="369"/>
      <c r="V1124" s="369"/>
      <c r="W1124" s="27" t="s">
        <v>1765</v>
      </c>
    </row>
    <row r="1125" spans="1:23">
      <c r="A1125">
        <v>1108</v>
      </c>
      <c r="C1125" t="s">
        <v>567</v>
      </c>
      <c r="D1125" s="28" t="s">
        <v>3092</v>
      </c>
      <c r="E1125" s="27" t="s">
        <v>3093</v>
      </c>
      <c r="F1125" t="s">
        <v>2444</v>
      </c>
      <c r="G1125" s="27" t="s">
        <v>90</v>
      </c>
      <c r="I1125" s="27" t="s">
        <v>226</v>
      </c>
      <c r="J1125" s="28">
        <v>20205</v>
      </c>
      <c r="K1125" s="27" t="s">
        <v>1245</v>
      </c>
      <c r="L1125" s="371"/>
      <c r="M1125" s="369"/>
      <c r="N1125" s="27" t="s">
        <v>1764</v>
      </c>
      <c r="O1125" s="27" t="s">
        <v>1763</v>
      </c>
      <c r="P1125" s="370">
        <v>43104</v>
      </c>
    </row>
    <row r="1126" spans="1:23">
      <c r="A1126">
        <v>1109</v>
      </c>
      <c r="C1126" t="s">
        <v>567</v>
      </c>
      <c r="D1126" s="28" t="s">
        <v>3094</v>
      </c>
      <c r="E1126" s="27" t="s">
        <v>3095</v>
      </c>
      <c r="F1126" t="s">
        <v>2444</v>
      </c>
      <c r="G1126" s="27" t="s">
        <v>90</v>
      </c>
      <c r="I1126" s="27" t="s">
        <v>226</v>
      </c>
      <c r="J1126" s="28">
        <v>21557</v>
      </c>
      <c r="K1126" s="27" t="s">
        <v>396</v>
      </c>
    </row>
    <row r="1127" spans="1:23">
      <c r="A1127">
        <v>1110</v>
      </c>
      <c r="B1127" t="s">
        <v>468</v>
      </c>
      <c r="C1127" s="369" t="s">
        <v>1869</v>
      </c>
      <c r="D1127" s="28" t="s">
        <v>324</v>
      </c>
      <c r="E1127" s="27" t="s">
        <v>325</v>
      </c>
      <c r="F1127" t="s">
        <v>2192</v>
      </c>
      <c r="G1127" s="27" t="s">
        <v>90</v>
      </c>
      <c r="H1127" t="s">
        <v>4716</v>
      </c>
      <c r="I1127" s="27" t="s">
        <v>121</v>
      </c>
      <c r="J1127" s="28">
        <v>21761</v>
      </c>
      <c r="K1127" s="27" t="s">
        <v>400</v>
      </c>
    </row>
    <row r="1128" spans="1:23">
      <c r="A1128">
        <v>1111</v>
      </c>
      <c r="C1128" t="s">
        <v>567</v>
      </c>
      <c r="D1128" s="28" t="s">
        <v>324</v>
      </c>
      <c r="E1128" s="27" t="s">
        <v>325</v>
      </c>
      <c r="F1128" t="s">
        <v>2444</v>
      </c>
      <c r="G1128" s="27" t="s">
        <v>90</v>
      </c>
      <c r="I1128" s="27" t="s">
        <v>121</v>
      </c>
      <c r="J1128" s="28">
        <v>21160</v>
      </c>
      <c r="K1128" s="27" t="s">
        <v>401</v>
      </c>
      <c r="L1128" s="369"/>
      <c r="M1128" s="369"/>
      <c r="N1128" s="27" t="s">
        <v>1764</v>
      </c>
      <c r="O1128" s="27" t="s">
        <v>1763</v>
      </c>
      <c r="P1128" s="370">
        <v>43105</v>
      </c>
      <c r="Q1128" s="369"/>
      <c r="R1128" s="369"/>
      <c r="S1128" s="369"/>
      <c r="T1128" s="369"/>
      <c r="U1128" s="369"/>
      <c r="V1128" s="369"/>
      <c r="W1128" s="27" t="s">
        <v>1765</v>
      </c>
    </row>
    <row r="1129" spans="1:23">
      <c r="A1129">
        <v>1112</v>
      </c>
      <c r="C1129" t="s">
        <v>567</v>
      </c>
      <c r="D1129" s="28" t="s">
        <v>324</v>
      </c>
      <c r="E1129" s="27" t="s">
        <v>325</v>
      </c>
      <c r="F1129" t="s">
        <v>2444</v>
      </c>
      <c r="G1129" s="27" t="s">
        <v>90</v>
      </c>
      <c r="I1129" s="27" t="s">
        <v>121</v>
      </c>
      <c r="J1129" s="28">
        <v>20945</v>
      </c>
      <c r="K1129" s="27" t="s">
        <v>402</v>
      </c>
      <c r="L1129" s="369"/>
      <c r="M1129" s="369"/>
      <c r="N1129" s="27" t="s">
        <v>1764</v>
      </c>
      <c r="O1129" s="27" t="s">
        <v>1763</v>
      </c>
      <c r="P1129" s="370">
        <v>43104</v>
      </c>
      <c r="Q1129" s="369"/>
      <c r="R1129" s="369"/>
      <c r="S1129" s="369"/>
      <c r="T1129" s="369"/>
      <c r="U1129" s="369"/>
      <c r="V1129" s="369"/>
      <c r="W1129" s="27" t="s">
        <v>1765</v>
      </c>
    </row>
    <row r="1130" spans="1:23">
      <c r="A1130">
        <v>1113</v>
      </c>
      <c r="C1130" t="s">
        <v>567</v>
      </c>
      <c r="D1130" s="28" t="s">
        <v>324</v>
      </c>
      <c r="E1130" s="27" t="s">
        <v>325</v>
      </c>
      <c r="F1130" t="s">
        <v>2444</v>
      </c>
      <c r="G1130" s="27" t="s">
        <v>90</v>
      </c>
      <c r="I1130" s="27" t="s">
        <v>94</v>
      </c>
      <c r="J1130" s="28">
        <v>20945</v>
      </c>
      <c r="K1130" s="27" t="s">
        <v>402</v>
      </c>
      <c r="L1130" s="369"/>
      <c r="M1130" s="369"/>
      <c r="N1130" s="27" t="s">
        <v>1889</v>
      </c>
      <c r="O1130" s="27" t="s">
        <v>1766</v>
      </c>
      <c r="P1130" s="370">
        <v>43752</v>
      </c>
      <c r="Q1130" s="369"/>
      <c r="R1130" s="369"/>
      <c r="S1130" s="369"/>
      <c r="T1130" s="369"/>
      <c r="U1130" s="369"/>
      <c r="V1130" s="369"/>
      <c r="W1130" s="27" t="s">
        <v>1765</v>
      </c>
    </row>
    <row r="1131" spans="1:23">
      <c r="A1131">
        <v>1114</v>
      </c>
      <c r="C1131" t="s">
        <v>567</v>
      </c>
      <c r="D1131" s="28" t="s">
        <v>324</v>
      </c>
      <c r="E1131" s="27" t="s">
        <v>325</v>
      </c>
      <c r="F1131" t="s">
        <v>2444</v>
      </c>
      <c r="G1131" s="27" t="s">
        <v>90</v>
      </c>
      <c r="I1131" s="27" t="s">
        <v>226</v>
      </c>
      <c r="J1131" s="28">
        <v>21595</v>
      </c>
      <c r="K1131" s="27" t="s">
        <v>403</v>
      </c>
      <c r="L1131" s="369"/>
      <c r="M1131" s="369"/>
      <c r="N1131" s="27" t="s">
        <v>2184</v>
      </c>
      <c r="O1131" s="27" t="s">
        <v>1766</v>
      </c>
      <c r="P1131" s="370">
        <v>44293</v>
      </c>
      <c r="Q1131" s="369"/>
      <c r="R1131" s="369"/>
      <c r="S1131" s="369"/>
      <c r="T1131" s="369"/>
      <c r="U1131" s="369"/>
      <c r="V1131" s="369"/>
      <c r="W1131" s="27" t="s">
        <v>4685</v>
      </c>
    </row>
    <row r="1132" spans="1:23">
      <c r="A1132">
        <v>1115</v>
      </c>
      <c r="B1132" t="s">
        <v>468</v>
      </c>
      <c r="C1132" s="27" t="s">
        <v>1869</v>
      </c>
      <c r="D1132" s="28" t="s">
        <v>324</v>
      </c>
      <c r="E1132" s="27" t="s">
        <v>325</v>
      </c>
      <c r="F1132" t="s">
        <v>2192</v>
      </c>
      <c r="G1132" s="27" t="s">
        <v>90</v>
      </c>
      <c r="H1132" s="27" t="s">
        <v>4715</v>
      </c>
      <c r="I1132" s="27" t="s">
        <v>226</v>
      </c>
      <c r="J1132" s="28">
        <v>21761</v>
      </c>
      <c r="K1132" s="27" t="s">
        <v>400</v>
      </c>
    </row>
    <row r="1133" spans="1:23">
      <c r="A1133">
        <v>1116</v>
      </c>
      <c r="C1133" t="s">
        <v>567</v>
      </c>
      <c r="D1133" s="28" t="s">
        <v>3096</v>
      </c>
      <c r="E1133" s="27" t="s">
        <v>3097</v>
      </c>
      <c r="F1133" t="s">
        <v>2444</v>
      </c>
      <c r="G1133" s="27" t="s">
        <v>90</v>
      </c>
      <c r="I1133" s="27" t="s">
        <v>226</v>
      </c>
      <c r="J1133" s="28">
        <v>21557</v>
      </c>
      <c r="K1133" s="27" t="s">
        <v>396</v>
      </c>
      <c r="L1133" s="369"/>
      <c r="M1133" s="369"/>
      <c r="N1133" s="369"/>
      <c r="O1133" s="27" t="s">
        <v>1763</v>
      </c>
      <c r="P1133" s="370">
        <v>43671</v>
      </c>
      <c r="Q1133" s="369"/>
      <c r="R1133" s="369"/>
      <c r="S1133" s="369"/>
      <c r="T1133" s="369"/>
      <c r="U1133" s="369"/>
      <c r="V1133" s="369"/>
      <c r="W1133" s="27" t="s">
        <v>1765</v>
      </c>
    </row>
    <row r="1134" spans="1:23">
      <c r="A1134">
        <v>1117</v>
      </c>
      <c r="C1134" t="s">
        <v>567</v>
      </c>
      <c r="D1134" s="28" t="s">
        <v>3098</v>
      </c>
      <c r="E1134" s="27" t="s">
        <v>3099</v>
      </c>
      <c r="F1134" t="s">
        <v>2444</v>
      </c>
      <c r="G1134" s="27" t="s">
        <v>90</v>
      </c>
      <c r="I1134" s="27" t="s">
        <v>226</v>
      </c>
      <c r="J1134" s="28">
        <v>21020</v>
      </c>
      <c r="K1134" s="27" t="s">
        <v>403</v>
      </c>
      <c r="L1134" s="369"/>
      <c r="M1134" s="369"/>
      <c r="N1134" s="27" t="s">
        <v>1764</v>
      </c>
      <c r="O1134" s="27" t="s">
        <v>1763</v>
      </c>
      <c r="P1134" s="370">
        <v>43104</v>
      </c>
      <c r="Q1134" s="369"/>
      <c r="R1134" s="369"/>
      <c r="S1134" s="369"/>
      <c r="T1134" s="369"/>
      <c r="U1134" s="369"/>
      <c r="V1134" s="369"/>
      <c r="W1134" s="27" t="s">
        <v>1765</v>
      </c>
    </row>
    <row r="1135" spans="1:23">
      <c r="A1135">
        <v>1118</v>
      </c>
      <c r="B1135" t="s">
        <v>468</v>
      </c>
      <c r="C1135" s="27" t="s">
        <v>4717</v>
      </c>
      <c r="D1135" s="28" t="s">
        <v>3098</v>
      </c>
      <c r="E1135" s="27" t="s">
        <v>3099</v>
      </c>
      <c r="F1135" t="s">
        <v>2192</v>
      </c>
      <c r="G1135" s="27" t="s">
        <v>90</v>
      </c>
      <c r="I1135" s="27" t="s">
        <v>226</v>
      </c>
      <c r="J1135" s="28">
        <v>21628</v>
      </c>
      <c r="K1135" s="27" t="s">
        <v>4502</v>
      </c>
    </row>
    <row r="1136" spans="1:23">
      <c r="A1136">
        <v>1119</v>
      </c>
      <c r="C1136" s="27" t="s">
        <v>567</v>
      </c>
      <c r="D1136" s="28" t="s">
        <v>3100</v>
      </c>
      <c r="E1136" s="27" t="s">
        <v>3101</v>
      </c>
      <c r="F1136" t="s">
        <v>2444</v>
      </c>
      <c r="G1136" s="27" t="s">
        <v>90</v>
      </c>
      <c r="I1136" s="27" t="s">
        <v>226</v>
      </c>
      <c r="J1136" s="28">
        <v>21820</v>
      </c>
      <c r="K1136" s="27" t="s">
        <v>408</v>
      </c>
      <c r="L1136" s="450"/>
      <c r="M1136" s="28"/>
      <c r="N1136" s="28" t="s">
        <v>4568</v>
      </c>
      <c r="O1136" s="28" t="s">
        <v>1791</v>
      </c>
      <c r="P1136" s="370">
        <v>44516</v>
      </c>
      <c r="Q1136" s="370"/>
      <c r="R1136" s="370"/>
      <c r="S1136" s="370"/>
      <c r="T1136" s="370"/>
      <c r="U1136" s="370"/>
      <c r="V1136"/>
      <c r="W1136" s="444" t="s">
        <v>4976</v>
      </c>
    </row>
    <row r="1137" spans="1:24">
      <c r="A1137">
        <v>1120</v>
      </c>
      <c r="B1137" t="s">
        <v>468</v>
      </c>
      <c r="C1137" s="370" t="s">
        <v>5004</v>
      </c>
      <c r="D1137" s="28" t="s">
        <v>3102</v>
      </c>
      <c r="E1137" s="27" t="s">
        <v>353</v>
      </c>
      <c r="F1137" t="s">
        <v>4834</v>
      </c>
      <c r="G1137" s="27" t="s">
        <v>90</v>
      </c>
      <c r="H1137" t="s">
        <v>4977</v>
      </c>
      <c r="I1137" s="27" t="s">
        <v>226</v>
      </c>
      <c r="J1137" s="28">
        <v>21820</v>
      </c>
      <c r="K1137" s="27" t="s">
        <v>408</v>
      </c>
    </row>
    <row r="1138" spans="1:24">
      <c r="A1138">
        <v>1121</v>
      </c>
      <c r="C1138" s="27" t="s">
        <v>567</v>
      </c>
      <c r="D1138" s="28" t="s">
        <v>3103</v>
      </c>
      <c r="E1138" s="27" t="s">
        <v>353</v>
      </c>
      <c r="F1138" t="s">
        <v>2444</v>
      </c>
      <c r="G1138" s="27" t="s">
        <v>90</v>
      </c>
      <c r="I1138" s="27" t="s">
        <v>226</v>
      </c>
      <c r="J1138" s="28">
        <v>21820</v>
      </c>
      <c r="K1138" s="27" t="s">
        <v>408</v>
      </c>
      <c r="L1138" s="450">
        <v>29163</v>
      </c>
      <c r="M1138" s="28" t="s">
        <v>226</v>
      </c>
      <c r="N1138" s="28" t="s">
        <v>4568</v>
      </c>
      <c r="O1138" s="28" t="s">
        <v>1791</v>
      </c>
      <c r="P1138" s="370">
        <v>44516</v>
      </c>
      <c r="Q1138" s="370" t="s">
        <v>4568</v>
      </c>
      <c r="R1138" s="370" t="s">
        <v>4555</v>
      </c>
      <c r="S1138" s="370">
        <v>44180</v>
      </c>
      <c r="T1138" s="370" t="s">
        <v>1035</v>
      </c>
      <c r="U1138" s="370" t="s">
        <v>4832</v>
      </c>
      <c r="V1138"/>
      <c r="W1138" s="370" t="s">
        <v>4685</v>
      </c>
    </row>
    <row r="1139" spans="1:24">
      <c r="A1139">
        <v>1122</v>
      </c>
      <c r="C1139" s="27" t="s">
        <v>567</v>
      </c>
      <c r="D1139" s="28" t="s">
        <v>3104</v>
      </c>
      <c r="E1139" s="27" t="s">
        <v>3105</v>
      </c>
      <c r="F1139" t="s">
        <v>2444</v>
      </c>
      <c r="G1139" s="27" t="s">
        <v>90</v>
      </c>
      <c r="I1139" s="27" t="s">
        <v>226</v>
      </c>
      <c r="J1139" s="28">
        <v>21696</v>
      </c>
      <c r="K1139" s="27" t="s">
        <v>412</v>
      </c>
    </row>
    <row r="1140" spans="1:24">
      <c r="A1140">
        <v>1123</v>
      </c>
      <c r="C1140" t="s">
        <v>567</v>
      </c>
      <c r="D1140" s="28" t="s">
        <v>3106</v>
      </c>
      <c r="E1140" s="27" t="s">
        <v>3107</v>
      </c>
      <c r="F1140" t="s">
        <v>2444</v>
      </c>
      <c r="G1140" s="27" t="s">
        <v>90</v>
      </c>
      <c r="I1140" s="27" t="s">
        <v>121</v>
      </c>
      <c r="J1140" s="28">
        <v>21592</v>
      </c>
      <c r="K1140" s="27" t="s">
        <v>410</v>
      </c>
      <c r="L1140" s="369"/>
      <c r="M1140" s="369"/>
      <c r="N1140" s="369"/>
      <c r="O1140" s="27" t="s">
        <v>1766</v>
      </c>
      <c r="P1140" s="370">
        <v>43941</v>
      </c>
      <c r="Q1140" s="369"/>
      <c r="R1140" s="369"/>
      <c r="S1140" s="369"/>
      <c r="T1140" s="369"/>
      <c r="U1140" s="369"/>
      <c r="V1140" s="369"/>
      <c r="W1140" s="27" t="s">
        <v>1765</v>
      </c>
    </row>
    <row r="1141" spans="1:24">
      <c r="A1141">
        <v>1124</v>
      </c>
      <c r="C1141" s="27" t="s">
        <v>567</v>
      </c>
      <c r="D1141" s="28" t="s">
        <v>3108</v>
      </c>
      <c r="E1141" s="27" t="s">
        <v>3025</v>
      </c>
      <c r="F1141" t="s">
        <v>2444</v>
      </c>
      <c r="G1141" s="27" t="s">
        <v>90</v>
      </c>
      <c r="I1141" s="27" t="s">
        <v>226</v>
      </c>
      <c r="J1141" s="28">
        <v>21696</v>
      </c>
      <c r="K1141" s="27" t="s">
        <v>412</v>
      </c>
      <c r="L1141" s="453"/>
      <c r="M1141" s="453"/>
      <c r="N1141" s="453" t="s">
        <v>4978</v>
      </c>
      <c r="O1141" s="453" t="s">
        <v>1766</v>
      </c>
      <c r="P1141" s="463">
        <v>44082</v>
      </c>
      <c r="Q1141" s="463"/>
      <c r="R1141" s="463"/>
      <c r="S1141" s="463"/>
      <c r="T1141" s="463"/>
      <c r="U1141" s="463"/>
      <c r="V1141" s="463"/>
      <c r="W1141" s="463" t="s">
        <v>1765</v>
      </c>
    </row>
    <row r="1142" spans="1:24">
      <c r="A1142">
        <v>1125</v>
      </c>
      <c r="B1142" t="s">
        <v>468</v>
      </c>
      <c r="C1142" t="s">
        <v>4720</v>
      </c>
      <c r="D1142" s="28" t="s">
        <v>3109</v>
      </c>
      <c r="E1142" s="27" t="s">
        <v>3110</v>
      </c>
      <c r="F1142" t="s">
        <v>2221</v>
      </c>
      <c r="G1142" s="27" t="s">
        <v>90</v>
      </c>
      <c r="H1142" t="s">
        <v>4721</v>
      </c>
      <c r="I1142" s="27" t="s">
        <v>226</v>
      </c>
      <c r="J1142" s="28">
        <v>21541</v>
      </c>
      <c r="K1142" s="27" t="s">
        <v>411</v>
      </c>
    </row>
    <row r="1143" spans="1:24">
      <c r="A1143">
        <v>1126</v>
      </c>
      <c r="B1143" t="s">
        <v>468</v>
      </c>
      <c r="C1143" s="27" t="s">
        <v>4718</v>
      </c>
      <c r="D1143" s="28" t="s">
        <v>3109</v>
      </c>
      <c r="E1143" s="27" t="s">
        <v>3110</v>
      </c>
      <c r="F1143" t="s">
        <v>2226</v>
      </c>
      <c r="G1143" s="27" t="s">
        <v>90</v>
      </c>
      <c r="H1143" t="s">
        <v>4719</v>
      </c>
      <c r="I1143" s="27" t="s">
        <v>226</v>
      </c>
      <c r="J1143" s="28">
        <v>21516</v>
      </c>
      <c r="K1143" s="27" t="s">
        <v>410</v>
      </c>
    </row>
    <row r="1144" spans="1:24">
      <c r="A1144">
        <v>1127</v>
      </c>
      <c r="C1144" t="s">
        <v>567</v>
      </c>
      <c r="D1144" s="28" t="s">
        <v>3111</v>
      </c>
      <c r="E1144" s="27" t="s">
        <v>3112</v>
      </c>
      <c r="F1144" t="s">
        <v>2444</v>
      </c>
      <c r="G1144" s="27" t="s">
        <v>90</v>
      </c>
      <c r="I1144" s="27" t="s">
        <v>121</v>
      </c>
      <c r="J1144" s="28">
        <v>29010</v>
      </c>
      <c r="K1144" s="27" t="s">
        <v>229</v>
      </c>
      <c r="L1144" s="27" t="s">
        <v>229</v>
      </c>
      <c r="M1144" s="371"/>
      <c r="N1144" s="369"/>
      <c r="O1144" s="369"/>
      <c r="P1144" s="27" t="s">
        <v>1791</v>
      </c>
      <c r="Q1144" s="370">
        <v>44464</v>
      </c>
      <c r="R1144" s="369"/>
      <c r="S1144" s="369"/>
      <c r="T1144" s="369"/>
      <c r="U1144" s="369"/>
      <c r="V1144" s="369"/>
      <c r="W1144" s="369"/>
      <c r="X1144" s="27" t="s">
        <v>1765</v>
      </c>
    </row>
    <row r="1145" spans="1:24">
      <c r="A1145">
        <v>1128</v>
      </c>
      <c r="C1145" t="s">
        <v>567</v>
      </c>
      <c r="D1145" s="28" t="s">
        <v>3111</v>
      </c>
      <c r="E1145" s="27" t="s">
        <v>3112</v>
      </c>
      <c r="F1145" t="s">
        <v>2444</v>
      </c>
      <c r="G1145" s="27" t="s">
        <v>90</v>
      </c>
      <c r="I1145" s="27" t="s">
        <v>94</v>
      </c>
      <c r="J1145" s="28">
        <v>29268</v>
      </c>
      <c r="K1145" s="27" t="s">
        <v>229</v>
      </c>
      <c r="L1145" s="371"/>
      <c r="M1145" s="369"/>
      <c r="N1145" s="27" t="s">
        <v>4722</v>
      </c>
      <c r="O1145" s="27" t="s">
        <v>1763</v>
      </c>
      <c r="P1145" s="370">
        <v>43105</v>
      </c>
      <c r="Q1145" s="369"/>
      <c r="R1145" s="369"/>
      <c r="S1145" s="369"/>
      <c r="T1145" s="369"/>
      <c r="U1145" s="369"/>
      <c r="V1145" s="369"/>
      <c r="W1145" s="27" t="s">
        <v>1765</v>
      </c>
    </row>
    <row r="1146" spans="1:24">
      <c r="A1146">
        <v>1129</v>
      </c>
      <c r="C1146" t="s">
        <v>567</v>
      </c>
      <c r="D1146" s="28" t="s">
        <v>3111</v>
      </c>
      <c r="E1146" s="27" t="s">
        <v>3112</v>
      </c>
      <c r="F1146" t="s">
        <v>2444</v>
      </c>
      <c r="G1146" s="27" t="s">
        <v>90</v>
      </c>
      <c r="I1146" s="27" t="s">
        <v>226</v>
      </c>
      <c r="J1146" s="28">
        <v>29164</v>
      </c>
      <c r="K1146" s="27" t="s">
        <v>229</v>
      </c>
      <c r="L1146" s="371"/>
      <c r="M1146" s="369"/>
      <c r="N1146" s="27" t="s">
        <v>1764</v>
      </c>
      <c r="O1146" s="27" t="s">
        <v>1763</v>
      </c>
      <c r="P1146" s="370">
        <v>43104</v>
      </c>
      <c r="Q1146" s="369"/>
      <c r="R1146" s="369"/>
      <c r="S1146" s="369"/>
      <c r="T1146" s="369"/>
      <c r="U1146" s="369"/>
      <c r="V1146" s="369"/>
      <c r="W1146" s="27" t="s">
        <v>1765</v>
      </c>
    </row>
    <row r="1147" spans="1:24">
      <c r="A1147">
        <v>1130</v>
      </c>
      <c r="B1147" t="s">
        <v>468</v>
      </c>
      <c r="C1147" s="27" t="s">
        <v>4723</v>
      </c>
      <c r="D1147" s="28" t="s">
        <v>3113</v>
      </c>
      <c r="E1147" s="27" t="s">
        <v>345</v>
      </c>
      <c r="F1147" t="s">
        <v>2192</v>
      </c>
      <c r="G1147" s="27" t="s">
        <v>90</v>
      </c>
      <c r="H1147" s="27" t="s">
        <v>4724</v>
      </c>
      <c r="I1147" s="27" t="s">
        <v>226</v>
      </c>
      <c r="J1147" s="28">
        <v>21628</v>
      </c>
      <c r="K1147" s="27" t="s">
        <v>4502</v>
      </c>
    </row>
    <row r="1148" spans="1:24">
      <c r="A1148">
        <v>1131</v>
      </c>
      <c r="C1148" t="s">
        <v>567</v>
      </c>
      <c r="D1148" s="28" t="s">
        <v>326</v>
      </c>
      <c r="E1148" s="27" t="s">
        <v>327</v>
      </c>
      <c r="F1148" t="s">
        <v>2444</v>
      </c>
      <c r="G1148" s="27" t="s">
        <v>90</v>
      </c>
      <c r="I1148" s="27" t="s">
        <v>121</v>
      </c>
      <c r="J1148" s="28">
        <v>21160</v>
      </c>
      <c r="K1148" s="27" t="s">
        <v>401</v>
      </c>
      <c r="L1148" s="369"/>
      <c r="M1148" s="369"/>
      <c r="N1148" s="27" t="s">
        <v>1764</v>
      </c>
      <c r="O1148" s="27" t="s">
        <v>1763</v>
      </c>
      <c r="P1148" s="370">
        <v>43105</v>
      </c>
      <c r="Q1148" s="369"/>
      <c r="R1148" s="369"/>
      <c r="S1148" s="369"/>
      <c r="T1148" s="369"/>
      <c r="U1148" s="369"/>
      <c r="V1148" s="369"/>
      <c r="W1148" s="27" t="s">
        <v>1765</v>
      </c>
    </row>
    <row r="1149" spans="1:24">
      <c r="A1149">
        <v>1132</v>
      </c>
      <c r="C1149" t="s">
        <v>567</v>
      </c>
      <c r="D1149" s="28" t="s">
        <v>326</v>
      </c>
      <c r="E1149" s="27" t="s">
        <v>327</v>
      </c>
      <c r="F1149" t="s">
        <v>2444</v>
      </c>
      <c r="G1149" s="27" t="s">
        <v>90</v>
      </c>
      <c r="I1149" s="27" t="s">
        <v>121</v>
      </c>
      <c r="J1149" s="28">
        <v>20945</v>
      </c>
      <c r="K1149" s="27" t="s">
        <v>402</v>
      </c>
      <c r="L1149" s="369"/>
      <c r="M1149" s="369"/>
      <c r="N1149" s="27" t="s">
        <v>1764</v>
      </c>
      <c r="O1149" s="27" t="s">
        <v>1763</v>
      </c>
      <c r="P1149" s="370">
        <v>43104</v>
      </c>
      <c r="Q1149" s="369"/>
      <c r="R1149" s="369"/>
      <c r="S1149" s="369"/>
      <c r="T1149" s="369"/>
      <c r="U1149" s="369"/>
      <c r="V1149" s="369"/>
      <c r="W1149" s="27" t="s">
        <v>1765</v>
      </c>
    </row>
    <row r="1150" spans="1:24">
      <c r="A1150">
        <v>1133</v>
      </c>
      <c r="C1150" t="s">
        <v>567</v>
      </c>
      <c r="D1150" s="28" t="s">
        <v>326</v>
      </c>
      <c r="E1150" s="27" t="s">
        <v>327</v>
      </c>
      <c r="F1150" t="s">
        <v>2444</v>
      </c>
      <c r="G1150" s="27" t="s">
        <v>90</v>
      </c>
      <c r="I1150" s="27" t="s">
        <v>226</v>
      </c>
      <c r="J1150" s="28">
        <v>21595</v>
      </c>
      <c r="K1150" s="27" t="s">
        <v>403</v>
      </c>
      <c r="L1150" s="369"/>
      <c r="M1150" s="369"/>
      <c r="N1150" s="27" t="s">
        <v>2184</v>
      </c>
      <c r="O1150" s="27" t="s">
        <v>1766</v>
      </c>
      <c r="P1150" s="370">
        <v>44293</v>
      </c>
      <c r="Q1150" s="369"/>
      <c r="R1150" s="369"/>
      <c r="S1150" s="369"/>
      <c r="T1150" s="369"/>
      <c r="U1150" s="369"/>
      <c r="V1150" s="369"/>
      <c r="W1150" s="27" t="s">
        <v>1765</v>
      </c>
    </row>
    <row r="1151" spans="1:24">
      <c r="A1151">
        <v>1134</v>
      </c>
      <c r="B1151" t="s">
        <v>468</v>
      </c>
      <c r="C1151" s="27" t="s">
        <v>622</v>
      </c>
      <c r="D1151" s="28" t="s">
        <v>326</v>
      </c>
      <c r="E1151" s="27" t="s">
        <v>327</v>
      </c>
      <c r="F1151" t="s">
        <v>2192</v>
      </c>
      <c r="G1151" s="27" t="s">
        <v>90</v>
      </c>
      <c r="H1151" s="27" t="s">
        <v>4725</v>
      </c>
      <c r="I1151" s="27" t="s">
        <v>226</v>
      </c>
      <c r="J1151" s="28">
        <v>21761</v>
      </c>
      <c r="K1151" s="27" t="s">
        <v>400</v>
      </c>
    </row>
    <row r="1152" spans="1:24">
      <c r="A1152">
        <v>1135</v>
      </c>
      <c r="C1152" t="s">
        <v>567</v>
      </c>
      <c r="D1152" s="28" t="s">
        <v>328</v>
      </c>
      <c r="E1152" s="27" t="s">
        <v>329</v>
      </c>
      <c r="F1152" t="s">
        <v>2444</v>
      </c>
      <c r="G1152" s="27" t="s">
        <v>90</v>
      </c>
      <c r="I1152" s="27" t="s">
        <v>121</v>
      </c>
      <c r="J1152" s="28">
        <v>20945</v>
      </c>
      <c r="K1152" s="27" t="s">
        <v>402</v>
      </c>
      <c r="L1152" s="369"/>
      <c r="M1152" s="369"/>
      <c r="N1152" s="27" t="s">
        <v>4726</v>
      </c>
      <c r="O1152" s="27" t="s">
        <v>1763</v>
      </c>
      <c r="P1152" s="370">
        <v>44048</v>
      </c>
      <c r="Q1152" s="369"/>
      <c r="R1152" s="369"/>
      <c r="S1152" s="369"/>
      <c r="T1152" s="369"/>
      <c r="U1152" s="369"/>
      <c r="V1152" s="369"/>
      <c r="W1152" s="27" t="s">
        <v>1765</v>
      </c>
    </row>
    <row r="1153" spans="1:23">
      <c r="A1153">
        <v>1136</v>
      </c>
      <c r="B1153" t="s">
        <v>468</v>
      </c>
      <c r="C1153" s="27" t="s">
        <v>4729</v>
      </c>
      <c r="D1153" s="28" t="s">
        <v>3114</v>
      </c>
      <c r="E1153" s="27" t="s">
        <v>2997</v>
      </c>
      <c r="F1153" t="s">
        <v>4574</v>
      </c>
      <c r="G1153" s="27" t="s">
        <v>90</v>
      </c>
      <c r="H1153" t="s">
        <v>4727</v>
      </c>
      <c r="I1153" s="27" t="s">
        <v>121</v>
      </c>
      <c r="J1153" s="28">
        <v>21160</v>
      </c>
      <c r="K1153" s="27" t="s">
        <v>401</v>
      </c>
    </row>
    <row r="1154" spans="1:23">
      <c r="A1154">
        <v>1137</v>
      </c>
      <c r="B1154" t="s">
        <v>468</v>
      </c>
      <c r="C1154" s="27" t="s">
        <v>4730</v>
      </c>
      <c r="D1154" s="28" t="s">
        <v>3114</v>
      </c>
      <c r="E1154" s="27" t="s">
        <v>2997</v>
      </c>
      <c r="F1154" t="s">
        <v>4574</v>
      </c>
      <c r="G1154" s="27" t="s">
        <v>90</v>
      </c>
      <c r="H1154" t="s">
        <v>4728</v>
      </c>
      <c r="I1154" s="27" t="s">
        <v>121</v>
      </c>
      <c r="J1154" s="28">
        <v>21592</v>
      </c>
      <c r="K1154" s="27" t="s">
        <v>410</v>
      </c>
    </row>
    <row r="1155" spans="1:23">
      <c r="A1155">
        <v>1138</v>
      </c>
      <c r="B1155" t="s">
        <v>468</v>
      </c>
      <c r="C1155" s="27" t="s">
        <v>4729</v>
      </c>
      <c r="D1155" s="28" t="s">
        <v>3114</v>
      </c>
      <c r="E1155" s="27" t="s">
        <v>2997</v>
      </c>
      <c r="F1155" t="s">
        <v>4574</v>
      </c>
      <c r="G1155" s="27" t="s">
        <v>90</v>
      </c>
      <c r="H1155" t="s">
        <v>4731</v>
      </c>
      <c r="I1155" s="27" t="s">
        <v>94</v>
      </c>
      <c r="J1155" s="28">
        <v>21160</v>
      </c>
      <c r="K1155" s="27" t="s">
        <v>401</v>
      </c>
    </row>
    <row r="1156" spans="1:23">
      <c r="A1156">
        <v>1139</v>
      </c>
      <c r="B1156" t="s">
        <v>468</v>
      </c>
      <c r="C1156" s="27" t="s">
        <v>4730</v>
      </c>
      <c r="D1156" s="28" t="s">
        <v>3114</v>
      </c>
      <c r="E1156" s="27" t="s">
        <v>2997</v>
      </c>
      <c r="F1156" t="s">
        <v>4574</v>
      </c>
      <c r="G1156" s="27" t="s">
        <v>90</v>
      </c>
      <c r="H1156" t="s">
        <v>4732</v>
      </c>
      <c r="I1156" s="27" t="s">
        <v>94</v>
      </c>
      <c r="J1156" s="28">
        <v>21746</v>
      </c>
      <c r="K1156" s="27" t="s">
        <v>410</v>
      </c>
    </row>
    <row r="1157" spans="1:23">
      <c r="A1157">
        <v>1140</v>
      </c>
      <c r="B1157" t="s">
        <v>468</v>
      </c>
      <c r="C1157" s="27" t="s">
        <v>4730</v>
      </c>
      <c r="D1157" s="28" t="s">
        <v>3114</v>
      </c>
      <c r="E1157" s="27" t="s">
        <v>2997</v>
      </c>
      <c r="F1157" t="s">
        <v>4574</v>
      </c>
      <c r="G1157" s="27" t="s">
        <v>90</v>
      </c>
      <c r="H1157" t="s">
        <v>4733</v>
      </c>
      <c r="I1157" s="27" t="s">
        <v>226</v>
      </c>
      <c r="J1157" s="28">
        <v>21516</v>
      </c>
      <c r="K1157" s="27" t="s">
        <v>410</v>
      </c>
    </row>
    <row r="1158" spans="1:23">
      <c r="A1158">
        <v>1141</v>
      </c>
      <c r="B1158" t="s">
        <v>468</v>
      </c>
      <c r="C1158" s="27" t="s">
        <v>4734</v>
      </c>
      <c r="D1158" s="28" t="s">
        <v>3115</v>
      </c>
      <c r="E1158" s="27" t="s">
        <v>3116</v>
      </c>
      <c r="F1158" t="s">
        <v>4574</v>
      </c>
      <c r="G1158" s="27" t="s">
        <v>90</v>
      </c>
      <c r="H1158" t="s">
        <v>4735</v>
      </c>
      <c r="I1158" s="27" t="s">
        <v>121</v>
      </c>
      <c r="J1158" s="28">
        <v>21160</v>
      </c>
      <c r="K1158" s="27" t="s">
        <v>401</v>
      </c>
    </row>
    <row r="1159" spans="1:23">
      <c r="A1159">
        <v>1142</v>
      </c>
      <c r="B1159" t="s">
        <v>468</v>
      </c>
      <c r="C1159" s="27" t="s">
        <v>4738</v>
      </c>
      <c r="D1159" s="28" t="s">
        <v>3115</v>
      </c>
      <c r="E1159" s="27" t="s">
        <v>3116</v>
      </c>
      <c r="F1159" t="s">
        <v>4574</v>
      </c>
      <c r="G1159" s="27" t="s">
        <v>90</v>
      </c>
      <c r="H1159" t="s">
        <v>4737</v>
      </c>
      <c r="I1159" s="27" t="s">
        <v>121</v>
      </c>
      <c r="J1159" s="28">
        <v>21592</v>
      </c>
      <c r="K1159" s="27" t="s">
        <v>410</v>
      </c>
    </row>
    <row r="1160" spans="1:23">
      <c r="A1160">
        <v>1143</v>
      </c>
      <c r="B1160" t="s">
        <v>468</v>
      </c>
      <c r="C1160" s="27" t="s">
        <v>4734</v>
      </c>
      <c r="D1160" s="28" t="s">
        <v>3115</v>
      </c>
      <c r="E1160" s="27" t="s">
        <v>3116</v>
      </c>
      <c r="F1160" t="s">
        <v>4574</v>
      </c>
      <c r="G1160" s="27" t="s">
        <v>90</v>
      </c>
      <c r="H1160" t="s">
        <v>4736</v>
      </c>
      <c r="I1160" s="27" t="s">
        <v>94</v>
      </c>
      <c r="J1160" s="28">
        <v>21160</v>
      </c>
      <c r="K1160" s="27" t="s">
        <v>401</v>
      </c>
    </row>
    <row r="1161" spans="1:23">
      <c r="A1161">
        <v>1144</v>
      </c>
      <c r="B1161" t="s">
        <v>468</v>
      </c>
      <c r="C1161" s="27" t="s">
        <v>4738</v>
      </c>
      <c r="D1161" s="28" t="s">
        <v>3115</v>
      </c>
      <c r="E1161" s="27" t="s">
        <v>3116</v>
      </c>
      <c r="F1161" t="s">
        <v>4574</v>
      </c>
      <c r="G1161" s="27" t="s">
        <v>90</v>
      </c>
      <c r="H1161" t="s">
        <v>4739</v>
      </c>
      <c r="I1161" s="27" t="s">
        <v>94</v>
      </c>
      <c r="J1161" s="28">
        <v>21746</v>
      </c>
      <c r="K1161" s="27" t="s">
        <v>410</v>
      </c>
    </row>
    <row r="1162" spans="1:23">
      <c r="A1162">
        <v>1145</v>
      </c>
      <c r="B1162" t="s">
        <v>468</v>
      </c>
      <c r="C1162" s="27" t="s">
        <v>4738</v>
      </c>
      <c r="D1162" s="28" t="s">
        <v>3115</v>
      </c>
      <c r="E1162" s="27" t="s">
        <v>3116</v>
      </c>
      <c r="F1162" t="s">
        <v>4574</v>
      </c>
      <c r="G1162" s="27" t="s">
        <v>90</v>
      </c>
      <c r="H1162" t="s">
        <v>4740</v>
      </c>
      <c r="I1162" s="27" t="s">
        <v>226</v>
      </c>
      <c r="J1162" s="28">
        <v>21516</v>
      </c>
      <c r="K1162" s="27" t="s">
        <v>410</v>
      </c>
    </row>
    <row r="1163" spans="1:23">
      <c r="A1163">
        <v>1146</v>
      </c>
      <c r="B1163" t="s">
        <v>468</v>
      </c>
      <c r="C1163" s="456" t="s">
        <v>4979</v>
      </c>
      <c r="D1163" s="28" t="s">
        <v>3117</v>
      </c>
      <c r="E1163" s="27" t="s">
        <v>154</v>
      </c>
      <c r="F1163" t="s">
        <v>4935</v>
      </c>
      <c r="G1163" s="27" t="s">
        <v>90</v>
      </c>
      <c r="H1163" t="s">
        <v>4980</v>
      </c>
      <c r="I1163" s="27" t="s">
        <v>226</v>
      </c>
      <c r="J1163" s="28">
        <v>29164</v>
      </c>
      <c r="K1163" s="27" t="s">
        <v>229</v>
      </c>
    </row>
    <row r="1164" spans="1:23">
      <c r="A1164">
        <v>1147</v>
      </c>
      <c r="C1164" s="27" t="s">
        <v>567</v>
      </c>
      <c r="D1164" s="28" t="s">
        <v>330</v>
      </c>
      <c r="E1164" s="27" t="s">
        <v>331</v>
      </c>
      <c r="F1164" t="s">
        <v>2444</v>
      </c>
      <c r="G1164" s="27" t="s">
        <v>90</v>
      </c>
      <c r="I1164" s="27" t="s">
        <v>121</v>
      </c>
      <c r="J1164" s="28">
        <v>21205</v>
      </c>
      <c r="K1164" s="27" t="s">
        <v>395</v>
      </c>
      <c r="L1164" s="369"/>
      <c r="M1164" s="369"/>
      <c r="N1164" s="369"/>
      <c r="O1164" s="27" t="s">
        <v>1791</v>
      </c>
      <c r="P1164" s="370">
        <v>44956</v>
      </c>
      <c r="Q1164" s="369"/>
      <c r="R1164" s="369"/>
      <c r="S1164" s="369"/>
      <c r="T1164" s="369"/>
      <c r="U1164" s="369"/>
      <c r="V1164" s="369"/>
      <c r="W1164" s="27" t="s">
        <v>1765</v>
      </c>
    </row>
    <row r="1165" spans="1:23">
      <c r="A1165">
        <v>1148</v>
      </c>
      <c r="B1165" t="s">
        <v>468</v>
      </c>
      <c r="C1165" s="27" t="s">
        <v>623</v>
      </c>
      <c r="D1165" s="28" t="s">
        <v>330</v>
      </c>
      <c r="E1165" s="27" t="s">
        <v>331</v>
      </c>
      <c r="F1165" t="s">
        <v>2192</v>
      </c>
      <c r="G1165" s="27" t="s">
        <v>90</v>
      </c>
      <c r="H1165" s="27" t="s">
        <v>4741</v>
      </c>
      <c r="I1165" s="27" t="s">
        <v>94</v>
      </c>
      <c r="J1165" s="28">
        <v>21712</v>
      </c>
      <c r="K1165" s="27" t="s">
        <v>400</v>
      </c>
    </row>
    <row r="1166" spans="1:23">
      <c r="A1166">
        <v>1149</v>
      </c>
      <c r="C1166" s="27" t="s">
        <v>567</v>
      </c>
      <c r="D1166" s="28" t="s">
        <v>330</v>
      </c>
      <c r="E1166" s="27" t="s">
        <v>331</v>
      </c>
      <c r="F1166" t="s">
        <v>2444</v>
      </c>
      <c r="G1166" s="27" t="s">
        <v>90</v>
      </c>
      <c r="I1166" s="27" t="s">
        <v>226</v>
      </c>
      <c r="J1166" s="28">
        <v>21557</v>
      </c>
      <c r="K1166" s="27" t="s">
        <v>396</v>
      </c>
      <c r="L1166" s="369"/>
      <c r="M1166" s="369"/>
      <c r="N1166" s="369"/>
      <c r="O1166" s="27" t="s">
        <v>1763</v>
      </c>
      <c r="P1166" s="370">
        <v>43671</v>
      </c>
      <c r="Q1166" s="369"/>
      <c r="R1166" s="369"/>
      <c r="S1166" s="369"/>
      <c r="T1166" s="369"/>
      <c r="U1166" s="370"/>
      <c r="V1166" s="369"/>
      <c r="W1166" s="27" t="s">
        <v>1765</v>
      </c>
    </row>
    <row r="1167" spans="1:23">
      <c r="A1167">
        <v>1150</v>
      </c>
      <c r="B1167" t="s">
        <v>468</v>
      </c>
      <c r="C1167" s="27" t="s">
        <v>623</v>
      </c>
      <c r="D1167" s="28" t="s">
        <v>330</v>
      </c>
      <c r="E1167" s="27" t="s">
        <v>331</v>
      </c>
      <c r="F1167" t="s">
        <v>2192</v>
      </c>
      <c r="G1167" s="27" t="s">
        <v>90</v>
      </c>
      <c r="H1167" t="s">
        <v>4742</v>
      </c>
      <c r="I1167" s="27" t="s">
        <v>226</v>
      </c>
      <c r="J1167" s="28">
        <v>21761</v>
      </c>
      <c r="K1167" s="27" t="s">
        <v>400</v>
      </c>
    </row>
    <row r="1168" spans="1:23">
      <c r="A1168">
        <v>1151</v>
      </c>
      <c r="C1168" s="27" t="s">
        <v>567</v>
      </c>
      <c r="D1168" s="28" t="s">
        <v>3118</v>
      </c>
      <c r="E1168" s="27" t="s">
        <v>3119</v>
      </c>
      <c r="F1168" t="s">
        <v>2444</v>
      </c>
      <c r="G1168" s="27" t="s">
        <v>90</v>
      </c>
      <c r="I1168" s="27" t="s">
        <v>226</v>
      </c>
      <c r="J1168" s="28">
        <v>29164</v>
      </c>
      <c r="K1168" s="27" t="s">
        <v>229</v>
      </c>
      <c r="L1168" s="371"/>
      <c r="M1168" s="369"/>
      <c r="N1168" s="369"/>
      <c r="O1168" s="369"/>
      <c r="P1168" s="369"/>
      <c r="Q1168" s="369"/>
      <c r="R1168" s="369"/>
      <c r="S1168" s="369"/>
      <c r="T1168" s="369"/>
      <c r="U1168" s="369"/>
      <c r="V1168" s="369"/>
      <c r="W1168" s="370" t="s">
        <v>4743</v>
      </c>
    </row>
    <row r="1169" spans="1:337">
      <c r="A1169">
        <v>1152</v>
      </c>
      <c r="C1169" s="27" t="s">
        <v>567</v>
      </c>
      <c r="D1169" s="28" t="s">
        <v>3120</v>
      </c>
      <c r="E1169" s="27" t="s">
        <v>3121</v>
      </c>
      <c r="F1169" t="s">
        <v>2444</v>
      </c>
      <c r="G1169" s="27" t="s">
        <v>90</v>
      </c>
      <c r="I1169" s="27" t="s">
        <v>226</v>
      </c>
      <c r="J1169" s="28">
        <v>29164</v>
      </c>
      <c r="K1169" s="27" t="s">
        <v>229</v>
      </c>
      <c r="L1169" s="371"/>
      <c r="M1169" s="369"/>
      <c r="N1169" s="369"/>
      <c r="O1169" s="369"/>
      <c r="P1169" s="369"/>
      <c r="Q1169" s="369"/>
      <c r="R1169" s="369"/>
      <c r="S1169" s="369"/>
      <c r="T1169" s="369"/>
      <c r="U1169" s="369"/>
      <c r="V1169" s="369"/>
      <c r="W1169" s="370" t="s">
        <v>4743</v>
      </c>
    </row>
    <row r="1170" spans="1:337">
      <c r="A1170">
        <v>1153</v>
      </c>
      <c r="B1170" t="s">
        <v>468</v>
      </c>
      <c r="C1170" s="400" t="s">
        <v>4744</v>
      </c>
      <c r="D1170" s="28" t="s">
        <v>3122</v>
      </c>
      <c r="E1170" s="27" t="s">
        <v>3123</v>
      </c>
      <c r="F1170" t="s">
        <v>2182</v>
      </c>
      <c r="G1170" s="27" t="s">
        <v>90</v>
      </c>
      <c r="I1170" s="27" t="s">
        <v>226</v>
      </c>
      <c r="J1170" s="28">
        <v>29164</v>
      </c>
      <c r="K1170" s="27" t="s">
        <v>229</v>
      </c>
      <c r="L1170" s="371"/>
      <c r="M1170" s="369"/>
      <c r="N1170" s="369"/>
      <c r="O1170" s="369"/>
      <c r="P1170" s="369"/>
      <c r="Q1170" s="27" t="s">
        <v>1786</v>
      </c>
      <c r="R1170" s="27" t="s">
        <v>1769</v>
      </c>
      <c r="S1170" s="370">
        <v>43810</v>
      </c>
      <c r="T1170" s="27" t="s">
        <v>4555</v>
      </c>
      <c r="U1170" s="370">
        <v>43822</v>
      </c>
      <c r="V1170" s="369"/>
      <c r="W1170" s="27" t="s">
        <v>4598</v>
      </c>
      <c r="X1170" s="27"/>
      <c r="Y1170" s="27"/>
      <c r="Z1170" s="27"/>
      <c r="AA1170" s="390" t="s">
        <v>313</v>
      </c>
      <c r="AB1170" s="391">
        <v>95.3</v>
      </c>
      <c r="AC1170" s="369">
        <f t="shared" ref="AC1170" si="1007">AB1170-5</f>
        <v>90.3</v>
      </c>
      <c r="AD1170" s="390" t="s">
        <v>280</v>
      </c>
      <c r="AE1170" s="391">
        <f t="shared" ref="AE1170" si="1008">BA1170</f>
        <v>10.292399999999999</v>
      </c>
      <c r="AF1170" s="391">
        <f>DU1170+DZ1170+EE1170</f>
        <v>0</v>
      </c>
      <c r="AG1170" s="391">
        <f t="shared" ref="AG1170" si="1009">EU1170+FA1170</f>
        <v>3.6549707602339185</v>
      </c>
      <c r="AH1170" s="391">
        <f t="shared" ref="AH1170" si="1010">DM1170</f>
        <v>0</v>
      </c>
      <c r="AI1170" s="391">
        <f t="shared" ref="AI1170" si="1011">DO1170</f>
        <v>0</v>
      </c>
      <c r="AJ1170" s="391">
        <f t="shared" ref="AJ1170" si="1012">GW1170</f>
        <v>7.3099415204678372E-2</v>
      </c>
      <c r="AK1170" s="391">
        <f t="shared" ref="AK1170" si="1013">GU1170</f>
        <v>0.17434213450292399</v>
      </c>
      <c r="AL1170" s="391">
        <f t="shared" ref="AL1170" si="1014">GS1170</f>
        <v>1.534210783625731</v>
      </c>
      <c r="AM1170" s="391">
        <f t="shared" ref="AM1170" si="1015">HV1170</f>
        <v>0.19122222222222221</v>
      </c>
      <c r="AN1170" s="391">
        <f t="shared" ref="AN1170" si="1016">IG1170</f>
        <v>8.5616438356164379E-2</v>
      </c>
      <c r="AO1170" s="391"/>
      <c r="AP1170" s="391"/>
      <c r="AQ1170" s="391">
        <f t="shared" ref="AQ1170" si="1017">SUM(AE1170:AO1170)</f>
        <v>16.005861754145638</v>
      </c>
      <c r="AR1170" s="391">
        <f t="shared" ref="AR1170" si="1018">IJ1170</f>
        <v>0</v>
      </c>
      <c r="AS1170" s="391">
        <v>0</v>
      </c>
      <c r="AT1170" s="391">
        <v>0</v>
      </c>
      <c r="AU1170" s="391">
        <f>16.01*3%</f>
        <v>0.4803</v>
      </c>
      <c r="AV1170" s="391">
        <f t="shared" ref="AV1170" si="1019">AQ1170+AT1170+AU1170+AR1170+AS1170</f>
        <v>16.486161754145638</v>
      </c>
      <c r="AW1170" s="369">
        <v>0.108</v>
      </c>
      <c r="AX1170" s="369">
        <v>0.108</v>
      </c>
      <c r="AY1170" s="392">
        <v>0.9</v>
      </c>
      <c r="AZ1170" s="391">
        <f t="shared" ref="AZ1170" si="1020">(AW1170-AX1170)*AY1170</f>
        <v>0</v>
      </c>
      <c r="BA1170" s="391">
        <f t="shared" ref="BA1170" si="1021">AW1170*AB1170-AZ1170*AC1170</f>
        <v>10.292399999999999</v>
      </c>
      <c r="BB1170" s="391"/>
      <c r="BC1170" s="391"/>
      <c r="BD1170" s="391"/>
      <c r="BE1170" s="391"/>
      <c r="BF1170" s="391"/>
      <c r="BG1170" s="391"/>
      <c r="BH1170" s="391"/>
      <c r="BI1170" s="391"/>
      <c r="BJ1170" s="369"/>
      <c r="BK1170" s="369"/>
      <c r="BL1170" s="369"/>
      <c r="BM1170" s="369"/>
      <c r="BN1170" s="369"/>
      <c r="BO1170" s="369"/>
      <c r="BP1170" s="369"/>
      <c r="BQ1170" s="369"/>
      <c r="BR1170" s="369"/>
      <c r="BS1170" s="369"/>
      <c r="BT1170" s="369"/>
      <c r="BU1170" s="369"/>
      <c r="BV1170" s="369"/>
      <c r="BW1170" s="369"/>
      <c r="BX1170" s="369"/>
      <c r="BY1170" s="369"/>
      <c r="BZ1170" s="369"/>
      <c r="CA1170" s="369"/>
      <c r="CB1170" s="369"/>
      <c r="CC1170" s="369"/>
      <c r="CD1170" s="369"/>
      <c r="CE1170" s="369"/>
      <c r="CF1170" s="369"/>
      <c r="CG1170" s="369"/>
      <c r="CH1170" s="369"/>
      <c r="CI1170" s="369"/>
      <c r="CJ1170" s="369"/>
      <c r="CK1170" s="369"/>
      <c r="CL1170" s="369"/>
      <c r="CM1170" s="391"/>
      <c r="CN1170" s="369"/>
      <c r="CO1170" s="369"/>
      <c r="CP1170" s="369"/>
      <c r="CQ1170" s="369"/>
      <c r="CR1170" s="369"/>
      <c r="CS1170" s="369"/>
      <c r="CT1170" s="369"/>
      <c r="CU1170" s="369"/>
      <c r="CV1170" s="369"/>
      <c r="CW1170" s="369"/>
      <c r="CX1170" s="369"/>
      <c r="CY1170" s="369"/>
      <c r="CZ1170" s="369"/>
      <c r="DA1170" s="369"/>
      <c r="DB1170" s="369"/>
      <c r="DC1170" s="369"/>
      <c r="DD1170" s="369"/>
      <c r="DE1170" s="369"/>
      <c r="DF1170" s="369"/>
      <c r="DG1170" s="369"/>
      <c r="DH1170" s="369"/>
      <c r="DI1170" s="369"/>
      <c r="DJ1170" s="369"/>
      <c r="DK1170" s="369"/>
      <c r="DL1170" s="369"/>
      <c r="DM1170" s="369">
        <f>DL1170+DG1170+DB1170+CW1170+CR1170+CM1170+CH1170</f>
        <v>0</v>
      </c>
      <c r="DN1170" s="369"/>
      <c r="DO1170" s="369"/>
      <c r="DP1170" s="391">
        <f>DO1170+DM1170</f>
        <v>0</v>
      </c>
      <c r="DQ1170" s="369"/>
      <c r="DR1170" s="369"/>
      <c r="DS1170" s="369"/>
      <c r="DT1170" s="369"/>
      <c r="DU1170" s="369"/>
      <c r="DV1170" s="369"/>
      <c r="DW1170" s="369"/>
      <c r="DX1170" s="369"/>
      <c r="DY1170" s="369"/>
      <c r="DZ1170" s="369"/>
      <c r="EA1170" s="369"/>
      <c r="EB1170" s="369"/>
      <c r="EC1170" s="369"/>
      <c r="ED1170" s="369"/>
      <c r="EE1170" s="369"/>
      <c r="EF1170" s="369">
        <v>200</v>
      </c>
      <c r="EG1170" s="369">
        <v>2000</v>
      </c>
      <c r="EH1170" s="369">
        <v>8</v>
      </c>
      <c r="EI1170" s="395">
        <v>0.95</v>
      </c>
      <c r="EJ1170" s="369">
        <v>1</v>
      </c>
      <c r="EK1170" s="369">
        <v>50</v>
      </c>
      <c r="EL1170" s="396">
        <f t="shared" ref="EL1170" si="1022">3600/EK1170*EH1170*EJ1170*EI1170</f>
        <v>547.19999999999993</v>
      </c>
      <c r="EM1170" s="369"/>
      <c r="EN1170" s="369"/>
      <c r="EO1170" s="369"/>
      <c r="EP1170" s="369"/>
      <c r="EQ1170" s="369"/>
      <c r="ER1170" s="369"/>
      <c r="ES1170" s="369"/>
      <c r="ET1170" s="369"/>
      <c r="EU1170" s="391">
        <f t="shared" ref="EU1170" si="1023">EG1170/EL1170+EM1170+EP1170+EQ1170+ER1170+EO1170</f>
        <v>3.6549707602339185</v>
      </c>
      <c r="EV1170" s="369"/>
      <c r="EW1170" s="369"/>
      <c r="EX1170" s="369"/>
      <c r="EY1170" s="394"/>
      <c r="EZ1170" s="369"/>
      <c r="FA1170" s="391">
        <f t="shared" ref="FA1170" si="1024">EX1170+EY1170</f>
        <v>0</v>
      </c>
      <c r="FB1170" s="369"/>
      <c r="FC1170" s="369"/>
      <c r="FD1170" s="369"/>
      <c r="FE1170" s="369"/>
      <c r="FF1170" s="369"/>
      <c r="FG1170" s="369"/>
      <c r="FH1170" s="369"/>
      <c r="FI1170" s="369"/>
      <c r="FJ1170" s="369"/>
      <c r="FK1170" s="369"/>
      <c r="FL1170" s="369"/>
      <c r="FM1170" s="369"/>
      <c r="FN1170" s="369"/>
      <c r="FO1170" s="369"/>
      <c r="FP1170" s="369"/>
      <c r="FQ1170" s="369"/>
      <c r="FR1170" s="369"/>
      <c r="FS1170" s="369"/>
      <c r="FT1170" s="369"/>
      <c r="FU1170" s="369"/>
      <c r="FV1170" s="369"/>
      <c r="FW1170" s="369"/>
      <c r="FX1170" s="369"/>
      <c r="FY1170" s="369"/>
      <c r="FZ1170" s="369"/>
      <c r="GA1170" s="369"/>
      <c r="GB1170" s="369"/>
      <c r="GC1170" s="369"/>
      <c r="GD1170" s="369"/>
      <c r="GE1170" s="369"/>
      <c r="GF1170" s="369"/>
      <c r="GG1170" s="369"/>
      <c r="GH1170" s="369"/>
      <c r="GI1170" s="369"/>
      <c r="GJ1170" s="369"/>
      <c r="GK1170" s="369"/>
      <c r="GL1170" s="369"/>
      <c r="GM1170" s="369"/>
      <c r="GN1170" s="369"/>
      <c r="GO1170" s="369"/>
      <c r="GP1170" s="392"/>
      <c r="GQ1170" s="369"/>
      <c r="GR1170" s="395">
        <v>0.11</v>
      </c>
      <c r="GS1170" s="391">
        <f t="shared" ref="GS1170" si="1025">GR1170*(BA1170+EU1170+EV1170)</f>
        <v>1.534210783625731</v>
      </c>
      <c r="GT1170" s="393">
        <v>1.2500000000000001E-2</v>
      </c>
      <c r="GU1170" s="391">
        <f t="shared" ref="GU1170" si="1026">GT1170*(EU1170+BA1170+EV1170)</f>
        <v>0.17434213450292399</v>
      </c>
      <c r="GV1170" s="395">
        <v>0.02</v>
      </c>
      <c r="GW1170" s="391">
        <f t="shared" ref="GW1170" si="1027">GV1170*(EU1170-EP1170-EQ1170)</f>
        <v>7.3099415204678372E-2</v>
      </c>
      <c r="GX1170" s="391">
        <f t="shared" ref="GX1170" si="1028">GS1170+GU1170+GW1170</f>
        <v>1.7816523333333334</v>
      </c>
      <c r="GY1170" s="369" t="s">
        <v>130</v>
      </c>
      <c r="GZ1170" s="369" t="s">
        <v>130</v>
      </c>
      <c r="HA1170" s="369">
        <v>650</v>
      </c>
      <c r="HB1170" s="369">
        <v>450</v>
      </c>
      <c r="HC1170" s="369">
        <v>315</v>
      </c>
      <c r="HD1170" s="369">
        <v>40</v>
      </c>
      <c r="HE1170" s="369">
        <v>300</v>
      </c>
      <c r="HF1170" s="369">
        <f t="shared" ref="HF1170" si="1029">ROUNDUP(HE1170/HD1170,0)</f>
        <v>8</v>
      </c>
      <c r="HG1170" s="369">
        <v>5</v>
      </c>
      <c r="HH1170" s="369">
        <f t="shared" ref="HH1170" si="1030">HF1170*HG1170</f>
        <v>40</v>
      </c>
      <c r="HI1170" s="369">
        <v>550</v>
      </c>
      <c r="HJ1170" s="369">
        <f t="shared" ref="HJ1170" si="1031">HH1170*HI1170</f>
        <v>22000</v>
      </c>
      <c r="HK1170" s="369"/>
      <c r="HL1170" s="369"/>
      <c r="HM1170" s="369">
        <v>2</v>
      </c>
      <c r="HN1170" s="369">
        <f t="shared" ref="HN1170" si="1032">HM1170*12*25*HE1170</f>
        <v>180000</v>
      </c>
      <c r="HO1170" s="391">
        <f t="shared" ref="HO1170" si="1033">(IF(GY1170="carton box",HI1170/HD1170,HJ1170/HN1170))</f>
        <v>0.12222222222222222</v>
      </c>
      <c r="HP1170" s="391">
        <v>160</v>
      </c>
      <c r="HQ1170" s="369">
        <v>0</v>
      </c>
      <c r="HR1170" s="391">
        <f>1.38*2</f>
        <v>2.76</v>
      </c>
      <c r="HS1170" s="369">
        <v>40</v>
      </c>
      <c r="HT1170" s="394">
        <f>IF(ISERROR(HR1170/HS1170),0,HR1170/HS1170)</f>
        <v>6.8999999999999992E-2</v>
      </c>
      <c r="HU1170" s="394"/>
      <c r="HV1170" s="391">
        <f t="shared" ref="HV1170" si="1034">(HO1170+HT1170)</f>
        <v>0.19122222222222221</v>
      </c>
      <c r="HW1170" s="369"/>
      <c r="HX1170" s="369">
        <v>4200</v>
      </c>
      <c r="HY1170" s="369">
        <v>1900</v>
      </c>
      <c r="HZ1170" s="369">
        <v>1975</v>
      </c>
      <c r="IA1170" s="391">
        <f t="shared" ref="IA1170:IC1170" si="1035">ROUNDDOWN(HX1170/HA1170,0)</f>
        <v>6</v>
      </c>
      <c r="IB1170" s="391">
        <f t="shared" si="1035"/>
        <v>4</v>
      </c>
      <c r="IC1170" s="391">
        <f t="shared" si="1035"/>
        <v>6</v>
      </c>
      <c r="ID1170" s="395">
        <v>1</v>
      </c>
      <c r="IE1170" s="369">
        <f>PRODUCT(IA1170:ID1170)+2</f>
        <v>146</v>
      </c>
      <c r="IF1170" s="369">
        <v>500</v>
      </c>
      <c r="IG1170" s="391">
        <f t="shared" ref="IG1170" si="1036">(IF1170/(IE1170*HD1170))</f>
        <v>8.5616438356164379E-2</v>
      </c>
    </row>
    <row r="1171" spans="1:337">
      <c r="A1171">
        <v>1154</v>
      </c>
      <c r="B1171" t="s">
        <v>468</v>
      </c>
      <c r="C1171" s="370" t="s">
        <v>4984</v>
      </c>
      <c r="D1171" s="28" t="s">
        <v>3124</v>
      </c>
      <c r="E1171" s="27" t="s">
        <v>3125</v>
      </c>
      <c r="F1171" t="s">
        <v>4834</v>
      </c>
      <c r="G1171" s="27" t="s">
        <v>90</v>
      </c>
      <c r="H1171" t="s">
        <v>4983</v>
      </c>
      <c r="I1171" s="27" t="s">
        <v>226</v>
      </c>
      <c r="J1171" s="28">
        <v>29163</v>
      </c>
      <c r="K1171" s="27" t="s">
        <v>4511</v>
      </c>
    </row>
    <row r="1172" spans="1:337">
      <c r="A1172">
        <v>1155</v>
      </c>
      <c r="C1172" t="s">
        <v>567</v>
      </c>
      <c r="D1172" s="28" t="s">
        <v>3124</v>
      </c>
      <c r="E1172" s="27" t="s">
        <v>3125</v>
      </c>
      <c r="F1172" t="s">
        <v>2444</v>
      </c>
      <c r="G1172" s="27" t="s">
        <v>90</v>
      </c>
      <c r="I1172" s="27" t="s">
        <v>226</v>
      </c>
      <c r="J1172" s="28">
        <v>21820</v>
      </c>
      <c r="K1172" s="27" t="s">
        <v>408</v>
      </c>
      <c r="L1172" s="450"/>
      <c r="M1172" s="28"/>
      <c r="N1172" s="28" t="s">
        <v>4568</v>
      </c>
      <c r="O1172" s="28" t="s">
        <v>4981</v>
      </c>
      <c r="P1172" s="370">
        <v>45149</v>
      </c>
      <c r="Q1172" s="370"/>
      <c r="R1172" s="370"/>
      <c r="S1172" s="370"/>
      <c r="T1172" s="370"/>
      <c r="U1172" s="370"/>
      <c r="V1172"/>
      <c r="W1172" s="370" t="s">
        <v>4982</v>
      </c>
    </row>
    <row r="1173" spans="1:337">
      <c r="A1173">
        <v>1156</v>
      </c>
      <c r="B1173" t="s">
        <v>468</v>
      </c>
      <c r="C1173" s="370" t="s">
        <v>4985</v>
      </c>
      <c r="D1173" s="28" t="s">
        <v>3126</v>
      </c>
      <c r="E1173" s="27" t="s">
        <v>3127</v>
      </c>
      <c r="F1173" t="s">
        <v>4834</v>
      </c>
      <c r="G1173" s="27" t="s">
        <v>90</v>
      </c>
      <c r="H1173" t="s">
        <v>4986</v>
      </c>
      <c r="I1173" s="27" t="s">
        <v>226</v>
      </c>
      <c r="J1173" s="28">
        <v>21820</v>
      </c>
      <c r="K1173" s="27" t="s">
        <v>408</v>
      </c>
    </row>
    <row r="1174" spans="1:337">
      <c r="A1174">
        <v>1157</v>
      </c>
      <c r="C1174" t="s">
        <v>567</v>
      </c>
      <c r="D1174" s="28" t="s">
        <v>3128</v>
      </c>
      <c r="E1174" s="27" t="s">
        <v>361</v>
      </c>
      <c r="F1174" t="s">
        <v>2444</v>
      </c>
      <c r="G1174" s="27" t="s">
        <v>90</v>
      </c>
      <c r="I1174" s="27" t="s">
        <v>226</v>
      </c>
      <c r="J1174" s="28">
        <v>21516</v>
      </c>
      <c r="K1174" s="27" t="s">
        <v>410</v>
      </c>
      <c r="L1174" s="369"/>
      <c r="M1174" s="369"/>
      <c r="N1174" s="369"/>
      <c r="O1174" s="369"/>
      <c r="P1174" s="369"/>
      <c r="Q1174" s="369"/>
      <c r="R1174" s="369"/>
      <c r="S1174" s="369"/>
      <c r="T1174" s="369"/>
      <c r="U1174" s="369"/>
      <c r="V1174" s="369"/>
      <c r="W1174" s="27" t="s">
        <v>4745</v>
      </c>
    </row>
    <row r="1175" spans="1:337">
      <c r="A1175">
        <v>1158</v>
      </c>
      <c r="B1175" t="s">
        <v>468</v>
      </c>
      <c r="C1175" s="453" t="s">
        <v>4946</v>
      </c>
      <c r="D1175" s="28" t="s">
        <v>3129</v>
      </c>
      <c r="E1175" s="27" t="s">
        <v>3130</v>
      </c>
      <c r="F1175" t="s">
        <v>4853</v>
      </c>
      <c r="G1175" s="27" t="s">
        <v>90</v>
      </c>
      <c r="H1175" t="s">
        <v>4947</v>
      </c>
      <c r="I1175" s="27" t="s">
        <v>226</v>
      </c>
      <c r="J1175" s="28">
        <v>21696</v>
      </c>
      <c r="K1175" s="27" t="s">
        <v>412</v>
      </c>
    </row>
    <row r="1176" spans="1:337" ht="63.75">
      <c r="A1176">
        <v>1159</v>
      </c>
      <c r="B1176" t="s">
        <v>468</v>
      </c>
      <c r="C1176" s="27" t="s">
        <v>4940</v>
      </c>
      <c r="D1176" s="28" t="s">
        <v>3131</v>
      </c>
      <c r="E1176" s="27" t="s">
        <v>3132</v>
      </c>
      <c r="F1176" t="s">
        <v>2182</v>
      </c>
      <c r="G1176" s="27" t="s">
        <v>90</v>
      </c>
      <c r="I1176" s="27" t="s">
        <v>226</v>
      </c>
      <c r="J1176" s="28">
        <v>21696</v>
      </c>
      <c r="K1176" s="27" t="s">
        <v>412</v>
      </c>
      <c r="L1176" s="28">
        <v>20024</v>
      </c>
      <c r="M1176" s="27" t="s">
        <v>226</v>
      </c>
      <c r="N1176" s="28"/>
      <c r="O1176" s="28"/>
      <c r="P1176" s="442"/>
      <c r="Q1176" s="27" t="s">
        <v>4941</v>
      </c>
      <c r="R1176" s="27" t="s">
        <v>1769</v>
      </c>
      <c r="S1176" s="370">
        <v>43895</v>
      </c>
      <c r="T1176" s="457" t="s">
        <v>4555</v>
      </c>
      <c r="U1176" s="370">
        <v>43909</v>
      </c>
      <c r="V1176" s="369"/>
      <c r="W1176" s="444" t="s">
        <v>4942</v>
      </c>
      <c r="X1176" s="444"/>
      <c r="Y1176" s="444"/>
      <c r="Z1176" s="444"/>
      <c r="AA1176" s="369" t="s">
        <v>4943</v>
      </c>
      <c r="AB1176" s="369">
        <v>112.23</v>
      </c>
      <c r="AC1176" s="391">
        <v>0</v>
      </c>
      <c r="AD1176" s="369"/>
      <c r="AE1176" s="391">
        <f t="shared" ref="AE1176" si="1037">BA1176</f>
        <v>2.4690599999999998</v>
      </c>
      <c r="AF1176" s="391">
        <f>DU1176+DZ1176+EE1176</f>
        <v>2.8280098469135808</v>
      </c>
      <c r="AG1176" s="391">
        <f>EU1176</f>
        <v>5.1444444444444448</v>
      </c>
      <c r="AH1176" s="391">
        <f t="shared" ref="AH1176" si="1038">DM1176</f>
        <v>1.5</v>
      </c>
      <c r="AI1176" s="391">
        <f t="shared" ref="AI1176" si="1039">DO1176</f>
        <v>0</v>
      </c>
      <c r="AJ1176" s="391">
        <f t="shared" ref="AJ1176" si="1040">GW1176</f>
        <v>7.6135044444444452E-2</v>
      </c>
      <c r="AK1176" s="391">
        <f t="shared" ref="AK1176" si="1041">GU1176</f>
        <v>0.1522700888888889</v>
      </c>
      <c r="AL1176" s="391">
        <f>GO1176+GQ1176</f>
        <v>1.0658906222222224</v>
      </c>
      <c r="AM1176" s="391">
        <f t="shared" ref="AM1176" si="1042">HV1176</f>
        <v>7.6135044444444452E-2</v>
      </c>
      <c r="AN1176" s="391">
        <f t="shared" ref="AN1176" si="1043">IG1176</f>
        <v>7.6135044444444452E-2</v>
      </c>
      <c r="AO1176" s="369"/>
      <c r="AP1176" s="369"/>
      <c r="AQ1176" s="391">
        <f t="shared" ref="AQ1176" si="1044">SUM(AE1176:AO1176)</f>
        <v>13.388080135802472</v>
      </c>
      <c r="AR1176" s="391">
        <f t="shared" ref="AR1176" si="1045">IJ1176</f>
        <v>0</v>
      </c>
      <c r="AS1176" s="391">
        <v>0</v>
      </c>
      <c r="AT1176" s="391">
        <v>0</v>
      </c>
      <c r="AU1176" s="391">
        <f>10.845-10.56</f>
        <v>0.28500000000000014</v>
      </c>
      <c r="AV1176" s="391">
        <f t="shared" ref="AV1176" si="1046">AQ1176+AT1176+AU1176+AR1176+AS1176</f>
        <v>13.673080135802472</v>
      </c>
      <c r="AW1176" s="391">
        <f>22/1000</f>
        <v>2.1999999999999999E-2</v>
      </c>
      <c r="AX1176" s="369">
        <f>20/1000</f>
        <v>0.02</v>
      </c>
      <c r="AY1176" s="399">
        <v>1</v>
      </c>
      <c r="AZ1176" s="391">
        <f t="shared" ref="AZ1176" si="1047">(AW1176-AX1176)*AY1176</f>
        <v>1.9999999999999983E-3</v>
      </c>
      <c r="BA1176" s="391">
        <f t="shared" ref="BA1176" si="1048">AW1176*AB1176-AZ1176*AC1176</f>
        <v>2.4690599999999998</v>
      </c>
      <c r="BB1176" s="369"/>
      <c r="BC1176" s="369"/>
      <c r="BD1176" s="369"/>
      <c r="BE1176" s="369"/>
      <c r="BF1176" s="369"/>
      <c r="BG1176" s="369"/>
      <c r="BH1176" s="369"/>
      <c r="BI1176" s="369"/>
      <c r="BJ1176" s="458"/>
      <c r="BK1176" s="369"/>
      <c r="BL1176" s="369"/>
      <c r="BM1176" s="369"/>
      <c r="BN1176" s="369"/>
      <c r="BO1176" s="369"/>
      <c r="BP1176" s="369"/>
      <c r="BQ1176" s="369"/>
      <c r="BR1176" s="369"/>
      <c r="BS1176" s="369"/>
      <c r="BT1176" s="369"/>
      <c r="BU1176" s="369"/>
      <c r="BV1176" s="369"/>
      <c r="BW1176" s="369"/>
      <c r="BX1176" s="369"/>
      <c r="BY1176" s="369"/>
      <c r="BZ1176" s="369"/>
      <c r="CA1176" s="369"/>
      <c r="CB1176" s="369"/>
      <c r="CC1176" s="369"/>
      <c r="CD1176" s="369"/>
      <c r="CE1176" s="369"/>
      <c r="CF1176" s="391">
        <v>1</v>
      </c>
      <c r="CG1176" s="391">
        <v>1.5</v>
      </c>
      <c r="CH1176" s="391">
        <f>CF1176*CG1176</f>
        <v>1.5</v>
      </c>
      <c r="CI1176" s="369"/>
      <c r="CJ1176" s="369"/>
      <c r="CK1176" s="369"/>
      <c r="CL1176" s="369"/>
      <c r="CM1176" s="369"/>
      <c r="CN1176" s="369"/>
      <c r="CO1176" s="369"/>
      <c r="CP1176" s="369"/>
      <c r="CQ1176" s="369"/>
      <c r="CR1176" s="369"/>
      <c r="CS1176" s="369"/>
      <c r="CT1176" s="369"/>
      <c r="CU1176" s="369"/>
      <c r="CV1176" s="369"/>
      <c r="CW1176" s="369"/>
      <c r="CX1176" s="369"/>
      <c r="CY1176" s="369"/>
      <c r="CZ1176" s="369"/>
      <c r="DA1176" s="369"/>
      <c r="DB1176" s="369"/>
      <c r="DC1176" s="369"/>
      <c r="DD1176" s="369"/>
      <c r="DE1176" s="369"/>
      <c r="DF1176" s="369"/>
      <c r="DG1176" s="369"/>
      <c r="DH1176" s="369"/>
      <c r="DI1176" s="369"/>
      <c r="DJ1176" s="369"/>
      <c r="DK1176" s="369"/>
      <c r="DL1176" s="369"/>
      <c r="DM1176" s="391">
        <f>CH1176</f>
        <v>1.5</v>
      </c>
      <c r="DN1176" s="458"/>
      <c r="DO1176" s="369"/>
      <c r="DP1176" s="391">
        <f>DO1176+DM1176</f>
        <v>1.5</v>
      </c>
      <c r="DQ1176" s="369"/>
      <c r="DR1176" s="369" t="s">
        <v>4944</v>
      </c>
      <c r="DS1176" s="402">
        <v>1</v>
      </c>
      <c r="DT1176" s="391">
        <f>KN1176</f>
        <v>1.7367561543209884</v>
      </c>
      <c r="DU1176" s="391">
        <f>DS1176*DT1176</f>
        <v>1.7367561543209884</v>
      </c>
      <c r="DV1176" s="369"/>
      <c r="DW1176" s="369" t="s">
        <v>4945</v>
      </c>
      <c r="DX1176" s="391">
        <v>1</v>
      </c>
      <c r="DY1176" s="391">
        <f>LY1176</f>
        <v>1.0912536925925924</v>
      </c>
      <c r="DZ1176" s="391">
        <f>DX1176*DY1176</f>
        <v>1.0912536925925924</v>
      </c>
      <c r="EA1176" s="369"/>
      <c r="EB1176" s="369"/>
      <c r="EC1176" s="369"/>
      <c r="ED1176" s="369"/>
      <c r="EE1176" s="369"/>
      <c r="EF1176" s="369">
        <v>90</v>
      </c>
      <c r="EG1176" s="369">
        <v>900</v>
      </c>
      <c r="EH1176" s="369">
        <v>7.5</v>
      </c>
      <c r="EI1176" s="395">
        <v>0.9</v>
      </c>
      <c r="EJ1176" s="369">
        <v>1</v>
      </c>
      <c r="EK1176" s="369">
        <v>120</v>
      </c>
      <c r="EL1176" s="396">
        <f t="shared" ref="EL1176" si="1049">3600/EK1176*EH1176*EJ1176*EI1176</f>
        <v>202.5</v>
      </c>
      <c r="EM1176" s="369"/>
      <c r="EN1176" s="369"/>
      <c r="EO1176" s="391">
        <f>0.2</f>
        <v>0.2</v>
      </c>
      <c r="EP1176" s="369"/>
      <c r="EQ1176" s="369"/>
      <c r="ER1176" s="369"/>
      <c r="ES1176" s="369"/>
      <c r="ET1176" s="369"/>
      <c r="EU1176" s="391">
        <f>EG1176/EL1176+EX1176+EO1176</f>
        <v>5.1444444444444448</v>
      </c>
      <c r="EV1176" s="369"/>
      <c r="EW1176" s="369"/>
      <c r="EX1176" s="391">
        <v>0.5</v>
      </c>
      <c r="EY1176" s="369"/>
      <c r="EZ1176" s="369"/>
      <c r="FA1176" s="391">
        <f t="shared" ref="FA1176" si="1050">EX1176+EY1176</f>
        <v>0.5</v>
      </c>
      <c r="FB1176" s="369"/>
      <c r="FC1176" s="369"/>
      <c r="FD1176" s="369"/>
      <c r="FE1176" s="399"/>
      <c r="FF1176" s="369"/>
      <c r="FG1176" s="369"/>
      <c r="FH1176" s="369"/>
      <c r="FI1176" s="369"/>
      <c r="FJ1176" s="369"/>
      <c r="FK1176" s="369"/>
      <c r="FL1176" s="369"/>
      <c r="FM1176" s="369"/>
      <c r="FN1176" s="369"/>
      <c r="FO1176" s="369"/>
      <c r="FP1176" s="369"/>
      <c r="FQ1176" s="369"/>
      <c r="FR1176" s="369"/>
      <c r="FS1176" s="369"/>
      <c r="FT1176" s="369"/>
      <c r="FU1176" s="369"/>
      <c r="FV1176" s="369"/>
      <c r="FW1176" s="369"/>
      <c r="FX1176" s="369"/>
      <c r="FY1176" s="369"/>
      <c r="FZ1176" s="369"/>
      <c r="GA1176" s="369"/>
      <c r="GB1176" s="369"/>
      <c r="GC1176" s="369"/>
      <c r="GD1176" s="369"/>
      <c r="GE1176" s="369"/>
      <c r="GF1176" s="369"/>
      <c r="GG1176" s="369"/>
      <c r="GH1176" s="369"/>
      <c r="GI1176" s="369"/>
      <c r="GJ1176" s="369"/>
      <c r="GK1176" s="369"/>
      <c r="GL1176" s="369"/>
      <c r="GM1176" s="369"/>
      <c r="GN1176" s="399">
        <v>7.0000000000000007E-2</v>
      </c>
      <c r="GO1176" s="391">
        <f>GN1176*(EU1176+BA1176)</f>
        <v>0.53294531111111121</v>
      </c>
      <c r="GP1176" s="399">
        <v>7.0000000000000007E-2</v>
      </c>
      <c r="GQ1176" s="391">
        <f>GP1176*(EU1176+BA1176)</f>
        <v>0.53294531111111121</v>
      </c>
      <c r="GR1176" s="399"/>
      <c r="GS1176" s="369"/>
      <c r="GT1176" s="399">
        <v>0.02</v>
      </c>
      <c r="GU1176" s="391">
        <f>GT1176*(EU1176+BA1176)</f>
        <v>0.1522700888888889</v>
      </c>
      <c r="GV1176" s="395">
        <v>0.01</v>
      </c>
      <c r="GW1176" s="391">
        <f>GV1176*(EU1176+BA1176)</f>
        <v>7.6135044444444452E-2</v>
      </c>
      <c r="GX1176" s="369"/>
      <c r="GY1176" s="369"/>
      <c r="GZ1176" s="369"/>
      <c r="HA1176" s="369"/>
      <c r="HB1176" s="369"/>
      <c r="HC1176" s="369"/>
      <c r="HD1176" s="369"/>
      <c r="HE1176" s="369"/>
      <c r="HF1176" s="369"/>
      <c r="HG1176" s="369"/>
      <c r="HH1176" s="369"/>
      <c r="HI1176" s="369"/>
      <c r="HJ1176" s="369"/>
      <c r="HK1176" s="459"/>
      <c r="HL1176" s="369"/>
      <c r="HM1176" s="369"/>
      <c r="HN1176" s="369"/>
      <c r="HO1176" s="369"/>
      <c r="HP1176" s="369"/>
      <c r="HQ1176" s="369"/>
      <c r="HR1176" s="369"/>
      <c r="HS1176" s="369"/>
      <c r="HT1176" s="369"/>
      <c r="HU1176" s="460"/>
      <c r="HV1176" s="391">
        <f>1%*(EU1176+BA1176)</f>
        <v>7.6135044444444452E-2</v>
      </c>
      <c r="HW1176" s="369"/>
      <c r="HX1176" s="369"/>
      <c r="HY1176" s="369"/>
      <c r="HZ1176" s="369"/>
      <c r="IA1176" s="369"/>
      <c r="IB1176" s="369"/>
      <c r="IC1176" s="369"/>
      <c r="ID1176" s="399"/>
      <c r="IE1176" s="369"/>
      <c r="IF1176" s="369"/>
      <c r="IG1176" s="391">
        <f>1%*(EU1176+BA1176)</f>
        <v>7.6135044444444452E-2</v>
      </c>
      <c r="IH1176" s="369"/>
      <c r="II1176" s="399"/>
      <c r="IJ1176" s="369"/>
      <c r="IK1176" s="369" t="s">
        <v>4943</v>
      </c>
      <c r="IL1176" s="369">
        <v>112.23</v>
      </c>
      <c r="IM1176" s="391">
        <v>0</v>
      </c>
      <c r="IN1176" s="369"/>
      <c r="IO1176" s="391">
        <f>5/1000</f>
        <v>5.0000000000000001E-3</v>
      </c>
      <c r="IP1176" s="391">
        <f>4/1000</f>
        <v>4.0000000000000001E-3</v>
      </c>
      <c r="IQ1176" s="399">
        <v>1</v>
      </c>
      <c r="IR1176" s="391">
        <f>(IO1176-IP1176)*IQ1176</f>
        <v>1E-3</v>
      </c>
      <c r="IS1176" s="391">
        <f>IO1176*IL1176-IR1176*IM1176</f>
        <v>0.56115000000000004</v>
      </c>
      <c r="IT1176" s="369"/>
      <c r="IU1176" s="369"/>
      <c r="IV1176" s="369"/>
      <c r="IW1176" s="369"/>
      <c r="IX1176" s="369"/>
      <c r="IY1176" s="369"/>
      <c r="IZ1176" s="369"/>
      <c r="JA1176" s="369"/>
      <c r="JB1176" s="369"/>
      <c r="JC1176" s="369"/>
      <c r="JD1176" s="369"/>
      <c r="JE1176" s="369"/>
      <c r="JF1176" s="369"/>
      <c r="JG1176" s="369"/>
      <c r="JH1176" s="369"/>
      <c r="JI1176" s="369"/>
      <c r="JJ1176" s="369"/>
      <c r="JK1176" s="369"/>
      <c r="JL1176" s="369"/>
      <c r="JM1176" s="369"/>
      <c r="JN1176" s="369"/>
      <c r="JO1176" s="369"/>
      <c r="JP1176" s="369"/>
      <c r="JQ1176" s="391">
        <f>JP1176+JK1176+JF1176+JA1176+IV1176</f>
        <v>0</v>
      </c>
      <c r="JR1176" s="458">
        <v>1.2500000000000001E-2</v>
      </c>
      <c r="JS1176" s="391">
        <f>JR1176*JQ1176</f>
        <v>0</v>
      </c>
      <c r="JT1176" s="391">
        <f>JS1176+JQ1176</f>
        <v>0</v>
      </c>
      <c r="JU1176" s="391">
        <v>70</v>
      </c>
      <c r="JV1176" s="391">
        <v>700</v>
      </c>
      <c r="JW1176" s="391">
        <v>7.5</v>
      </c>
      <c r="JX1176" s="399">
        <v>0.9</v>
      </c>
      <c r="JY1176" s="391">
        <v>1</v>
      </c>
      <c r="JZ1176" s="391">
        <v>75</v>
      </c>
      <c r="KA1176" s="391">
        <f>3600/JZ1176*JY1176*JX1176*JW1176</f>
        <v>324</v>
      </c>
      <c r="KB1176" s="391">
        <f>0.2</f>
        <v>0.2</v>
      </c>
      <c r="KC1176" s="391">
        <f>JV1176/KA1176+KD1176+KB1176</f>
        <v>2.3604938271604938</v>
      </c>
      <c r="KD1176" s="391">
        <v>0</v>
      </c>
      <c r="KE1176" s="399">
        <v>0.14000000000000001</v>
      </c>
      <c r="KF1176" s="391">
        <f>KE1176*(KC1176+IS1176)</f>
        <v>0.40903013580246916</v>
      </c>
      <c r="KG1176" s="458">
        <v>0.02</v>
      </c>
      <c r="KH1176" s="391">
        <f>KG1176*(KC1176+IS1176)</f>
        <v>5.8432876543209882E-2</v>
      </c>
      <c r="KI1176" s="399">
        <v>0.01</v>
      </c>
      <c r="KJ1176" s="391">
        <f>KI1176*(KC1176+IS1176)</f>
        <v>2.9216438271604941E-2</v>
      </c>
      <c r="KK1176" s="391">
        <f>1%*(KC1176+IS1176)</f>
        <v>2.9216438271604941E-2</v>
      </c>
      <c r="KL1176" s="391">
        <f>1%*(KC1176+IS1176)</f>
        <v>2.9216438271604941E-2</v>
      </c>
      <c r="KM1176" s="391">
        <f>3.48/2-3.48</f>
        <v>-1.74</v>
      </c>
      <c r="KN1176" s="391">
        <f>IS1176+JQ1176+JS1176+KC1176+KF1176+KH1176+KJ1176+KK1176+KL1176+KM1176</f>
        <v>1.7367561543209884</v>
      </c>
      <c r="KO1176" s="369" t="s">
        <v>4943</v>
      </c>
      <c r="KP1176" s="369">
        <v>112.23</v>
      </c>
      <c r="KQ1176" s="391">
        <v>0</v>
      </c>
      <c r="KR1176" s="369"/>
      <c r="KS1176" s="391">
        <f>3/1000</f>
        <v>3.0000000000000001E-3</v>
      </c>
      <c r="KT1176" s="391">
        <f>2/1000</f>
        <v>2E-3</v>
      </c>
      <c r="KU1176" s="399">
        <v>1</v>
      </c>
      <c r="KV1176" s="391">
        <f>(KS1176-KT1176)*KU1176</f>
        <v>1E-3</v>
      </c>
      <c r="KW1176" s="391">
        <f>KS1176*KP1176-KV1176*KQ1176</f>
        <v>0.33669000000000004</v>
      </c>
      <c r="KX1176" s="369"/>
      <c r="KY1176" s="369"/>
      <c r="KZ1176" s="369"/>
      <c r="LA1176" s="369"/>
      <c r="LB1176" s="369"/>
      <c r="LC1176" s="369"/>
      <c r="LD1176" s="369"/>
      <c r="LE1176" s="369"/>
      <c r="LF1176" s="391">
        <v>70</v>
      </c>
      <c r="LG1176" s="391">
        <v>700</v>
      </c>
      <c r="LH1176" s="391">
        <v>7.5</v>
      </c>
      <c r="LI1176" s="399">
        <v>0.9</v>
      </c>
      <c r="LJ1176" s="391">
        <v>1</v>
      </c>
      <c r="LK1176" s="391">
        <v>45</v>
      </c>
      <c r="LL1176" s="391">
        <f>3600/LK1176*LJ1176*LI1176*LH1176</f>
        <v>540</v>
      </c>
      <c r="LM1176" s="391">
        <f>0.2</f>
        <v>0.2</v>
      </c>
      <c r="LN1176" s="391">
        <f>LG1176/LL1176+LM1176</f>
        <v>1.4962962962962962</v>
      </c>
      <c r="LO1176" s="391"/>
      <c r="LP1176" s="399">
        <v>0.14000000000000001</v>
      </c>
      <c r="LQ1176" s="391">
        <f>LP1176*(LN1176+KW1176)</f>
        <v>0.25661808148148152</v>
      </c>
      <c r="LR1176" s="399">
        <v>0.02</v>
      </c>
      <c r="LS1176" s="391">
        <f>LR1176*(LN1176+KW1176)</f>
        <v>3.665972592592593E-2</v>
      </c>
      <c r="LT1176" s="399">
        <v>0.01</v>
      </c>
      <c r="LU1176" s="391">
        <f>LT1176*(LN1176+KW1176)</f>
        <v>1.8329862962962965E-2</v>
      </c>
      <c r="LV1176" s="391">
        <f>1%*(LN1176+KW1176)</f>
        <v>1.8329862962962965E-2</v>
      </c>
      <c r="LW1176" s="391">
        <f>1%*(LN1176+KW1176)</f>
        <v>1.8329862962962965E-2</v>
      </c>
      <c r="LX1176" s="391">
        <f>2.18/2-2.18</f>
        <v>-1.0900000000000001</v>
      </c>
      <c r="LY1176" s="391">
        <f>KW1176+LB1176+LD1176+LN1176+LQ1176+LS1176+LU1176+LV1176+LW1176+LX1176</f>
        <v>1.0912536925925924</v>
      </c>
    </row>
    <row r="1177" spans="1:337">
      <c r="A1177">
        <v>1160</v>
      </c>
      <c r="B1177" t="s">
        <v>468</v>
      </c>
      <c r="C1177" s="27" t="s">
        <v>4747</v>
      </c>
      <c r="D1177" s="28" t="s">
        <v>3133</v>
      </c>
      <c r="E1177" s="27" t="s">
        <v>3110</v>
      </c>
      <c r="F1177" t="s">
        <v>4746</v>
      </c>
      <c r="G1177" s="27" t="s">
        <v>90</v>
      </c>
      <c r="I1177" s="27" t="s">
        <v>226</v>
      </c>
      <c r="J1177" s="28">
        <v>21516</v>
      </c>
      <c r="K1177" s="27" t="s">
        <v>410</v>
      </c>
    </row>
    <row r="1178" spans="1:337">
      <c r="A1178">
        <v>1161</v>
      </c>
      <c r="B1178" t="s">
        <v>468</v>
      </c>
      <c r="C1178" s="27" t="s">
        <v>4749</v>
      </c>
      <c r="D1178" s="28" t="s">
        <v>3134</v>
      </c>
      <c r="E1178" s="27" t="s">
        <v>3032</v>
      </c>
      <c r="F1178" t="s">
        <v>4748</v>
      </c>
      <c r="G1178" s="27" t="s">
        <v>90</v>
      </c>
      <c r="I1178" s="27" t="s">
        <v>226</v>
      </c>
      <c r="J1178" s="28">
        <v>21516</v>
      </c>
      <c r="K1178" s="27" t="s">
        <v>410</v>
      </c>
    </row>
    <row r="1179" spans="1:337">
      <c r="A1179">
        <v>1162</v>
      </c>
      <c r="C1179" t="s">
        <v>567</v>
      </c>
      <c r="D1179" s="28" t="s">
        <v>3135</v>
      </c>
      <c r="E1179" s="27" t="s">
        <v>3136</v>
      </c>
      <c r="F1179" t="s">
        <v>2444</v>
      </c>
      <c r="G1179" s="27" t="s">
        <v>90</v>
      </c>
      <c r="I1179" s="27" t="s">
        <v>121</v>
      </c>
      <c r="J1179" s="28">
        <v>21205</v>
      </c>
      <c r="K1179" s="27" t="s">
        <v>395</v>
      </c>
      <c r="L1179" s="369"/>
      <c r="M1179" s="369"/>
      <c r="N1179" s="369"/>
      <c r="O1179" s="27" t="s">
        <v>1791</v>
      </c>
      <c r="P1179" s="370">
        <v>44464</v>
      </c>
      <c r="Q1179" s="369"/>
      <c r="R1179" s="369"/>
      <c r="S1179" s="369"/>
      <c r="T1179" s="369"/>
      <c r="U1179" s="369"/>
      <c r="V1179" s="369"/>
      <c r="W1179" s="27" t="s">
        <v>1765</v>
      </c>
    </row>
    <row r="1180" spans="1:337">
      <c r="A1180">
        <v>1163</v>
      </c>
      <c r="C1180" t="s">
        <v>567</v>
      </c>
      <c r="D1180" s="28" t="s">
        <v>3137</v>
      </c>
      <c r="E1180" s="27" t="s">
        <v>1693</v>
      </c>
      <c r="F1180" t="s">
        <v>2444</v>
      </c>
      <c r="G1180" s="27" t="s">
        <v>90</v>
      </c>
      <c r="I1180" s="27" t="s">
        <v>121</v>
      </c>
      <c r="J1180" s="28">
        <v>29010</v>
      </c>
      <c r="K1180" s="27" t="s">
        <v>229</v>
      </c>
      <c r="L1180" s="371"/>
      <c r="M1180" s="369"/>
      <c r="N1180" s="27" t="s">
        <v>1764</v>
      </c>
      <c r="O1180" s="27" t="s">
        <v>1763</v>
      </c>
      <c r="P1180" s="370">
        <v>43105</v>
      </c>
      <c r="Q1180" s="369"/>
      <c r="R1180" s="369"/>
      <c r="S1180" s="369"/>
      <c r="T1180" s="369"/>
      <c r="U1180" s="369"/>
      <c r="V1180" s="369"/>
      <c r="W1180" s="27" t="s">
        <v>1765</v>
      </c>
    </row>
    <row r="1181" spans="1:337">
      <c r="A1181">
        <v>1164</v>
      </c>
      <c r="C1181" t="s">
        <v>567</v>
      </c>
      <c r="D1181" s="28" t="s">
        <v>3137</v>
      </c>
      <c r="E1181" s="27" t="s">
        <v>1693</v>
      </c>
      <c r="F1181" t="s">
        <v>2444</v>
      </c>
      <c r="G1181" s="27" t="s">
        <v>90</v>
      </c>
      <c r="I1181" s="27" t="s">
        <v>94</v>
      </c>
      <c r="J1181" s="28">
        <v>29268</v>
      </c>
      <c r="K1181" s="27" t="s">
        <v>229</v>
      </c>
      <c r="L1181" s="371"/>
      <c r="M1181" s="369"/>
      <c r="N1181" s="27" t="s">
        <v>4722</v>
      </c>
      <c r="O1181" s="27" t="s">
        <v>1763</v>
      </c>
      <c r="P1181" s="370">
        <v>43105</v>
      </c>
      <c r="Q1181" s="369"/>
      <c r="R1181" s="369"/>
      <c r="S1181" s="369"/>
      <c r="T1181" s="369"/>
      <c r="U1181" s="369"/>
      <c r="V1181" s="369"/>
      <c r="W1181" s="27" t="s">
        <v>1765</v>
      </c>
    </row>
    <row r="1182" spans="1:337">
      <c r="A1182">
        <v>1165</v>
      </c>
      <c r="C1182" t="s">
        <v>567</v>
      </c>
      <c r="D1182" s="28" t="s">
        <v>3137</v>
      </c>
      <c r="E1182" s="27" t="s">
        <v>1693</v>
      </c>
      <c r="F1182" t="s">
        <v>2444</v>
      </c>
      <c r="G1182" s="27" t="s">
        <v>90</v>
      </c>
      <c r="I1182" s="27" t="s">
        <v>226</v>
      </c>
      <c r="J1182" s="28">
        <v>29164</v>
      </c>
      <c r="K1182" s="27" t="s">
        <v>229</v>
      </c>
      <c r="L1182" s="371"/>
      <c r="M1182" s="369"/>
      <c r="N1182" s="27" t="s">
        <v>1764</v>
      </c>
      <c r="O1182" s="27" t="s">
        <v>1763</v>
      </c>
      <c r="P1182" s="370">
        <v>43104</v>
      </c>
      <c r="Q1182" s="369"/>
      <c r="R1182" s="369"/>
      <c r="S1182" s="369"/>
      <c r="T1182" s="369"/>
      <c r="U1182" s="369"/>
      <c r="V1182" s="369"/>
      <c r="W1182" s="27" t="s">
        <v>1765</v>
      </c>
    </row>
    <row r="1183" spans="1:337">
      <c r="A1183">
        <v>1166</v>
      </c>
      <c r="C1183" t="s">
        <v>567</v>
      </c>
      <c r="D1183" s="28" t="s">
        <v>3138</v>
      </c>
      <c r="E1183" s="27" t="s">
        <v>146</v>
      </c>
      <c r="F1183" t="s">
        <v>2444</v>
      </c>
      <c r="G1183" s="27" t="s">
        <v>90</v>
      </c>
      <c r="I1183" s="27" t="s">
        <v>121</v>
      </c>
      <c r="J1183" s="28">
        <v>29010</v>
      </c>
      <c r="K1183" s="27" t="s">
        <v>229</v>
      </c>
      <c r="L1183" s="371"/>
      <c r="M1183" s="369"/>
      <c r="N1183" s="27" t="s">
        <v>1764</v>
      </c>
      <c r="O1183" s="27" t="s">
        <v>1763</v>
      </c>
      <c r="P1183" s="370">
        <v>43105</v>
      </c>
      <c r="Q1183" s="369"/>
      <c r="R1183" s="369"/>
      <c r="S1183" s="369"/>
      <c r="T1183" s="369"/>
      <c r="U1183" s="369"/>
      <c r="V1183" s="369"/>
      <c r="W1183" s="27" t="s">
        <v>1765</v>
      </c>
    </row>
    <row r="1184" spans="1:337">
      <c r="A1184">
        <v>1167</v>
      </c>
      <c r="B1184" t="s">
        <v>468</v>
      </c>
      <c r="C1184" s="27" t="s">
        <v>4750</v>
      </c>
      <c r="D1184" s="28" t="s">
        <v>3139</v>
      </c>
      <c r="E1184" s="27" t="s">
        <v>3140</v>
      </c>
      <c r="F1184" t="s">
        <v>2182</v>
      </c>
      <c r="G1184" s="27" t="s">
        <v>90</v>
      </c>
      <c r="I1184" s="27" t="s">
        <v>226</v>
      </c>
      <c r="J1184" s="28">
        <v>29164</v>
      </c>
      <c r="K1184" s="27" t="s">
        <v>229</v>
      </c>
      <c r="L1184" s="371"/>
      <c r="M1184" s="369"/>
      <c r="N1184" s="369"/>
      <c r="O1184" s="369"/>
      <c r="P1184" s="369"/>
      <c r="Q1184" s="27" t="s">
        <v>4706</v>
      </c>
      <c r="R1184" s="27" t="s">
        <v>1836</v>
      </c>
      <c r="S1184" s="370">
        <v>45231</v>
      </c>
      <c r="T1184" s="27" t="s">
        <v>4555</v>
      </c>
      <c r="U1184" s="370">
        <v>45238</v>
      </c>
      <c r="V1184" s="369"/>
      <c r="W1184" s="390"/>
      <c r="X1184" s="390"/>
      <c r="Y1184" s="390"/>
      <c r="Z1184" s="390"/>
      <c r="AA1184" s="390" t="s">
        <v>4751</v>
      </c>
      <c r="AB1184" s="369">
        <v>124.83</v>
      </c>
      <c r="AC1184" s="369">
        <v>0</v>
      </c>
      <c r="AD1184" s="390" t="s">
        <v>935</v>
      </c>
      <c r="AE1184" s="391">
        <f t="shared" ref="AE1184" si="1051">BA1184</f>
        <v>43.6905</v>
      </c>
      <c r="AF1184" s="391">
        <f>DU1184+DZ1184+EE1184</f>
        <v>0</v>
      </c>
      <c r="AG1184" s="391">
        <f t="shared" ref="AG1184" si="1052">EU1184+FA1184</f>
        <v>7.0358187134502925</v>
      </c>
      <c r="AH1184" s="391">
        <f t="shared" ref="AH1184" si="1053">DM1184</f>
        <v>0</v>
      </c>
      <c r="AI1184" s="391">
        <f t="shared" ref="AI1184" si="1054">DO1184</f>
        <v>0</v>
      </c>
      <c r="AJ1184" s="391">
        <f t="shared" ref="AJ1184" si="1055">GW1184</f>
        <v>0.14071637426900585</v>
      </c>
      <c r="AK1184" s="391">
        <f t="shared" ref="AK1184" si="1056">GU1184</f>
        <v>0.63407898391812867</v>
      </c>
      <c r="AL1184" s="391">
        <f t="shared" ref="AL1184" si="1057">GS1184</f>
        <v>5.5798950584795319</v>
      </c>
      <c r="AM1184" s="391">
        <f t="shared" ref="AM1184" si="1058">HV1184</f>
        <v>0.93833333333333324</v>
      </c>
      <c r="AN1184" s="391">
        <f t="shared" ref="AN1184" si="1059">IG1184</f>
        <v>0.41666666666666669</v>
      </c>
      <c r="AO1184" s="391"/>
      <c r="AP1184" s="391"/>
      <c r="AQ1184" s="391">
        <f t="shared" ref="AQ1184" si="1060">SUM(AE1184:AO1184)</f>
        <v>58.43600913011695</v>
      </c>
      <c r="AR1184" s="391">
        <f t="shared" ref="AR1184" si="1061">IJ1184</f>
        <v>0</v>
      </c>
      <c r="AS1184" s="391">
        <v>0</v>
      </c>
      <c r="AT1184" s="391">
        <v>0</v>
      </c>
      <c r="AU1184" s="391">
        <v>0</v>
      </c>
      <c r="AV1184" s="391">
        <f t="shared" ref="AV1184" si="1062">AQ1184+AT1184+AU1184+AR1184+AS1184</f>
        <v>58.43600913011695</v>
      </c>
      <c r="AW1184" s="369">
        <v>0.35</v>
      </c>
      <c r="AX1184" s="369">
        <v>0.35</v>
      </c>
      <c r="AY1184" s="392">
        <v>0.9</v>
      </c>
      <c r="AZ1184" s="391">
        <f t="shared" ref="AZ1184" si="1063">(AW1184-AX1184)*AY1184</f>
        <v>0</v>
      </c>
      <c r="BA1184" s="391">
        <f t="shared" ref="BA1184" si="1064">AW1184*AB1184-AZ1184*AC1184</f>
        <v>43.6905</v>
      </c>
      <c r="BB1184" s="391"/>
      <c r="BC1184" s="391"/>
      <c r="BD1184" s="391"/>
      <c r="BE1184" s="391"/>
      <c r="BF1184" s="391"/>
      <c r="BG1184" s="391"/>
      <c r="BH1184" s="391"/>
      <c r="BI1184" s="391"/>
      <c r="BJ1184" s="369"/>
      <c r="BK1184" s="369"/>
      <c r="BL1184" s="369"/>
      <c r="BM1184" s="369"/>
      <c r="BN1184" s="369"/>
      <c r="BO1184" s="369"/>
      <c r="BP1184" s="369"/>
      <c r="BQ1184" s="369"/>
      <c r="BR1184" s="369"/>
      <c r="BS1184" s="369"/>
      <c r="BT1184" s="369"/>
      <c r="BU1184" s="369"/>
      <c r="BV1184" s="369"/>
      <c r="BW1184" s="369"/>
      <c r="BX1184" s="369"/>
      <c r="BY1184" s="369"/>
      <c r="BZ1184" s="369"/>
      <c r="CA1184" s="369"/>
      <c r="CB1184" s="369"/>
      <c r="CC1184" s="369"/>
      <c r="CD1184" s="369"/>
      <c r="CE1184" s="369"/>
      <c r="CF1184" s="369"/>
      <c r="CG1184" s="369"/>
      <c r="CH1184" s="369"/>
      <c r="CI1184" s="369"/>
      <c r="CJ1184" s="369"/>
      <c r="CK1184" s="369"/>
      <c r="CL1184" s="369"/>
      <c r="CM1184" s="369"/>
      <c r="CN1184" s="369"/>
      <c r="CO1184" s="369"/>
      <c r="CP1184" s="369"/>
      <c r="CQ1184" s="369"/>
      <c r="CR1184" s="369"/>
      <c r="CS1184" s="369"/>
      <c r="CT1184" s="369"/>
      <c r="CU1184" s="369"/>
      <c r="CV1184" s="369"/>
      <c r="CW1184" s="369"/>
      <c r="CX1184" s="369"/>
      <c r="CY1184" s="369"/>
      <c r="CZ1184" s="369"/>
      <c r="DA1184" s="369"/>
      <c r="DB1184" s="369"/>
      <c r="DC1184" s="369"/>
      <c r="DD1184" s="369"/>
      <c r="DE1184" s="369"/>
      <c r="DF1184" s="369"/>
      <c r="DG1184" s="369"/>
      <c r="DH1184" s="369"/>
      <c r="DI1184" s="369"/>
      <c r="DJ1184" s="369"/>
      <c r="DK1184" s="369"/>
      <c r="DL1184" s="369"/>
      <c r="DM1184" s="369"/>
      <c r="DN1184" s="369"/>
      <c r="DO1184" s="369"/>
      <c r="DP1184" s="369"/>
      <c r="DQ1184" s="369"/>
      <c r="DR1184" s="369"/>
      <c r="DS1184" s="369"/>
      <c r="DT1184" s="369"/>
      <c r="DU1184" s="369"/>
      <c r="DV1184" s="369"/>
      <c r="DW1184" s="369"/>
      <c r="DX1184" s="369"/>
      <c r="DY1184" s="369"/>
      <c r="DZ1184" s="369"/>
      <c r="EA1184" s="369"/>
      <c r="EB1184" s="369"/>
      <c r="EC1184" s="369"/>
      <c r="ED1184" s="369"/>
      <c r="EE1184" s="369"/>
      <c r="EF1184" s="369">
        <v>350</v>
      </c>
      <c r="EG1184" s="369">
        <v>3500</v>
      </c>
      <c r="EH1184" s="369">
        <v>8</v>
      </c>
      <c r="EI1184" s="395">
        <v>0.95</v>
      </c>
      <c r="EJ1184" s="369">
        <v>1</v>
      </c>
      <c r="EK1184" s="369">
        <v>55</v>
      </c>
      <c r="EL1184" s="396">
        <f t="shared" ref="EL1184" si="1065">3600/EK1184*EH1184*EJ1184*EI1184</f>
        <v>497.45454545454544</v>
      </c>
      <c r="EM1184" s="369"/>
      <c r="EN1184" s="369"/>
      <c r="EO1184" s="369"/>
      <c r="EP1184" s="369"/>
      <c r="EQ1184" s="369"/>
      <c r="ER1184" s="369"/>
      <c r="ES1184" s="369"/>
      <c r="ET1184" s="369"/>
      <c r="EU1184" s="391">
        <f t="shared" ref="EU1184" si="1066">EG1184/EL1184+EM1184+EP1184+EQ1184+ER1184+EO1184</f>
        <v>7.0358187134502925</v>
      </c>
      <c r="EV1184" s="369"/>
      <c r="EW1184" s="369"/>
      <c r="EX1184" s="369"/>
      <c r="EY1184" s="369"/>
      <c r="EZ1184" s="369"/>
      <c r="FA1184" s="369"/>
      <c r="FB1184" s="369"/>
      <c r="FC1184" s="369"/>
      <c r="FD1184" s="369"/>
      <c r="FE1184" s="369"/>
      <c r="FF1184" s="369"/>
      <c r="FG1184" s="369"/>
      <c r="FH1184" s="369"/>
      <c r="FI1184" s="369"/>
      <c r="FJ1184" s="369"/>
      <c r="FK1184" s="369"/>
      <c r="FL1184" s="369"/>
      <c r="FM1184" s="369"/>
      <c r="FN1184" s="369"/>
      <c r="FO1184" s="369"/>
      <c r="FP1184" s="369"/>
      <c r="FQ1184" s="369"/>
      <c r="FR1184" s="369"/>
      <c r="FS1184" s="369"/>
      <c r="FT1184" s="369"/>
      <c r="FU1184" s="369"/>
      <c r="FV1184" s="369"/>
      <c r="FW1184" s="369"/>
      <c r="FX1184" s="369"/>
      <c r="FY1184" s="369"/>
      <c r="FZ1184" s="369"/>
      <c r="GA1184" s="369"/>
      <c r="GB1184" s="369"/>
      <c r="GC1184" s="369"/>
      <c r="GD1184" s="369"/>
      <c r="GE1184" s="369"/>
      <c r="GF1184" s="369"/>
      <c r="GG1184" s="369"/>
      <c r="GH1184" s="369"/>
      <c r="GI1184" s="369"/>
      <c r="GJ1184" s="369"/>
      <c r="GK1184" s="369"/>
      <c r="GL1184" s="369"/>
      <c r="GM1184" s="369"/>
      <c r="GN1184" s="369"/>
      <c r="GO1184" s="369"/>
      <c r="GP1184" s="392"/>
      <c r="GQ1184" s="369"/>
      <c r="GR1184" s="395">
        <v>0.11</v>
      </c>
      <c r="GS1184" s="391">
        <f t="shared" ref="GS1184" si="1067">GR1184*(BA1184+EU1184+EV1184)</f>
        <v>5.5798950584795319</v>
      </c>
      <c r="GT1184" s="393">
        <v>1.2500000000000001E-2</v>
      </c>
      <c r="GU1184" s="391">
        <f t="shared" ref="GU1184" si="1068">GT1184*(EU1184+BA1184+EV1184)</f>
        <v>0.63407898391812867</v>
      </c>
      <c r="GV1184" s="395">
        <v>0.02</v>
      </c>
      <c r="GW1184" s="391">
        <f t="shared" ref="GW1184" si="1069">GV1184*(EU1184-EP1184-EQ1184)</f>
        <v>0.14071637426900585</v>
      </c>
      <c r="GX1184" s="391">
        <f t="shared" ref="GX1184" si="1070">GS1184+GU1184+GW1184</f>
        <v>6.3546904166666671</v>
      </c>
      <c r="GY1184" s="369" t="s">
        <v>43</v>
      </c>
      <c r="GZ1184" s="369" t="s">
        <v>87</v>
      </c>
      <c r="HA1184" s="369">
        <v>810</v>
      </c>
      <c r="HB1184" s="369">
        <v>568</v>
      </c>
      <c r="HC1184" s="369">
        <v>425</v>
      </c>
      <c r="HD1184" s="369">
        <v>20</v>
      </c>
      <c r="HE1184" s="369">
        <v>300</v>
      </c>
      <c r="HF1184" s="369">
        <f t="shared" ref="HF1184" si="1071">ROUNDUP(HE1184/HD1184,0)</f>
        <v>15</v>
      </c>
      <c r="HG1184" s="369">
        <v>5</v>
      </c>
      <c r="HH1184" s="369">
        <f t="shared" ref="HH1184" si="1072">HF1184*HG1184</f>
        <v>75</v>
      </c>
      <c r="HI1184" s="369">
        <v>1100</v>
      </c>
      <c r="HJ1184" s="369">
        <f t="shared" ref="HJ1184" si="1073">HH1184*HI1184</f>
        <v>82500</v>
      </c>
      <c r="HK1184" s="369"/>
      <c r="HL1184" s="369"/>
      <c r="HM1184" s="369">
        <v>2</v>
      </c>
      <c r="HN1184" s="369">
        <f t="shared" ref="HN1184" si="1074">HM1184*12*25*HE1184</f>
        <v>180000</v>
      </c>
      <c r="HO1184" s="391">
        <f t="shared" ref="HO1184" si="1075">(IF(GY1184="carton box",HI1184/HD1184,HJ1184/HN1184))</f>
        <v>0.45833333333333331</v>
      </c>
      <c r="HP1184" s="391">
        <v>160</v>
      </c>
      <c r="HQ1184" s="369">
        <v>0</v>
      </c>
      <c r="HR1184" s="391">
        <f>2.4*4</f>
        <v>9.6</v>
      </c>
      <c r="HS1184" s="369">
        <v>20</v>
      </c>
      <c r="HT1184" s="394">
        <f>IF(ISERROR(HR1184/HS1184),0,HR1184/HS1184)</f>
        <v>0.48</v>
      </c>
      <c r="HU1184" s="394"/>
      <c r="HV1184" s="391">
        <f t="shared" ref="HV1184" si="1076">(HO1184+HT1184)</f>
        <v>0.93833333333333324</v>
      </c>
      <c r="HW1184" s="369"/>
      <c r="HX1184" s="369">
        <v>4200</v>
      </c>
      <c r="HY1184" s="369">
        <v>1900</v>
      </c>
      <c r="HZ1184" s="369">
        <v>1975</v>
      </c>
      <c r="IA1184" s="391">
        <f t="shared" ref="IA1184:IC1184" si="1077">ROUNDDOWN(HX1184/HA1184,0)</f>
        <v>5</v>
      </c>
      <c r="IB1184" s="391">
        <f t="shared" si="1077"/>
        <v>3</v>
      </c>
      <c r="IC1184" s="391">
        <f t="shared" si="1077"/>
        <v>4</v>
      </c>
      <c r="ID1184" s="395">
        <v>1</v>
      </c>
      <c r="IE1184" s="369">
        <f>PRODUCT(IA1184:ID1184)</f>
        <v>60</v>
      </c>
      <c r="IF1184" s="369">
        <v>500</v>
      </c>
      <c r="IG1184" s="391">
        <f t="shared" ref="IG1184" si="1078">(IF1184/(IE1184*HD1184))</f>
        <v>0.41666666666666669</v>
      </c>
    </row>
    <row r="1185" spans="1:339">
      <c r="A1185">
        <v>1168</v>
      </c>
      <c r="C1185" s="27" t="s">
        <v>4568</v>
      </c>
      <c r="D1185" s="28" t="s">
        <v>3139</v>
      </c>
      <c r="E1185" s="27" t="s">
        <v>3140</v>
      </c>
      <c r="F1185" t="s">
        <v>2444</v>
      </c>
      <c r="G1185" s="27" t="s">
        <v>90</v>
      </c>
      <c r="I1185" s="27" t="s">
        <v>226</v>
      </c>
      <c r="J1185" s="28">
        <v>21599</v>
      </c>
      <c r="K1185" s="27" t="s">
        <v>1240</v>
      </c>
      <c r="L1185" s="28"/>
      <c r="M1185" s="28"/>
      <c r="N1185" s="28" t="s">
        <v>4939</v>
      </c>
      <c r="O1185" s="28" t="s">
        <v>1766</v>
      </c>
      <c r="P1185" s="442">
        <v>43699</v>
      </c>
      <c r="Q1185" s="27"/>
      <c r="R1185" s="27"/>
      <c r="S1185" s="370"/>
      <c r="T1185" s="443"/>
      <c r="U1185" s="370"/>
      <c r="V1185" s="369"/>
      <c r="W1185" s="27" t="s">
        <v>4759</v>
      </c>
    </row>
    <row r="1186" spans="1:339">
      <c r="A1186">
        <v>1169</v>
      </c>
      <c r="B1186" t="s">
        <v>468</v>
      </c>
      <c r="C1186" s="27" t="s">
        <v>4752</v>
      </c>
      <c r="D1186" s="28" t="s">
        <v>3141</v>
      </c>
      <c r="E1186" s="27" t="s">
        <v>1358</v>
      </c>
      <c r="F1186" t="s">
        <v>2182</v>
      </c>
      <c r="G1186" s="27" t="s">
        <v>90</v>
      </c>
      <c r="I1186" s="27" t="s">
        <v>226</v>
      </c>
      <c r="J1186" s="28">
        <v>29164</v>
      </c>
      <c r="K1186" s="27" t="s">
        <v>229</v>
      </c>
      <c r="L1186" s="371"/>
      <c r="M1186" s="369"/>
      <c r="N1186" s="369"/>
      <c r="O1186" s="369"/>
      <c r="P1186" s="369"/>
      <c r="Q1186" s="27" t="s">
        <v>4706</v>
      </c>
      <c r="R1186" s="27" t="s">
        <v>1836</v>
      </c>
      <c r="S1186" s="370">
        <v>45231</v>
      </c>
      <c r="T1186" s="27" t="s">
        <v>4555</v>
      </c>
      <c r="U1186" s="370">
        <v>45233</v>
      </c>
      <c r="V1186" s="369"/>
      <c r="W1186" s="390"/>
      <c r="X1186" s="390"/>
      <c r="Y1186" s="390"/>
      <c r="Z1186" s="390"/>
      <c r="AA1186" s="390" t="s">
        <v>4753</v>
      </c>
      <c r="AB1186" s="369">
        <v>91.99</v>
      </c>
      <c r="AC1186" s="369">
        <f t="shared" ref="AC1186" si="1079">AB1186-5</f>
        <v>86.99</v>
      </c>
      <c r="AD1186" s="390" t="s">
        <v>935</v>
      </c>
      <c r="AE1186" s="391">
        <f t="shared" ref="AE1186" si="1080">BA1186</f>
        <v>40.309221999999998</v>
      </c>
      <c r="AF1186" s="391">
        <f>DU1186+DZ1186+EE1186</f>
        <v>0</v>
      </c>
      <c r="AG1186" s="391">
        <f t="shared" ref="AG1186" si="1081">EU1186+FA1186</f>
        <v>7.6754385964912277</v>
      </c>
      <c r="AH1186" s="391">
        <f t="shared" ref="AH1186" si="1082">DM1186</f>
        <v>0</v>
      </c>
      <c r="AI1186" s="391">
        <f t="shared" ref="AI1186" si="1083">DO1186</f>
        <v>0</v>
      </c>
      <c r="AJ1186" s="391">
        <f t="shared" ref="AJ1186" si="1084">GW1186</f>
        <v>0.15350877192982457</v>
      </c>
      <c r="AK1186" s="391">
        <f t="shared" ref="AK1186" si="1085">GU1186</f>
        <v>0.5998082574561403</v>
      </c>
      <c r="AL1186" s="391">
        <f t="shared" ref="AL1186" si="1086">GS1186</f>
        <v>5.2783126656140347</v>
      </c>
      <c r="AM1186" s="391">
        <f t="shared" ref="AM1186" si="1087">HV1186</f>
        <v>0.76388888888888884</v>
      </c>
      <c r="AN1186" s="391">
        <f t="shared" ref="AN1186" si="1088">IG1186</f>
        <v>0.69444444444444442</v>
      </c>
      <c r="AO1186" s="391"/>
      <c r="AP1186" s="391"/>
      <c r="AQ1186" s="391">
        <f t="shared" ref="AQ1186" si="1089">SUM(AE1186:AO1186)</f>
        <v>55.474623624824545</v>
      </c>
      <c r="AR1186" s="391">
        <f t="shared" ref="AR1186" si="1090">IJ1186</f>
        <v>0</v>
      </c>
      <c r="AS1186" s="391">
        <v>0</v>
      </c>
      <c r="AT1186" s="391">
        <v>0</v>
      </c>
      <c r="AU1186" s="391">
        <v>0</v>
      </c>
      <c r="AV1186" s="391">
        <f t="shared" ref="AV1186" si="1091">AQ1186+AT1186+AU1186+AR1186+AS1186</f>
        <v>55.474623624824545</v>
      </c>
      <c r="AW1186" s="369">
        <v>0.44500000000000001</v>
      </c>
      <c r="AX1186" s="369">
        <v>0.437</v>
      </c>
      <c r="AY1186" s="392">
        <v>0.9</v>
      </c>
      <c r="AZ1186" s="391">
        <f t="shared" ref="AZ1186" si="1092">(AW1186-AX1186)*AY1186</f>
        <v>7.2000000000000067E-3</v>
      </c>
      <c r="BA1186" s="391">
        <f t="shared" ref="BA1186" si="1093">AW1186*AB1186-AZ1186*AC1186</f>
        <v>40.309221999999998</v>
      </c>
      <c r="BB1186" s="391"/>
      <c r="BC1186" s="391"/>
      <c r="BD1186" s="391"/>
      <c r="BE1186" s="391"/>
      <c r="BF1186" s="391"/>
      <c r="BG1186" s="391"/>
      <c r="BH1186" s="391"/>
      <c r="BI1186" s="391"/>
      <c r="BJ1186" s="369"/>
      <c r="BK1186" s="369"/>
      <c r="BL1186" s="369"/>
      <c r="BM1186" s="369"/>
      <c r="BN1186" s="369"/>
      <c r="BO1186" s="369"/>
      <c r="BP1186" s="369"/>
      <c r="BQ1186" s="369"/>
      <c r="BR1186" s="369"/>
      <c r="BS1186" s="369"/>
      <c r="BT1186" s="369"/>
      <c r="BU1186" s="369"/>
      <c r="BV1186" s="369"/>
      <c r="BW1186" s="369"/>
      <c r="BX1186" s="369"/>
      <c r="BY1186" s="369"/>
      <c r="BZ1186" s="369"/>
      <c r="CA1186" s="369"/>
      <c r="CB1186" s="369"/>
      <c r="CC1186" s="369"/>
      <c r="CD1186" s="369"/>
      <c r="CE1186" s="369"/>
      <c r="CF1186" s="369"/>
      <c r="CG1186" s="369"/>
      <c r="CH1186" s="369"/>
      <c r="CI1186" s="369"/>
      <c r="CJ1186" s="369"/>
      <c r="CK1186" s="369"/>
      <c r="CL1186" s="369"/>
      <c r="CM1186" s="369"/>
      <c r="CN1186" s="369"/>
      <c r="CO1186" s="369"/>
      <c r="CP1186" s="369"/>
      <c r="CQ1186" s="369"/>
      <c r="CR1186" s="369"/>
      <c r="CS1186" s="369"/>
      <c r="CT1186" s="369"/>
      <c r="CU1186" s="369"/>
      <c r="CV1186" s="369"/>
      <c r="CW1186" s="369"/>
      <c r="CX1186" s="369"/>
      <c r="CY1186" s="369"/>
      <c r="CZ1186" s="369"/>
      <c r="DA1186" s="369"/>
      <c r="DB1186" s="369"/>
      <c r="DC1186" s="369"/>
      <c r="DD1186" s="369"/>
      <c r="DE1186" s="369"/>
      <c r="DF1186" s="369"/>
      <c r="DG1186" s="369"/>
      <c r="DH1186" s="369"/>
      <c r="DI1186" s="369"/>
      <c r="DJ1186" s="369"/>
      <c r="DK1186" s="369"/>
      <c r="DL1186" s="369"/>
      <c r="DM1186" s="369"/>
      <c r="DN1186" s="369"/>
      <c r="DO1186" s="369"/>
      <c r="DP1186" s="369"/>
      <c r="DQ1186" s="369"/>
      <c r="DR1186" s="369"/>
      <c r="DS1186" s="369"/>
      <c r="DT1186" s="369"/>
      <c r="DU1186" s="369"/>
      <c r="DV1186" s="369"/>
      <c r="DW1186" s="369"/>
      <c r="DX1186" s="369"/>
      <c r="DY1186" s="369"/>
      <c r="DZ1186" s="369"/>
      <c r="EA1186" s="369"/>
      <c r="EB1186" s="369"/>
      <c r="EC1186" s="369"/>
      <c r="ED1186" s="369"/>
      <c r="EE1186" s="369"/>
      <c r="EF1186" s="369">
        <v>350</v>
      </c>
      <c r="EG1186" s="369">
        <v>3500</v>
      </c>
      <c r="EH1186" s="369">
        <v>8</v>
      </c>
      <c r="EI1186" s="395">
        <v>0.95</v>
      </c>
      <c r="EJ1186" s="369">
        <v>1</v>
      </c>
      <c r="EK1186" s="369">
        <v>60</v>
      </c>
      <c r="EL1186" s="396">
        <f t="shared" ref="EL1186" si="1094">3600/EK1186*EH1186*EJ1186*EI1186</f>
        <v>456</v>
      </c>
      <c r="EM1186" s="369"/>
      <c r="EN1186" s="369"/>
      <c r="EO1186" s="369"/>
      <c r="EP1186" s="369"/>
      <c r="EQ1186" s="369"/>
      <c r="ER1186" s="369"/>
      <c r="ES1186" s="369"/>
      <c r="ET1186" s="369"/>
      <c r="EU1186" s="391">
        <f t="shared" ref="EU1186" si="1095">EG1186/EL1186+EM1186+EP1186+EQ1186+ER1186+EO1186</f>
        <v>7.6754385964912277</v>
      </c>
      <c r="EV1186" s="369"/>
      <c r="EW1186" s="369"/>
      <c r="EX1186" s="369"/>
      <c r="EY1186" s="369"/>
      <c r="EZ1186" s="369"/>
      <c r="FA1186" s="369"/>
      <c r="FB1186" s="369"/>
      <c r="FC1186" s="369"/>
      <c r="FD1186" s="369"/>
      <c r="FE1186" s="369"/>
      <c r="FF1186" s="369"/>
      <c r="FG1186" s="369"/>
      <c r="FH1186" s="369"/>
      <c r="FI1186" s="369"/>
      <c r="FJ1186" s="369"/>
      <c r="FK1186" s="369"/>
      <c r="FL1186" s="369"/>
      <c r="FM1186" s="369"/>
      <c r="FN1186" s="369"/>
      <c r="FO1186" s="369"/>
      <c r="FP1186" s="369"/>
      <c r="FQ1186" s="369"/>
      <c r="FR1186" s="369"/>
      <c r="FS1186" s="369"/>
      <c r="FT1186" s="369"/>
      <c r="FU1186" s="369"/>
      <c r="FV1186" s="369"/>
      <c r="FW1186" s="369"/>
      <c r="FX1186" s="369"/>
      <c r="FY1186" s="369"/>
      <c r="FZ1186" s="369"/>
      <c r="GA1186" s="369"/>
      <c r="GB1186" s="369"/>
      <c r="GC1186" s="369"/>
      <c r="GD1186" s="369"/>
      <c r="GE1186" s="369"/>
      <c r="GF1186" s="369"/>
      <c r="GG1186" s="369"/>
      <c r="GH1186" s="369"/>
      <c r="GI1186" s="369"/>
      <c r="GJ1186" s="369"/>
      <c r="GK1186" s="369"/>
      <c r="GL1186" s="369"/>
      <c r="GM1186" s="369"/>
      <c r="GN1186" s="369"/>
      <c r="GO1186" s="369"/>
      <c r="GP1186" s="392"/>
      <c r="GQ1186" s="369"/>
      <c r="GR1186" s="395">
        <v>0.11</v>
      </c>
      <c r="GS1186" s="391">
        <f t="shared" ref="GS1186" si="1096">GR1186*(BA1186+EU1186+EV1186)</f>
        <v>5.2783126656140347</v>
      </c>
      <c r="GT1186" s="393">
        <v>1.2500000000000001E-2</v>
      </c>
      <c r="GU1186" s="391">
        <f t="shared" ref="GU1186" si="1097">GT1186*(EU1186+BA1186+EV1186)</f>
        <v>0.5998082574561403</v>
      </c>
      <c r="GV1186" s="395">
        <v>0.02</v>
      </c>
      <c r="GW1186" s="391">
        <f t="shared" ref="GW1186" si="1098">GV1186*(EU1186-EP1186-EQ1186)</f>
        <v>0.15350877192982457</v>
      </c>
      <c r="GX1186" s="391">
        <f t="shared" ref="GX1186" si="1099">GS1186+GU1186+GW1186</f>
        <v>6.0316296949999995</v>
      </c>
      <c r="GY1186" s="369" t="s">
        <v>43</v>
      </c>
      <c r="GZ1186" s="369" t="s">
        <v>87</v>
      </c>
      <c r="HA1186" s="369">
        <v>810</v>
      </c>
      <c r="HB1186" s="369">
        <v>568</v>
      </c>
      <c r="HC1186" s="369">
        <v>425</v>
      </c>
      <c r="HD1186" s="369">
        <v>12</v>
      </c>
      <c r="HE1186" s="369">
        <v>300</v>
      </c>
      <c r="HF1186" s="369">
        <f t="shared" ref="HF1186" si="1100">ROUNDUP(HE1186/HD1186,0)</f>
        <v>25</v>
      </c>
      <c r="HG1186" s="369">
        <v>5</v>
      </c>
      <c r="HH1186" s="369">
        <f t="shared" ref="HH1186" si="1101">HF1186*HG1186</f>
        <v>125</v>
      </c>
      <c r="HI1186" s="369">
        <v>1100</v>
      </c>
      <c r="HJ1186" s="369">
        <f t="shared" ref="HJ1186" si="1102">HH1186*HI1186</f>
        <v>137500</v>
      </c>
      <c r="HK1186" s="369"/>
      <c r="HL1186" s="369"/>
      <c r="HM1186" s="369">
        <v>2</v>
      </c>
      <c r="HN1186" s="369">
        <f t="shared" ref="HN1186" si="1103">HM1186*12*25*HE1186</f>
        <v>180000</v>
      </c>
      <c r="HO1186" s="391">
        <f t="shared" ref="HO1186" si="1104">(IF(GY1186="carton box",HI1186/HD1186,HJ1186/HN1186))</f>
        <v>0.76388888888888884</v>
      </c>
      <c r="HP1186" s="391">
        <v>160</v>
      </c>
      <c r="HQ1186" s="369">
        <v>0</v>
      </c>
      <c r="HR1186" s="391">
        <v>0</v>
      </c>
      <c r="HS1186" s="369">
        <v>0</v>
      </c>
      <c r="HT1186" s="394">
        <f>IF(ISERROR(HR1186/HS1186),0,HR1186/HS1186)</f>
        <v>0</v>
      </c>
      <c r="HU1186" s="394"/>
      <c r="HV1186" s="391">
        <f t="shared" ref="HV1186" si="1105">(HO1186+HT1186)</f>
        <v>0.76388888888888884</v>
      </c>
      <c r="HW1186" s="369"/>
      <c r="HX1186" s="369">
        <v>4200</v>
      </c>
      <c r="HY1186" s="369">
        <v>1900</v>
      </c>
      <c r="HZ1186" s="369">
        <v>1975</v>
      </c>
      <c r="IA1186" s="391">
        <f t="shared" ref="IA1186:IC1186" si="1106">ROUNDDOWN(HX1186/HA1186,0)</f>
        <v>5</v>
      </c>
      <c r="IB1186" s="391">
        <f t="shared" si="1106"/>
        <v>3</v>
      </c>
      <c r="IC1186" s="391">
        <f t="shared" si="1106"/>
        <v>4</v>
      </c>
      <c r="ID1186" s="395">
        <v>1</v>
      </c>
      <c r="IE1186" s="369">
        <f>PRODUCT(IA1186:ID1186)</f>
        <v>60</v>
      </c>
      <c r="IF1186" s="369">
        <v>500</v>
      </c>
      <c r="IG1186" s="391">
        <f t="shared" ref="IG1186" si="1107">(IF1186/(IE1186*HD1186))</f>
        <v>0.69444444444444442</v>
      </c>
    </row>
    <row r="1187" spans="1:339">
      <c r="A1187">
        <v>1170</v>
      </c>
      <c r="C1187" s="27" t="s">
        <v>4568</v>
      </c>
      <c r="D1187" s="28" t="s">
        <v>3141</v>
      </c>
      <c r="E1187" s="27" t="s">
        <v>1358</v>
      </c>
      <c r="F1187" t="s">
        <v>2444</v>
      </c>
      <c r="G1187" s="27" t="s">
        <v>90</v>
      </c>
      <c r="I1187" s="27" t="s">
        <v>226</v>
      </c>
      <c r="J1187" s="28">
        <v>21599</v>
      </c>
      <c r="K1187" s="27" t="s">
        <v>1240</v>
      </c>
      <c r="L1187" s="28"/>
      <c r="M1187" s="28"/>
      <c r="N1187" s="28" t="s">
        <v>4568</v>
      </c>
      <c r="O1187" s="28" t="s">
        <v>1766</v>
      </c>
      <c r="P1187" s="442">
        <v>43704</v>
      </c>
      <c r="Q1187" s="27"/>
      <c r="R1187" s="27"/>
      <c r="S1187" s="370"/>
      <c r="T1187" s="443"/>
      <c r="U1187" s="370"/>
      <c r="V1187" s="369"/>
      <c r="W1187" s="370" t="s">
        <v>4759</v>
      </c>
    </row>
    <row r="1188" spans="1:339">
      <c r="A1188">
        <v>1171</v>
      </c>
      <c r="C1188" s="27" t="s">
        <v>4754</v>
      </c>
      <c r="D1188" s="28" t="s">
        <v>3142</v>
      </c>
      <c r="E1188" s="27" t="s">
        <v>3143</v>
      </c>
      <c r="F1188" t="s">
        <v>2182</v>
      </c>
      <c r="G1188" s="27" t="s">
        <v>90</v>
      </c>
      <c r="I1188" s="27" t="s">
        <v>226</v>
      </c>
      <c r="J1188" s="28">
        <v>29164</v>
      </c>
      <c r="K1188" s="27" t="s">
        <v>229</v>
      </c>
      <c r="L1188" s="371"/>
      <c r="M1188" s="369"/>
      <c r="N1188" s="369"/>
      <c r="O1188" s="369"/>
      <c r="P1188" s="369"/>
      <c r="Q1188" s="27" t="s">
        <v>4706</v>
      </c>
      <c r="R1188" s="27" t="s">
        <v>1836</v>
      </c>
      <c r="S1188" s="370">
        <v>45231</v>
      </c>
      <c r="T1188" s="27" t="s">
        <v>4555</v>
      </c>
      <c r="U1188" s="370">
        <v>45238</v>
      </c>
      <c r="V1188" s="369"/>
      <c r="W1188" s="27" t="s">
        <v>4755</v>
      </c>
      <c r="X1188" s="27"/>
      <c r="Y1188" s="27"/>
      <c r="Z1188" s="27"/>
      <c r="AA1188" s="390" t="s">
        <v>4756</v>
      </c>
      <c r="AB1188" s="369">
        <v>228.5</v>
      </c>
      <c r="AC1188" s="369">
        <v>20</v>
      </c>
      <c r="AD1188" s="390" t="s">
        <v>935</v>
      </c>
      <c r="AE1188" s="391">
        <f t="shared" ref="AE1188" si="1108">BA1188</f>
        <v>191.54</v>
      </c>
      <c r="AF1188" s="391">
        <f>DU1188+DZ1188+EE1188</f>
        <v>0</v>
      </c>
      <c r="AG1188" s="391">
        <f>EU1188+FA1188+EO1188</f>
        <v>16.396604938271608</v>
      </c>
      <c r="AH1188" s="391">
        <f t="shared" ref="AH1188" si="1109">DM1188</f>
        <v>8</v>
      </c>
      <c r="AI1188" s="391">
        <f t="shared" ref="AI1188" si="1110">DO1188</f>
        <v>0.1</v>
      </c>
      <c r="AJ1188" s="391">
        <f t="shared" ref="AJ1188" si="1111">GW1188</f>
        <v>0.24305555555555561</v>
      </c>
      <c r="AK1188" s="391">
        <f t="shared" ref="AK1188" si="1112">GU1188</f>
        <v>2.5461597222222223</v>
      </c>
      <c r="AL1188" s="391">
        <f t="shared" ref="AL1188" si="1113">GS1188</f>
        <v>22.406205555555555</v>
      </c>
      <c r="AM1188" s="391">
        <f t="shared" ref="AM1188" si="1114">HV1188</f>
        <v>3.7777777777777777</v>
      </c>
      <c r="AN1188" s="391">
        <f t="shared" ref="AN1188" si="1115">IG1188</f>
        <v>3.125</v>
      </c>
      <c r="AO1188" s="391"/>
      <c r="AP1188" s="391"/>
      <c r="AQ1188" s="391">
        <f t="shared" ref="AQ1188" si="1116">SUM(AE1188:AO1188)</f>
        <v>248.1348035493827</v>
      </c>
      <c r="AR1188" s="391">
        <f t="shared" ref="AR1188" si="1117">IJ1188</f>
        <v>0</v>
      </c>
      <c r="AS1188" s="391">
        <v>0</v>
      </c>
      <c r="AT1188" s="391">
        <v>0</v>
      </c>
      <c r="AU1188" s="391">
        <v>0</v>
      </c>
      <c r="AV1188" s="391">
        <f t="shared" ref="AV1188" si="1118">AQ1188+AT1188+AU1188+AR1188+AS1188</f>
        <v>248.1348035493827</v>
      </c>
      <c r="AW1188" s="369">
        <v>0.84</v>
      </c>
      <c r="AX1188" s="369">
        <v>0.82</v>
      </c>
      <c r="AY1188" s="399">
        <v>1</v>
      </c>
      <c r="AZ1188" s="391">
        <f t="shared" ref="AZ1188" si="1119">(AW1188-AX1188)*AY1188</f>
        <v>2.0000000000000018E-2</v>
      </c>
      <c r="BA1188" s="391">
        <f t="shared" ref="BA1188" si="1120">AW1188*AB1188-AZ1188*AC1188</f>
        <v>191.54</v>
      </c>
      <c r="BB1188" s="391"/>
      <c r="BC1188" s="391"/>
      <c r="BD1188" s="391"/>
      <c r="BE1188" s="391"/>
      <c r="BF1188" s="391"/>
      <c r="BG1188" s="391"/>
      <c r="BH1188" s="391"/>
      <c r="BI1188" s="391"/>
      <c r="BJ1188" s="369"/>
      <c r="BK1188" s="369"/>
      <c r="BL1188" s="369"/>
      <c r="BM1188" s="369"/>
      <c r="BN1188" s="369"/>
      <c r="BO1188" s="369"/>
      <c r="BP1188" s="369"/>
      <c r="BQ1188" s="369"/>
      <c r="BR1188" s="369"/>
      <c r="BS1188" s="369"/>
      <c r="BT1188" s="369"/>
      <c r="BU1188" s="369"/>
      <c r="BV1188" s="369"/>
      <c r="BW1188" s="369"/>
      <c r="BX1188" s="369"/>
      <c r="BY1188" s="369"/>
      <c r="BZ1188" s="369"/>
      <c r="CA1188" s="369"/>
      <c r="CB1188" s="369"/>
      <c r="CC1188" s="369"/>
      <c r="CD1188" s="369"/>
      <c r="CE1188" s="369">
        <v>0</v>
      </c>
      <c r="CF1188" s="369">
        <v>4</v>
      </c>
      <c r="CG1188" s="369">
        <v>2</v>
      </c>
      <c r="CH1188" s="369">
        <f>CG1188*CF1188</f>
        <v>8</v>
      </c>
      <c r="CI1188" s="369"/>
      <c r="CJ1188" s="369"/>
      <c r="CK1188" s="369"/>
      <c r="CL1188" s="369"/>
      <c r="CM1188" s="369">
        <f>CK1188*CL1188</f>
        <v>0</v>
      </c>
      <c r="CN1188" s="369"/>
      <c r="CO1188" s="369"/>
      <c r="CP1188" s="369"/>
      <c r="CQ1188" s="369"/>
      <c r="CR1188" s="369"/>
      <c r="CS1188" s="369"/>
      <c r="CT1188" s="369"/>
      <c r="CU1188" s="369"/>
      <c r="CV1188" s="369"/>
      <c r="CW1188" s="369"/>
      <c r="CX1188" s="369"/>
      <c r="CY1188" s="369"/>
      <c r="CZ1188" s="369"/>
      <c r="DA1188" s="369"/>
      <c r="DB1188" s="369"/>
      <c r="DC1188" s="369"/>
      <c r="DD1188" s="369"/>
      <c r="DE1188" s="369"/>
      <c r="DF1188" s="369"/>
      <c r="DG1188" s="369"/>
      <c r="DH1188" s="369"/>
      <c r="DI1188" s="369"/>
      <c r="DJ1188" s="369"/>
      <c r="DK1188" s="369"/>
      <c r="DL1188" s="369"/>
      <c r="DM1188" s="369">
        <f>DL1188+DG1188+DB1188+CW1188+CR1188+CM1188+CH1188</f>
        <v>8</v>
      </c>
      <c r="DN1188" s="393">
        <v>1.2500000000000001E-2</v>
      </c>
      <c r="DO1188" s="391">
        <f>DN1188*DM1188</f>
        <v>0.1</v>
      </c>
      <c r="DP1188" s="391">
        <f>DO1188+DM1188</f>
        <v>8.1</v>
      </c>
      <c r="DQ1188" s="369"/>
      <c r="DR1188" s="369"/>
      <c r="DS1188" s="369"/>
      <c r="DT1188" s="369"/>
      <c r="DU1188" s="369"/>
      <c r="DV1188" s="369"/>
      <c r="DW1188" s="369"/>
      <c r="DX1188" s="369"/>
      <c r="DY1188" s="369"/>
      <c r="DZ1188" s="369"/>
      <c r="EA1188" s="369"/>
      <c r="EB1188" s="369"/>
      <c r="EC1188" s="369"/>
      <c r="ED1188" s="369"/>
      <c r="EE1188" s="369"/>
      <c r="EF1188" s="369">
        <v>350</v>
      </c>
      <c r="EG1188" s="369">
        <v>3500</v>
      </c>
      <c r="EH1188" s="369">
        <v>8</v>
      </c>
      <c r="EI1188" s="395">
        <v>0.95</v>
      </c>
      <c r="EJ1188" s="369">
        <v>1</v>
      </c>
      <c r="EK1188" s="369">
        <v>95</v>
      </c>
      <c r="EL1188" s="396">
        <f t="shared" ref="EL1188" si="1121">3600/EK1188*EH1188*EJ1188*EI1188</f>
        <v>287.99999999999994</v>
      </c>
      <c r="EM1188" s="369"/>
      <c r="EN1188" s="369"/>
      <c r="EO1188" s="391">
        <f>550/(3600*0.9*7.2/180)</f>
        <v>4.2438271604938276</v>
      </c>
      <c r="EP1188" s="369"/>
      <c r="EQ1188" s="369"/>
      <c r="ER1188" s="369"/>
      <c r="ES1188" s="369"/>
      <c r="ET1188" s="369"/>
      <c r="EU1188" s="391">
        <f>EG1188/EL1188+EM1188+EP1188+EQ1188+ER1188</f>
        <v>12.15277777777778</v>
      </c>
      <c r="EV1188" s="369"/>
      <c r="EW1188" s="369"/>
      <c r="EX1188" s="369"/>
      <c r="EY1188" s="369"/>
      <c r="EZ1188" s="369"/>
      <c r="FA1188" s="369"/>
      <c r="FB1188" s="369"/>
      <c r="FC1188" s="369"/>
      <c r="FD1188" s="369"/>
      <c r="FE1188" s="369"/>
      <c r="FF1188" s="369"/>
      <c r="FG1188" s="369"/>
      <c r="FH1188" s="369"/>
      <c r="FI1188" s="369"/>
      <c r="FJ1188" s="369"/>
      <c r="FK1188" s="369"/>
      <c r="FL1188" s="369"/>
      <c r="FM1188" s="369"/>
      <c r="FN1188" s="369"/>
      <c r="FO1188" s="369"/>
      <c r="FP1188" s="369"/>
      <c r="FQ1188" s="369"/>
      <c r="FR1188" s="369"/>
      <c r="FS1188" s="369"/>
      <c r="FT1188" s="369"/>
      <c r="FU1188" s="369"/>
      <c r="FV1188" s="369"/>
      <c r="FW1188" s="369"/>
      <c r="FX1188" s="369"/>
      <c r="FY1188" s="369"/>
      <c r="FZ1188" s="369"/>
      <c r="GA1188" s="369"/>
      <c r="GB1188" s="369"/>
      <c r="GC1188" s="369"/>
      <c r="GD1188" s="369"/>
      <c r="GE1188" s="369"/>
      <c r="GF1188" s="369"/>
      <c r="GG1188" s="369"/>
      <c r="GH1188" s="369"/>
      <c r="GI1188" s="369"/>
      <c r="GJ1188" s="369"/>
      <c r="GK1188" s="369"/>
      <c r="GL1188" s="369"/>
      <c r="GM1188" s="369"/>
      <c r="GN1188" s="369"/>
      <c r="GO1188" s="369"/>
      <c r="GP1188" s="399"/>
      <c r="GQ1188" s="369"/>
      <c r="GR1188" s="395">
        <v>0.11</v>
      </c>
      <c r="GS1188" s="391">
        <f t="shared" ref="GS1188" si="1122">GR1188*(BA1188+EU1188+EV1188)</f>
        <v>22.406205555555555</v>
      </c>
      <c r="GT1188" s="393">
        <v>1.2500000000000001E-2</v>
      </c>
      <c r="GU1188" s="391">
        <f t="shared" ref="GU1188" si="1123">GT1188*(EU1188+BA1188+EV1188)</f>
        <v>2.5461597222222223</v>
      </c>
      <c r="GV1188" s="395">
        <v>0.02</v>
      </c>
      <c r="GW1188" s="391">
        <f t="shared" ref="GW1188" si="1124">GV1188*(EU1188-EP1188-EQ1188)</f>
        <v>0.24305555555555561</v>
      </c>
      <c r="GX1188" s="391">
        <f t="shared" ref="GX1188" si="1125">GS1188+GU1188+GW1188</f>
        <v>25.195420833333333</v>
      </c>
      <c r="GY1188" s="369" t="s">
        <v>130</v>
      </c>
      <c r="GZ1188" s="369" t="s">
        <v>130</v>
      </c>
      <c r="HA1188" s="369">
        <v>1600</v>
      </c>
      <c r="HB1188" s="369">
        <v>800</v>
      </c>
      <c r="HC1188" s="369">
        <v>1800</v>
      </c>
      <c r="HD1188" s="369">
        <v>40</v>
      </c>
      <c r="HE1188" s="369">
        <v>300</v>
      </c>
      <c r="HF1188" s="369">
        <f t="shared" ref="HF1188" si="1126">ROUNDUP(HE1188/HD1188,0)</f>
        <v>8</v>
      </c>
      <c r="HG1188" s="369">
        <v>5</v>
      </c>
      <c r="HH1188" s="369">
        <f t="shared" ref="HH1188" si="1127">HF1188*HG1188</f>
        <v>40</v>
      </c>
      <c r="HI1188" s="369">
        <v>17000</v>
      </c>
      <c r="HJ1188" s="369">
        <f t="shared" ref="HJ1188" si="1128">HH1188*HI1188</f>
        <v>680000</v>
      </c>
      <c r="HK1188" s="369"/>
      <c r="HL1188" s="369"/>
      <c r="HM1188" s="369">
        <v>2</v>
      </c>
      <c r="HN1188" s="369">
        <f t="shared" ref="HN1188" si="1129">HM1188*12*25*HE1188</f>
        <v>180000</v>
      </c>
      <c r="HO1188" s="391">
        <f t="shared" ref="HO1188" si="1130">(IF(GY1188="carton box",HI1188/HD1188,HJ1188/HN1188))</f>
        <v>3.7777777777777777</v>
      </c>
      <c r="HP1188" s="391">
        <v>160</v>
      </c>
      <c r="HQ1188" s="369">
        <v>0</v>
      </c>
      <c r="HR1188" s="391">
        <v>0</v>
      </c>
      <c r="HS1188" s="369">
        <v>0</v>
      </c>
      <c r="HT1188" s="394">
        <f>IF(ISERROR(HR1188/HS1188),0,HR1188/HS1188)</f>
        <v>0</v>
      </c>
      <c r="HU1188" s="394"/>
      <c r="HV1188" s="391">
        <f t="shared" ref="HV1188" si="1131">(HO1188+HT1188)</f>
        <v>3.7777777777777777</v>
      </c>
      <c r="HW1188" s="369"/>
      <c r="HX1188" s="369">
        <v>4200</v>
      </c>
      <c r="HY1188" s="369">
        <v>1900</v>
      </c>
      <c r="HZ1188" s="369">
        <v>1975</v>
      </c>
      <c r="IA1188" s="391">
        <f t="shared" ref="IA1188:IC1188" si="1132">ROUNDDOWN(HX1188/HA1188,0)</f>
        <v>2</v>
      </c>
      <c r="IB1188" s="391">
        <f t="shared" si="1132"/>
        <v>2</v>
      </c>
      <c r="IC1188" s="391">
        <f t="shared" si="1132"/>
        <v>1</v>
      </c>
      <c r="ID1188" s="395">
        <v>1</v>
      </c>
      <c r="IE1188" s="369">
        <f>PRODUCT(IA1188:ID1188)</f>
        <v>4</v>
      </c>
      <c r="IF1188" s="369">
        <v>500</v>
      </c>
      <c r="IG1188" s="391">
        <f t="shared" ref="IG1188" si="1133">(IF1188/(IE1188*HD1188))</f>
        <v>3.125</v>
      </c>
    </row>
    <row r="1189" spans="1:339">
      <c r="A1189">
        <v>1172</v>
      </c>
      <c r="C1189" s="27" t="s">
        <v>4568</v>
      </c>
      <c r="D1189" s="28" t="s">
        <v>3142</v>
      </c>
      <c r="E1189" s="27" t="s">
        <v>3143</v>
      </c>
      <c r="F1189" t="s">
        <v>2444</v>
      </c>
      <c r="G1189" s="27" t="s">
        <v>90</v>
      </c>
      <c r="I1189" s="27" t="s">
        <v>226</v>
      </c>
      <c r="J1189" s="28">
        <v>21599</v>
      </c>
      <c r="K1189" s="27" t="s">
        <v>1240</v>
      </c>
      <c r="L1189" s="28"/>
      <c r="M1189" s="28"/>
      <c r="N1189" s="28" t="s">
        <v>4568</v>
      </c>
      <c r="O1189" s="28" t="s">
        <v>1766</v>
      </c>
      <c r="P1189" s="442">
        <v>43704</v>
      </c>
      <c r="Q1189" s="27"/>
      <c r="R1189" s="27"/>
      <c r="S1189" s="370"/>
      <c r="T1189" s="443"/>
      <c r="U1189" s="370"/>
      <c r="V1189" s="369"/>
      <c r="W1189" s="370" t="s">
        <v>4759</v>
      </c>
    </row>
    <row r="1190" spans="1:339">
      <c r="A1190">
        <v>1173</v>
      </c>
      <c r="B1190" t="s">
        <v>468</v>
      </c>
      <c r="C1190" s="27" t="s">
        <v>4757</v>
      </c>
      <c r="D1190" s="28" t="s">
        <v>3144</v>
      </c>
      <c r="E1190" s="27" t="s">
        <v>3145</v>
      </c>
      <c r="F1190" t="s">
        <v>2182</v>
      </c>
      <c r="G1190" s="27" t="s">
        <v>90</v>
      </c>
      <c r="I1190" s="27" t="s">
        <v>226</v>
      </c>
      <c r="J1190" s="28">
        <v>29164</v>
      </c>
      <c r="K1190" s="27" t="s">
        <v>229</v>
      </c>
      <c r="L1190" s="371"/>
      <c r="M1190" s="369"/>
      <c r="N1190" s="369"/>
      <c r="O1190" s="369"/>
      <c r="P1190" s="369"/>
      <c r="Q1190" s="27" t="s">
        <v>4706</v>
      </c>
      <c r="R1190" s="27" t="s">
        <v>1836</v>
      </c>
      <c r="S1190" s="370">
        <v>45231</v>
      </c>
      <c r="T1190" s="27" t="s">
        <v>4555</v>
      </c>
      <c r="U1190" s="370">
        <v>45233</v>
      </c>
      <c r="V1190" s="369"/>
      <c r="W1190" s="390"/>
      <c r="X1190" s="390"/>
      <c r="Y1190" s="390"/>
      <c r="Z1190" s="390"/>
      <c r="AA1190" s="390" t="s">
        <v>573</v>
      </c>
      <c r="AB1190" s="369">
        <v>157.5</v>
      </c>
      <c r="AC1190" s="369">
        <v>20</v>
      </c>
      <c r="AD1190" s="390" t="s">
        <v>935</v>
      </c>
      <c r="AE1190" s="391">
        <f t="shared" ref="AE1190" si="1134">BA1190</f>
        <v>5.5900000000000007</v>
      </c>
      <c r="AF1190" s="391">
        <f>DU1190+DZ1190+EE1190</f>
        <v>0</v>
      </c>
      <c r="AG1190" s="391">
        <f t="shared" ref="AG1190" si="1135">EU1190+FA1190</f>
        <v>0.82236842105263153</v>
      </c>
      <c r="AH1190" s="391">
        <f t="shared" ref="AH1190" si="1136">DM1190</f>
        <v>0</v>
      </c>
      <c r="AI1190" s="391">
        <f t="shared" ref="AI1190" si="1137">DO1190</f>
        <v>0</v>
      </c>
      <c r="AJ1190" s="391">
        <f t="shared" ref="AJ1190" si="1138">GW1190</f>
        <v>1.6447368421052631E-2</v>
      </c>
      <c r="AK1190" s="391">
        <f t="shared" ref="AK1190" si="1139">GU1190</f>
        <v>8.0154605263157916E-2</v>
      </c>
      <c r="AL1190" s="391">
        <f t="shared" ref="AL1190" si="1140">GS1190</f>
        <v>0.7053605263157896</v>
      </c>
      <c r="AM1190" s="391">
        <f t="shared" ref="AM1190" si="1141">HV1190</f>
        <v>8.1111111111111106E-2</v>
      </c>
      <c r="AN1190" s="391">
        <f t="shared" ref="AN1190" si="1142">IG1190</f>
        <v>1.9290123456790122E-2</v>
      </c>
      <c r="AO1190" s="391"/>
      <c r="AP1190" s="391"/>
      <c r="AQ1190" s="391">
        <f t="shared" ref="AQ1190" si="1143">SUM(AE1190:AO1190)</f>
        <v>7.3147321556205345</v>
      </c>
      <c r="AR1190" s="391">
        <f t="shared" ref="AR1190" si="1144">IJ1190</f>
        <v>0</v>
      </c>
      <c r="AS1190" s="391">
        <v>0</v>
      </c>
      <c r="AT1190" s="391">
        <v>0</v>
      </c>
      <c r="AU1190" s="391">
        <v>0</v>
      </c>
      <c r="AV1190" s="391">
        <f t="shared" ref="AV1190" si="1145">AQ1190+AT1190+AU1190+AR1190+AS1190</f>
        <v>7.3147321556205345</v>
      </c>
      <c r="AW1190" s="369">
        <v>3.6000000000000004E-2</v>
      </c>
      <c r="AX1190" s="369">
        <v>3.2000000000000001E-2</v>
      </c>
      <c r="AY1190" s="392">
        <v>1</v>
      </c>
      <c r="AZ1190" s="391">
        <f t="shared" ref="AZ1190" si="1146">(AW1190-AX1190)*AY1190</f>
        <v>4.0000000000000036E-3</v>
      </c>
      <c r="BA1190" s="391">
        <f t="shared" ref="BA1190" si="1147">AW1190*AB1190-AZ1190*AC1190</f>
        <v>5.5900000000000007</v>
      </c>
      <c r="BB1190" s="391"/>
      <c r="BC1190" s="391"/>
      <c r="BD1190" s="391"/>
      <c r="BE1190" s="391"/>
      <c r="BF1190" s="391"/>
      <c r="BG1190" s="391"/>
      <c r="BH1190" s="391"/>
      <c r="BI1190" s="391"/>
      <c r="BJ1190" s="369"/>
      <c r="BK1190" s="369"/>
      <c r="BL1190" s="369"/>
      <c r="BM1190" s="369"/>
      <c r="BN1190" s="369"/>
      <c r="BO1190" s="369"/>
      <c r="BP1190" s="369"/>
      <c r="BQ1190" s="369"/>
      <c r="BR1190" s="369"/>
      <c r="BS1190" s="369"/>
      <c r="BT1190" s="369"/>
      <c r="BU1190" s="369"/>
      <c r="BV1190" s="369"/>
      <c r="BW1190" s="369"/>
      <c r="BX1190" s="369"/>
      <c r="BY1190" s="369"/>
      <c r="BZ1190" s="369"/>
      <c r="CA1190" s="369"/>
      <c r="CB1190" s="369"/>
      <c r="CC1190" s="369"/>
      <c r="CD1190" s="369"/>
      <c r="CE1190" s="369"/>
      <c r="CF1190" s="369"/>
      <c r="CG1190" s="369"/>
      <c r="CH1190" s="369"/>
      <c r="CI1190" s="369"/>
      <c r="CJ1190" s="369"/>
      <c r="CK1190" s="369"/>
      <c r="CL1190" s="369"/>
      <c r="CM1190" s="369"/>
      <c r="CN1190" s="369"/>
      <c r="CO1190" s="369"/>
      <c r="CP1190" s="369"/>
      <c r="CQ1190" s="369"/>
      <c r="CR1190" s="369"/>
      <c r="CS1190" s="369"/>
      <c r="CT1190" s="369"/>
      <c r="CU1190" s="369"/>
      <c r="CV1190" s="369"/>
      <c r="CW1190" s="369"/>
      <c r="CX1190" s="369"/>
      <c r="CY1190" s="369"/>
      <c r="CZ1190" s="369"/>
      <c r="DA1190" s="369"/>
      <c r="DB1190" s="369"/>
      <c r="DC1190" s="369"/>
      <c r="DD1190" s="369"/>
      <c r="DE1190" s="369"/>
      <c r="DF1190" s="369"/>
      <c r="DG1190" s="369"/>
      <c r="DH1190" s="369"/>
      <c r="DI1190" s="369"/>
      <c r="DJ1190" s="369"/>
      <c r="DK1190" s="369"/>
      <c r="DL1190" s="369"/>
      <c r="DM1190" s="369"/>
      <c r="DN1190" s="369"/>
      <c r="DO1190" s="369"/>
      <c r="DP1190" s="369"/>
      <c r="DQ1190" s="369"/>
      <c r="DR1190" s="369"/>
      <c r="DS1190" s="369"/>
      <c r="DT1190" s="369"/>
      <c r="DU1190" s="369"/>
      <c r="DV1190" s="369"/>
      <c r="DW1190" s="369"/>
      <c r="DX1190" s="369"/>
      <c r="DY1190" s="369"/>
      <c r="DZ1190" s="369"/>
      <c r="EA1190" s="369"/>
      <c r="EB1190" s="369"/>
      <c r="EC1190" s="369"/>
      <c r="ED1190" s="369"/>
      <c r="EE1190" s="369"/>
      <c r="EF1190" s="369">
        <v>100</v>
      </c>
      <c r="EG1190" s="369">
        <v>1000</v>
      </c>
      <c r="EH1190" s="369">
        <v>8</v>
      </c>
      <c r="EI1190" s="395">
        <v>0.95</v>
      </c>
      <c r="EJ1190" s="369">
        <v>2</v>
      </c>
      <c r="EK1190" s="369">
        <v>45</v>
      </c>
      <c r="EL1190" s="396">
        <f t="shared" ref="EL1190" si="1148">3600/EK1190*EH1190*EJ1190*EI1190</f>
        <v>1216</v>
      </c>
      <c r="EM1190" s="369"/>
      <c r="EN1190" s="369"/>
      <c r="EO1190" s="369"/>
      <c r="EP1190" s="369"/>
      <c r="EQ1190" s="369"/>
      <c r="ER1190" s="369"/>
      <c r="ES1190" s="369"/>
      <c r="ET1190" s="369"/>
      <c r="EU1190" s="391">
        <f t="shared" ref="EU1190" si="1149">EG1190/EL1190+EM1190+EP1190+EQ1190+ER1190+EO1190</f>
        <v>0.82236842105263153</v>
      </c>
      <c r="EV1190" s="369"/>
      <c r="EW1190" s="369"/>
      <c r="EX1190" s="369"/>
      <c r="EY1190" s="369"/>
      <c r="EZ1190" s="369"/>
      <c r="FA1190" s="369"/>
      <c r="FB1190" s="369"/>
      <c r="FC1190" s="369"/>
      <c r="FD1190" s="369"/>
      <c r="FE1190" s="369"/>
      <c r="FF1190" s="369"/>
      <c r="FG1190" s="369"/>
      <c r="FH1190" s="369"/>
      <c r="FI1190" s="369"/>
      <c r="FJ1190" s="369"/>
      <c r="FK1190" s="369"/>
      <c r="FL1190" s="369"/>
      <c r="FM1190" s="369"/>
      <c r="FN1190" s="369"/>
      <c r="FO1190" s="369"/>
      <c r="FP1190" s="369"/>
      <c r="FQ1190" s="369"/>
      <c r="FR1190" s="369"/>
      <c r="FS1190" s="369"/>
      <c r="FT1190" s="369"/>
      <c r="FU1190" s="369"/>
      <c r="FV1190" s="369"/>
      <c r="FW1190" s="369"/>
      <c r="FX1190" s="369"/>
      <c r="FY1190" s="369"/>
      <c r="FZ1190" s="369"/>
      <c r="GA1190" s="369"/>
      <c r="GB1190" s="369"/>
      <c r="GC1190" s="369"/>
      <c r="GD1190" s="369"/>
      <c r="GE1190" s="369"/>
      <c r="GF1190" s="369"/>
      <c r="GG1190" s="369"/>
      <c r="GH1190" s="369"/>
      <c r="GI1190" s="369"/>
      <c r="GJ1190" s="369"/>
      <c r="GK1190" s="369"/>
      <c r="GL1190" s="369"/>
      <c r="GM1190" s="369"/>
      <c r="GN1190" s="369"/>
      <c r="GO1190" s="369"/>
      <c r="GP1190" s="392"/>
      <c r="GQ1190" s="369"/>
      <c r="GR1190" s="395">
        <v>0.11</v>
      </c>
      <c r="GS1190" s="391">
        <f t="shared" ref="GS1190" si="1150">GR1190*(BA1190+EU1190+EV1190)</f>
        <v>0.7053605263157896</v>
      </c>
      <c r="GT1190" s="393">
        <v>1.2500000000000001E-2</v>
      </c>
      <c r="GU1190" s="391">
        <f t="shared" ref="GU1190" si="1151">GT1190*(EU1190+BA1190+EV1190)</f>
        <v>8.0154605263157916E-2</v>
      </c>
      <c r="GV1190" s="395">
        <v>0.02</v>
      </c>
      <c r="GW1190" s="391">
        <f t="shared" ref="GW1190" si="1152">GV1190*(EU1190-EP1190-EQ1190)</f>
        <v>1.6447368421052631E-2</v>
      </c>
      <c r="GX1190" s="391">
        <f t="shared" ref="GX1190" si="1153">GS1190+GU1190+GW1190</f>
        <v>0.80196250000000013</v>
      </c>
      <c r="GY1190" s="369" t="s">
        <v>43</v>
      </c>
      <c r="GZ1190" s="369" t="s">
        <v>87</v>
      </c>
      <c r="HA1190" s="369">
        <v>650</v>
      </c>
      <c r="HB1190" s="369">
        <v>450</v>
      </c>
      <c r="HC1190" s="369">
        <v>315</v>
      </c>
      <c r="HD1190" s="369">
        <v>180</v>
      </c>
      <c r="HE1190" s="369">
        <v>300</v>
      </c>
      <c r="HF1190" s="369">
        <f t="shared" ref="HF1190" si="1154">ROUNDUP(HE1190/HD1190,0)</f>
        <v>2</v>
      </c>
      <c r="HG1190" s="369">
        <v>5</v>
      </c>
      <c r="HH1190" s="369">
        <f t="shared" ref="HH1190" si="1155">HF1190*HG1190</f>
        <v>10</v>
      </c>
      <c r="HI1190" s="369">
        <v>500</v>
      </c>
      <c r="HJ1190" s="369">
        <f t="shared" ref="HJ1190" si="1156">HH1190*HI1190</f>
        <v>5000</v>
      </c>
      <c r="HK1190" s="369"/>
      <c r="HL1190" s="369"/>
      <c r="HM1190" s="369">
        <v>2</v>
      </c>
      <c r="HN1190" s="369">
        <f t="shared" ref="HN1190" si="1157">HM1190*12*25*HE1190</f>
        <v>180000</v>
      </c>
      <c r="HO1190" s="391">
        <f t="shared" ref="HO1190" si="1158">(IF(GY1190="carton box",HI1190/HD1190,HJ1190/HN1190))</f>
        <v>2.7777777777777776E-2</v>
      </c>
      <c r="HP1190" s="391">
        <v>160</v>
      </c>
      <c r="HQ1190" s="369">
        <v>0</v>
      </c>
      <c r="HR1190" s="391">
        <f>2.4*4</f>
        <v>9.6</v>
      </c>
      <c r="HS1190" s="369">
        <v>180</v>
      </c>
      <c r="HT1190" s="394">
        <f>IF(ISERROR(HR1190/HS1190),0,HR1190/HS1190)</f>
        <v>5.333333333333333E-2</v>
      </c>
      <c r="HU1190" s="394"/>
      <c r="HV1190" s="391">
        <f t="shared" ref="HV1190" si="1159">(HO1190+HT1190)</f>
        <v>8.1111111111111106E-2</v>
      </c>
      <c r="HW1190" s="369"/>
      <c r="HX1190" s="369">
        <v>4200</v>
      </c>
      <c r="HY1190" s="369">
        <v>1900</v>
      </c>
      <c r="HZ1190" s="369">
        <v>1975</v>
      </c>
      <c r="IA1190" s="391">
        <f t="shared" ref="IA1190:IC1190" si="1160">ROUNDDOWN(HX1190/HA1190,0)</f>
        <v>6</v>
      </c>
      <c r="IB1190" s="391">
        <f t="shared" si="1160"/>
        <v>4</v>
      </c>
      <c r="IC1190" s="391">
        <f t="shared" si="1160"/>
        <v>6</v>
      </c>
      <c r="ID1190" s="395">
        <v>1</v>
      </c>
      <c r="IE1190" s="369">
        <f>PRODUCT(IA1190:ID1190)</f>
        <v>144</v>
      </c>
      <c r="IF1190" s="369">
        <v>500</v>
      </c>
      <c r="IG1190" s="391">
        <f t="shared" ref="IG1190" si="1161">(IF1190/(IE1190*HD1190))</f>
        <v>1.9290123456790122E-2</v>
      </c>
    </row>
    <row r="1191" spans="1:339">
      <c r="A1191">
        <v>1174</v>
      </c>
      <c r="C1191" s="27" t="s">
        <v>4568</v>
      </c>
      <c r="D1191" s="28" t="s">
        <v>3144</v>
      </c>
      <c r="E1191" s="27" t="s">
        <v>3145</v>
      </c>
      <c r="F1191" t="s">
        <v>2444</v>
      </c>
      <c r="G1191" s="27" t="s">
        <v>90</v>
      </c>
      <c r="I1191" s="27" t="s">
        <v>226</v>
      </c>
      <c r="J1191" s="28">
        <v>21599</v>
      </c>
      <c r="K1191" s="27" t="s">
        <v>1240</v>
      </c>
      <c r="L1191" s="28"/>
      <c r="M1191" s="28"/>
      <c r="N1191" s="28" t="s">
        <v>4568</v>
      </c>
      <c r="O1191" s="28" t="s">
        <v>1766</v>
      </c>
      <c r="P1191" s="442">
        <v>43704</v>
      </c>
      <c r="Q1191" s="27"/>
      <c r="R1191" s="27"/>
      <c r="S1191" s="370"/>
      <c r="T1191" s="443"/>
      <c r="U1191" s="370"/>
      <c r="V1191" s="369"/>
      <c r="W1191" s="370" t="s">
        <v>4759</v>
      </c>
    </row>
    <row r="1192" spans="1:339">
      <c r="A1192">
        <v>1175</v>
      </c>
      <c r="B1192" t="s">
        <v>468</v>
      </c>
      <c r="C1192" s="27" t="s">
        <v>4758</v>
      </c>
      <c r="D1192" s="28" t="s">
        <v>3146</v>
      </c>
      <c r="E1192" s="27" t="s">
        <v>3147</v>
      </c>
      <c r="F1192" t="s">
        <v>2182</v>
      </c>
      <c r="G1192" s="27" t="s">
        <v>90</v>
      </c>
      <c r="I1192" s="27" t="s">
        <v>226</v>
      </c>
      <c r="J1192" s="28">
        <v>29164</v>
      </c>
      <c r="K1192" s="27" t="s">
        <v>229</v>
      </c>
      <c r="L1192" s="371"/>
      <c r="M1192" s="369"/>
      <c r="N1192" s="369"/>
      <c r="O1192" s="369"/>
      <c r="P1192" s="369"/>
      <c r="Q1192" s="27" t="s">
        <v>4706</v>
      </c>
      <c r="R1192" s="27" t="s">
        <v>1836</v>
      </c>
      <c r="S1192" s="370">
        <v>45231</v>
      </c>
      <c r="T1192" s="27" t="s">
        <v>4555</v>
      </c>
      <c r="U1192" s="370">
        <v>45233</v>
      </c>
      <c r="V1192" s="369"/>
      <c r="W1192" s="390"/>
      <c r="X1192" s="390"/>
      <c r="Y1192" s="390"/>
      <c r="Z1192" s="390"/>
      <c r="AA1192" s="390" t="s">
        <v>573</v>
      </c>
      <c r="AB1192" s="369">
        <v>157.5</v>
      </c>
      <c r="AC1192" s="369">
        <v>20</v>
      </c>
      <c r="AD1192" s="390" t="s">
        <v>935</v>
      </c>
      <c r="AE1192" s="391">
        <f t="shared" ref="AE1192" si="1162">BA1192</f>
        <v>5.5900000000000007</v>
      </c>
      <c r="AF1192" s="391">
        <f>DU1192+DZ1192+EE1192</f>
        <v>0</v>
      </c>
      <c r="AG1192" s="391">
        <f t="shared" ref="AG1192" si="1163">EU1192+FA1192</f>
        <v>0.82236842105263153</v>
      </c>
      <c r="AH1192" s="391">
        <f t="shared" ref="AH1192" si="1164">DM1192</f>
        <v>0</v>
      </c>
      <c r="AI1192" s="391">
        <f t="shared" ref="AI1192" si="1165">DO1192</f>
        <v>0</v>
      </c>
      <c r="AJ1192" s="391">
        <f t="shared" ref="AJ1192" si="1166">GW1192</f>
        <v>1.6447368421052631E-2</v>
      </c>
      <c r="AK1192" s="391">
        <f t="shared" ref="AK1192" si="1167">GU1192</f>
        <v>8.0154605263157916E-2</v>
      </c>
      <c r="AL1192" s="391">
        <f t="shared" ref="AL1192" si="1168">GS1192</f>
        <v>0.7053605263157896</v>
      </c>
      <c r="AM1192" s="391">
        <f t="shared" ref="AM1192" si="1169">HV1192</f>
        <v>8.1111111111111106E-2</v>
      </c>
      <c r="AN1192" s="391">
        <f t="shared" ref="AN1192" si="1170">IG1192</f>
        <v>1.9290123456790122E-2</v>
      </c>
      <c r="AO1192" s="391"/>
      <c r="AP1192" s="391"/>
      <c r="AQ1192" s="391">
        <f t="shared" ref="AQ1192" si="1171">SUM(AE1192:AO1192)</f>
        <v>7.3147321556205345</v>
      </c>
      <c r="AR1192" s="391">
        <f t="shared" ref="AR1192" si="1172">IJ1192</f>
        <v>0</v>
      </c>
      <c r="AS1192" s="391">
        <v>0</v>
      </c>
      <c r="AT1192" s="391">
        <v>0</v>
      </c>
      <c r="AU1192" s="391">
        <v>0</v>
      </c>
      <c r="AV1192" s="391">
        <f t="shared" ref="AV1192" si="1173">AQ1192+AT1192+AU1192+AR1192+AS1192</f>
        <v>7.3147321556205345</v>
      </c>
      <c r="AW1192" s="369">
        <v>3.6000000000000004E-2</v>
      </c>
      <c r="AX1192" s="369">
        <v>3.2000000000000001E-2</v>
      </c>
      <c r="AY1192" s="392">
        <v>1</v>
      </c>
      <c r="AZ1192" s="391">
        <f t="shared" ref="AZ1192" si="1174">(AW1192-AX1192)*AY1192</f>
        <v>4.0000000000000036E-3</v>
      </c>
      <c r="BA1192" s="391">
        <f t="shared" ref="BA1192" si="1175">AW1192*AB1192-AZ1192*AC1192</f>
        <v>5.5900000000000007</v>
      </c>
      <c r="BB1192" s="391"/>
      <c r="BC1192" s="391"/>
      <c r="BD1192" s="391"/>
      <c r="BE1192" s="391"/>
      <c r="BF1192" s="391"/>
      <c r="BG1192" s="391"/>
      <c r="BH1192" s="391"/>
      <c r="BI1192" s="391"/>
      <c r="BJ1192" s="369"/>
      <c r="BK1192" s="369"/>
      <c r="BL1192" s="369"/>
      <c r="BM1192" s="369"/>
      <c r="BN1192" s="369"/>
      <c r="BO1192" s="369"/>
      <c r="BP1192" s="369"/>
      <c r="BQ1192" s="369"/>
      <c r="BR1192" s="369"/>
      <c r="BS1192" s="369"/>
      <c r="BT1192" s="369"/>
      <c r="BU1192" s="369"/>
      <c r="BV1192" s="369"/>
      <c r="BW1192" s="369"/>
      <c r="BX1192" s="369"/>
      <c r="BY1192" s="369"/>
      <c r="BZ1192" s="369"/>
      <c r="CA1192" s="369"/>
      <c r="CB1192" s="369"/>
      <c r="CC1192" s="369"/>
      <c r="CD1192" s="369"/>
      <c r="CE1192" s="369"/>
      <c r="CF1192" s="369"/>
      <c r="CG1192" s="369"/>
      <c r="CH1192" s="369"/>
      <c r="CI1192" s="369"/>
      <c r="CJ1192" s="369"/>
      <c r="CK1192" s="369"/>
      <c r="CL1192" s="369"/>
      <c r="CM1192" s="369"/>
      <c r="CN1192" s="369"/>
      <c r="CO1192" s="369"/>
      <c r="CP1192" s="369"/>
      <c r="CQ1192" s="369"/>
      <c r="CR1192" s="369"/>
      <c r="CS1192" s="369"/>
      <c r="CT1192" s="369"/>
      <c r="CU1192" s="369"/>
      <c r="CV1192" s="369"/>
      <c r="CW1192" s="369"/>
      <c r="CX1192" s="369"/>
      <c r="CY1192" s="369"/>
      <c r="CZ1192" s="369"/>
      <c r="DA1192" s="369"/>
      <c r="DB1192" s="369"/>
      <c r="DC1192" s="369"/>
      <c r="DD1192" s="369"/>
      <c r="DE1192" s="369"/>
      <c r="DF1192" s="369"/>
      <c r="DG1192" s="369"/>
      <c r="DH1192" s="369"/>
      <c r="DI1192" s="369"/>
      <c r="DJ1192" s="369"/>
      <c r="DK1192" s="369"/>
      <c r="DL1192" s="369"/>
      <c r="DM1192" s="369"/>
      <c r="DN1192" s="369"/>
      <c r="DO1192" s="369"/>
      <c r="DP1192" s="369"/>
      <c r="DQ1192" s="369"/>
      <c r="DR1192" s="369"/>
      <c r="DS1192" s="369"/>
      <c r="DT1192" s="369"/>
      <c r="DU1192" s="369"/>
      <c r="DV1192" s="369"/>
      <c r="DW1192" s="369"/>
      <c r="DX1192" s="369"/>
      <c r="DY1192" s="369"/>
      <c r="DZ1192" s="369"/>
      <c r="EA1192" s="369"/>
      <c r="EB1192" s="369"/>
      <c r="EC1192" s="369"/>
      <c r="ED1192" s="369"/>
      <c r="EE1192" s="369"/>
      <c r="EF1192" s="369">
        <v>100</v>
      </c>
      <c r="EG1192" s="369">
        <v>1000</v>
      </c>
      <c r="EH1192" s="369">
        <v>8</v>
      </c>
      <c r="EI1192" s="395">
        <v>0.95</v>
      </c>
      <c r="EJ1192" s="369">
        <v>2</v>
      </c>
      <c r="EK1192" s="369">
        <v>45</v>
      </c>
      <c r="EL1192" s="396">
        <f t="shared" ref="EL1192" si="1176">3600/EK1192*EH1192*EJ1192*EI1192</f>
        <v>1216</v>
      </c>
      <c r="EM1192" s="369"/>
      <c r="EN1192" s="369"/>
      <c r="EO1192" s="369"/>
      <c r="EP1192" s="369"/>
      <c r="EQ1192" s="369"/>
      <c r="ER1192" s="369"/>
      <c r="ES1192" s="369"/>
      <c r="ET1192" s="369"/>
      <c r="EU1192" s="391">
        <f t="shared" ref="EU1192" si="1177">EG1192/EL1192+EM1192+EP1192+EQ1192+ER1192+EO1192</f>
        <v>0.82236842105263153</v>
      </c>
      <c r="EV1192" s="369"/>
      <c r="EW1192" s="369"/>
      <c r="EX1192" s="369"/>
      <c r="EY1192" s="369"/>
      <c r="EZ1192" s="369"/>
      <c r="FA1192" s="369"/>
      <c r="FB1192" s="369"/>
      <c r="FC1192" s="369"/>
      <c r="FD1192" s="369"/>
      <c r="FE1192" s="369"/>
      <c r="FF1192" s="369"/>
      <c r="FG1192" s="369"/>
      <c r="FH1192" s="369"/>
      <c r="FI1192" s="369"/>
      <c r="FJ1192" s="369"/>
      <c r="FK1192" s="369"/>
      <c r="FL1192" s="369"/>
      <c r="FM1192" s="369"/>
      <c r="FN1192" s="369"/>
      <c r="FO1192" s="369"/>
      <c r="FP1192" s="369"/>
      <c r="FQ1192" s="369"/>
      <c r="FR1192" s="369"/>
      <c r="FS1192" s="369"/>
      <c r="FT1192" s="369"/>
      <c r="FU1192" s="369"/>
      <c r="FV1192" s="369"/>
      <c r="FW1192" s="369"/>
      <c r="FX1192" s="369"/>
      <c r="FY1192" s="369"/>
      <c r="FZ1192" s="369"/>
      <c r="GA1192" s="369"/>
      <c r="GB1192" s="369"/>
      <c r="GC1192" s="369"/>
      <c r="GD1192" s="369"/>
      <c r="GE1192" s="369"/>
      <c r="GF1192" s="369"/>
      <c r="GG1192" s="369"/>
      <c r="GH1192" s="369"/>
      <c r="GI1192" s="369"/>
      <c r="GJ1192" s="369"/>
      <c r="GK1192" s="369"/>
      <c r="GL1192" s="369"/>
      <c r="GM1192" s="369"/>
      <c r="GN1192" s="369"/>
      <c r="GO1192" s="369"/>
      <c r="GP1192" s="392"/>
      <c r="GQ1192" s="369"/>
      <c r="GR1192" s="395">
        <v>0.11</v>
      </c>
      <c r="GS1192" s="391">
        <f t="shared" ref="GS1192" si="1178">GR1192*(BA1192+EU1192+EV1192)</f>
        <v>0.7053605263157896</v>
      </c>
      <c r="GT1192" s="393">
        <v>1.2500000000000001E-2</v>
      </c>
      <c r="GU1192" s="391">
        <f t="shared" ref="GU1192" si="1179">GT1192*(EU1192+BA1192+EV1192)</f>
        <v>8.0154605263157916E-2</v>
      </c>
      <c r="GV1192" s="395">
        <v>0.02</v>
      </c>
      <c r="GW1192" s="391">
        <f t="shared" ref="GW1192" si="1180">GV1192*(EU1192-EP1192-EQ1192)</f>
        <v>1.6447368421052631E-2</v>
      </c>
      <c r="GX1192" s="391">
        <f t="shared" ref="GX1192" si="1181">GS1192+GU1192+GW1192</f>
        <v>0.80196250000000013</v>
      </c>
      <c r="GY1192" s="369" t="s">
        <v>43</v>
      </c>
      <c r="GZ1192" s="369" t="s">
        <v>87</v>
      </c>
      <c r="HA1192" s="369">
        <v>650</v>
      </c>
      <c r="HB1192" s="369">
        <v>450</v>
      </c>
      <c r="HC1192" s="369">
        <v>315</v>
      </c>
      <c r="HD1192" s="369">
        <v>180</v>
      </c>
      <c r="HE1192" s="369">
        <v>300</v>
      </c>
      <c r="HF1192" s="369">
        <f t="shared" ref="HF1192" si="1182">ROUNDUP(HE1192/HD1192,0)</f>
        <v>2</v>
      </c>
      <c r="HG1192" s="369">
        <v>5</v>
      </c>
      <c r="HH1192" s="369">
        <f t="shared" ref="HH1192" si="1183">HF1192*HG1192</f>
        <v>10</v>
      </c>
      <c r="HI1192" s="369">
        <v>500</v>
      </c>
      <c r="HJ1192" s="369">
        <f t="shared" ref="HJ1192" si="1184">HH1192*HI1192</f>
        <v>5000</v>
      </c>
      <c r="HK1192" s="369"/>
      <c r="HL1192" s="369"/>
      <c r="HM1192" s="369">
        <v>2</v>
      </c>
      <c r="HN1192" s="369">
        <f t="shared" ref="HN1192" si="1185">HM1192*12*25*HE1192</f>
        <v>180000</v>
      </c>
      <c r="HO1192" s="391">
        <f t="shared" ref="HO1192" si="1186">(IF(GY1192="carton box",HI1192/HD1192,HJ1192/HN1192))</f>
        <v>2.7777777777777776E-2</v>
      </c>
      <c r="HP1192" s="391">
        <v>160</v>
      </c>
      <c r="HQ1192" s="369">
        <v>0</v>
      </c>
      <c r="HR1192" s="391">
        <f>2.4*4</f>
        <v>9.6</v>
      </c>
      <c r="HS1192" s="369">
        <v>180</v>
      </c>
      <c r="HT1192" s="394">
        <f>IF(ISERROR(HR1192/HS1192),0,HR1192/HS1192)</f>
        <v>5.333333333333333E-2</v>
      </c>
      <c r="HU1192" s="394"/>
      <c r="HV1192" s="391">
        <f t="shared" ref="HV1192" si="1187">(HO1192+HT1192)</f>
        <v>8.1111111111111106E-2</v>
      </c>
      <c r="HW1192" s="369"/>
      <c r="HX1192" s="369">
        <v>4200</v>
      </c>
      <c r="HY1192" s="369">
        <v>1900</v>
      </c>
      <c r="HZ1192" s="369">
        <v>1975</v>
      </c>
      <c r="IA1192" s="391">
        <f t="shared" ref="IA1192:IC1192" si="1188">ROUNDDOWN(HX1192/HA1192,0)</f>
        <v>6</v>
      </c>
      <c r="IB1192" s="391">
        <f t="shared" si="1188"/>
        <v>4</v>
      </c>
      <c r="IC1192" s="391">
        <f t="shared" si="1188"/>
        <v>6</v>
      </c>
      <c r="ID1192" s="395">
        <v>1</v>
      </c>
      <c r="IE1192" s="369">
        <f>PRODUCT(IA1192:ID1192)</f>
        <v>144</v>
      </c>
      <c r="IF1192" s="369">
        <v>500</v>
      </c>
      <c r="IG1192" s="391">
        <f t="shared" ref="IG1192" si="1189">(IF1192/(IE1192*HD1192))</f>
        <v>1.9290123456790122E-2</v>
      </c>
    </row>
    <row r="1193" spans="1:339">
      <c r="A1193">
        <v>1176</v>
      </c>
      <c r="C1193" s="27" t="s">
        <v>4568</v>
      </c>
      <c r="D1193" s="28" t="s">
        <v>3146</v>
      </c>
      <c r="E1193" s="27" t="s">
        <v>3147</v>
      </c>
      <c r="F1193" t="s">
        <v>2444</v>
      </c>
      <c r="G1193" s="27" t="s">
        <v>90</v>
      </c>
      <c r="I1193" s="27" t="s">
        <v>226</v>
      </c>
      <c r="J1193" s="28">
        <v>21599</v>
      </c>
      <c r="K1193" s="27" t="s">
        <v>1240</v>
      </c>
      <c r="L1193" s="28"/>
      <c r="M1193" s="28"/>
      <c r="N1193" s="28" t="s">
        <v>4568</v>
      </c>
      <c r="O1193" s="28" t="s">
        <v>1766</v>
      </c>
      <c r="P1193" s="442">
        <v>43704</v>
      </c>
      <c r="Q1193" s="27"/>
      <c r="R1193" s="27"/>
      <c r="S1193" s="370"/>
      <c r="T1193" s="443"/>
      <c r="U1193" s="370"/>
      <c r="V1193" s="369"/>
      <c r="W1193" s="370" t="s">
        <v>4759</v>
      </c>
    </row>
    <row r="1194" spans="1:339">
      <c r="A1194">
        <v>1177</v>
      </c>
      <c r="C1194" s="27" t="s">
        <v>1840</v>
      </c>
      <c r="D1194" s="28" t="s">
        <v>131</v>
      </c>
      <c r="E1194" s="27" t="s">
        <v>132</v>
      </c>
      <c r="F1194" t="s">
        <v>2444</v>
      </c>
      <c r="G1194" s="27" t="s">
        <v>90</v>
      </c>
      <c r="I1194" s="27" t="s">
        <v>226</v>
      </c>
      <c r="J1194" s="28">
        <v>21691</v>
      </c>
      <c r="K1194" s="27" t="s">
        <v>404</v>
      </c>
      <c r="L1194" s="28"/>
      <c r="M1194" s="28"/>
      <c r="N1194" s="28" t="s">
        <v>4568</v>
      </c>
      <c r="O1194" s="28" t="s">
        <v>4538</v>
      </c>
      <c r="P1194" s="442">
        <v>44960</v>
      </c>
      <c r="Q1194" s="27" t="s">
        <v>1768</v>
      </c>
      <c r="R1194" s="27" t="s">
        <v>1194</v>
      </c>
      <c r="S1194" s="370">
        <v>44897</v>
      </c>
      <c r="T1194" s="443" t="s">
        <v>4555</v>
      </c>
      <c r="U1194" s="370">
        <v>44960</v>
      </c>
      <c r="V1194" s="369"/>
      <c r="W1194" s="370" t="s">
        <v>4759</v>
      </c>
    </row>
    <row r="1195" spans="1:339">
      <c r="A1195">
        <v>1178</v>
      </c>
      <c r="C1195" t="s">
        <v>567</v>
      </c>
      <c r="D1195" s="28" t="s">
        <v>3148</v>
      </c>
      <c r="E1195" s="27" t="s">
        <v>1588</v>
      </c>
      <c r="F1195" t="s">
        <v>2444</v>
      </c>
      <c r="G1195" s="27" t="s">
        <v>90</v>
      </c>
      <c r="I1195" s="27" t="s">
        <v>226</v>
      </c>
      <c r="J1195" s="28">
        <v>29164</v>
      </c>
      <c r="K1195" s="27" t="s">
        <v>229</v>
      </c>
      <c r="L1195" s="371"/>
      <c r="M1195" s="369"/>
      <c r="N1195" s="369"/>
      <c r="O1195" s="369"/>
      <c r="P1195" s="369"/>
      <c r="Q1195" s="369"/>
      <c r="R1195" s="369"/>
      <c r="S1195" s="369"/>
      <c r="T1195" s="369"/>
      <c r="U1195" s="369"/>
      <c r="V1195" s="369"/>
      <c r="W1195" s="27" t="s">
        <v>4759</v>
      </c>
    </row>
    <row r="1196" spans="1:339" ht="105">
      <c r="A1196">
        <v>1179</v>
      </c>
      <c r="C1196" s="27" t="s">
        <v>4760</v>
      </c>
      <c r="D1196" s="28" t="s">
        <v>3149</v>
      </c>
      <c r="E1196" s="27" t="s">
        <v>1388</v>
      </c>
      <c r="F1196" t="s">
        <v>2182</v>
      </c>
      <c r="G1196" s="27" t="s">
        <v>90</v>
      </c>
      <c r="I1196" s="27" t="s">
        <v>226</v>
      </c>
      <c r="J1196" s="28">
        <v>29164</v>
      </c>
      <c r="K1196" s="27" t="s">
        <v>229</v>
      </c>
      <c r="L1196" s="371"/>
      <c r="M1196" s="369"/>
      <c r="N1196" s="369"/>
      <c r="O1196" s="369"/>
      <c r="P1196" s="369"/>
      <c r="Q1196" s="27" t="s">
        <v>4706</v>
      </c>
      <c r="R1196" s="27" t="s">
        <v>1836</v>
      </c>
      <c r="S1196" s="370">
        <v>45231</v>
      </c>
      <c r="T1196" s="27" t="s">
        <v>4555</v>
      </c>
      <c r="U1196" s="370">
        <v>45233</v>
      </c>
      <c r="V1196" s="369"/>
      <c r="W1196" s="27" t="s">
        <v>4761</v>
      </c>
      <c r="X1196" s="27"/>
      <c r="Y1196" s="27"/>
      <c r="Z1196" s="27"/>
      <c r="AA1196" s="390" t="s">
        <v>313</v>
      </c>
      <c r="AB1196" s="369">
        <v>101.39</v>
      </c>
      <c r="AC1196" s="369">
        <v>0</v>
      </c>
      <c r="AD1196" s="390" t="s">
        <v>935</v>
      </c>
      <c r="AE1196" s="391">
        <f t="shared" ref="AE1196" si="1190">BA1196</f>
        <v>75.028599999999997</v>
      </c>
      <c r="AF1196" s="391">
        <f>DU1196+DZ1196+EE1196</f>
        <v>9.9406301099415195</v>
      </c>
      <c r="AG1196" s="391">
        <f t="shared" ref="AG1196" si="1191">EU1196+FA1196</f>
        <v>12.006714316655838</v>
      </c>
      <c r="AH1196" s="391">
        <f t="shared" ref="AH1196" si="1192">DM1196</f>
        <v>4</v>
      </c>
      <c r="AI1196" s="391">
        <f t="shared" ref="AI1196" si="1193">DO1196</f>
        <v>0.05</v>
      </c>
      <c r="AJ1196" s="391">
        <f t="shared" ref="AJ1196" si="1194">GW1196</f>
        <v>0.21184210526315791</v>
      </c>
      <c r="AK1196" s="391">
        <f t="shared" ref="AK1196" si="1195">GU1196</f>
        <v>1.0702588157894737</v>
      </c>
      <c r="AL1196" s="391">
        <f t="shared" ref="AL1196" si="1196">GS1196</f>
        <v>9.4182775789473681</v>
      </c>
      <c r="AM1196" s="391">
        <f t="shared" ref="AM1196" si="1197">HV1196</f>
        <v>2.3611111111111112</v>
      </c>
      <c r="AN1196" s="391">
        <f t="shared" ref="AN1196" si="1198">IG1196</f>
        <v>2.0833333333333335</v>
      </c>
      <c r="AO1196" s="391"/>
      <c r="AP1196" s="391"/>
      <c r="AQ1196" s="391">
        <f t="shared" ref="AQ1196" si="1199">SUM(AE1196:AO1196)</f>
        <v>116.17076737104179</v>
      </c>
      <c r="AR1196" s="391">
        <f t="shared" ref="AR1196" si="1200">IJ1196</f>
        <v>0</v>
      </c>
      <c r="AS1196" s="391">
        <v>0</v>
      </c>
      <c r="AT1196" s="391">
        <v>0</v>
      </c>
      <c r="AU1196" s="391">
        <f>116.3-116.17</f>
        <v>0.12999999999999545</v>
      </c>
      <c r="AV1196" s="391">
        <f t="shared" ref="AV1196" si="1201">AQ1196+AT1196+AU1196+AR1196+AS1196</f>
        <v>116.30076737104179</v>
      </c>
      <c r="AW1196" s="394">
        <v>0.74</v>
      </c>
      <c r="AX1196" s="394">
        <v>0.74</v>
      </c>
      <c r="AY1196" s="399">
        <v>0.9</v>
      </c>
      <c r="AZ1196" s="391">
        <f t="shared" ref="AZ1196" si="1202">(AW1196-AX1196)*AY1196</f>
        <v>0</v>
      </c>
      <c r="BA1196" s="391">
        <f t="shared" ref="BA1196" si="1203">AW1196*AB1196-AZ1196*AC1196</f>
        <v>75.028599999999997</v>
      </c>
      <c r="BB1196" s="391"/>
      <c r="BC1196" s="391"/>
      <c r="BD1196" s="391"/>
      <c r="BE1196" s="391"/>
      <c r="BF1196" s="391"/>
      <c r="BG1196" s="391"/>
      <c r="BH1196" s="391"/>
      <c r="BI1196" s="391"/>
      <c r="BJ1196" s="369"/>
      <c r="BK1196" s="369"/>
      <c r="BL1196" s="369"/>
      <c r="BM1196" s="369"/>
      <c r="BN1196" s="369"/>
      <c r="BO1196" s="369"/>
      <c r="BP1196" s="369"/>
      <c r="BQ1196" s="369"/>
      <c r="BR1196" s="369"/>
      <c r="BS1196" s="369"/>
      <c r="BT1196" s="369"/>
      <c r="BU1196" s="369"/>
      <c r="BV1196" s="369"/>
      <c r="BW1196" s="369"/>
      <c r="BX1196" s="369"/>
      <c r="BY1196" s="369"/>
      <c r="BZ1196" s="369"/>
      <c r="CA1196" s="369"/>
      <c r="CB1196" s="369"/>
      <c r="CC1196" s="369"/>
      <c r="CD1196" s="369"/>
      <c r="CE1196" s="369">
        <v>0</v>
      </c>
      <c r="CF1196" s="369">
        <v>4</v>
      </c>
      <c r="CG1196" s="369">
        <v>1</v>
      </c>
      <c r="CH1196" s="369">
        <f>CF1196*CG1196</f>
        <v>4</v>
      </c>
      <c r="CI1196" s="369"/>
      <c r="CJ1196" s="369"/>
      <c r="CK1196" s="369"/>
      <c r="CL1196" s="369"/>
      <c r="CM1196" s="369"/>
      <c r="CN1196" s="369"/>
      <c r="CO1196" s="369"/>
      <c r="CP1196" s="369"/>
      <c r="CQ1196" s="369"/>
      <c r="CR1196" s="369"/>
      <c r="CS1196" s="369"/>
      <c r="CT1196" s="369"/>
      <c r="CU1196" s="369"/>
      <c r="CV1196" s="369"/>
      <c r="CW1196" s="369"/>
      <c r="CX1196" s="369"/>
      <c r="CY1196" s="369"/>
      <c r="CZ1196" s="369"/>
      <c r="DA1196" s="369"/>
      <c r="DB1196" s="369"/>
      <c r="DC1196" s="369"/>
      <c r="DD1196" s="369"/>
      <c r="DE1196" s="369"/>
      <c r="DF1196" s="369"/>
      <c r="DG1196" s="369"/>
      <c r="DH1196" s="369"/>
      <c r="DI1196" s="369"/>
      <c r="DJ1196" s="369"/>
      <c r="DK1196" s="369"/>
      <c r="DL1196" s="369"/>
      <c r="DM1196" s="369">
        <f>DL1196+DG1196+DB1196+CW1196+CR1196+CM1196+CH1196</f>
        <v>4</v>
      </c>
      <c r="DN1196" s="393">
        <v>1.2500000000000001E-2</v>
      </c>
      <c r="DO1196" s="369">
        <f>DN1196*DM1196</f>
        <v>0.05</v>
      </c>
      <c r="DP1196" s="369">
        <f>DO1196+DM1196</f>
        <v>4.05</v>
      </c>
      <c r="DQ1196" s="369" t="s">
        <v>4762</v>
      </c>
      <c r="DR1196" s="369" t="s">
        <v>4763</v>
      </c>
      <c r="DS1196" s="369">
        <v>1</v>
      </c>
      <c r="DT1196" s="391">
        <f>KP1196</f>
        <v>6.0113246549707604</v>
      </c>
      <c r="DU1196" s="391">
        <f>DS1196*DT1196</f>
        <v>6.0113246549707604</v>
      </c>
      <c r="DV1196" s="369" t="s">
        <v>4764</v>
      </c>
      <c r="DW1196" s="369" t="s">
        <v>4765</v>
      </c>
      <c r="DX1196" s="369">
        <v>1</v>
      </c>
      <c r="DY1196" s="391">
        <f>MA1196</f>
        <v>3.92930545497076</v>
      </c>
      <c r="DZ1196" s="391">
        <f>DX1196*DY1196</f>
        <v>3.92930545497076</v>
      </c>
      <c r="EA1196" s="369"/>
      <c r="EB1196" s="369"/>
      <c r="EC1196" s="369"/>
      <c r="ED1196" s="369"/>
      <c r="EE1196" s="369"/>
      <c r="EF1196" s="369">
        <v>450</v>
      </c>
      <c r="EG1196" s="369">
        <v>4140</v>
      </c>
      <c r="EH1196" s="369">
        <v>8</v>
      </c>
      <c r="EI1196" s="395">
        <v>0.95</v>
      </c>
      <c r="EJ1196" s="369">
        <v>1</v>
      </c>
      <c r="EK1196" s="369">
        <v>70</v>
      </c>
      <c r="EL1196" s="396">
        <f t="shared" ref="EL1196" si="1204">3600/EK1196*EH1196*EJ1196*EI1196</f>
        <v>390.85714285714283</v>
      </c>
      <c r="EM1196" s="369"/>
      <c r="EN1196" s="369"/>
      <c r="EO1196" s="369"/>
      <c r="EP1196" s="369"/>
      <c r="EQ1196" s="369"/>
      <c r="ER1196" s="369"/>
      <c r="ES1196" s="369"/>
      <c r="ET1196" s="369"/>
      <c r="EU1196" s="391">
        <f t="shared" ref="EU1196" si="1205">EG1196/EL1196+EM1196+EP1196+EQ1196+ER1196+EO1196</f>
        <v>10.592105263157896</v>
      </c>
      <c r="EV1196" s="369"/>
      <c r="EW1196" s="369"/>
      <c r="EX1196" s="391">
        <f>550/(3600*7.2*0.9/60)</f>
        <v>1.4146090534979423</v>
      </c>
      <c r="EY1196" s="369"/>
      <c r="EZ1196" s="369"/>
      <c r="FA1196" s="391">
        <f t="shared" ref="FA1196" si="1206">EX1196+EY1196</f>
        <v>1.4146090534979423</v>
      </c>
      <c r="FB1196" s="369"/>
      <c r="FC1196" s="369"/>
      <c r="FD1196" s="369"/>
      <c r="FE1196" s="369"/>
      <c r="FF1196" s="369"/>
      <c r="FG1196" s="369"/>
      <c r="FH1196" s="369"/>
      <c r="FI1196" s="369"/>
      <c r="FJ1196" s="369"/>
      <c r="FK1196" s="369"/>
      <c r="FL1196" s="369"/>
      <c r="FM1196" s="369"/>
      <c r="FN1196" s="369"/>
      <c r="FO1196" s="369"/>
      <c r="FP1196" s="369"/>
      <c r="FQ1196" s="369"/>
      <c r="FR1196" s="369"/>
      <c r="FS1196" s="369"/>
      <c r="FT1196" s="369"/>
      <c r="FU1196" s="369"/>
      <c r="FV1196" s="369"/>
      <c r="FW1196" s="369"/>
      <c r="FX1196" s="369"/>
      <c r="FY1196" s="369"/>
      <c r="FZ1196" s="369"/>
      <c r="GA1196" s="369"/>
      <c r="GB1196" s="369"/>
      <c r="GC1196" s="369"/>
      <c r="GD1196" s="369"/>
      <c r="GE1196" s="369"/>
      <c r="GF1196" s="369"/>
      <c r="GG1196" s="369"/>
      <c r="GH1196" s="369"/>
      <c r="GI1196" s="369"/>
      <c r="GJ1196" s="369"/>
      <c r="GK1196" s="369"/>
      <c r="GL1196" s="369"/>
      <c r="GM1196" s="369"/>
      <c r="GN1196" s="369"/>
      <c r="GO1196" s="369"/>
      <c r="GP1196" s="399"/>
      <c r="GQ1196" s="369"/>
      <c r="GR1196" s="395">
        <v>0.11</v>
      </c>
      <c r="GS1196" s="391">
        <f>GR1196*(BA1196+EU1196+EV1196)</f>
        <v>9.4182775789473681</v>
      </c>
      <c r="GT1196" s="393">
        <v>1.2500000000000001E-2</v>
      </c>
      <c r="GU1196" s="391">
        <f t="shared" ref="GU1196" si="1207">GT1196*(EU1196+BA1196+EV1196)</f>
        <v>1.0702588157894737</v>
      </c>
      <c r="GV1196" s="395">
        <v>0.02</v>
      </c>
      <c r="GW1196" s="391">
        <f t="shared" ref="GW1196" si="1208">GV1196*(EU1196-EP1196-EQ1196)</f>
        <v>0.21184210526315791</v>
      </c>
      <c r="GX1196" s="391">
        <f t="shared" ref="GX1196" si="1209">GS1196+GU1196+GW1196</f>
        <v>10.700378499999999</v>
      </c>
      <c r="GY1196" s="369" t="s">
        <v>130</v>
      </c>
      <c r="GZ1196" s="369" t="s">
        <v>130</v>
      </c>
      <c r="HA1196" s="369">
        <v>1600</v>
      </c>
      <c r="HB1196" s="369">
        <v>800</v>
      </c>
      <c r="HC1196" s="369">
        <v>1800</v>
      </c>
      <c r="HD1196" s="369">
        <v>60</v>
      </c>
      <c r="HE1196" s="369">
        <v>300</v>
      </c>
      <c r="HF1196" s="369">
        <f t="shared" ref="HF1196" si="1210">ROUNDUP(HE1196/HD1196,0)</f>
        <v>5</v>
      </c>
      <c r="HG1196" s="369">
        <v>5</v>
      </c>
      <c r="HH1196" s="369">
        <f t="shared" ref="HH1196" si="1211">HF1196*HG1196</f>
        <v>25</v>
      </c>
      <c r="HI1196" s="369">
        <v>17000</v>
      </c>
      <c r="HJ1196" s="369">
        <f t="shared" ref="HJ1196" si="1212">HH1196*HI1196</f>
        <v>425000</v>
      </c>
      <c r="HK1196" s="369"/>
      <c r="HL1196" s="369"/>
      <c r="HM1196" s="369">
        <v>2</v>
      </c>
      <c r="HN1196" s="369">
        <f t="shared" ref="HN1196" si="1213">HM1196*12*25*HE1196</f>
        <v>180000</v>
      </c>
      <c r="HO1196" s="391">
        <f t="shared" ref="HO1196" si="1214">(IF(GY1196="carton box",HI1196/HD1196,HJ1196/HN1196))</f>
        <v>2.3611111111111112</v>
      </c>
      <c r="HP1196" s="391">
        <v>160</v>
      </c>
      <c r="HQ1196" s="369">
        <v>0</v>
      </c>
      <c r="HR1196" s="391">
        <v>0</v>
      </c>
      <c r="HS1196" s="369">
        <v>0</v>
      </c>
      <c r="HT1196" s="394">
        <f>IF(ISERROR(HR1196/HS1196),0,HR1196/HS1196)</f>
        <v>0</v>
      </c>
      <c r="HU1196" s="394"/>
      <c r="HV1196" s="391">
        <f t="shared" ref="HV1196" si="1215">(HO1196+HT1196)</f>
        <v>2.3611111111111112</v>
      </c>
      <c r="HW1196" s="369"/>
      <c r="HX1196" s="369">
        <v>4200</v>
      </c>
      <c r="HY1196" s="369">
        <v>1900</v>
      </c>
      <c r="HZ1196" s="369">
        <v>1975</v>
      </c>
      <c r="IA1196" s="391">
        <f t="shared" ref="IA1196:IC1196" si="1216">ROUNDDOWN(HX1196/HA1196,0)</f>
        <v>2</v>
      </c>
      <c r="IB1196" s="391">
        <f t="shared" si="1216"/>
        <v>2</v>
      </c>
      <c r="IC1196" s="391">
        <f t="shared" si="1216"/>
        <v>1</v>
      </c>
      <c r="ID1196" s="395">
        <v>1</v>
      </c>
      <c r="IE1196" s="369">
        <f>PRODUCT(IA1196:ID1196)</f>
        <v>4</v>
      </c>
      <c r="IF1196" s="369">
        <v>500</v>
      </c>
      <c r="IG1196" s="391">
        <f t="shared" ref="IG1196" si="1217">(IF1196/(IE1196*HD1196))</f>
        <v>2.0833333333333335</v>
      </c>
      <c r="IH1196" s="369"/>
      <c r="II1196" s="369"/>
      <c r="IJ1196" s="369"/>
      <c r="IK1196" s="369"/>
      <c r="IL1196" s="369"/>
      <c r="IM1196" s="404" t="s">
        <v>4766</v>
      </c>
      <c r="IN1196" s="369">
        <v>245.44</v>
      </c>
      <c r="IO1196" s="369">
        <v>20</v>
      </c>
      <c r="IP1196" s="369" t="s">
        <v>935</v>
      </c>
      <c r="IQ1196" s="369">
        <v>1.4999999999999999E-2</v>
      </c>
      <c r="IR1196" s="369">
        <v>1.2999999999999999E-2</v>
      </c>
      <c r="IS1196" s="399">
        <v>1</v>
      </c>
      <c r="IT1196" s="391">
        <f>(IQ1196-IR1196)*IS1196</f>
        <v>2E-3</v>
      </c>
      <c r="IU1196" s="391">
        <f>IQ1196*IN1196-IT1196*IO1196</f>
        <v>3.6415999999999999</v>
      </c>
      <c r="IV1196" s="369">
        <v>1</v>
      </c>
      <c r="IW1196" s="369">
        <v>1.24</v>
      </c>
      <c r="IX1196" s="369">
        <f>IV1196*IW1196</f>
        <v>1.24</v>
      </c>
      <c r="IY1196" s="369"/>
      <c r="IZ1196" s="369"/>
      <c r="JA1196" s="369"/>
      <c r="JB1196" s="369"/>
      <c r="JC1196" s="369"/>
      <c r="JD1196" s="369"/>
      <c r="JE1196" s="369"/>
      <c r="JF1196" s="369"/>
      <c r="JG1196" s="369"/>
      <c r="JH1196" s="369"/>
      <c r="JI1196" s="369"/>
      <c r="JJ1196" s="369"/>
      <c r="JK1196" s="369"/>
      <c r="JL1196" s="369"/>
      <c r="JM1196" s="369"/>
      <c r="JN1196" s="369"/>
      <c r="JO1196" s="369"/>
      <c r="JP1196" s="369"/>
      <c r="JQ1196" s="369"/>
      <c r="JR1196" s="369"/>
      <c r="JS1196" s="369">
        <f>JR1196+JM1196+JH1196+JC1196+IX1196</f>
        <v>1.24</v>
      </c>
      <c r="JT1196" s="393">
        <v>1.2500000000000001E-2</v>
      </c>
      <c r="JU1196" s="391">
        <f>JT1196*JS1196</f>
        <v>1.55E-2</v>
      </c>
      <c r="JV1196" s="391">
        <f>JU1196+JS1196</f>
        <v>1.2555000000000001</v>
      </c>
      <c r="JW1196" s="369">
        <v>80</v>
      </c>
      <c r="JX1196" s="369">
        <v>800</v>
      </c>
      <c r="JY1196" s="369">
        <v>8</v>
      </c>
      <c r="JZ1196" s="395">
        <v>0.95</v>
      </c>
      <c r="KA1196" s="369">
        <v>2</v>
      </c>
      <c r="KB1196" s="369"/>
      <c r="KC1196" s="404">
        <v>40</v>
      </c>
      <c r="KD1196" s="417">
        <f>3600/KC1196*KA1196*JZ1196*JY1196</f>
        <v>1368</v>
      </c>
      <c r="KE1196" s="418">
        <f>JX1196/KD1196+KF1196</f>
        <v>0.58479532163742687</v>
      </c>
      <c r="KF1196" s="391">
        <v>0</v>
      </c>
      <c r="KG1196" s="395">
        <v>0.11</v>
      </c>
      <c r="KH1196" s="391">
        <f>KG1196*(KE1196+IU1196)</f>
        <v>0.464903485380117</v>
      </c>
      <c r="KI1196" s="393">
        <v>1.2500000000000001E-2</v>
      </c>
      <c r="KJ1196" s="391">
        <f>KI1196*(KE1196+IU1196)</f>
        <v>5.2829941520467841E-2</v>
      </c>
      <c r="KK1196" s="391"/>
      <c r="KL1196" s="391"/>
      <c r="KM1196" s="391"/>
      <c r="KN1196" s="395">
        <v>0.02</v>
      </c>
      <c r="KO1196" s="391">
        <f>KN1196*KE1196</f>
        <v>1.1695906432748537E-2</v>
      </c>
      <c r="KP1196" s="391">
        <f>IU1196+JS1196+JU1196+KE1196+KH1196+KJ1196+KO1196</f>
        <v>6.0113246549707604</v>
      </c>
      <c r="KQ1196" s="404" t="s">
        <v>4766</v>
      </c>
      <c r="KR1196" s="369">
        <v>245.44</v>
      </c>
      <c r="KS1196" s="369">
        <v>20</v>
      </c>
      <c r="KT1196" s="369" t="s">
        <v>24</v>
      </c>
      <c r="KU1196" s="394">
        <v>1.2E-2</v>
      </c>
      <c r="KV1196" s="394">
        <v>0.01</v>
      </c>
      <c r="KW1196" s="395">
        <v>1</v>
      </c>
      <c r="KX1196" s="391">
        <f>(KU1196-KV1196)*KW1196</f>
        <v>2E-3</v>
      </c>
      <c r="KY1196" s="391">
        <f>KU1196*KR1196-KX1196*KS1196</f>
        <v>2.9052799999999999</v>
      </c>
      <c r="KZ1196" s="369"/>
      <c r="LA1196" s="369"/>
      <c r="LB1196" s="369"/>
      <c r="LC1196" s="369"/>
      <c r="LD1196" s="369"/>
      <c r="LE1196" s="369"/>
      <c r="LF1196" s="369"/>
      <c r="LG1196" s="369"/>
      <c r="LH1196" s="369">
        <v>80</v>
      </c>
      <c r="LI1196" s="369">
        <v>800</v>
      </c>
      <c r="LJ1196" s="369">
        <v>8</v>
      </c>
      <c r="LK1196" s="395">
        <v>0.95</v>
      </c>
      <c r="LL1196" s="369">
        <v>2</v>
      </c>
      <c r="LM1196" s="369"/>
      <c r="LN1196" s="369">
        <v>40</v>
      </c>
      <c r="LO1196" s="396">
        <f>3600/LN1196*LL1196*LK1196*LJ1196</f>
        <v>1368</v>
      </c>
      <c r="LP1196" s="391">
        <f>LI1196/LO1196</f>
        <v>0.58479532163742687</v>
      </c>
      <c r="LQ1196" s="391"/>
      <c r="LR1196" s="395">
        <v>0.11</v>
      </c>
      <c r="LS1196" s="391">
        <f>LR1196*(LP1196+KY1196)</f>
        <v>0.38390828538011695</v>
      </c>
      <c r="LT1196" s="393">
        <v>1.2500000000000001E-2</v>
      </c>
      <c r="LU1196" s="391">
        <f>LT1196*(LP1196+KY1196)</f>
        <v>4.3625941520467837E-2</v>
      </c>
      <c r="LV1196" s="391"/>
      <c r="LW1196" s="391"/>
      <c r="LX1196" s="391"/>
      <c r="LY1196" s="395">
        <v>0.02</v>
      </c>
      <c r="LZ1196" s="391">
        <f>LY1196*LP1196</f>
        <v>1.1695906432748537E-2</v>
      </c>
      <c r="MA1196" s="391">
        <f>KY1196+LD1196+LF1196+LP1196+LS1196+LU1196+LZ1196</f>
        <v>3.92930545497076</v>
      </c>
    </row>
    <row r="1197" spans="1:339">
      <c r="A1197">
        <v>1180</v>
      </c>
      <c r="C1197" s="27" t="s">
        <v>4568</v>
      </c>
      <c r="D1197" s="28" t="s">
        <v>3149</v>
      </c>
      <c r="E1197" s="27" t="s">
        <v>1388</v>
      </c>
      <c r="F1197" t="s">
        <v>2444</v>
      </c>
      <c r="G1197" s="27" t="s">
        <v>90</v>
      </c>
      <c r="I1197" s="27" t="s">
        <v>226</v>
      </c>
      <c r="J1197" s="28">
        <v>21599</v>
      </c>
      <c r="K1197" s="27" t="s">
        <v>1240</v>
      </c>
      <c r="L1197" s="28"/>
      <c r="M1197" s="28"/>
      <c r="N1197" s="28" t="s">
        <v>4568</v>
      </c>
      <c r="O1197" s="28" t="s">
        <v>1766</v>
      </c>
      <c r="P1197" s="442">
        <v>43704</v>
      </c>
      <c r="Q1197" s="27"/>
      <c r="R1197" s="27"/>
      <c r="S1197" s="370"/>
      <c r="T1197" s="443"/>
      <c r="U1197" s="370"/>
      <c r="V1197" s="369"/>
      <c r="W1197" s="370" t="s">
        <v>4759</v>
      </c>
    </row>
    <row r="1198" spans="1:339">
      <c r="A1198">
        <v>1181</v>
      </c>
      <c r="C1198" s="27" t="s">
        <v>4802</v>
      </c>
      <c r="D1198" s="28" t="s">
        <v>3150</v>
      </c>
      <c r="E1198" s="27" t="s">
        <v>1664</v>
      </c>
      <c r="G1198" s="27" t="s">
        <v>90</v>
      </c>
      <c r="I1198" s="27" t="s">
        <v>226</v>
      </c>
      <c r="J1198" s="28">
        <v>29164</v>
      </c>
      <c r="K1198" s="27" t="s">
        <v>229</v>
      </c>
      <c r="L1198" s="371"/>
      <c r="M1198" s="369"/>
      <c r="N1198" s="369"/>
      <c r="O1198" s="369"/>
      <c r="P1198" s="369"/>
      <c r="Q1198" s="369"/>
      <c r="R1198" s="369"/>
      <c r="S1198" s="369"/>
      <c r="T1198" s="369"/>
      <c r="U1198" s="369"/>
      <c r="V1198" s="369"/>
      <c r="W1198" s="27" t="s">
        <v>4759</v>
      </c>
    </row>
    <row r="1199" spans="1:339">
      <c r="A1199">
        <v>1182</v>
      </c>
      <c r="C1199" s="27" t="s">
        <v>4568</v>
      </c>
      <c r="D1199" s="28" t="s">
        <v>111</v>
      </c>
      <c r="E1199" s="27" t="s">
        <v>112</v>
      </c>
      <c r="F1199" t="s">
        <v>2444</v>
      </c>
      <c r="G1199" s="27" t="s">
        <v>90</v>
      </c>
      <c r="I1199" s="27" t="s">
        <v>121</v>
      </c>
      <c r="J1199" s="28">
        <v>20178</v>
      </c>
      <c r="K1199" s="27" t="s">
        <v>1243</v>
      </c>
      <c r="L1199" s="28"/>
      <c r="M1199" s="28"/>
      <c r="N1199" s="28" t="s">
        <v>4937</v>
      </c>
      <c r="O1199" s="28" t="s">
        <v>1766</v>
      </c>
      <c r="P1199" s="442">
        <v>43704</v>
      </c>
      <c r="Q1199" s="27"/>
      <c r="R1199" s="27"/>
      <c r="S1199" s="370"/>
      <c r="T1199" s="443"/>
      <c r="U1199" s="370"/>
      <c r="V1199" s="369"/>
      <c r="W1199" s="370" t="s">
        <v>4759</v>
      </c>
    </row>
    <row r="1200" spans="1:339">
      <c r="A1200">
        <v>1183</v>
      </c>
      <c r="C1200" s="27" t="s">
        <v>4568</v>
      </c>
      <c r="D1200" s="28" t="s">
        <v>111</v>
      </c>
      <c r="E1200" s="27" t="s">
        <v>112</v>
      </c>
      <c r="F1200" t="s">
        <v>2444</v>
      </c>
      <c r="G1200" s="27" t="s">
        <v>90</v>
      </c>
      <c r="I1200" s="27" t="s">
        <v>94</v>
      </c>
      <c r="J1200" s="28">
        <v>20178</v>
      </c>
      <c r="K1200" s="27" t="s">
        <v>1243</v>
      </c>
      <c r="L1200" s="28"/>
      <c r="M1200" s="28"/>
      <c r="N1200" s="28" t="s">
        <v>4938</v>
      </c>
      <c r="O1200" s="28" t="s">
        <v>1766</v>
      </c>
      <c r="P1200" s="442">
        <v>43759</v>
      </c>
      <c r="Q1200" s="27"/>
      <c r="R1200" s="27"/>
      <c r="S1200" s="370"/>
      <c r="T1200" s="443"/>
      <c r="U1200" s="370"/>
      <c r="V1200" s="369"/>
      <c r="W1200" s="370" t="s">
        <v>4759</v>
      </c>
    </row>
    <row r="1201" spans="1:339">
      <c r="A1201">
        <v>1184</v>
      </c>
      <c r="B1201" t="s">
        <v>468</v>
      </c>
      <c r="C1201" s="27" t="s">
        <v>4768</v>
      </c>
      <c r="D1201" s="28" t="s">
        <v>3151</v>
      </c>
      <c r="E1201" s="27" t="s">
        <v>3152</v>
      </c>
      <c r="F1201" t="s">
        <v>4574</v>
      </c>
      <c r="G1201" s="27" t="s">
        <v>90</v>
      </c>
      <c r="H1201" t="s">
        <v>4767</v>
      </c>
      <c r="I1201" s="27" t="s">
        <v>94</v>
      </c>
      <c r="J1201" s="28">
        <v>21160</v>
      </c>
      <c r="K1201" s="27" t="s">
        <v>401</v>
      </c>
    </row>
    <row r="1202" spans="1:339">
      <c r="A1202">
        <v>1185</v>
      </c>
      <c r="C1202" t="s">
        <v>567</v>
      </c>
      <c r="D1202" s="28" t="s">
        <v>3151</v>
      </c>
      <c r="E1202" s="27" t="s">
        <v>3152</v>
      </c>
      <c r="F1202" t="s">
        <v>2444</v>
      </c>
      <c r="G1202" s="27" t="s">
        <v>90</v>
      </c>
      <c r="I1202" s="27" t="s">
        <v>226</v>
      </c>
      <c r="J1202" s="28">
        <v>21020</v>
      </c>
      <c r="K1202" s="27" t="s">
        <v>403</v>
      </c>
      <c r="L1202" s="369"/>
      <c r="M1202" s="369"/>
      <c r="N1202" s="369"/>
      <c r="O1202" s="369"/>
      <c r="P1202" s="369"/>
      <c r="Q1202" s="369"/>
      <c r="R1202" s="369"/>
      <c r="S1202" s="369"/>
      <c r="T1202" s="369"/>
      <c r="U1202" s="369"/>
      <c r="V1202" s="369"/>
      <c r="W1202" s="27" t="s">
        <v>4759</v>
      </c>
    </row>
    <row r="1203" spans="1:339" ht="105">
      <c r="A1203">
        <v>1186</v>
      </c>
      <c r="B1203" t="s">
        <v>468</v>
      </c>
      <c r="C1203" s="400" t="s">
        <v>4769</v>
      </c>
      <c r="D1203" s="28" t="s">
        <v>3153</v>
      </c>
      <c r="E1203" s="27" t="s">
        <v>3154</v>
      </c>
      <c r="G1203" s="27" t="s">
        <v>90</v>
      </c>
      <c r="I1203" s="27" t="s">
        <v>226</v>
      </c>
      <c r="J1203" s="28">
        <v>29164</v>
      </c>
      <c r="K1203" s="27" t="s">
        <v>229</v>
      </c>
      <c r="L1203" s="371"/>
      <c r="M1203" s="369"/>
      <c r="N1203" s="369"/>
      <c r="O1203" s="369"/>
      <c r="P1203" s="369"/>
      <c r="Q1203" s="27" t="s">
        <v>4706</v>
      </c>
      <c r="R1203" s="27" t="s">
        <v>1836</v>
      </c>
      <c r="S1203" s="370">
        <v>45231</v>
      </c>
      <c r="T1203" s="27" t="s">
        <v>4555</v>
      </c>
      <c r="U1203" s="370">
        <v>45232</v>
      </c>
      <c r="V1203" s="369"/>
      <c r="W1203" s="162" t="s">
        <v>4761</v>
      </c>
      <c r="X1203" s="27"/>
      <c r="Y1203" s="27"/>
      <c r="Z1203" s="27"/>
      <c r="AA1203" s="401" t="s">
        <v>1106</v>
      </c>
      <c r="AB1203" s="369">
        <v>126.29</v>
      </c>
      <c r="AC1203" s="369">
        <v>20</v>
      </c>
      <c r="AD1203" s="390" t="s">
        <v>935</v>
      </c>
      <c r="AE1203" s="391">
        <f t="shared" ref="AE1203" si="1218">BA1203</f>
        <v>93.454599999999999</v>
      </c>
      <c r="AF1203" s="391">
        <f>DU1203+DZ1203+EE1203</f>
        <v>9.9406301099415195</v>
      </c>
      <c r="AG1203" s="391">
        <f t="shared" ref="AG1203" si="1219">EU1203+FA1203</f>
        <v>12.006714316655838</v>
      </c>
      <c r="AH1203" s="391">
        <f t="shared" ref="AH1203" si="1220">DM1203</f>
        <v>4</v>
      </c>
      <c r="AI1203" s="391">
        <f t="shared" ref="AI1203" si="1221">DO1203</f>
        <v>0.05</v>
      </c>
      <c r="AJ1203" s="391">
        <f t="shared" ref="AJ1203" si="1222">GW1203</f>
        <v>0.21184210526315791</v>
      </c>
      <c r="AK1203" s="391">
        <f t="shared" ref="AK1203" si="1223">GU1203</f>
        <v>1.3005838157894738</v>
      </c>
      <c r="AL1203" s="391">
        <f t="shared" ref="AL1203" si="1224">GS1203</f>
        <v>11.445137578947367</v>
      </c>
      <c r="AM1203" s="391">
        <f t="shared" ref="AM1203" si="1225">HV1203</f>
        <v>2.3611111111111112</v>
      </c>
      <c r="AN1203" s="391">
        <f t="shared" ref="AN1203" si="1226">IG1203</f>
        <v>2.0833333333333335</v>
      </c>
      <c r="AO1203" s="391"/>
      <c r="AP1203" s="391"/>
      <c r="AQ1203" s="391">
        <f t="shared" ref="AQ1203" si="1227">SUM(AE1203:AO1203)</f>
        <v>136.85395237104183</v>
      </c>
      <c r="AR1203" s="391">
        <f t="shared" ref="AR1203" si="1228">IJ1203</f>
        <v>0</v>
      </c>
      <c r="AS1203" s="391">
        <v>0</v>
      </c>
      <c r="AT1203" s="391">
        <v>0</v>
      </c>
      <c r="AU1203" s="391">
        <f>136.98-136.85</f>
        <v>0.12999999999999545</v>
      </c>
      <c r="AV1203" s="391">
        <f t="shared" ref="AV1203" si="1229">AQ1203+AT1203+AU1203+AR1203+AS1203</f>
        <v>136.98395237104182</v>
      </c>
      <c r="AW1203" s="369">
        <v>0.74</v>
      </c>
      <c r="AX1203" s="369">
        <v>0.74</v>
      </c>
      <c r="AY1203" s="399">
        <v>1</v>
      </c>
      <c r="AZ1203" s="391">
        <f t="shared" ref="AZ1203" si="1230">(AW1203-AX1203)*AY1203</f>
        <v>0</v>
      </c>
      <c r="BA1203" s="391">
        <f t="shared" ref="BA1203" si="1231">AW1203*AB1203-AZ1203*AC1203</f>
        <v>93.454599999999999</v>
      </c>
      <c r="BB1203" s="391"/>
      <c r="BC1203" s="391"/>
      <c r="BD1203" s="391"/>
      <c r="BE1203" s="391"/>
      <c r="BF1203" s="391"/>
      <c r="BG1203" s="391"/>
      <c r="BH1203" s="391"/>
      <c r="BI1203" s="391"/>
      <c r="BJ1203" s="369"/>
      <c r="BK1203" s="369"/>
      <c r="BL1203" s="369"/>
      <c r="BM1203" s="369"/>
      <c r="BN1203" s="369"/>
      <c r="BO1203" s="369"/>
      <c r="BP1203" s="369"/>
      <c r="BQ1203" s="369"/>
      <c r="BR1203" s="369"/>
      <c r="BS1203" s="369"/>
      <c r="BT1203" s="369"/>
      <c r="BU1203" s="369"/>
      <c r="BV1203" s="369"/>
      <c r="BW1203" s="369"/>
      <c r="BX1203" s="369"/>
      <c r="BY1203" s="369"/>
      <c r="BZ1203" s="369"/>
      <c r="CA1203" s="369"/>
      <c r="CB1203" s="369"/>
      <c r="CC1203" s="369"/>
      <c r="CD1203" s="369"/>
      <c r="CE1203" s="369">
        <v>0</v>
      </c>
      <c r="CF1203" s="369">
        <v>4</v>
      </c>
      <c r="CG1203" s="369">
        <v>1</v>
      </c>
      <c r="CH1203" s="369">
        <f>CF1203*CG1203</f>
        <v>4</v>
      </c>
      <c r="CI1203" s="369"/>
      <c r="CJ1203" s="369"/>
      <c r="CK1203" s="369"/>
      <c r="CL1203" s="369"/>
      <c r="CM1203" s="369"/>
      <c r="CN1203" s="369"/>
      <c r="CO1203" s="369"/>
      <c r="CP1203" s="369"/>
      <c r="CQ1203" s="369"/>
      <c r="CR1203" s="369"/>
      <c r="CS1203" s="369"/>
      <c r="CT1203" s="369"/>
      <c r="CU1203" s="369"/>
      <c r="CV1203" s="369"/>
      <c r="CW1203" s="369"/>
      <c r="CX1203" s="369"/>
      <c r="CY1203" s="369"/>
      <c r="CZ1203" s="369"/>
      <c r="DA1203" s="369"/>
      <c r="DB1203" s="369"/>
      <c r="DC1203" s="369"/>
      <c r="DD1203" s="369"/>
      <c r="DE1203" s="369"/>
      <c r="DF1203" s="369"/>
      <c r="DG1203" s="369"/>
      <c r="DH1203" s="369"/>
      <c r="DI1203" s="369"/>
      <c r="DJ1203" s="369"/>
      <c r="DK1203" s="369"/>
      <c r="DL1203" s="369"/>
      <c r="DM1203" s="369">
        <f>DL1203+DG1203+DB1203+CW1203+CR1203+CM1203+CH1203</f>
        <v>4</v>
      </c>
      <c r="DN1203" s="393">
        <v>1.2500000000000001E-2</v>
      </c>
      <c r="DO1203" s="369">
        <f>DN1203*DM1203</f>
        <v>0.05</v>
      </c>
      <c r="DP1203" s="369">
        <f>DO1203+DM1203</f>
        <v>4.05</v>
      </c>
      <c r="DQ1203" s="369" t="s">
        <v>4762</v>
      </c>
      <c r="DR1203" s="369" t="s">
        <v>4763</v>
      </c>
      <c r="DS1203" s="369">
        <v>1</v>
      </c>
      <c r="DT1203" s="391">
        <f>KP1203</f>
        <v>6.0113246549707604</v>
      </c>
      <c r="DU1203" s="391">
        <f>DS1203*DT1203</f>
        <v>6.0113246549707604</v>
      </c>
      <c r="DV1203" s="369" t="s">
        <v>4764</v>
      </c>
      <c r="DW1203" s="369" t="s">
        <v>4765</v>
      </c>
      <c r="DX1203" s="369">
        <v>1</v>
      </c>
      <c r="DY1203" s="391">
        <f>MA1203</f>
        <v>3.92930545497076</v>
      </c>
      <c r="DZ1203" s="391">
        <f>DX1203*DY1203</f>
        <v>3.92930545497076</v>
      </c>
      <c r="EA1203" s="369"/>
      <c r="EB1203" s="369"/>
      <c r="EC1203" s="369"/>
      <c r="ED1203" s="369"/>
      <c r="EE1203" s="369"/>
      <c r="EF1203" s="369">
        <v>450</v>
      </c>
      <c r="EG1203" s="369">
        <v>4140</v>
      </c>
      <c r="EH1203" s="369">
        <v>8</v>
      </c>
      <c r="EI1203" s="395">
        <v>0.95</v>
      </c>
      <c r="EJ1203" s="369">
        <v>1</v>
      </c>
      <c r="EK1203" s="369">
        <v>70</v>
      </c>
      <c r="EL1203" s="396">
        <f t="shared" ref="EL1203" si="1232">3600/EK1203*EH1203*EJ1203*EI1203</f>
        <v>390.85714285714283</v>
      </c>
      <c r="EM1203" s="369"/>
      <c r="EN1203" s="369"/>
      <c r="EO1203" s="369"/>
      <c r="EP1203" s="369"/>
      <c r="EQ1203" s="369"/>
      <c r="ER1203" s="369"/>
      <c r="ES1203" s="369"/>
      <c r="ET1203" s="369"/>
      <c r="EU1203" s="391">
        <f t="shared" ref="EU1203" si="1233">EG1203/EL1203+EM1203+EP1203+EQ1203+ER1203+EO1203</f>
        <v>10.592105263157896</v>
      </c>
      <c r="EV1203" s="369"/>
      <c r="EW1203" s="369"/>
      <c r="EX1203" s="391">
        <f>550/(3600*7.2*0.9/60)</f>
        <v>1.4146090534979423</v>
      </c>
      <c r="EY1203" s="369"/>
      <c r="EZ1203" s="369"/>
      <c r="FA1203" s="391">
        <f t="shared" ref="FA1203" si="1234">EX1203+EY1203</f>
        <v>1.4146090534979423</v>
      </c>
      <c r="FB1203" s="369"/>
      <c r="FC1203" s="369"/>
      <c r="FD1203" s="369"/>
      <c r="FE1203" s="369"/>
      <c r="FF1203" s="369"/>
      <c r="FG1203" s="369"/>
      <c r="FH1203" s="369"/>
      <c r="FI1203" s="369"/>
      <c r="FJ1203" s="369"/>
      <c r="FK1203" s="369"/>
      <c r="FL1203" s="369"/>
      <c r="FM1203" s="369"/>
      <c r="FN1203" s="369"/>
      <c r="FO1203" s="369"/>
      <c r="FP1203" s="369"/>
      <c r="FQ1203" s="369"/>
      <c r="FR1203" s="369"/>
      <c r="FS1203" s="369"/>
      <c r="FT1203" s="369"/>
      <c r="FU1203" s="369"/>
      <c r="FV1203" s="369"/>
      <c r="FW1203" s="369"/>
      <c r="FX1203" s="369"/>
      <c r="FY1203" s="369"/>
      <c r="FZ1203" s="369"/>
      <c r="GA1203" s="369"/>
      <c r="GB1203" s="369"/>
      <c r="GC1203" s="369"/>
      <c r="GD1203" s="369"/>
      <c r="GE1203" s="369"/>
      <c r="GF1203" s="369"/>
      <c r="GG1203" s="369"/>
      <c r="GH1203" s="369"/>
      <c r="GI1203" s="369"/>
      <c r="GJ1203" s="369"/>
      <c r="GK1203" s="369"/>
      <c r="GL1203" s="369"/>
      <c r="GM1203" s="369"/>
      <c r="GN1203" s="369"/>
      <c r="GO1203" s="369"/>
      <c r="GP1203" s="399"/>
      <c r="GQ1203" s="369"/>
      <c r="GR1203" s="395">
        <v>0.11</v>
      </c>
      <c r="GS1203" s="391">
        <f t="shared" ref="GS1203" si="1235">GR1203*(BA1203+EU1203+EV1203)</f>
        <v>11.445137578947367</v>
      </c>
      <c r="GT1203" s="393">
        <v>1.2500000000000001E-2</v>
      </c>
      <c r="GU1203" s="391">
        <f t="shared" ref="GU1203" si="1236">GT1203*(EU1203+BA1203+EV1203)</f>
        <v>1.3005838157894738</v>
      </c>
      <c r="GV1203" s="395">
        <v>0.02</v>
      </c>
      <c r="GW1203" s="391">
        <f t="shared" ref="GW1203" si="1237">GV1203*(EU1203-EP1203-EQ1203)</f>
        <v>0.21184210526315791</v>
      </c>
      <c r="GX1203" s="391">
        <f t="shared" ref="GX1203" si="1238">GS1203+GU1203+GW1203</f>
        <v>12.957563499999997</v>
      </c>
      <c r="GY1203" s="369" t="s">
        <v>130</v>
      </c>
      <c r="GZ1203" s="369" t="s">
        <v>130</v>
      </c>
      <c r="HA1203" s="369">
        <v>1600</v>
      </c>
      <c r="HB1203" s="369">
        <v>800</v>
      </c>
      <c r="HC1203" s="369">
        <v>1800</v>
      </c>
      <c r="HD1203" s="369">
        <v>60</v>
      </c>
      <c r="HE1203" s="369">
        <v>300</v>
      </c>
      <c r="HF1203" s="369">
        <f t="shared" ref="HF1203" si="1239">ROUNDUP(HE1203/HD1203,0)</f>
        <v>5</v>
      </c>
      <c r="HG1203" s="369">
        <v>5</v>
      </c>
      <c r="HH1203" s="369">
        <f t="shared" ref="HH1203" si="1240">HF1203*HG1203</f>
        <v>25</v>
      </c>
      <c r="HI1203" s="369">
        <v>17000</v>
      </c>
      <c r="HJ1203" s="369">
        <f t="shared" ref="HJ1203" si="1241">HH1203*HI1203</f>
        <v>425000</v>
      </c>
      <c r="HK1203" s="369"/>
      <c r="HL1203" s="369"/>
      <c r="HM1203" s="369">
        <v>2</v>
      </c>
      <c r="HN1203" s="369">
        <f t="shared" ref="HN1203" si="1242">HM1203*12*25*HE1203</f>
        <v>180000</v>
      </c>
      <c r="HO1203" s="391">
        <f t="shared" ref="HO1203" si="1243">(IF(GY1203="carton box",HI1203/HD1203,HJ1203/HN1203))</f>
        <v>2.3611111111111112</v>
      </c>
      <c r="HP1203" s="391">
        <v>160</v>
      </c>
      <c r="HQ1203" s="369">
        <v>0</v>
      </c>
      <c r="HR1203" s="391">
        <v>0</v>
      </c>
      <c r="HS1203" s="369">
        <v>0</v>
      </c>
      <c r="HT1203" s="394">
        <f>IF(ISERROR(HR1203/HS1203),0,HR1203/HS1203)</f>
        <v>0</v>
      </c>
      <c r="HU1203" s="394"/>
      <c r="HV1203" s="391">
        <f t="shared" ref="HV1203" si="1244">(HO1203+HT1203)</f>
        <v>2.3611111111111112</v>
      </c>
      <c r="HW1203" s="369"/>
      <c r="HX1203" s="369">
        <v>4200</v>
      </c>
      <c r="HY1203" s="369">
        <v>1900</v>
      </c>
      <c r="HZ1203" s="369">
        <v>1975</v>
      </c>
      <c r="IA1203" s="391">
        <f t="shared" ref="IA1203:IC1203" si="1245">ROUNDDOWN(HX1203/HA1203,0)</f>
        <v>2</v>
      </c>
      <c r="IB1203" s="391">
        <f t="shared" si="1245"/>
        <v>2</v>
      </c>
      <c r="IC1203" s="391">
        <f t="shared" si="1245"/>
        <v>1</v>
      </c>
      <c r="ID1203" s="395">
        <v>1</v>
      </c>
      <c r="IE1203" s="369">
        <f>PRODUCT(IA1203:ID1203)</f>
        <v>4</v>
      </c>
      <c r="IF1203" s="369">
        <v>500</v>
      </c>
      <c r="IG1203" s="391">
        <f t="shared" ref="IG1203" si="1246">(IF1203/(IE1203*HD1203))</f>
        <v>2.0833333333333335</v>
      </c>
      <c r="IH1203" s="369"/>
      <c r="II1203" s="369"/>
      <c r="IJ1203" s="369"/>
      <c r="IK1203" s="369"/>
      <c r="IL1203" s="369"/>
      <c r="IM1203" s="404" t="s">
        <v>4766</v>
      </c>
      <c r="IN1203" s="369">
        <v>245.44</v>
      </c>
      <c r="IO1203" s="369">
        <v>20</v>
      </c>
      <c r="IP1203" s="369" t="s">
        <v>935</v>
      </c>
      <c r="IQ1203" s="369">
        <v>1.4999999999999999E-2</v>
      </c>
      <c r="IR1203" s="369">
        <v>1.2999999999999999E-2</v>
      </c>
      <c r="IS1203" s="399">
        <v>1</v>
      </c>
      <c r="IT1203" s="391">
        <f>(IQ1203-IR1203)*IS1203</f>
        <v>2E-3</v>
      </c>
      <c r="IU1203" s="391">
        <f>IQ1203*IN1203-IT1203*IO1203</f>
        <v>3.6415999999999999</v>
      </c>
      <c r="IV1203" s="369">
        <v>1</v>
      </c>
      <c r="IW1203" s="369">
        <v>1.24</v>
      </c>
      <c r="IX1203" s="369">
        <f>IV1203*IW1203</f>
        <v>1.24</v>
      </c>
      <c r="IY1203" s="369"/>
      <c r="IZ1203" s="369"/>
      <c r="JA1203" s="369"/>
      <c r="JB1203" s="369"/>
      <c r="JC1203" s="369"/>
      <c r="JD1203" s="369"/>
      <c r="JE1203" s="369"/>
      <c r="JF1203" s="369"/>
      <c r="JG1203" s="369"/>
      <c r="JH1203" s="369"/>
      <c r="JI1203" s="369"/>
      <c r="JJ1203" s="369"/>
      <c r="JK1203" s="369"/>
      <c r="JL1203" s="369"/>
      <c r="JM1203" s="369"/>
      <c r="JN1203" s="369"/>
      <c r="JO1203" s="369"/>
      <c r="JP1203" s="369"/>
      <c r="JQ1203" s="369"/>
      <c r="JR1203" s="369"/>
      <c r="JS1203" s="369">
        <f>JR1203+JM1203+JH1203+JC1203+IX1203</f>
        <v>1.24</v>
      </c>
      <c r="JT1203" s="393">
        <v>1.2500000000000001E-2</v>
      </c>
      <c r="JU1203" s="391">
        <f>JT1203*JS1203</f>
        <v>1.55E-2</v>
      </c>
      <c r="JV1203" s="391">
        <f>JU1203+JS1203</f>
        <v>1.2555000000000001</v>
      </c>
      <c r="JW1203" s="369">
        <v>80</v>
      </c>
      <c r="JX1203" s="369">
        <v>800</v>
      </c>
      <c r="JY1203" s="369">
        <v>8</v>
      </c>
      <c r="JZ1203" s="395">
        <v>0.95</v>
      </c>
      <c r="KA1203" s="369">
        <v>2</v>
      </c>
      <c r="KB1203" s="369"/>
      <c r="KC1203" s="404">
        <v>40</v>
      </c>
      <c r="KD1203" s="417">
        <f>3600/KC1203*KA1203*JZ1203*JY1203</f>
        <v>1368</v>
      </c>
      <c r="KE1203" s="418">
        <f>JX1203/KD1203+KF1203</f>
        <v>0.58479532163742687</v>
      </c>
      <c r="KF1203" s="391">
        <v>0</v>
      </c>
      <c r="KG1203" s="395">
        <v>0.11</v>
      </c>
      <c r="KH1203" s="391">
        <f>KG1203*(KE1203+IU1203)</f>
        <v>0.464903485380117</v>
      </c>
      <c r="KI1203" s="393">
        <v>1.2500000000000001E-2</v>
      </c>
      <c r="KJ1203" s="391">
        <f>KI1203*(KE1203+IU1203)</f>
        <v>5.2829941520467841E-2</v>
      </c>
      <c r="KK1203" s="391"/>
      <c r="KL1203" s="391"/>
      <c r="KM1203" s="391"/>
      <c r="KN1203" s="395">
        <v>0.02</v>
      </c>
      <c r="KO1203" s="391">
        <f>KN1203*KE1203</f>
        <v>1.1695906432748537E-2</v>
      </c>
      <c r="KP1203" s="391">
        <f>IU1203+JS1203+JU1203+KE1203+KH1203+KJ1203+KO1203</f>
        <v>6.0113246549707604</v>
      </c>
      <c r="KQ1203" s="404" t="s">
        <v>4766</v>
      </c>
      <c r="KR1203" s="369">
        <v>245.44</v>
      </c>
      <c r="KS1203" s="369">
        <v>20</v>
      </c>
      <c r="KT1203" s="369" t="s">
        <v>24</v>
      </c>
      <c r="KU1203" s="394">
        <v>1.2E-2</v>
      </c>
      <c r="KV1203" s="394">
        <v>0.01</v>
      </c>
      <c r="KW1203" s="395">
        <v>1</v>
      </c>
      <c r="KX1203" s="391">
        <f>(KU1203-KV1203)*KW1203</f>
        <v>2E-3</v>
      </c>
      <c r="KY1203" s="391">
        <f>KU1203*KR1203-KX1203*KS1203</f>
        <v>2.9052799999999999</v>
      </c>
      <c r="KZ1203" s="369"/>
      <c r="LA1203" s="369"/>
      <c r="LB1203" s="369"/>
      <c r="LC1203" s="369"/>
      <c r="LD1203" s="369"/>
      <c r="LE1203" s="369"/>
      <c r="LF1203" s="369"/>
      <c r="LG1203" s="369"/>
      <c r="LH1203" s="369">
        <v>80</v>
      </c>
      <c r="LI1203" s="369">
        <v>800</v>
      </c>
      <c r="LJ1203" s="369">
        <v>8</v>
      </c>
      <c r="LK1203" s="395">
        <v>0.95</v>
      </c>
      <c r="LL1203" s="369">
        <v>2</v>
      </c>
      <c r="LM1203" s="369"/>
      <c r="LN1203" s="369">
        <v>40</v>
      </c>
      <c r="LO1203" s="396">
        <f>3600/LN1203*LL1203*LK1203*LJ1203</f>
        <v>1368</v>
      </c>
      <c r="LP1203" s="391">
        <f>LI1203/LO1203</f>
        <v>0.58479532163742687</v>
      </c>
      <c r="LQ1203" s="391"/>
      <c r="LR1203" s="395">
        <v>0.11</v>
      </c>
      <c r="LS1203" s="391">
        <f>LR1203*(LP1203+KY1203)</f>
        <v>0.38390828538011695</v>
      </c>
      <c r="LT1203" s="393">
        <v>1.2500000000000001E-2</v>
      </c>
      <c r="LU1203" s="391">
        <f>LT1203*(LP1203+KY1203)</f>
        <v>4.3625941520467837E-2</v>
      </c>
      <c r="LV1203" s="391"/>
      <c r="LW1203" s="391"/>
      <c r="LX1203" s="391"/>
      <c r="LY1203" s="395">
        <v>0.02</v>
      </c>
      <c r="LZ1203" s="391">
        <f>LY1203*LP1203</f>
        <v>1.1695906432748537E-2</v>
      </c>
      <c r="MA1203" s="391">
        <f>KY1203+LD1203+LF1203+LP1203+LS1203+LU1203+LZ1203</f>
        <v>3.92930545497076</v>
      </c>
    </row>
    <row r="1204" spans="1:339">
      <c r="A1204">
        <v>1187</v>
      </c>
      <c r="C1204" s="27" t="s">
        <v>4568</v>
      </c>
      <c r="D1204" s="28" t="s">
        <v>3153</v>
      </c>
      <c r="E1204" s="27" t="s">
        <v>3154</v>
      </c>
      <c r="F1204" t="s">
        <v>2444</v>
      </c>
      <c r="G1204" s="27" t="s">
        <v>90</v>
      </c>
      <c r="I1204" s="27" t="s">
        <v>226</v>
      </c>
      <c r="J1204" s="28">
        <v>21599</v>
      </c>
      <c r="K1204" s="27" t="s">
        <v>1240</v>
      </c>
      <c r="N1204" s="28" t="s">
        <v>4568</v>
      </c>
      <c r="O1204" s="28" t="s">
        <v>1766</v>
      </c>
      <c r="P1204" s="442">
        <v>43704</v>
      </c>
      <c r="W1204" s="370" t="s">
        <v>4759</v>
      </c>
    </row>
    <row r="1205" spans="1:339">
      <c r="A1205">
        <v>1188</v>
      </c>
      <c r="B1205" t="s">
        <v>468</v>
      </c>
      <c r="C1205" s="27" t="s">
        <v>4771</v>
      </c>
      <c r="D1205" s="28" t="s">
        <v>3155</v>
      </c>
      <c r="E1205" s="27" t="s">
        <v>880</v>
      </c>
      <c r="F1205" t="s">
        <v>2192</v>
      </c>
      <c r="G1205" s="27" t="s">
        <v>90</v>
      </c>
      <c r="H1205" t="s">
        <v>4770</v>
      </c>
      <c r="I1205" s="27" t="s">
        <v>226</v>
      </c>
      <c r="J1205" s="28">
        <v>21557</v>
      </c>
      <c r="K1205" s="27" t="s">
        <v>396</v>
      </c>
    </row>
    <row r="1206" spans="1:339">
      <c r="A1206">
        <v>1189</v>
      </c>
      <c r="B1206" t="s">
        <v>468</v>
      </c>
      <c r="C1206" s="27" t="s">
        <v>4772</v>
      </c>
      <c r="D1206" s="28" t="s">
        <v>3156</v>
      </c>
      <c r="E1206" s="27" t="s">
        <v>3157</v>
      </c>
      <c r="F1206" t="s">
        <v>2182</v>
      </c>
      <c r="G1206" s="27" t="s">
        <v>90</v>
      </c>
      <c r="I1206" s="27" t="s">
        <v>121</v>
      </c>
      <c r="J1206" s="28">
        <v>21105</v>
      </c>
      <c r="K1206" s="27" t="s">
        <v>4512</v>
      </c>
      <c r="L1206" s="371"/>
      <c r="M1206" s="369"/>
      <c r="N1206" s="369"/>
      <c r="O1206" s="369"/>
      <c r="P1206" s="369"/>
      <c r="Q1206" s="27" t="s">
        <v>4773</v>
      </c>
      <c r="R1206" s="27" t="s">
        <v>1769</v>
      </c>
      <c r="S1206" s="370">
        <v>43374</v>
      </c>
      <c r="T1206" s="27" t="s">
        <v>4555</v>
      </c>
      <c r="U1206" s="370">
        <v>43405</v>
      </c>
      <c r="V1206" s="369"/>
      <c r="W1206" s="390"/>
      <c r="X1206" s="390"/>
      <c r="Y1206" s="390"/>
      <c r="Z1206" s="390"/>
      <c r="AA1206" s="390" t="s">
        <v>4774</v>
      </c>
      <c r="AB1206" s="391">
        <v>425</v>
      </c>
      <c r="AC1206" s="369">
        <v>20</v>
      </c>
      <c r="AD1206" s="390" t="s">
        <v>1796</v>
      </c>
      <c r="AE1206" s="391">
        <f t="shared" ref="AE1206" si="1247">BA1206</f>
        <v>7.7196800000000012</v>
      </c>
      <c r="AF1206" s="391">
        <f>DU1206+DZ1206+EE1206</f>
        <v>0</v>
      </c>
      <c r="AG1206" s="391">
        <f t="shared" ref="AG1206" si="1248">EU1206+FA1206</f>
        <v>2.1388888888888888</v>
      </c>
      <c r="AH1206" s="391">
        <f t="shared" ref="AH1206" si="1249">DM1206</f>
        <v>0</v>
      </c>
      <c r="AI1206" s="391">
        <f t="shared" ref="AI1206" si="1250">DO1206</f>
        <v>0</v>
      </c>
      <c r="AJ1206" s="391">
        <f t="shared" ref="AJ1206" si="1251">GW1206</f>
        <v>0</v>
      </c>
      <c r="AK1206" s="391">
        <f t="shared" ref="AK1206" si="1252">GU1206</f>
        <v>7.7588000000000004E-2</v>
      </c>
      <c r="AL1206" s="391">
        <f t="shared" ref="AL1206" si="1253">GS1206</f>
        <v>1.1841139555555558</v>
      </c>
      <c r="AM1206" s="391">
        <f t="shared" ref="AM1206" si="1254">HV1206</f>
        <v>0</v>
      </c>
      <c r="AN1206" s="391">
        <f t="shared" ref="AN1206" si="1255">IG1206</f>
        <v>0</v>
      </c>
      <c r="AO1206" s="391"/>
      <c r="AP1206" s="391"/>
      <c r="AQ1206" s="391">
        <f t="shared" ref="AQ1206" si="1256">SUM(AE1206:AO1206)</f>
        <v>11.120270844444446</v>
      </c>
      <c r="AR1206" s="391">
        <f t="shared" ref="AR1206" si="1257">IJ1206</f>
        <v>0</v>
      </c>
      <c r="AS1206" s="391">
        <v>0</v>
      </c>
      <c r="AT1206" s="391">
        <v>0</v>
      </c>
      <c r="AU1206" s="391">
        <v>0</v>
      </c>
      <c r="AV1206" s="391">
        <f t="shared" ref="AV1206" si="1258">AQ1206+AT1206+AU1206+AR1206+AS1206</f>
        <v>11.120270844444446</v>
      </c>
      <c r="AW1206" s="391">
        <f>18.256/1000</f>
        <v>1.8256000000000001E-2</v>
      </c>
      <c r="AX1206" s="391">
        <f>16.3/1000</f>
        <v>1.6300000000000002E-2</v>
      </c>
      <c r="AY1206" s="392">
        <v>1</v>
      </c>
      <c r="AZ1206" s="391">
        <f t="shared" ref="AZ1206" si="1259">(AW1206-AX1206)*AY1206</f>
        <v>1.9559999999999994E-3</v>
      </c>
      <c r="BA1206" s="391">
        <f t="shared" ref="BA1206" si="1260">AW1206*AB1206-AZ1206*AC1206</f>
        <v>7.7196800000000012</v>
      </c>
      <c r="BB1206" s="391"/>
      <c r="BC1206" s="391"/>
      <c r="BD1206" s="391"/>
      <c r="BE1206" s="391"/>
      <c r="BF1206" s="391"/>
      <c r="BG1206" s="391"/>
      <c r="BH1206" s="391"/>
      <c r="BI1206" s="391"/>
      <c r="BJ1206" s="369"/>
      <c r="BK1206" s="369"/>
      <c r="BL1206" s="369"/>
      <c r="BM1206" s="369"/>
      <c r="BN1206" s="369"/>
      <c r="BO1206" s="369"/>
      <c r="BP1206" s="369"/>
      <c r="BQ1206" s="369"/>
      <c r="BR1206" s="369"/>
      <c r="BS1206" s="369"/>
      <c r="BT1206" s="369"/>
      <c r="BU1206" s="369"/>
      <c r="BV1206" s="369"/>
      <c r="BW1206" s="369"/>
      <c r="BX1206" s="369"/>
      <c r="BY1206" s="369"/>
      <c r="BZ1206" s="369"/>
      <c r="CA1206" s="369"/>
      <c r="CB1206" s="369"/>
      <c r="CC1206" s="369"/>
      <c r="CD1206" s="369"/>
      <c r="CE1206" s="369"/>
      <c r="CF1206" s="369"/>
      <c r="CG1206" s="369"/>
      <c r="CH1206" s="369"/>
      <c r="CI1206" s="369"/>
      <c r="CJ1206" s="369"/>
      <c r="CK1206" s="369"/>
      <c r="CL1206" s="369"/>
      <c r="CM1206" s="369"/>
      <c r="CN1206" s="369"/>
      <c r="CO1206" s="369"/>
      <c r="CP1206" s="369"/>
      <c r="CQ1206" s="369"/>
      <c r="CR1206" s="369"/>
      <c r="CS1206" s="369"/>
      <c r="CT1206" s="369"/>
      <c r="CU1206" s="369"/>
      <c r="CV1206" s="369"/>
      <c r="CW1206" s="369"/>
      <c r="CX1206" s="369"/>
      <c r="CY1206" s="369"/>
      <c r="CZ1206" s="369"/>
      <c r="DA1206" s="369"/>
      <c r="DB1206" s="369"/>
      <c r="DC1206" s="369"/>
      <c r="DD1206" s="369"/>
      <c r="DE1206" s="369"/>
      <c r="DF1206" s="369"/>
      <c r="DG1206" s="369"/>
      <c r="DH1206" s="369"/>
      <c r="DI1206" s="369"/>
      <c r="DJ1206" s="369"/>
      <c r="DK1206" s="369"/>
      <c r="DL1206" s="369"/>
      <c r="DM1206" s="369"/>
      <c r="DN1206" s="369"/>
      <c r="DO1206" s="369"/>
      <c r="DP1206" s="369"/>
      <c r="DQ1206" s="369"/>
      <c r="DR1206" s="369"/>
      <c r="DS1206" s="369"/>
      <c r="DT1206" s="369"/>
      <c r="DU1206" s="369"/>
      <c r="DV1206" s="369"/>
      <c r="DW1206" s="369"/>
      <c r="DX1206" s="369"/>
      <c r="DY1206" s="369"/>
      <c r="DZ1206" s="369"/>
      <c r="EA1206" s="369"/>
      <c r="EB1206" s="369"/>
      <c r="EC1206" s="369"/>
      <c r="ED1206" s="369"/>
      <c r="EE1206" s="369"/>
      <c r="EF1206" s="369">
        <v>85</v>
      </c>
      <c r="EG1206" s="369">
        <f>250*8</f>
        <v>2000</v>
      </c>
      <c r="EH1206" s="369">
        <v>8</v>
      </c>
      <c r="EI1206" s="395">
        <v>1</v>
      </c>
      <c r="EJ1206" s="369">
        <v>2</v>
      </c>
      <c r="EK1206" s="369">
        <v>40</v>
      </c>
      <c r="EL1206" s="396">
        <f t="shared" ref="EL1206" si="1261">3600/EK1206*EH1206*EJ1206*EI1206</f>
        <v>1440</v>
      </c>
      <c r="EM1206" s="369"/>
      <c r="EN1206" s="369"/>
      <c r="EO1206" s="369"/>
      <c r="EP1206" s="369"/>
      <c r="EQ1206" s="369"/>
      <c r="ER1206" s="369"/>
      <c r="ES1206" s="369"/>
      <c r="ET1206" s="369"/>
      <c r="EU1206" s="391">
        <f t="shared" ref="EU1206" si="1262">EG1206/EL1206+EM1206+EP1206+EQ1206+ER1206+EO1206</f>
        <v>1.3888888888888888</v>
      </c>
      <c r="EV1206" s="369"/>
      <c r="EW1206" s="369"/>
      <c r="EX1206" s="369"/>
      <c r="EY1206" s="369">
        <f>1500000/2000000</f>
        <v>0.75</v>
      </c>
      <c r="EZ1206" s="369"/>
      <c r="FA1206" s="391">
        <f t="shared" ref="FA1206" si="1263">EX1206+EY1206</f>
        <v>0.75</v>
      </c>
      <c r="FB1206" s="369"/>
      <c r="FC1206" s="369"/>
      <c r="FD1206" s="369"/>
      <c r="FE1206" s="369"/>
      <c r="FF1206" s="369"/>
      <c r="FG1206" s="369"/>
      <c r="FH1206" s="369"/>
      <c r="FI1206" s="369"/>
      <c r="FJ1206" s="369"/>
      <c r="FK1206" s="369"/>
      <c r="FL1206" s="369"/>
      <c r="FM1206" s="369"/>
      <c r="FN1206" s="369"/>
      <c r="FO1206" s="369"/>
      <c r="FP1206" s="369"/>
      <c r="FQ1206" s="369"/>
      <c r="FR1206" s="369"/>
      <c r="FS1206" s="369"/>
      <c r="FT1206" s="369"/>
      <c r="FU1206" s="369"/>
      <c r="FV1206" s="369"/>
      <c r="FW1206" s="369"/>
      <c r="FX1206" s="369"/>
      <c r="FY1206" s="369"/>
      <c r="FZ1206" s="369"/>
      <c r="GA1206" s="369"/>
      <c r="GB1206" s="369"/>
      <c r="GC1206" s="369"/>
      <c r="GD1206" s="369"/>
      <c r="GE1206" s="369"/>
      <c r="GF1206" s="369"/>
      <c r="GG1206" s="369"/>
      <c r="GH1206" s="369"/>
      <c r="GI1206" s="369"/>
      <c r="GJ1206" s="369"/>
      <c r="GK1206" s="369"/>
      <c r="GL1206" s="369"/>
      <c r="GM1206" s="369"/>
      <c r="GN1206" s="369"/>
      <c r="GO1206" s="369"/>
      <c r="GP1206" s="392"/>
      <c r="GQ1206" s="369"/>
      <c r="GR1206" s="395">
        <v>0.13</v>
      </c>
      <c r="GS1206" s="391">
        <f t="shared" ref="GS1206" si="1264">GR1206*(BA1206+EU1206+EV1206)</f>
        <v>1.1841139555555558</v>
      </c>
      <c r="GT1206" s="395">
        <v>0.01</v>
      </c>
      <c r="GU1206" s="391">
        <f>GT1206*(AW1206*AB1206)</f>
        <v>7.7588000000000004E-2</v>
      </c>
      <c r="GV1206" s="395"/>
      <c r="GW1206" s="369"/>
      <c r="GX1206" s="391">
        <f t="shared" ref="GX1206" si="1265">GS1206+GU1206+GW1206</f>
        <v>1.2617019555555558</v>
      </c>
    </row>
    <row r="1207" spans="1:339">
      <c r="A1207">
        <v>1190</v>
      </c>
      <c r="C1207" t="s">
        <v>567</v>
      </c>
      <c r="D1207" s="28" t="s">
        <v>3156</v>
      </c>
      <c r="E1207" s="27" t="s">
        <v>3157</v>
      </c>
      <c r="F1207" t="s">
        <v>2444</v>
      </c>
      <c r="G1207" s="27" t="s">
        <v>90</v>
      </c>
      <c r="I1207" s="27" t="s">
        <v>121</v>
      </c>
      <c r="J1207" s="28">
        <v>20205</v>
      </c>
      <c r="K1207" s="27" t="s">
        <v>1245</v>
      </c>
      <c r="L1207" s="371"/>
      <c r="M1207" s="369"/>
      <c r="N1207" s="369"/>
      <c r="O1207" s="369" t="s">
        <v>4713</v>
      </c>
      <c r="P1207" s="406">
        <v>44932</v>
      </c>
      <c r="Q1207" s="369"/>
      <c r="R1207" s="369"/>
      <c r="S1207" s="369"/>
      <c r="T1207" s="369"/>
      <c r="U1207" s="369"/>
      <c r="V1207" s="369"/>
      <c r="W1207" s="390" t="s">
        <v>2596</v>
      </c>
    </row>
    <row r="1208" spans="1:339">
      <c r="A1208">
        <v>1191</v>
      </c>
      <c r="C1208" t="s">
        <v>567</v>
      </c>
      <c r="D1208" s="28" t="s">
        <v>3156</v>
      </c>
      <c r="E1208" s="27" t="s">
        <v>3157</v>
      </c>
      <c r="F1208" t="s">
        <v>2444</v>
      </c>
      <c r="G1208" s="27" t="s">
        <v>90</v>
      </c>
      <c r="I1208" s="27" t="s">
        <v>94</v>
      </c>
      <c r="J1208" s="28">
        <v>21105</v>
      </c>
      <c r="K1208" s="27" t="s">
        <v>4512</v>
      </c>
      <c r="L1208" s="371"/>
      <c r="M1208" s="369"/>
      <c r="N1208" s="369" t="s">
        <v>1767</v>
      </c>
      <c r="O1208" s="369" t="s">
        <v>1805</v>
      </c>
      <c r="P1208" s="406">
        <v>43528</v>
      </c>
      <c r="W1208" s="390" t="s">
        <v>2596</v>
      </c>
    </row>
    <row r="1209" spans="1:339">
      <c r="A1209">
        <v>1192</v>
      </c>
      <c r="C1209" t="s">
        <v>567</v>
      </c>
      <c r="D1209" s="28" t="s">
        <v>3156</v>
      </c>
      <c r="E1209" s="27" t="s">
        <v>3157</v>
      </c>
      <c r="F1209" t="s">
        <v>2444</v>
      </c>
      <c r="G1209" s="27" t="s">
        <v>90</v>
      </c>
      <c r="I1209" s="27" t="s">
        <v>94</v>
      </c>
      <c r="J1209" s="28">
        <v>20205</v>
      </c>
      <c r="K1209" s="27" t="s">
        <v>1245</v>
      </c>
      <c r="L1209" s="371"/>
      <c r="M1209" s="369"/>
      <c r="N1209" s="369" t="s">
        <v>1767</v>
      </c>
      <c r="O1209" s="369" t="s">
        <v>1805</v>
      </c>
      <c r="P1209" s="406">
        <v>43726</v>
      </c>
      <c r="W1209" s="390" t="s">
        <v>2596</v>
      </c>
    </row>
    <row r="1210" spans="1:339">
      <c r="A1210">
        <v>1193</v>
      </c>
      <c r="C1210" t="s">
        <v>567</v>
      </c>
      <c r="D1210" s="28" t="s">
        <v>3156</v>
      </c>
      <c r="E1210" s="27" t="s">
        <v>3157</v>
      </c>
      <c r="F1210" t="s">
        <v>2444</v>
      </c>
      <c r="G1210" s="27" t="s">
        <v>90</v>
      </c>
      <c r="I1210" s="27" t="s">
        <v>226</v>
      </c>
      <c r="J1210" s="28">
        <v>21105</v>
      </c>
      <c r="K1210" s="27" t="s">
        <v>4512</v>
      </c>
      <c r="L1210" s="371"/>
      <c r="M1210" s="369"/>
      <c r="N1210" s="369"/>
      <c r="O1210" s="369" t="s">
        <v>4775</v>
      </c>
      <c r="P1210" s="406">
        <v>44620</v>
      </c>
      <c r="W1210" s="390" t="s">
        <v>2596</v>
      </c>
    </row>
    <row r="1211" spans="1:339">
      <c r="A1211">
        <v>1194</v>
      </c>
      <c r="C1211" t="s">
        <v>567</v>
      </c>
      <c r="D1211" s="28" t="s">
        <v>3156</v>
      </c>
      <c r="E1211" s="27" t="s">
        <v>3157</v>
      </c>
      <c r="F1211" t="s">
        <v>2444</v>
      </c>
      <c r="G1211" s="27" t="s">
        <v>90</v>
      </c>
      <c r="I1211" s="27" t="s">
        <v>226</v>
      </c>
      <c r="J1211" s="28">
        <v>20205</v>
      </c>
      <c r="K1211" s="27" t="s">
        <v>1245</v>
      </c>
      <c r="L1211" s="371"/>
      <c r="M1211" s="369"/>
      <c r="N1211" s="369"/>
      <c r="O1211" s="369" t="s">
        <v>4776</v>
      </c>
      <c r="P1211" s="406">
        <v>43104</v>
      </c>
      <c r="W1211" s="390" t="s">
        <v>2596</v>
      </c>
    </row>
    <row r="1212" spans="1:339" ht="25.5">
      <c r="A1212">
        <v>1195</v>
      </c>
      <c r="B1212" t="s">
        <v>468</v>
      </c>
      <c r="C1212" s="400" t="s">
        <v>4777</v>
      </c>
      <c r="D1212" s="28" t="s">
        <v>3158</v>
      </c>
      <c r="E1212" s="27" t="s">
        <v>3159</v>
      </c>
      <c r="F1212" t="s">
        <v>2182</v>
      </c>
      <c r="G1212" s="27" t="s">
        <v>90</v>
      </c>
      <c r="I1212" s="27" t="s">
        <v>121</v>
      </c>
      <c r="J1212" s="28">
        <v>20205</v>
      </c>
      <c r="K1212" s="27" t="s">
        <v>1245</v>
      </c>
      <c r="L1212" s="371"/>
      <c r="M1212" s="369"/>
      <c r="N1212" s="369"/>
      <c r="O1212" s="369"/>
      <c r="P1212" s="369"/>
      <c r="Q1212" s="27" t="s">
        <v>4778</v>
      </c>
      <c r="R1212" s="27" t="s">
        <v>1769</v>
      </c>
      <c r="S1212" s="370">
        <v>43174</v>
      </c>
      <c r="T1212" s="27" t="s">
        <v>4555</v>
      </c>
      <c r="U1212" s="370">
        <v>43183</v>
      </c>
      <c r="V1212" s="369"/>
      <c r="W1212" s="162" t="s">
        <v>4779</v>
      </c>
      <c r="X1212" s="162"/>
      <c r="Y1212" s="162"/>
      <c r="Z1212" s="162"/>
      <c r="AA1212" s="390" t="s">
        <v>4780</v>
      </c>
      <c r="AB1212" s="391">
        <v>403</v>
      </c>
      <c r="AC1212" s="369">
        <v>20</v>
      </c>
      <c r="AD1212" s="390" t="s">
        <v>314</v>
      </c>
      <c r="AE1212" s="391">
        <f>BA1212+BK1212</f>
        <v>6.5976749187750006</v>
      </c>
      <c r="AF1212" s="391">
        <f>DU1212+DZ1212+EE1212</f>
        <v>0</v>
      </c>
      <c r="AG1212" s="391">
        <f>EU1212+FA1212+EO1212+EM1212</f>
        <v>2.1782411095066667</v>
      </c>
      <c r="AH1212" s="391">
        <f t="shared" ref="AH1212:AH1213" si="1266">DM1212</f>
        <v>0</v>
      </c>
      <c r="AI1212" s="391">
        <f t="shared" ref="AI1212:AI1213" si="1267">DO1212</f>
        <v>0</v>
      </c>
      <c r="AJ1212" s="391">
        <f t="shared" ref="AJ1212:AJ1213" si="1268">GW1212</f>
        <v>0.16851888728444445</v>
      </c>
      <c r="AK1212" s="391">
        <f t="shared" ref="AK1212:AK1213" si="1269">GU1212</f>
        <v>0.16851888728444445</v>
      </c>
      <c r="AL1212" s="391">
        <f t="shared" ref="AL1212:AL1213" si="1270">GS1212</f>
        <v>1.2638916546333332</v>
      </c>
      <c r="AM1212" s="391">
        <f t="shared" ref="AM1212:AM1213" si="1271">HV1212</f>
        <v>0.25171428571428567</v>
      </c>
      <c r="AN1212" s="391">
        <f t="shared" ref="AN1212:AN1213" si="1272">IG1212</f>
        <v>0</v>
      </c>
      <c r="AO1212" s="391"/>
      <c r="AP1212" s="391"/>
      <c r="AQ1212" s="391">
        <f t="shared" ref="AQ1212:AQ1213" si="1273">SUM(AE1212:AO1212)</f>
        <v>10.628559743198174</v>
      </c>
      <c r="AR1212" s="391">
        <f t="shared" ref="AR1212:AR1213" si="1274">IJ1212</f>
        <v>0</v>
      </c>
      <c r="AS1212" s="391">
        <v>0</v>
      </c>
      <c r="AT1212" s="391">
        <v>0</v>
      </c>
      <c r="AU1212" s="391">
        <f>10.65-10.63</f>
        <v>1.9999999999999574E-2</v>
      </c>
      <c r="AV1212" s="391">
        <f t="shared" ref="AV1212:AV1213" si="1275">AQ1212+AT1212+AU1212+AR1212+AS1212</f>
        <v>10.648559743198174</v>
      </c>
      <c r="AW1212" s="394">
        <f>16.23273/1000</f>
        <v>1.6232730000000001E-2</v>
      </c>
      <c r="AX1212" s="407">
        <f>14.78/1000</f>
        <v>1.478E-2</v>
      </c>
      <c r="AY1212" s="399">
        <v>0.88</v>
      </c>
      <c r="AZ1212" s="408">
        <f t="shared" ref="AZ1212:AZ1213" si="1276">(AW1212-AX1212)*AY1212</f>
        <v>1.2784024000000009E-3</v>
      </c>
      <c r="BA1212" s="391">
        <f t="shared" ref="BA1212:BA1213" si="1277">AW1212*AB1212-AZ1212*AC1212</f>
        <v>6.5162221420000002</v>
      </c>
      <c r="BB1212" s="391"/>
      <c r="BC1212" s="391"/>
      <c r="BD1212" s="391"/>
      <c r="BE1212" s="391"/>
      <c r="BF1212" s="391"/>
      <c r="BG1212" s="391"/>
      <c r="BH1212" s="391"/>
      <c r="BI1212" s="391"/>
      <c r="BJ1212" s="393">
        <v>1.2500000000000001E-2</v>
      </c>
      <c r="BK1212" s="391">
        <f>BJ1212*BA1212</f>
        <v>8.1452776775000013E-2</v>
      </c>
      <c r="BL1212" s="391"/>
      <c r="BM1212" s="369"/>
      <c r="BN1212" s="369"/>
      <c r="BO1212" s="369"/>
      <c r="BP1212" s="369"/>
      <c r="BQ1212" s="369"/>
      <c r="BR1212" s="369"/>
      <c r="BS1212" s="369"/>
      <c r="BT1212" s="369"/>
      <c r="BU1212" s="369"/>
      <c r="BV1212" s="369"/>
      <c r="BW1212" s="369"/>
      <c r="BX1212" s="369"/>
      <c r="BY1212" s="369"/>
      <c r="BZ1212" s="369"/>
      <c r="CA1212" s="369"/>
      <c r="CB1212" s="369"/>
      <c r="CC1212" s="369"/>
      <c r="CD1212" s="369"/>
      <c r="CE1212" s="369"/>
      <c r="CF1212" s="369"/>
      <c r="CG1212" s="369"/>
      <c r="CH1212" s="369"/>
      <c r="CI1212" s="369"/>
      <c r="CJ1212" s="369"/>
      <c r="CK1212" s="369"/>
      <c r="CL1212" s="369"/>
      <c r="CM1212" s="369"/>
      <c r="CN1212" s="369"/>
      <c r="CO1212" s="369"/>
      <c r="CP1212" s="369"/>
      <c r="CQ1212" s="369"/>
      <c r="CR1212" s="369"/>
      <c r="CS1212" s="369"/>
      <c r="CT1212" s="369"/>
      <c r="CU1212" s="369"/>
      <c r="CV1212" s="369"/>
      <c r="CW1212" s="369"/>
      <c r="CX1212" s="369"/>
      <c r="CY1212" s="369"/>
      <c r="CZ1212" s="369"/>
      <c r="DA1212" s="369"/>
      <c r="DB1212" s="369"/>
      <c r="DC1212" s="369"/>
      <c r="DD1212" s="369"/>
      <c r="DE1212" s="369"/>
      <c r="DF1212" s="369"/>
      <c r="DG1212" s="369"/>
      <c r="DH1212" s="369"/>
      <c r="DI1212" s="369"/>
      <c r="DJ1212" s="369"/>
      <c r="DK1212" s="369"/>
      <c r="DL1212" s="369"/>
      <c r="DM1212" s="369"/>
      <c r="DN1212" s="369"/>
      <c r="DO1212" s="369"/>
      <c r="DP1212" s="369"/>
      <c r="DQ1212" s="369"/>
      <c r="DR1212" s="369"/>
      <c r="DS1212" s="369"/>
      <c r="DT1212" s="369"/>
      <c r="DU1212" s="369"/>
      <c r="DV1212" s="369"/>
      <c r="DW1212" s="369"/>
      <c r="DX1212" s="369"/>
      <c r="DY1212" s="369"/>
      <c r="DZ1212" s="369"/>
      <c r="EA1212" s="369"/>
      <c r="EB1212" s="369"/>
      <c r="EC1212" s="369"/>
      <c r="ED1212" s="369"/>
      <c r="EE1212" s="369"/>
      <c r="EF1212" s="369">
        <v>120</v>
      </c>
      <c r="EG1212" s="369">
        <v>1800</v>
      </c>
      <c r="EH1212" s="369">
        <v>8</v>
      </c>
      <c r="EI1212" s="395">
        <v>0.9</v>
      </c>
      <c r="EJ1212" s="369">
        <v>2</v>
      </c>
      <c r="EK1212" s="369">
        <v>55</v>
      </c>
      <c r="EL1212" s="396">
        <f t="shared" ref="EL1212:EL1213" si="1278">3600/EK1212*EH1212*EJ1212*EI1212</f>
        <v>942.5454545454545</v>
      </c>
      <c r="EM1212" s="394">
        <f>2%*(EU1212+BA1212)</f>
        <v>0.16851888728444445</v>
      </c>
      <c r="EN1212" s="369"/>
      <c r="EO1212" s="391">
        <v>0.1</v>
      </c>
      <c r="EP1212" s="369"/>
      <c r="EQ1212" s="369"/>
      <c r="ER1212" s="369"/>
      <c r="ES1212" s="369"/>
      <c r="ET1212" s="369"/>
      <c r="EU1212" s="391">
        <f>EG1212/EL1212+EP1212+EQ1212+ER1212</f>
        <v>1.9097222222222223</v>
      </c>
      <c r="EV1212" s="369"/>
      <c r="EW1212" s="369"/>
      <c r="EX1212" s="369"/>
      <c r="EY1212" s="369"/>
      <c r="EZ1212" s="369"/>
      <c r="FA1212" s="369"/>
      <c r="FB1212" s="369"/>
      <c r="FC1212" s="369"/>
      <c r="FD1212" s="369"/>
      <c r="FE1212" s="369"/>
      <c r="FF1212" s="369"/>
      <c r="FG1212" s="369"/>
      <c r="FH1212" s="369"/>
      <c r="FI1212" s="369"/>
      <c r="FJ1212" s="369"/>
      <c r="FK1212" s="369"/>
      <c r="FL1212" s="369"/>
      <c r="FM1212" s="369"/>
      <c r="FN1212" s="369"/>
      <c r="FO1212" s="369"/>
      <c r="FP1212" s="369"/>
      <c r="FQ1212" s="369"/>
      <c r="FR1212" s="369"/>
      <c r="FS1212" s="369"/>
      <c r="FT1212" s="369"/>
      <c r="FU1212" s="369"/>
      <c r="FV1212" s="369"/>
      <c r="FW1212" s="369"/>
      <c r="FX1212" s="369"/>
      <c r="FY1212" s="369"/>
      <c r="FZ1212" s="369"/>
      <c r="GA1212" s="369"/>
      <c r="GB1212" s="369"/>
      <c r="GC1212" s="369"/>
      <c r="GD1212" s="369"/>
      <c r="GE1212" s="369"/>
      <c r="GF1212" s="369"/>
      <c r="GG1212" s="369"/>
      <c r="GH1212" s="369"/>
      <c r="GI1212" s="369"/>
      <c r="GJ1212" s="369"/>
      <c r="GK1212" s="369"/>
      <c r="GL1212" s="369"/>
      <c r="GM1212" s="369"/>
      <c r="GN1212" s="369"/>
      <c r="GO1212" s="369"/>
      <c r="GP1212" s="399"/>
      <c r="GQ1212" s="369"/>
      <c r="GR1212" s="395">
        <v>0.15</v>
      </c>
      <c r="GS1212" s="394">
        <f t="shared" ref="GS1212:GS1213" si="1279">GR1212*(BA1212+EU1212+EV1212)</f>
        <v>1.2638916546333332</v>
      </c>
      <c r="GT1212" s="395">
        <v>0.02</v>
      </c>
      <c r="GU1212" s="394">
        <f>GT1212*(EU1212+BA1212)</f>
        <v>0.16851888728444445</v>
      </c>
      <c r="GV1212" s="395">
        <v>0.02</v>
      </c>
      <c r="GW1212" s="394">
        <f>GV1212*(EU1212+BA1212)</f>
        <v>0.16851888728444445</v>
      </c>
      <c r="GX1212" s="391">
        <f>GS1212+GU1212+GW1212</f>
        <v>1.6009294292022223</v>
      </c>
      <c r="GY1212" s="369" t="s">
        <v>274</v>
      </c>
      <c r="GZ1212" s="369" t="s">
        <v>274</v>
      </c>
      <c r="HA1212" s="369"/>
      <c r="HB1212" s="369"/>
      <c r="HC1212" s="369"/>
      <c r="HD1212" s="369">
        <v>1000</v>
      </c>
      <c r="HE1212" s="369"/>
      <c r="HF1212" s="369"/>
      <c r="HG1212" s="369"/>
      <c r="HH1212" s="369"/>
      <c r="HI1212" s="369">
        <v>46</v>
      </c>
      <c r="HJ1212" s="369"/>
      <c r="HK1212" s="369"/>
      <c r="HL1212" s="369"/>
      <c r="HM1212" s="369"/>
      <c r="HN1212" s="369"/>
      <c r="HO1212" s="391">
        <f>(IF(GY1212="carton box",HI1212/HD1212,HJ1212/HN1212))</f>
        <v>4.5999999999999999E-2</v>
      </c>
      <c r="HP1212" s="369">
        <v>240</v>
      </c>
      <c r="HQ1212" s="369">
        <v>100</v>
      </c>
      <c r="HR1212" s="369">
        <f>HP1212/HQ1212</f>
        <v>2.4</v>
      </c>
      <c r="HS1212" s="369">
        <v>20</v>
      </c>
      <c r="HT1212" s="394">
        <f>IF(ISERROR(HR1212/HS1212),0,HR1212/HS1212)</f>
        <v>0.12</v>
      </c>
      <c r="HU1212" s="394">
        <f>300/3500</f>
        <v>8.5714285714285715E-2</v>
      </c>
      <c r="HV1212" s="391">
        <f>HO1212+HT1212+HU1212</f>
        <v>0.25171428571428567</v>
      </c>
    </row>
    <row r="1213" spans="1:339">
      <c r="A1213">
        <v>1196</v>
      </c>
      <c r="B1213" t="s">
        <v>468</v>
      </c>
      <c r="C1213" s="27" t="s">
        <v>4781</v>
      </c>
      <c r="D1213" s="28" t="s">
        <v>3158</v>
      </c>
      <c r="E1213" s="27" t="s">
        <v>3159</v>
      </c>
      <c r="F1213" t="s">
        <v>2182</v>
      </c>
      <c r="G1213" s="27" t="s">
        <v>90</v>
      </c>
      <c r="I1213" s="27" t="s">
        <v>121</v>
      </c>
      <c r="J1213" s="28">
        <v>21105</v>
      </c>
      <c r="K1213" s="27" t="s">
        <v>4512</v>
      </c>
      <c r="L1213" s="371"/>
      <c r="M1213" s="369"/>
      <c r="N1213" s="369"/>
      <c r="O1213" s="369"/>
      <c r="P1213" s="369"/>
      <c r="Q1213" s="27" t="s">
        <v>4773</v>
      </c>
      <c r="R1213" s="27" t="s">
        <v>1769</v>
      </c>
      <c r="S1213" s="370">
        <v>43374</v>
      </c>
      <c r="T1213" s="27" t="s">
        <v>4555</v>
      </c>
      <c r="U1213" s="370">
        <v>43405</v>
      </c>
      <c r="V1213" s="369"/>
      <c r="W1213" s="390"/>
      <c r="X1213" s="390"/>
      <c r="Y1213" s="390"/>
      <c r="Z1213" s="390"/>
      <c r="AA1213" s="390" t="s">
        <v>4774</v>
      </c>
      <c r="AB1213" s="391">
        <v>425</v>
      </c>
      <c r="AC1213" s="369">
        <v>20</v>
      </c>
      <c r="AD1213" s="390" t="s">
        <v>1796</v>
      </c>
      <c r="AE1213" s="391">
        <f t="shared" ref="AE1213" si="1280">BA1213</f>
        <v>7.5776000000000003</v>
      </c>
      <c r="AF1213" s="391">
        <f>DU1213+DZ1213+EE1213</f>
        <v>0</v>
      </c>
      <c r="AG1213" s="391">
        <f t="shared" ref="AG1213" si="1281">EU1213+FA1213</f>
        <v>2.1388888888888888</v>
      </c>
      <c r="AH1213" s="391">
        <f t="shared" si="1266"/>
        <v>0</v>
      </c>
      <c r="AI1213" s="391">
        <f t="shared" si="1267"/>
        <v>0</v>
      </c>
      <c r="AJ1213" s="391">
        <f t="shared" si="1268"/>
        <v>0</v>
      </c>
      <c r="AK1213" s="391">
        <f t="shared" si="1269"/>
        <v>7.6160000000000005E-2</v>
      </c>
      <c r="AL1213" s="391">
        <f t="shared" si="1270"/>
        <v>1.1656435555555558</v>
      </c>
      <c r="AM1213" s="391">
        <f t="shared" si="1271"/>
        <v>0</v>
      </c>
      <c r="AN1213" s="391">
        <f t="shared" si="1272"/>
        <v>0</v>
      </c>
      <c r="AO1213" s="391"/>
      <c r="AP1213" s="391"/>
      <c r="AQ1213" s="391">
        <f t="shared" si="1273"/>
        <v>10.958292444444446</v>
      </c>
      <c r="AR1213" s="391">
        <f t="shared" si="1274"/>
        <v>0</v>
      </c>
      <c r="AS1213" s="391">
        <v>0</v>
      </c>
      <c r="AT1213" s="391">
        <v>0</v>
      </c>
      <c r="AU1213" s="391">
        <v>0</v>
      </c>
      <c r="AV1213" s="391">
        <f t="shared" si="1275"/>
        <v>10.958292444444446</v>
      </c>
      <c r="AW1213" s="391">
        <f>17.92/1000</f>
        <v>1.7920000000000002E-2</v>
      </c>
      <c r="AX1213" s="391">
        <f>16/1000</f>
        <v>1.6E-2</v>
      </c>
      <c r="AY1213" s="392">
        <v>1</v>
      </c>
      <c r="AZ1213" s="391">
        <f t="shared" si="1276"/>
        <v>1.9200000000000016E-3</v>
      </c>
      <c r="BA1213" s="391">
        <f t="shared" si="1277"/>
        <v>7.5776000000000003</v>
      </c>
      <c r="BB1213" s="391"/>
      <c r="BC1213" s="391"/>
      <c r="BD1213" s="391"/>
      <c r="BE1213" s="391"/>
      <c r="BF1213" s="391"/>
      <c r="BG1213" s="391"/>
      <c r="BH1213" s="391"/>
      <c r="BI1213" s="391"/>
      <c r="BJ1213" s="369"/>
      <c r="BK1213" s="369"/>
      <c r="BL1213" s="369"/>
      <c r="BM1213" s="369"/>
      <c r="BN1213" s="369"/>
      <c r="BO1213" s="369"/>
      <c r="BP1213" s="369"/>
      <c r="BQ1213" s="369"/>
      <c r="BR1213" s="369"/>
      <c r="BS1213" s="369"/>
      <c r="BT1213" s="369"/>
      <c r="BU1213" s="369"/>
      <c r="BV1213" s="369"/>
      <c r="BW1213" s="369"/>
      <c r="BX1213" s="369"/>
      <c r="BY1213" s="369"/>
      <c r="BZ1213" s="369"/>
      <c r="CA1213" s="369"/>
      <c r="CB1213" s="369"/>
      <c r="CC1213" s="369"/>
      <c r="CD1213" s="369"/>
      <c r="CE1213" s="369"/>
      <c r="CF1213" s="369"/>
      <c r="CG1213" s="369"/>
      <c r="CH1213" s="369"/>
      <c r="CI1213" s="369"/>
      <c r="CJ1213" s="369"/>
      <c r="CK1213" s="369"/>
      <c r="CL1213" s="369"/>
      <c r="CM1213" s="369"/>
      <c r="CN1213" s="369"/>
      <c r="CO1213" s="369"/>
      <c r="CP1213" s="369"/>
      <c r="CQ1213" s="369"/>
      <c r="CR1213" s="369"/>
      <c r="CS1213" s="369"/>
      <c r="CT1213" s="369"/>
      <c r="CU1213" s="369"/>
      <c r="CV1213" s="369"/>
      <c r="CW1213" s="369"/>
      <c r="CX1213" s="369"/>
      <c r="CY1213" s="369"/>
      <c r="CZ1213" s="369"/>
      <c r="DA1213" s="369"/>
      <c r="DB1213" s="369"/>
      <c r="DC1213" s="369"/>
      <c r="DD1213" s="369"/>
      <c r="DE1213" s="369"/>
      <c r="DF1213" s="369"/>
      <c r="DG1213" s="369"/>
      <c r="DH1213" s="369"/>
      <c r="DI1213" s="369"/>
      <c r="DJ1213" s="369"/>
      <c r="DK1213" s="369"/>
      <c r="DL1213" s="369"/>
      <c r="DM1213" s="369"/>
      <c r="DN1213" s="369"/>
      <c r="DO1213" s="369"/>
      <c r="DP1213" s="369"/>
      <c r="DQ1213" s="369"/>
      <c r="DR1213" s="369"/>
      <c r="DS1213" s="369"/>
      <c r="DT1213" s="369"/>
      <c r="DU1213" s="369"/>
      <c r="DV1213" s="369"/>
      <c r="DW1213" s="369"/>
      <c r="DX1213" s="369"/>
      <c r="DY1213" s="369"/>
      <c r="DZ1213" s="369"/>
      <c r="EA1213" s="369"/>
      <c r="EB1213" s="369"/>
      <c r="EC1213" s="369"/>
      <c r="ED1213" s="369"/>
      <c r="EE1213" s="369"/>
      <c r="EF1213" s="369">
        <v>85</v>
      </c>
      <c r="EG1213" s="369">
        <f>250*8</f>
        <v>2000</v>
      </c>
      <c r="EH1213" s="369">
        <v>8</v>
      </c>
      <c r="EI1213" s="395">
        <v>1</v>
      </c>
      <c r="EJ1213" s="369">
        <v>2</v>
      </c>
      <c r="EK1213" s="369">
        <v>40</v>
      </c>
      <c r="EL1213" s="396">
        <f t="shared" si="1278"/>
        <v>1440</v>
      </c>
      <c r="EM1213" s="369"/>
      <c r="EN1213" s="369"/>
      <c r="EO1213" s="369"/>
      <c r="EP1213" s="369"/>
      <c r="EQ1213" s="369"/>
      <c r="ER1213" s="369"/>
      <c r="ES1213" s="369"/>
      <c r="ET1213" s="369"/>
      <c r="EU1213" s="391">
        <f t="shared" ref="EU1213" si="1282">EG1213/EL1213+EM1213+EP1213+EQ1213+ER1213+EO1213</f>
        <v>1.3888888888888888</v>
      </c>
      <c r="EV1213" s="369"/>
      <c r="EW1213" s="369"/>
      <c r="EX1213" s="369"/>
      <c r="EY1213" s="369">
        <f>1500000/2000000</f>
        <v>0.75</v>
      </c>
      <c r="EZ1213" s="369"/>
      <c r="FA1213" s="391">
        <f t="shared" ref="FA1213" si="1283">EX1213+EY1213</f>
        <v>0.75</v>
      </c>
      <c r="FB1213" s="369"/>
      <c r="FC1213" s="369"/>
      <c r="FD1213" s="369"/>
      <c r="FE1213" s="369"/>
      <c r="FF1213" s="369"/>
      <c r="FG1213" s="369"/>
      <c r="FH1213" s="369"/>
      <c r="FI1213" s="369"/>
      <c r="FJ1213" s="369"/>
      <c r="FK1213" s="369"/>
      <c r="FL1213" s="369"/>
      <c r="FM1213" s="369"/>
      <c r="FN1213" s="369"/>
      <c r="FO1213" s="369"/>
      <c r="FP1213" s="369"/>
      <c r="FQ1213" s="369"/>
      <c r="FR1213" s="369"/>
      <c r="FS1213" s="369"/>
      <c r="FT1213" s="369"/>
      <c r="FU1213" s="369"/>
      <c r="FV1213" s="369"/>
      <c r="FW1213" s="369"/>
      <c r="FX1213" s="369"/>
      <c r="FY1213" s="369"/>
      <c r="FZ1213" s="369"/>
      <c r="GA1213" s="369"/>
      <c r="GB1213" s="369"/>
      <c r="GC1213" s="369"/>
      <c r="GD1213" s="369"/>
      <c r="GE1213" s="369"/>
      <c r="GF1213" s="369"/>
      <c r="GG1213" s="369"/>
      <c r="GH1213" s="369"/>
      <c r="GI1213" s="369"/>
      <c r="GJ1213" s="369"/>
      <c r="GK1213" s="369"/>
      <c r="GL1213" s="369"/>
      <c r="GM1213" s="369"/>
      <c r="GN1213" s="369"/>
      <c r="GO1213" s="369"/>
      <c r="GP1213" s="392"/>
      <c r="GQ1213" s="369"/>
      <c r="GR1213" s="395">
        <v>0.13</v>
      </c>
      <c r="GS1213" s="391">
        <f t="shared" si="1279"/>
        <v>1.1656435555555558</v>
      </c>
      <c r="GT1213" s="395">
        <v>0.01</v>
      </c>
      <c r="GU1213" s="391">
        <f>GT1213*(AW1213*AB1213)</f>
        <v>7.6160000000000005E-2</v>
      </c>
      <c r="GV1213" s="395"/>
      <c r="GW1213" s="369"/>
      <c r="GX1213" s="391">
        <f t="shared" ref="GX1213" si="1284">GS1213+GU1213+GW1213</f>
        <v>1.2418035555555558</v>
      </c>
    </row>
    <row r="1214" spans="1:339">
      <c r="A1214">
        <v>1197</v>
      </c>
      <c r="C1214" t="s">
        <v>567</v>
      </c>
      <c r="D1214" s="28" t="s">
        <v>3158</v>
      </c>
      <c r="E1214" s="27" t="s">
        <v>3159</v>
      </c>
      <c r="F1214" t="s">
        <v>2444</v>
      </c>
      <c r="G1214" s="27" t="s">
        <v>90</v>
      </c>
      <c r="I1214" s="27" t="s">
        <v>121</v>
      </c>
      <c r="J1214" s="28">
        <v>29010</v>
      </c>
      <c r="K1214" s="27" t="s">
        <v>229</v>
      </c>
      <c r="L1214" s="371"/>
      <c r="M1214" s="369"/>
      <c r="N1214" s="369" t="s">
        <v>1764</v>
      </c>
      <c r="O1214" s="369" t="s">
        <v>1929</v>
      </c>
      <c r="P1214" s="406">
        <v>43105</v>
      </c>
      <c r="Q1214" s="369"/>
      <c r="R1214" s="369"/>
      <c r="S1214" s="369"/>
      <c r="T1214" s="369"/>
      <c r="U1214" s="369"/>
      <c r="V1214" s="369"/>
      <c r="W1214" s="390" t="s">
        <v>2596</v>
      </c>
    </row>
    <row r="1215" spans="1:339">
      <c r="A1215">
        <v>1198</v>
      </c>
      <c r="C1215" t="s">
        <v>567</v>
      </c>
      <c r="D1215" s="28" t="s">
        <v>3158</v>
      </c>
      <c r="E1215" s="27" t="s">
        <v>3159</v>
      </c>
      <c r="F1215" t="s">
        <v>2444</v>
      </c>
      <c r="G1215" s="27" t="s">
        <v>90</v>
      </c>
      <c r="I1215" s="27" t="s">
        <v>94</v>
      </c>
      <c r="J1215" s="28">
        <v>29268</v>
      </c>
      <c r="K1215" s="27" t="s">
        <v>229</v>
      </c>
      <c r="L1215" s="371"/>
      <c r="M1215" s="369"/>
      <c r="N1215" s="369" t="s">
        <v>1767</v>
      </c>
      <c r="O1215" s="369" t="s">
        <v>1805</v>
      </c>
      <c r="P1215" s="406">
        <v>43349</v>
      </c>
      <c r="Q1215" s="369"/>
      <c r="R1215" s="369"/>
      <c r="S1215" s="369"/>
      <c r="T1215" s="369"/>
      <c r="U1215" s="369"/>
      <c r="V1215" s="369"/>
      <c r="W1215" s="390" t="s">
        <v>2596</v>
      </c>
    </row>
    <row r="1216" spans="1:339">
      <c r="A1216">
        <v>1199</v>
      </c>
      <c r="C1216" t="s">
        <v>567</v>
      </c>
      <c r="D1216" s="28" t="s">
        <v>3158</v>
      </c>
      <c r="E1216" s="27" t="s">
        <v>3159</v>
      </c>
      <c r="F1216" t="s">
        <v>2444</v>
      </c>
      <c r="G1216" s="27" t="s">
        <v>90</v>
      </c>
      <c r="I1216" s="27" t="s">
        <v>94</v>
      </c>
      <c r="J1216" s="28">
        <v>21105</v>
      </c>
      <c r="K1216" s="27" t="s">
        <v>4512</v>
      </c>
      <c r="L1216" s="371"/>
      <c r="M1216" s="369"/>
      <c r="N1216" s="369"/>
      <c r="O1216" s="369" t="s">
        <v>1805</v>
      </c>
      <c r="P1216" s="406">
        <v>43528</v>
      </c>
      <c r="Q1216" s="369"/>
      <c r="R1216" s="369"/>
      <c r="S1216" s="369"/>
      <c r="T1216" s="369"/>
      <c r="U1216" s="369"/>
      <c r="V1216" s="369"/>
      <c r="W1216" s="390" t="s">
        <v>2596</v>
      </c>
    </row>
    <row r="1217" spans="1:241">
      <c r="A1217">
        <v>1200</v>
      </c>
      <c r="C1217" t="s">
        <v>567</v>
      </c>
      <c r="D1217" s="28" t="s">
        <v>3158</v>
      </c>
      <c r="E1217" s="27" t="s">
        <v>3159</v>
      </c>
      <c r="F1217" t="s">
        <v>2444</v>
      </c>
      <c r="G1217" s="27" t="s">
        <v>90</v>
      </c>
      <c r="I1217" s="27" t="s">
        <v>226</v>
      </c>
      <c r="J1217" s="28">
        <v>29164</v>
      </c>
      <c r="K1217" s="27" t="s">
        <v>229</v>
      </c>
      <c r="L1217" s="371"/>
      <c r="M1217" s="369"/>
      <c r="N1217" s="369" t="s">
        <v>1764</v>
      </c>
      <c r="O1217" s="369" t="s">
        <v>1929</v>
      </c>
      <c r="P1217" s="406">
        <v>43104</v>
      </c>
      <c r="Q1217" s="369"/>
      <c r="R1217" s="369"/>
      <c r="S1217" s="369"/>
      <c r="T1217" s="369"/>
      <c r="U1217" s="369"/>
      <c r="V1217" s="369"/>
      <c r="W1217" s="390" t="s">
        <v>2596</v>
      </c>
    </row>
    <row r="1218" spans="1:241">
      <c r="A1218">
        <v>1201</v>
      </c>
      <c r="B1218" t="s">
        <v>468</v>
      </c>
      <c r="C1218" s="27" t="s">
        <v>491</v>
      </c>
      <c r="D1218" s="28" t="s">
        <v>332</v>
      </c>
      <c r="E1218" s="27" t="s">
        <v>333</v>
      </c>
      <c r="F1218" t="s">
        <v>2192</v>
      </c>
      <c r="G1218" s="27" t="s">
        <v>90</v>
      </c>
      <c r="H1218" t="s">
        <v>4782</v>
      </c>
      <c r="I1218" s="27" t="s">
        <v>121</v>
      </c>
      <c r="J1218" s="28">
        <v>21160</v>
      </c>
      <c r="K1218" s="27" t="s">
        <v>401</v>
      </c>
    </row>
    <row r="1219" spans="1:241">
      <c r="A1219">
        <v>1202</v>
      </c>
      <c r="B1219" t="s">
        <v>468</v>
      </c>
      <c r="C1219" s="27" t="s">
        <v>490</v>
      </c>
      <c r="D1219" s="28" t="s">
        <v>332</v>
      </c>
      <c r="E1219" s="27" t="s">
        <v>333</v>
      </c>
      <c r="F1219" t="s">
        <v>2192</v>
      </c>
      <c r="G1219" s="27" t="s">
        <v>90</v>
      </c>
      <c r="H1219" t="s">
        <v>4783</v>
      </c>
      <c r="I1219" s="27" t="s">
        <v>121</v>
      </c>
      <c r="J1219" s="28">
        <v>21589</v>
      </c>
      <c r="K1219" s="27" t="s">
        <v>405</v>
      </c>
    </row>
    <row r="1220" spans="1:241">
      <c r="A1220">
        <v>1203</v>
      </c>
      <c r="B1220" t="s">
        <v>468</v>
      </c>
      <c r="C1220" s="27" t="s">
        <v>491</v>
      </c>
      <c r="D1220" s="28" t="s">
        <v>332</v>
      </c>
      <c r="E1220" s="27" t="s">
        <v>333</v>
      </c>
      <c r="F1220" t="s">
        <v>2192</v>
      </c>
      <c r="G1220" s="27" t="s">
        <v>90</v>
      </c>
      <c r="H1220" t="s">
        <v>4784</v>
      </c>
      <c r="I1220" s="27" t="s">
        <v>94</v>
      </c>
      <c r="J1220" s="28">
        <v>21160</v>
      </c>
      <c r="K1220" s="27" t="s">
        <v>401</v>
      </c>
    </row>
    <row r="1221" spans="1:241">
      <c r="A1221">
        <v>1204</v>
      </c>
      <c r="B1221" t="s">
        <v>468</v>
      </c>
      <c r="C1221" s="27" t="s">
        <v>491</v>
      </c>
      <c r="D1221" s="28" t="s">
        <v>332</v>
      </c>
      <c r="E1221" s="27" t="s">
        <v>333</v>
      </c>
      <c r="F1221" t="s">
        <v>2192</v>
      </c>
      <c r="G1221" s="27" t="s">
        <v>90</v>
      </c>
      <c r="H1221" t="s">
        <v>4785</v>
      </c>
      <c r="I1221" s="27" t="s">
        <v>226</v>
      </c>
      <c r="J1221" s="28">
        <v>21425</v>
      </c>
      <c r="K1221" s="27" t="s">
        <v>406</v>
      </c>
    </row>
    <row r="1222" spans="1:241">
      <c r="A1222">
        <v>1205</v>
      </c>
      <c r="C1222" s="27" t="s">
        <v>567</v>
      </c>
      <c r="D1222" s="28" t="s">
        <v>3160</v>
      </c>
      <c r="E1222" s="27" t="s">
        <v>3161</v>
      </c>
      <c r="F1222" t="s">
        <v>2444</v>
      </c>
      <c r="G1222" s="27" t="s">
        <v>90</v>
      </c>
      <c r="I1222" s="27" t="s">
        <v>226</v>
      </c>
      <c r="J1222" s="28">
        <v>21516</v>
      </c>
      <c r="K1222" s="27" t="s">
        <v>410</v>
      </c>
      <c r="N1222" s="13" t="s">
        <v>4786</v>
      </c>
      <c r="O1222" s="13" t="s">
        <v>1805</v>
      </c>
      <c r="P1222" s="409">
        <v>43626</v>
      </c>
      <c r="W1222" s="390" t="s">
        <v>2596</v>
      </c>
    </row>
    <row r="1223" spans="1:241">
      <c r="A1223">
        <v>1206</v>
      </c>
      <c r="C1223" s="27" t="s">
        <v>567</v>
      </c>
      <c r="D1223" s="28" t="s">
        <v>3162</v>
      </c>
      <c r="E1223" s="27" t="s">
        <v>3163</v>
      </c>
      <c r="F1223" t="s">
        <v>2444</v>
      </c>
      <c r="G1223" s="27" t="s">
        <v>90</v>
      </c>
      <c r="I1223" s="27" t="s">
        <v>121</v>
      </c>
      <c r="J1223" s="28">
        <v>29010</v>
      </c>
      <c r="K1223" s="27" t="s">
        <v>229</v>
      </c>
      <c r="N1223" s="13" t="s">
        <v>1764</v>
      </c>
      <c r="O1223" s="13" t="s">
        <v>4787</v>
      </c>
      <c r="P1223" s="409">
        <v>43105</v>
      </c>
    </row>
    <row r="1224" spans="1:241">
      <c r="A1224">
        <v>1207</v>
      </c>
      <c r="C1224" s="27" t="s">
        <v>567</v>
      </c>
      <c r="D1224" s="28" t="s">
        <v>3164</v>
      </c>
      <c r="E1224" s="27" t="s">
        <v>3165</v>
      </c>
      <c r="F1224" t="s">
        <v>2444</v>
      </c>
      <c r="G1224" s="27" t="s">
        <v>90</v>
      </c>
      <c r="I1224" s="27" t="s">
        <v>121</v>
      </c>
      <c r="J1224" s="28">
        <v>21592</v>
      </c>
      <c r="K1224" s="27" t="s">
        <v>410</v>
      </c>
      <c r="N1224" s="13" t="s">
        <v>2675</v>
      </c>
      <c r="O1224" s="13" t="s">
        <v>1805</v>
      </c>
      <c r="P1224" s="409">
        <v>43941</v>
      </c>
    </row>
    <row r="1225" spans="1:241">
      <c r="A1225">
        <v>1208</v>
      </c>
      <c r="C1225" s="27" t="s">
        <v>567</v>
      </c>
      <c r="D1225" s="28" t="s">
        <v>3166</v>
      </c>
      <c r="E1225" s="27" t="s">
        <v>3167</v>
      </c>
      <c r="F1225" t="s">
        <v>2444</v>
      </c>
      <c r="G1225" s="27" t="s">
        <v>90</v>
      </c>
      <c r="I1225" s="27" t="s">
        <v>121</v>
      </c>
      <c r="J1225" s="28">
        <v>29010</v>
      </c>
      <c r="K1225" s="27" t="s">
        <v>229</v>
      </c>
      <c r="N1225" s="13" t="s">
        <v>1764</v>
      </c>
      <c r="O1225" s="13" t="s">
        <v>4787</v>
      </c>
      <c r="P1225" s="409">
        <v>43105</v>
      </c>
    </row>
    <row r="1226" spans="1:241">
      <c r="A1226">
        <v>1209</v>
      </c>
      <c r="C1226" s="27" t="s">
        <v>567</v>
      </c>
      <c r="D1226" s="28" t="s">
        <v>3168</v>
      </c>
      <c r="E1226" s="27" t="s">
        <v>3169</v>
      </c>
      <c r="F1226" t="s">
        <v>2444</v>
      </c>
      <c r="G1226" s="27" t="s">
        <v>90</v>
      </c>
      <c r="I1226" s="27" t="s">
        <v>226</v>
      </c>
      <c r="J1226" s="28">
        <v>21020</v>
      </c>
      <c r="K1226" s="27" t="s">
        <v>403</v>
      </c>
      <c r="N1226" s="13" t="s">
        <v>1764</v>
      </c>
      <c r="O1226" s="13" t="s">
        <v>4787</v>
      </c>
      <c r="P1226" s="409">
        <v>43104</v>
      </c>
    </row>
    <row r="1227" spans="1:241">
      <c r="A1227">
        <v>1210</v>
      </c>
      <c r="B1227" s="456" t="s">
        <v>468</v>
      </c>
      <c r="C1227" s="456" t="s">
        <v>4932</v>
      </c>
      <c r="D1227" s="28" t="s">
        <v>1351</v>
      </c>
      <c r="E1227" s="27" t="s">
        <v>154</v>
      </c>
      <c r="F1227" t="s">
        <v>4935</v>
      </c>
      <c r="G1227" s="27" t="s">
        <v>90</v>
      </c>
      <c r="H1227" t="s">
        <v>4936</v>
      </c>
      <c r="I1227" s="27" t="s">
        <v>94</v>
      </c>
      <c r="J1227" s="28">
        <v>29268</v>
      </c>
      <c r="K1227" s="27" t="s">
        <v>229</v>
      </c>
    </row>
    <row r="1228" spans="1:241" ht="38.25">
      <c r="A1228">
        <v>1211</v>
      </c>
      <c r="B1228" t="s">
        <v>468</v>
      </c>
      <c r="C1228" s="400" t="s">
        <v>4788</v>
      </c>
      <c r="D1228" s="28" t="s">
        <v>3170</v>
      </c>
      <c r="E1228" s="27" t="s">
        <v>3003</v>
      </c>
      <c r="F1228" t="s">
        <v>2182</v>
      </c>
      <c r="G1228" s="27" t="s">
        <v>90</v>
      </c>
      <c r="I1228" s="27" t="s">
        <v>121</v>
      </c>
      <c r="J1228" s="28">
        <v>21545</v>
      </c>
      <c r="K1228" s="27" t="s">
        <v>4507</v>
      </c>
      <c r="L1228" s="27">
        <v>21190</v>
      </c>
      <c r="M1228" s="369"/>
      <c r="N1228" s="369"/>
      <c r="O1228" s="369"/>
      <c r="P1228" s="369"/>
      <c r="Q1228" s="27" t="s">
        <v>1777</v>
      </c>
      <c r="R1228" s="27" t="s">
        <v>1769</v>
      </c>
      <c r="S1228" s="370">
        <v>43635</v>
      </c>
      <c r="T1228" s="27" t="s">
        <v>4555</v>
      </c>
      <c r="U1228" s="370">
        <v>43654</v>
      </c>
      <c r="V1228" s="369"/>
      <c r="W1228" s="162" t="s">
        <v>4578</v>
      </c>
      <c r="X1228" s="162"/>
      <c r="Y1228" s="162"/>
      <c r="Z1228" s="162"/>
      <c r="AA1228" s="390" t="s">
        <v>4579</v>
      </c>
      <c r="AB1228" s="391">
        <v>823.4</v>
      </c>
      <c r="AC1228" s="391">
        <f>AB1228-5</f>
        <v>818.4</v>
      </c>
      <c r="AD1228" s="390"/>
      <c r="AE1228" s="394">
        <f t="shared" ref="AE1228" si="1285">BA1228</f>
        <v>8.4459999999999997</v>
      </c>
      <c r="AF1228" s="391"/>
      <c r="AG1228" s="394">
        <f>EU1228+EX1228</f>
        <v>3.2</v>
      </c>
      <c r="AH1228" s="394">
        <f t="shared" ref="AH1228" si="1286">DM1228</f>
        <v>2.5</v>
      </c>
      <c r="AI1228" s="391">
        <f t="shared" ref="AI1228" si="1287">DO1228</f>
        <v>0</v>
      </c>
      <c r="AJ1228" s="394">
        <f>GW1228</f>
        <v>0.25</v>
      </c>
      <c r="AK1228" s="391">
        <f>GU1228</f>
        <v>0</v>
      </c>
      <c r="AL1228" s="394">
        <f>GS1228</f>
        <v>2.55504</v>
      </c>
      <c r="AM1228" s="394">
        <f>HV1228</f>
        <v>0.2</v>
      </c>
      <c r="AN1228" s="394">
        <f>IG1228</f>
        <v>0.2</v>
      </c>
      <c r="AO1228" s="391"/>
      <c r="AP1228" s="391"/>
      <c r="AQ1228" s="394">
        <f>SUM(AE1228:AO1228)</f>
        <v>17.351039999999998</v>
      </c>
      <c r="AR1228" s="391"/>
      <c r="AS1228" s="391">
        <f t="shared" ref="AS1228" si="1288">EE1228</f>
        <v>0</v>
      </c>
      <c r="AT1228" s="391">
        <v>0</v>
      </c>
      <c r="AU1228" s="391">
        <f>18-17.35</f>
        <v>0.64999999999999858</v>
      </c>
      <c r="AV1228" s="391">
        <f t="shared" ref="AV1228" si="1289">AQ1228+AT1228+AU1228+AR1228+AS1228</f>
        <v>18.001039999999996</v>
      </c>
      <c r="AW1228" s="407">
        <f>10.5/1000</f>
        <v>1.0500000000000001E-2</v>
      </c>
      <c r="AX1228" s="394">
        <f>8.9/1000</f>
        <v>8.8999999999999999E-3</v>
      </c>
      <c r="AY1228" s="399">
        <v>0.15250794232649031</v>
      </c>
      <c r="AZ1228" s="391">
        <f>(AW1228-AX1228)*AY1228</f>
        <v>2.4401270772238462E-4</v>
      </c>
      <c r="BA1228" s="394">
        <f>AW1228*AB1228-AZ1228*AC1228</f>
        <v>8.4459999999999997</v>
      </c>
      <c r="BB1228" s="394"/>
      <c r="BC1228" s="394"/>
      <c r="BD1228" s="394"/>
      <c r="BE1228" s="394"/>
      <c r="BF1228" s="394"/>
      <c r="BG1228" s="394"/>
      <c r="BH1228" s="394"/>
      <c r="BI1228" s="394"/>
      <c r="BJ1228" s="391"/>
      <c r="BK1228" s="391"/>
      <c r="BL1228" s="391"/>
      <c r="BM1228" s="369"/>
      <c r="BN1228" s="369"/>
      <c r="BO1228" s="369"/>
      <c r="BP1228" s="369"/>
      <c r="BQ1228" s="369"/>
      <c r="BR1228" s="369"/>
      <c r="BS1228" s="369"/>
      <c r="BT1228" s="369"/>
      <c r="BU1228" s="369"/>
      <c r="BV1228" s="369"/>
      <c r="BW1228" s="369"/>
      <c r="BX1228" s="369"/>
      <c r="BY1228" s="369"/>
      <c r="BZ1228" s="369"/>
      <c r="CA1228" s="369"/>
      <c r="CB1228" s="369"/>
      <c r="CC1228" s="369"/>
      <c r="CD1228" s="369"/>
      <c r="CE1228" s="369">
        <v>0</v>
      </c>
      <c r="CF1228" s="369">
        <v>1</v>
      </c>
      <c r="CG1228" s="391">
        <v>2.5</v>
      </c>
      <c r="CH1228" s="394">
        <f>CF1228*CG1228</f>
        <v>2.5</v>
      </c>
      <c r="CI1228" s="369"/>
      <c r="CJ1228" s="369"/>
      <c r="CK1228" s="369"/>
      <c r="CL1228" s="369"/>
      <c r="CM1228" s="369"/>
      <c r="CN1228" s="369"/>
      <c r="CO1228" s="369"/>
      <c r="CP1228" s="369"/>
      <c r="CQ1228" s="369"/>
      <c r="CR1228" s="369"/>
      <c r="CS1228" s="369"/>
      <c r="CT1228" s="369"/>
      <c r="CU1228" s="369"/>
      <c r="CV1228" s="369"/>
      <c r="CW1228" s="369"/>
      <c r="CX1228" s="369"/>
      <c r="CY1228" s="369"/>
      <c r="CZ1228" s="369"/>
      <c r="DA1228" s="369"/>
      <c r="DB1228" s="369"/>
      <c r="DC1228" s="369"/>
      <c r="DD1228" s="369"/>
      <c r="DE1228" s="369"/>
      <c r="DF1228" s="369"/>
      <c r="DG1228" s="369"/>
      <c r="DH1228" s="369"/>
      <c r="DI1228" s="369"/>
      <c r="DJ1228" s="369"/>
      <c r="DK1228" s="369"/>
      <c r="DL1228" s="369"/>
      <c r="DM1228" s="391">
        <f>CH1228+CM1228+CR1228+CW1228+DB1228+DG1228+DL1228</f>
        <v>2.5</v>
      </c>
      <c r="DN1228" s="393"/>
      <c r="DO1228" s="391"/>
      <c r="DP1228" s="391">
        <f>DM1228+DO1228</f>
        <v>2.5</v>
      </c>
      <c r="DQ1228" s="369"/>
      <c r="DR1228" s="369"/>
      <c r="DS1228" s="369"/>
      <c r="DT1228" s="369"/>
      <c r="DU1228" s="369"/>
      <c r="DV1228" s="369"/>
      <c r="DW1228" s="369"/>
      <c r="DX1228" s="369"/>
      <c r="DY1228" s="369"/>
      <c r="DZ1228" s="369"/>
      <c r="EA1228" s="369"/>
      <c r="EB1228" s="369"/>
      <c r="EC1228" s="369"/>
      <c r="ED1228" s="369"/>
      <c r="EE1228" s="369"/>
      <c r="EF1228" s="369"/>
      <c r="EG1228" s="369"/>
      <c r="EH1228" s="369"/>
      <c r="EI1228" s="395"/>
      <c r="EJ1228" s="369">
        <v>8</v>
      </c>
      <c r="EK1228" s="369"/>
      <c r="EL1228" s="369"/>
      <c r="EM1228" s="369"/>
      <c r="EN1228" s="369"/>
      <c r="EO1228" s="369"/>
      <c r="EP1228" s="369"/>
      <c r="EQ1228" s="369"/>
      <c r="ER1228" s="369"/>
      <c r="ES1228" s="369"/>
      <c r="ET1228" s="369"/>
      <c r="EU1228" s="394">
        <f>2.2</f>
        <v>2.2000000000000002</v>
      </c>
      <c r="EV1228" s="369"/>
      <c r="EW1228" s="369"/>
      <c r="EX1228" s="369">
        <v>1</v>
      </c>
      <c r="EY1228" s="369"/>
      <c r="EZ1228" s="369"/>
      <c r="FA1228" s="391">
        <f>EX1228</f>
        <v>1</v>
      </c>
      <c r="FB1228" s="369"/>
      <c r="FC1228" s="369"/>
      <c r="FD1228" s="369"/>
      <c r="FE1228" s="369"/>
      <c r="FF1228" s="369"/>
      <c r="FG1228" s="369"/>
      <c r="FH1228" s="369"/>
      <c r="FI1228" s="369"/>
      <c r="FJ1228" s="369"/>
      <c r="FK1228" s="369"/>
      <c r="FL1228" s="369"/>
      <c r="FM1228" s="369"/>
      <c r="FN1228" s="369"/>
      <c r="FO1228" s="369"/>
      <c r="FP1228" s="369"/>
      <c r="FQ1228" s="369"/>
      <c r="FR1228" s="369"/>
      <c r="FS1228" s="369"/>
      <c r="FT1228" s="369"/>
      <c r="FU1228" s="369"/>
      <c r="FV1228" s="369"/>
      <c r="FW1228" s="369"/>
      <c r="FX1228" s="369"/>
      <c r="FY1228" s="369"/>
      <c r="FZ1228" s="369"/>
      <c r="GA1228" s="369"/>
      <c r="GB1228" s="369"/>
      <c r="GC1228" s="369"/>
      <c r="GD1228" s="369"/>
      <c r="GE1228" s="369"/>
      <c r="GF1228" s="369"/>
      <c r="GG1228" s="369"/>
      <c r="GH1228" s="369"/>
      <c r="GI1228" s="369"/>
      <c r="GJ1228" s="369"/>
      <c r="GK1228" s="369"/>
      <c r="GL1228" s="369"/>
      <c r="GM1228" s="369"/>
      <c r="GN1228" s="369"/>
      <c r="GO1228" s="369"/>
      <c r="GP1228" s="399"/>
      <c r="GQ1228" s="369"/>
      <c r="GR1228" s="395">
        <v>0.24</v>
      </c>
      <c r="GS1228" s="394">
        <f>GR1228*(EU1228+BA1228)</f>
        <v>2.55504</v>
      </c>
      <c r="GT1228" s="393"/>
      <c r="GU1228" s="369"/>
      <c r="GV1228" s="395"/>
      <c r="GW1228" s="394">
        <v>0.25</v>
      </c>
      <c r="GX1228" s="391">
        <f>GS1228+GU1228+GW1228</f>
        <v>2.80504</v>
      </c>
      <c r="GY1228" s="369"/>
      <c r="GZ1228" s="369"/>
      <c r="HA1228" s="369"/>
      <c r="HB1228" s="369"/>
      <c r="HC1228" s="369"/>
      <c r="HD1228" s="369"/>
      <c r="HE1228" s="369"/>
      <c r="HF1228" s="369"/>
      <c r="HG1228" s="369"/>
      <c r="HH1228" s="369"/>
      <c r="HI1228" s="369"/>
      <c r="HJ1228" s="369"/>
      <c r="HK1228" s="369"/>
      <c r="HL1228" s="369"/>
      <c r="HM1228" s="369"/>
      <c r="HN1228" s="369"/>
      <c r="HO1228" s="369"/>
      <c r="HP1228" s="369"/>
      <c r="HQ1228" s="369"/>
      <c r="HR1228" s="369"/>
      <c r="HS1228" s="369"/>
      <c r="HT1228" s="369"/>
      <c r="HU1228" s="369"/>
      <c r="HV1228" s="391">
        <v>0.2</v>
      </c>
      <c r="HW1228" s="369"/>
      <c r="HX1228" s="369"/>
      <c r="HY1228" s="369"/>
      <c r="HZ1228" s="369"/>
      <c r="IA1228" s="369"/>
      <c r="IB1228" s="369"/>
      <c r="IC1228" s="369"/>
      <c r="ID1228" s="369"/>
      <c r="IE1228" s="369"/>
      <c r="IF1228" s="369"/>
      <c r="IG1228" s="391">
        <v>0.2</v>
      </c>
    </row>
    <row r="1229" spans="1:241" ht="75">
      <c r="A1229">
        <v>1212</v>
      </c>
      <c r="B1229" t="s">
        <v>468</v>
      </c>
      <c r="C1229" s="400" t="s">
        <v>4788</v>
      </c>
      <c r="D1229" s="28" t="s">
        <v>3170</v>
      </c>
      <c r="E1229" s="27" t="s">
        <v>3003</v>
      </c>
      <c r="G1229" s="27" t="s">
        <v>90</v>
      </c>
      <c r="I1229" s="27" t="s">
        <v>94</v>
      </c>
      <c r="J1229" s="28">
        <v>21190</v>
      </c>
      <c r="K1229" s="27" t="s">
        <v>4506</v>
      </c>
      <c r="L1229" s="27">
        <v>21190</v>
      </c>
      <c r="N1229" s="13" t="s">
        <v>4789</v>
      </c>
      <c r="O1229" s="13" t="s">
        <v>1805</v>
      </c>
      <c r="P1229" s="332">
        <v>43721</v>
      </c>
      <c r="Q1229" s="27" t="s">
        <v>1777</v>
      </c>
      <c r="R1229" s="27" t="s">
        <v>1769</v>
      </c>
      <c r="S1229" s="370">
        <v>43635</v>
      </c>
      <c r="T1229" s="27" t="s">
        <v>4555</v>
      </c>
      <c r="U1229" s="370">
        <v>43654</v>
      </c>
      <c r="W1229" s="53" t="s">
        <v>4790</v>
      </c>
      <c r="X1229" s="162"/>
      <c r="Y1229" s="162"/>
      <c r="Z1229" s="162"/>
      <c r="AA1229" s="390" t="s">
        <v>4579</v>
      </c>
      <c r="AB1229" s="391">
        <v>823.4</v>
      </c>
      <c r="AC1229" s="391">
        <f>AB1229-5</f>
        <v>818.4</v>
      </c>
      <c r="AD1229" s="390"/>
      <c r="AE1229" s="394">
        <f t="shared" ref="AE1229" si="1290">BA1229</f>
        <v>8.4459999999999997</v>
      </c>
      <c r="AF1229" s="391"/>
      <c r="AG1229" s="394">
        <f>EU1229+EX1229</f>
        <v>3.2</v>
      </c>
      <c r="AH1229" s="394">
        <f t="shared" ref="AH1229" si="1291">DM1229</f>
        <v>2.5</v>
      </c>
      <c r="AI1229" s="391">
        <f t="shared" ref="AI1229" si="1292">DO1229</f>
        <v>0</v>
      </c>
      <c r="AJ1229" s="394">
        <f>GW1229</f>
        <v>0.25</v>
      </c>
      <c r="AK1229" s="391">
        <f>GU1229</f>
        <v>0</v>
      </c>
      <c r="AL1229" s="394">
        <f>GS1229</f>
        <v>2.55504</v>
      </c>
      <c r="AM1229" s="394">
        <f>HV1229</f>
        <v>0.2</v>
      </c>
      <c r="AN1229" s="394">
        <f>IG1229</f>
        <v>0.2</v>
      </c>
      <c r="AO1229" s="391"/>
      <c r="AP1229" s="391"/>
      <c r="AQ1229" s="394">
        <f>SUM(AE1229:AO1229)</f>
        <v>17.351039999999998</v>
      </c>
      <c r="AR1229" s="391"/>
      <c r="AS1229" s="391">
        <f t="shared" ref="AS1229" si="1293">EE1229</f>
        <v>0</v>
      </c>
      <c r="AT1229" s="391">
        <v>0</v>
      </c>
      <c r="AU1229" s="391">
        <f>18-17.35</f>
        <v>0.64999999999999858</v>
      </c>
      <c r="AV1229" s="391">
        <f t="shared" ref="AV1229" si="1294">AQ1229+AT1229+AU1229+AR1229+AS1229</f>
        <v>18.001039999999996</v>
      </c>
      <c r="AW1229" s="407">
        <f>10.5/1000</f>
        <v>1.0500000000000001E-2</v>
      </c>
      <c r="AX1229" s="394">
        <f>8.9/1000</f>
        <v>8.8999999999999999E-3</v>
      </c>
      <c r="AY1229" s="399">
        <v>0.15250794232649031</v>
      </c>
      <c r="AZ1229" s="391">
        <f>(AW1229-AX1229)*AY1229</f>
        <v>2.4401270772238462E-4</v>
      </c>
      <c r="BA1229" s="394">
        <f>AW1229*AB1229-AZ1229*AC1229</f>
        <v>8.4459999999999997</v>
      </c>
      <c r="BB1229" s="394"/>
      <c r="BC1229" s="394"/>
      <c r="BD1229" s="394"/>
      <c r="BE1229" s="394"/>
      <c r="BF1229" s="394"/>
      <c r="BG1229" s="394"/>
      <c r="BH1229" s="394"/>
      <c r="BI1229" s="394"/>
      <c r="BJ1229" s="391"/>
      <c r="BK1229" s="391"/>
      <c r="BL1229" s="391"/>
      <c r="BM1229" s="369"/>
      <c r="BN1229" s="369"/>
      <c r="BO1229" s="369"/>
      <c r="BP1229" s="369"/>
      <c r="BQ1229" s="369"/>
      <c r="BR1229" s="369"/>
      <c r="BS1229" s="369"/>
      <c r="BT1229" s="369"/>
      <c r="BU1229" s="369"/>
      <c r="BV1229" s="369"/>
      <c r="BW1229" s="369"/>
      <c r="BX1229" s="369"/>
      <c r="BY1229" s="369"/>
      <c r="BZ1229" s="369"/>
      <c r="CA1229" s="369"/>
      <c r="CB1229" s="369"/>
      <c r="CC1229" s="369"/>
      <c r="CD1229" s="369"/>
      <c r="CE1229" s="369">
        <v>0</v>
      </c>
      <c r="CF1229" s="369">
        <v>1</v>
      </c>
      <c r="CG1229" s="391">
        <v>2.5</v>
      </c>
      <c r="CH1229" s="394">
        <f>CF1229*CG1229</f>
        <v>2.5</v>
      </c>
      <c r="CI1229" s="369"/>
      <c r="CJ1229" s="369"/>
      <c r="CK1229" s="369"/>
      <c r="CL1229" s="369"/>
      <c r="CM1229" s="369"/>
      <c r="CN1229" s="369"/>
      <c r="CO1229" s="369"/>
      <c r="CP1229" s="369"/>
      <c r="CQ1229" s="369"/>
      <c r="CR1229" s="369"/>
      <c r="CS1229" s="369"/>
      <c r="CT1229" s="369"/>
      <c r="CU1229" s="369"/>
      <c r="CV1229" s="369"/>
      <c r="CW1229" s="369"/>
      <c r="CX1229" s="369"/>
      <c r="CY1229" s="369"/>
      <c r="CZ1229" s="369"/>
      <c r="DA1229" s="369"/>
      <c r="DB1229" s="369"/>
      <c r="DC1229" s="369"/>
      <c r="DD1229" s="369"/>
      <c r="DE1229" s="369"/>
      <c r="DF1229" s="369"/>
      <c r="DG1229" s="369"/>
      <c r="DH1229" s="369"/>
      <c r="DI1229" s="369"/>
      <c r="DJ1229" s="369"/>
      <c r="DK1229" s="369"/>
      <c r="DL1229" s="369"/>
      <c r="DM1229" s="391">
        <f>CH1229+CM1229+CR1229+CW1229+DB1229+DG1229+DL1229</f>
        <v>2.5</v>
      </c>
      <c r="DN1229" s="393"/>
      <c r="DO1229" s="391"/>
      <c r="DP1229" s="391">
        <f>DM1229+DO1229</f>
        <v>2.5</v>
      </c>
      <c r="DQ1229" s="369"/>
      <c r="DR1229" s="369"/>
      <c r="DS1229" s="369"/>
      <c r="DT1229" s="369"/>
      <c r="DU1229" s="369"/>
      <c r="DV1229" s="369"/>
      <c r="DW1229" s="369"/>
      <c r="DX1229" s="369"/>
      <c r="DY1229" s="369"/>
      <c r="DZ1229" s="369"/>
      <c r="EA1229" s="369"/>
      <c r="EB1229" s="369"/>
      <c r="EC1229" s="369"/>
      <c r="ED1229" s="369"/>
      <c r="EE1229" s="369"/>
      <c r="EF1229" s="369"/>
      <c r="EG1229" s="369"/>
      <c r="EH1229" s="369"/>
      <c r="EI1229" s="395"/>
      <c r="EJ1229" s="369">
        <v>8</v>
      </c>
      <c r="EK1229" s="369"/>
      <c r="EL1229" s="369"/>
      <c r="EM1229" s="369"/>
      <c r="EN1229" s="369"/>
      <c r="EO1229" s="369"/>
      <c r="EP1229" s="369"/>
      <c r="EQ1229" s="369"/>
      <c r="ER1229" s="369"/>
      <c r="ES1229" s="369"/>
      <c r="ET1229" s="369"/>
      <c r="EU1229" s="394">
        <f>2.2</f>
        <v>2.2000000000000002</v>
      </c>
      <c r="EV1229" s="369"/>
      <c r="EW1229" s="369"/>
      <c r="EX1229" s="369">
        <v>1</v>
      </c>
      <c r="EY1229" s="369"/>
      <c r="EZ1229" s="369"/>
      <c r="FA1229" s="391">
        <f>EX1229</f>
        <v>1</v>
      </c>
      <c r="FB1229" s="369"/>
      <c r="FC1229" s="369"/>
      <c r="FD1229" s="369"/>
      <c r="FE1229" s="369"/>
      <c r="FF1229" s="369"/>
      <c r="FG1229" s="369"/>
      <c r="FH1229" s="369"/>
      <c r="FI1229" s="369"/>
      <c r="FJ1229" s="369"/>
      <c r="FK1229" s="369"/>
      <c r="FL1229" s="369"/>
      <c r="FM1229" s="369"/>
      <c r="FN1229" s="369"/>
      <c r="FO1229" s="369"/>
      <c r="FP1229" s="369"/>
      <c r="FQ1229" s="369"/>
      <c r="FR1229" s="369"/>
      <c r="FS1229" s="369"/>
      <c r="FT1229" s="369"/>
      <c r="FU1229" s="369"/>
      <c r="FV1229" s="369"/>
      <c r="FW1229" s="369"/>
      <c r="FX1229" s="369"/>
      <c r="FY1229" s="369"/>
      <c r="FZ1229" s="369"/>
      <c r="GA1229" s="369"/>
      <c r="GB1229" s="369"/>
      <c r="GC1229" s="369"/>
      <c r="GD1229" s="369"/>
      <c r="GE1229" s="369"/>
      <c r="GF1229" s="369"/>
      <c r="GG1229" s="369"/>
      <c r="GH1229" s="369"/>
      <c r="GI1229" s="369"/>
      <c r="GJ1229" s="369"/>
      <c r="GK1229" s="369"/>
      <c r="GL1229" s="369"/>
      <c r="GM1229" s="369"/>
      <c r="GN1229" s="369"/>
      <c r="GO1229" s="369"/>
      <c r="GP1229" s="399"/>
      <c r="GQ1229" s="369"/>
      <c r="GR1229" s="395">
        <v>0.24</v>
      </c>
      <c r="GS1229" s="394">
        <f>GR1229*(EU1229+BA1229)</f>
        <v>2.55504</v>
      </c>
      <c r="GT1229" s="393"/>
      <c r="GU1229" s="369"/>
      <c r="GV1229" s="395"/>
      <c r="GW1229" s="394">
        <v>0.25</v>
      </c>
      <c r="GX1229" s="391">
        <f>GS1229+GU1229+GW1229</f>
        <v>2.80504</v>
      </c>
      <c r="GY1229" s="369"/>
      <c r="GZ1229" s="369"/>
      <c r="HA1229" s="369"/>
      <c r="HB1229" s="369"/>
      <c r="HC1229" s="369"/>
      <c r="HD1229" s="369"/>
      <c r="HE1229" s="369"/>
      <c r="HF1229" s="369"/>
      <c r="HG1229" s="369"/>
      <c r="HH1229" s="369"/>
      <c r="HI1229" s="369"/>
      <c r="HJ1229" s="369"/>
      <c r="HK1229" s="369"/>
      <c r="HL1229" s="369"/>
      <c r="HM1229" s="369"/>
      <c r="HN1229" s="369"/>
      <c r="HO1229" s="369"/>
      <c r="HP1229" s="369"/>
      <c r="HQ1229" s="369"/>
      <c r="HR1229" s="369"/>
      <c r="HS1229" s="369"/>
      <c r="HT1229" s="369"/>
      <c r="HU1229" s="369"/>
      <c r="HV1229" s="391">
        <v>0.2</v>
      </c>
      <c r="HW1229" s="369"/>
      <c r="HX1229" s="369"/>
      <c r="HY1229" s="369"/>
      <c r="HZ1229" s="369"/>
      <c r="IA1229" s="369"/>
      <c r="IB1229" s="369"/>
      <c r="IC1229" s="369"/>
      <c r="ID1229" s="369"/>
      <c r="IE1229" s="369"/>
      <c r="IF1229" s="369"/>
      <c r="IG1229" s="391">
        <v>0.2</v>
      </c>
    </row>
    <row r="1230" spans="1:241">
      <c r="A1230">
        <v>1213</v>
      </c>
      <c r="B1230" t="s">
        <v>468</v>
      </c>
      <c r="C1230" s="27" t="s">
        <v>1921</v>
      </c>
      <c r="D1230" s="28" t="s">
        <v>334</v>
      </c>
      <c r="E1230" s="27" t="s">
        <v>335</v>
      </c>
      <c r="F1230" t="s">
        <v>2192</v>
      </c>
      <c r="G1230" s="27" t="s">
        <v>90</v>
      </c>
      <c r="H1230" t="s">
        <v>4791</v>
      </c>
      <c r="I1230" s="27" t="s">
        <v>121</v>
      </c>
      <c r="J1230" s="28">
        <v>21205</v>
      </c>
      <c r="K1230" s="27" t="s">
        <v>395</v>
      </c>
    </row>
    <row r="1231" spans="1:241">
      <c r="A1231">
        <v>1214</v>
      </c>
      <c r="B1231" t="s">
        <v>468</v>
      </c>
      <c r="C1231" s="27" t="s">
        <v>1922</v>
      </c>
      <c r="D1231" s="28" t="s">
        <v>334</v>
      </c>
      <c r="E1231" s="27" t="s">
        <v>335</v>
      </c>
      <c r="F1231" t="s">
        <v>2192</v>
      </c>
      <c r="G1231" s="27" t="s">
        <v>90</v>
      </c>
      <c r="H1231" t="s">
        <v>4793</v>
      </c>
      <c r="I1231" s="27" t="s">
        <v>121</v>
      </c>
      <c r="J1231" s="28">
        <v>21160</v>
      </c>
      <c r="K1231" s="27" t="s">
        <v>401</v>
      </c>
    </row>
    <row r="1232" spans="1:241">
      <c r="A1232">
        <v>1215</v>
      </c>
      <c r="B1232" t="s">
        <v>468</v>
      </c>
      <c r="C1232" s="27" t="s">
        <v>1921</v>
      </c>
      <c r="D1232" s="28" t="s">
        <v>334</v>
      </c>
      <c r="E1232" s="27" t="s">
        <v>335</v>
      </c>
      <c r="F1232" t="s">
        <v>2192</v>
      </c>
      <c r="G1232" s="27" t="s">
        <v>90</v>
      </c>
      <c r="H1232" t="s">
        <v>4792</v>
      </c>
      <c r="I1232" s="27" t="s">
        <v>94</v>
      </c>
      <c r="J1232" s="28">
        <v>21205</v>
      </c>
      <c r="K1232" s="27" t="s">
        <v>395</v>
      </c>
    </row>
    <row r="1233" spans="1:241">
      <c r="A1233">
        <v>1216</v>
      </c>
      <c r="B1233" t="s">
        <v>468</v>
      </c>
      <c r="C1233" s="27" t="s">
        <v>1922</v>
      </c>
      <c r="D1233" s="28" t="s">
        <v>334</v>
      </c>
      <c r="E1233" s="27" t="s">
        <v>335</v>
      </c>
      <c r="F1233" t="s">
        <v>2192</v>
      </c>
      <c r="G1233" s="27" t="s">
        <v>90</v>
      </c>
      <c r="H1233" s="27" t="s">
        <v>4794</v>
      </c>
      <c r="I1233" s="27" t="s">
        <v>94</v>
      </c>
      <c r="J1233" s="28">
        <v>21160</v>
      </c>
      <c r="K1233" s="27" t="s">
        <v>401</v>
      </c>
    </row>
    <row r="1234" spans="1:241">
      <c r="A1234">
        <v>1217</v>
      </c>
      <c r="B1234" t="s">
        <v>468</v>
      </c>
      <c r="C1234" s="27" t="s">
        <v>1922</v>
      </c>
      <c r="D1234" s="28" t="s">
        <v>334</v>
      </c>
      <c r="E1234" s="27" t="s">
        <v>335</v>
      </c>
      <c r="F1234" t="s">
        <v>2192</v>
      </c>
      <c r="G1234" s="27" t="s">
        <v>90</v>
      </c>
      <c r="H1234" s="27" t="s">
        <v>4795</v>
      </c>
      <c r="I1234" s="27" t="s">
        <v>226</v>
      </c>
      <c r="J1234" s="28">
        <v>21425</v>
      </c>
      <c r="K1234" s="27" t="s">
        <v>406</v>
      </c>
      <c r="L1234" s="369">
        <v>21160</v>
      </c>
      <c r="M1234" s="27" t="s">
        <v>226</v>
      </c>
    </row>
    <row r="1235" spans="1:241">
      <c r="A1235">
        <v>1218</v>
      </c>
      <c r="B1235" t="s">
        <v>468</v>
      </c>
      <c r="C1235" s="27" t="s">
        <v>4796</v>
      </c>
      <c r="D1235" s="28" t="s">
        <v>3171</v>
      </c>
      <c r="E1235" s="27" t="s">
        <v>3082</v>
      </c>
      <c r="F1235" t="s">
        <v>4574</v>
      </c>
      <c r="G1235" s="27" t="s">
        <v>90</v>
      </c>
      <c r="H1235" s="27" t="s">
        <v>4797</v>
      </c>
      <c r="I1235" s="27" t="s">
        <v>121</v>
      </c>
      <c r="J1235" s="28">
        <v>21160</v>
      </c>
      <c r="K1235" s="27" t="s">
        <v>401</v>
      </c>
    </row>
    <row r="1236" spans="1:241">
      <c r="A1236">
        <v>1219</v>
      </c>
      <c r="B1236" t="s">
        <v>468</v>
      </c>
      <c r="C1236" s="27" t="s">
        <v>4799</v>
      </c>
      <c r="D1236" s="28" t="s">
        <v>3171</v>
      </c>
      <c r="E1236" s="27" t="s">
        <v>3082</v>
      </c>
      <c r="F1236" t="s">
        <v>4574</v>
      </c>
      <c r="G1236" s="27" t="s">
        <v>90</v>
      </c>
      <c r="H1236" s="27" t="s">
        <v>4798</v>
      </c>
      <c r="I1236" s="27" t="s">
        <v>121</v>
      </c>
      <c r="J1236" s="28">
        <v>21592</v>
      </c>
      <c r="K1236" s="27" t="s">
        <v>410</v>
      </c>
    </row>
    <row r="1237" spans="1:241">
      <c r="A1237">
        <v>1220</v>
      </c>
      <c r="C1237" t="s">
        <v>567</v>
      </c>
      <c r="D1237" s="28" t="s">
        <v>3172</v>
      </c>
      <c r="E1237" s="27" t="s">
        <v>3173</v>
      </c>
      <c r="F1237" t="s">
        <v>2444</v>
      </c>
      <c r="G1237" s="27" t="s">
        <v>90</v>
      </c>
      <c r="I1237" s="27" t="s">
        <v>121</v>
      </c>
      <c r="J1237" s="28">
        <v>29010</v>
      </c>
      <c r="K1237" s="27" t="s">
        <v>229</v>
      </c>
    </row>
    <row r="1238" spans="1:241">
      <c r="A1238">
        <v>1221</v>
      </c>
      <c r="C1238" t="s">
        <v>567</v>
      </c>
      <c r="D1238" s="28" t="s">
        <v>3172</v>
      </c>
      <c r="E1238" s="27" t="s">
        <v>3173</v>
      </c>
      <c r="F1238" t="s">
        <v>2444</v>
      </c>
      <c r="G1238" s="27" t="s">
        <v>90</v>
      </c>
      <c r="I1238" s="27" t="s">
        <v>94</v>
      </c>
      <c r="J1238" s="28">
        <v>29268</v>
      </c>
      <c r="K1238" s="27" t="s">
        <v>229</v>
      </c>
    </row>
    <row r="1239" spans="1:241">
      <c r="A1239">
        <v>1222</v>
      </c>
      <c r="C1239" t="s">
        <v>567</v>
      </c>
      <c r="D1239" s="28" t="s">
        <v>3172</v>
      </c>
      <c r="E1239" s="27" t="s">
        <v>3173</v>
      </c>
      <c r="F1239" t="s">
        <v>2444</v>
      </c>
      <c r="G1239" s="27" t="s">
        <v>90</v>
      </c>
      <c r="I1239" s="27" t="s">
        <v>226</v>
      </c>
      <c r="J1239" s="28">
        <v>29164</v>
      </c>
      <c r="K1239" s="27" t="s">
        <v>229</v>
      </c>
    </row>
    <row r="1240" spans="1:241">
      <c r="A1240">
        <v>1223</v>
      </c>
      <c r="B1240" t="s">
        <v>468</v>
      </c>
      <c r="C1240" s="27" t="s">
        <v>4800</v>
      </c>
      <c r="D1240" s="28" t="s">
        <v>3174</v>
      </c>
      <c r="E1240" s="27" t="s">
        <v>3175</v>
      </c>
      <c r="F1240" t="s">
        <v>2182</v>
      </c>
      <c r="G1240" s="27" t="s">
        <v>90</v>
      </c>
      <c r="I1240" s="27" t="s">
        <v>121</v>
      </c>
      <c r="J1240" s="28">
        <v>21105</v>
      </c>
      <c r="K1240" s="27" t="s">
        <v>4512</v>
      </c>
      <c r="L1240" s="371"/>
      <c r="M1240" s="369"/>
      <c r="N1240" s="369"/>
      <c r="O1240" s="369"/>
      <c r="P1240" s="369"/>
      <c r="Q1240" s="27" t="s">
        <v>4773</v>
      </c>
      <c r="R1240" s="27" t="s">
        <v>1769</v>
      </c>
      <c r="S1240" s="27" t="s">
        <v>4568</v>
      </c>
      <c r="T1240" s="27" t="s">
        <v>4555</v>
      </c>
      <c r="U1240" s="370">
        <v>45048</v>
      </c>
      <c r="V1240" s="369"/>
      <c r="W1240" s="390"/>
      <c r="X1240" s="390"/>
      <c r="Y1240" s="390"/>
      <c r="Z1240" s="390"/>
      <c r="AA1240" s="390" t="s">
        <v>4801</v>
      </c>
      <c r="AB1240" s="391">
        <v>2150</v>
      </c>
      <c r="AC1240" s="369">
        <v>20</v>
      </c>
      <c r="AD1240" s="390" t="s">
        <v>462</v>
      </c>
      <c r="AE1240" s="391">
        <f t="shared" ref="AE1240" si="1295">BA1240</f>
        <v>2.4056000000000002</v>
      </c>
      <c r="AF1240" s="391">
        <f>DU1240+DZ1240+EE1240</f>
        <v>0</v>
      </c>
      <c r="AG1240" s="391">
        <f t="shared" ref="AG1240" si="1296">EU1240+FA1240</f>
        <v>0.53472222222222221</v>
      </c>
      <c r="AH1240" s="391">
        <f t="shared" ref="AH1240" si="1297">DM1240</f>
        <v>0</v>
      </c>
      <c r="AI1240" s="391">
        <f t="shared" ref="AI1240" si="1298">DO1240</f>
        <v>0</v>
      </c>
      <c r="AJ1240" s="391">
        <f t="shared" ref="AJ1240" si="1299">GW1240</f>
        <v>0</v>
      </c>
      <c r="AK1240" s="391">
        <f t="shared" ref="AK1240" si="1300">GU1240</f>
        <v>2.4080000000000004E-2</v>
      </c>
      <c r="AL1240" s="391">
        <f t="shared" ref="AL1240" si="1301">GS1240</f>
        <v>0.35786688888888896</v>
      </c>
      <c r="AM1240" s="391">
        <f t="shared" ref="AM1240" si="1302">HV1240</f>
        <v>0</v>
      </c>
      <c r="AN1240" s="391">
        <f t="shared" ref="AN1240" si="1303">IG1240</f>
        <v>0</v>
      </c>
      <c r="AO1240" s="391"/>
      <c r="AP1240" s="391"/>
      <c r="AQ1240" s="391">
        <f t="shared" ref="AQ1240" si="1304">SUM(AE1240:AO1240)</f>
        <v>3.3222691111111118</v>
      </c>
      <c r="AR1240" s="391">
        <f t="shared" ref="AR1240" si="1305">IJ1240</f>
        <v>0</v>
      </c>
      <c r="AS1240" s="391">
        <v>0</v>
      </c>
      <c r="AT1240" s="391">
        <v>0</v>
      </c>
      <c r="AU1240" s="391">
        <v>0</v>
      </c>
      <c r="AV1240" s="391">
        <f t="shared" ref="AV1240" si="1306">AQ1240+AT1240+AU1240+AR1240+AS1240</f>
        <v>3.3222691111111118</v>
      </c>
      <c r="AW1240" s="394">
        <f>1.12/1000</f>
        <v>1.1200000000000001E-3</v>
      </c>
      <c r="AX1240" s="394">
        <f>1/1000</f>
        <v>1E-3</v>
      </c>
      <c r="AY1240" s="399">
        <v>1</v>
      </c>
      <c r="AZ1240" s="391">
        <f t="shared" ref="AZ1240" si="1307">(AW1240-AX1240)*AY1240</f>
        <v>1.200000000000001E-4</v>
      </c>
      <c r="BA1240" s="391">
        <f t="shared" ref="BA1240" si="1308">AW1240*AB1240-AZ1240*AC1240</f>
        <v>2.4056000000000002</v>
      </c>
      <c r="BB1240" s="391"/>
      <c r="BC1240" s="391"/>
      <c r="BD1240" s="391"/>
      <c r="BE1240" s="391"/>
      <c r="BF1240" s="391"/>
      <c r="BG1240" s="391"/>
      <c r="BH1240" s="391"/>
      <c r="BI1240" s="391"/>
      <c r="BJ1240" s="369"/>
      <c r="BK1240" s="369"/>
      <c r="BL1240" s="369"/>
      <c r="BM1240" s="369"/>
      <c r="BN1240" s="369"/>
      <c r="BO1240" s="369"/>
      <c r="BP1240" s="369"/>
      <c r="BQ1240" s="369"/>
      <c r="BR1240" s="369"/>
      <c r="BS1240" s="369"/>
      <c r="BT1240" s="369"/>
      <c r="BU1240" s="369"/>
      <c r="BV1240" s="369"/>
      <c r="BW1240" s="369"/>
      <c r="BX1240" s="369"/>
      <c r="BY1240" s="369"/>
      <c r="BZ1240" s="369"/>
      <c r="CA1240" s="369"/>
      <c r="CB1240" s="369"/>
      <c r="CC1240" s="369"/>
      <c r="CD1240" s="369"/>
      <c r="CE1240" s="369"/>
      <c r="CF1240" s="369"/>
      <c r="CG1240" s="369"/>
      <c r="CH1240" s="369"/>
      <c r="CI1240" s="369"/>
      <c r="CJ1240" s="369"/>
      <c r="CK1240" s="369"/>
      <c r="CL1240" s="369"/>
      <c r="CM1240" s="369"/>
      <c r="CN1240" s="369"/>
      <c r="CO1240" s="369"/>
      <c r="CP1240" s="369"/>
      <c r="CQ1240" s="369"/>
      <c r="CR1240" s="369"/>
      <c r="CS1240" s="369"/>
      <c r="CT1240" s="369"/>
      <c r="CU1240" s="369"/>
      <c r="CV1240" s="369"/>
      <c r="CW1240" s="369"/>
      <c r="CX1240" s="369"/>
      <c r="CY1240" s="369"/>
      <c r="CZ1240" s="369"/>
      <c r="DA1240" s="369"/>
      <c r="DB1240" s="369"/>
      <c r="DC1240" s="369"/>
      <c r="DD1240" s="369"/>
      <c r="DE1240" s="369"/>
      <c r="DF1240" s="369"/>
      <c r="DG1240" s="369"/>
      <c r="DH1240" s="369"/>
      <c r="DI1240" s="369"/>
      <c r="DJ1240" s="369"/>
      <c r="DK1240" s="369"/>
      <c r="DL1240" s="369"/>
      <c r="DM1240" s="369"/>
      <c r="DN1240" s="369"/>
      <c r="DO1240" s="369"/>
      <c r="DP1240" s="369"/>
      <c r="DQ1240" s="369"/>
      <c r="DR1240" s="369"/>
      <c r="DS1240" s="369"/>
      <c r="DT1240" s="369"/>
      <c r="DU1240" s="369"/>
      <c r="DV1240" s="369"/>
      <c r="DW1240" s="369"/>
      <c r="DX1240" s="369"/>
      <c r="DY1240" s="369"/>
      <c r="DZ1240" s="369"/>
      <c r="EA1240" s="369"/>
      <c r="EB1240" s="369"/>
      <c r="EC1240" s="369"/>
      <c r="ED1240" s="369"/>
      <c r="EE1240" s="369"/>
      <c r="EF1240" s="369">
        <v>85</v>
      </c>
      <c r="EG1240" s="369">
        <f>250*8</f>
        <v>2000</v>
      </c>
      <c r="EH1240" s="369">
        <v>8</v>
      </c>
      <c r="EI1240" s="395">
        <v>1</v>
      </c>
      <c r="EJ1240" s="369">
        <v>8</v>
      </c>
      <c r="EK1240" s="369">
        <v>40</v>
      </c>
      <c r="EL1240" s="396">
        <f t="shared" ref="EL1240" si="1309">3600/EK1240*EH1240*EJ1240*EI1240</f>
        <v>5760</v>
      </c>
      <c r="EM1240" s="369"/>
      <c r="EN1240" s="369"/>
      <c r="EO1240" s="369"/>
      <c r="EP1240" s="369"/>
      <c r="EQ1240" s="369"/>
      <c r="ER1240" s="369"/>
      <c r="ES1240" s="369"/>
      <c r="ET1240" s="369"/>
      <c r="EU1240" s="391">
        <f t="shared" ref="EU1240" si="1310">EG1240/EL1240+EM1240+EP1240+EQ1240+ER1240+EO1240</f>
        <v>0.34722222222222221</v>
      </c>
      <c r="EV1240" s="369"/>
      <c r="EW1240" s="369"/>
      <c r="EX1240" s="369"/>
      <c r="EY1240" s="391">
        <f>1500000/8000000</f>
        <v>0.1875</v>
      </c>
      <c r="EZ1240" s="369"/>
      <c r="FA1240" s="391">
        <f t="shared" ref="FA1240" si="1311">EX1240+EY1240</f>
        <v>0.1875</v>
      </c>
      <c r="FB1240" s="369"/>
      <c r="FC1240" s="369"/>
      <c r="FD1240" s="369"/>
      <c r="FE1240" s="369"/>
      <c r="FF1240" s="369"/>
      <c r="FG1240" s="369"/>
      <c r="FH1240" s="369"/>
      <c r="FI1240" s="369"/>
      <c r="FJ1240" s="369"/>
      <c r="FK1240" s="369"/>
      <c r="FL1240" s="369"/>
      <c r="FM1240" s="369"/>
      <c r="FN1240" s="369"/>
      <c r="FO1240" s="369"/>
      <c r="FP1240" s="369"/>
      <c r="FQ1240" s="369"/>
      <c r="FR1240" s="369"/>
      <c r="FS1240" s="369"/>
      <c r="FT1240" s="369"/>
      <c r="FU1240" s="369"/>
      <c r="FV1240" s="369"/>
      <c r="FW1240" s="369"/>
      <c r="FX1240" s="369"/>
      <c r="FY1240" s="369"/>
      <c r="FZ1240" s="369"/>
      <c r="GA1240" s="369"/>
      <c r="GB1240" s="369"/>
      <c r="GC1240" s="369"/>
      <c r="GD1240" s="369"/>
      <c r="GE1240" s="369"/>
      <c r="GF1240" s="369"/>
      <c r="GG1240" s="369"/>
      <c r="GH1240" s="369"/>
      <c r="GI1240" s="369"/>
      <c r="GJ1240" s="369"/>
      <c r="GK1240" s="369"/>
      <c r="GL1240" s="369"/>
      <c r="GM1240" s="369"/>
      <c r="GN1240" s="369"/>
      <c r="GO1240" s="369"/>
      <c r="GP1240" s="399"/>
      <c r="GQ1240" s="369"/>
      <c r="GR1240" s="395">
        <v>0.13</v>
      </c>
      <c r="GS1240" s="391">
        <f t="shared" ref="GS1240" si="1312">GR1240*(BA1240+EU1240+EV1240)</f>
        <v>0.35786688888888896</v>
      </c>
      <c r="GT1240" s="395">
        <v>0.01</v>
      </c>
      <c r="GU1240" s="391">
        <f>GT1240*(AW1240*AB1240)</f>
        <v>2.4080000000000004E-2</v>
      </c>
      <c r="GV1240" s="395"/>
      <c r="GW1240" s="369"/>
      <c r="GX1240" s="391">
        <f t="shared" ref="GX1240" si="1313">GS1240+GU1240+GW1240</f>
        <v>0.38194688888888895</v>
      </c>
    </row>
    <row r="1241" spans="1:241">
      <c r="A1241">
        <v>1224</v>
      </c>
      <c r="C1241" t="s">
        <v>567</v>
      </c>
      <c r="D1241" s="28" t="s">
        <v>3174</v>
      </c>
      <c r="E1241" s="27" t="s">
        <v>3175</v>
      </c>
      <c r="F1241" t="s">
        <v>2444</v>
      </c>
      <c r="G1241" s="27" t="s">
        <v>90</v>
      </c>
      <c r="I1241" s="27" t="s">
        <v>121</v>
      </c>
      <c r="J1241" s="28">
        <v>20205</v>
      </c>
      <c r="K1241" s="27" t="s">
        <v>1245</v>
      </c>
      <c r="L1241" s="28"/>
      <c r="M1241" s="28"/>
      <c r="N1241" s="28" t="s">
        <v>4568</v>
      </c>
      <c r="O1241" s="28" t="s">
        <v>4713</v>
      </c>
      <c r="P1241" s="442">
        <v>44932</v>
      </c>
      <c r="Q1241" s="27"/>
      <c r="R1241" s="27"/>
      <c r="S1241" s="370"/>
      <c r="T1241" s="443"/>
      <c r="U1241" s="370"/>
      <c r="V1241" s="369"/>
      <c r="W1241" s="370" t="s">
        <v>1765</v>
      </c>
    </row>
    <row r="1242" spans="1:241">
      <c r="A1242">
        <v>1225</v>
      </c>
      <c r="C1242" t="s">
        <v>567</v>
      </c>
      <c r="D1242" s="28" t="s">
        <v>3174</v>
      </c>
      <c r="E1242" s="27" t="s">
        <v>3175</v>
      </c>
      <c r="F1242" t="s">
        <v>2444</v>
      </c>
      <c r="G1242" s="27" t="s">
        <v>90</v>
      </c>
      <c r="I1242" s="27" t="s">
        <v>94</v>
      </c>
      <c r="J1242" s="28">
        <v>21105</v>
      </c>
      <c r="K1242" s="27" t="s">
        <v>4512</v>
      </c>
      <c r="L1242" s="28"/>
      <c r="M1242" s="28"/>
      <c r="N1242" s="28" t="s">
        <v>4568</v>
      </c>
      <c r="O1242" s="28" t="s">
        <v>1766</v>
      </c>
      <c r="P1242" s="442">
        <v>43528</v>
      </c>
      <c r="Q1242" s="27"/>
      <c r="R1242" s="27"/>
      <c r="S1242" s="370"/>
      <c r="T1242" s="443"/>
      <c r="U1242" s="370"/>
      <c r="V1242" s="369"/>
      <c r="W1242" s="370" t="s">
        <v>4610</v>
      </c>
    </row>
    <row r="1243" spans="1:241">
      <c r="A1243">
        <v>1226</v>
      </c>
      <c r="C1243" t="s">
        <v>567</v>
      </c>
      <c r="D1243" s="28" t="s">
        <v>3174</v>
      </c>
      <c r="E1243" s="27" t="s">
        <v>3175</v>
      </c>
      <c r="F1243" t="s">
        <v>2444</v>
      </c>
      <c r="G1243" s="27" t="s">
        <v>90</v>
      </c>
      <c r="I1243" s="27" t="s">
        <v>94</v>
      </c>
      <c r="J1243" s="28">
        <v>20205</v>
      </c>
      <c r="K1243" s="27" t="s">
        <v>1245</v>
      </c>
      <c r="L1243" s="28"/>
      <c r="M1243" s="28"/>
      <c r="N1243" s="28" t="s">
        <v>4568</v>
      </c>
      <c r="O1243" s="28" t="s">
        <v>1766</v>
      </c>
      <c r="P1243" s="442">
        <v>43361</v>
      </c>
      <c r="Q1243" s="27"/>
      <c r="R1243" s="27"/>
      <c r="S1243" s="370"/>
      <c r="T1243" s="443"/>
      <c r="U1243" s="370"/>
      <c r="V1243" s="369"/>
      <c r="W1243" s="370" t="s">
        <v>1765</v>
      </c>
    </row>
    <row r="1244" spans="1:241">
      <c r="A1244">
        <v>1227</v>
      </c>
      <c r="C1244" s="27" t="s">
        <v>567</v>
      </c>
      <c r="D1244" s="28" t="s">
        <v>3174</v>
      </c>
      <c r="E1244" s="27" t="s">
        <v>3175</v>
      </c>
      <c r="F1244" t="s">
        <v>2444</v>
      </c>
      <c r="G1244" s="27" t="s">
        <v>90</v>
      </c>
      <c r="I1244" s="27" t="s">
        <v>226</v>
      </c>
      <c r="J1244" s="28">
        <v>20205</v>
      </c>
      <c r="K1244" s="27" t="s">
        <v>1245</v>
      </c>
      <c r="L1244" s="28"/>
      <c r="M1244" s="28"/>
      <c r="N1244" s="27" t="s">
        <v>1764</v>
      </c>
      <c r="O1244" s="28" t="s">
        <v>1763</v>
      </c>
      <c r="P1244" s="442">
        <v>43104</v>
      </c>
      <c r="Q1244" s="27"/>
      <c r="R1244" s="27"/>
      <c r="S1244" s="370"/>
      <c r="T1244" s="443"/>
      <c r="U1244" s="370"/>
      <c r="V1244" s="369"/>
      <c r="W1244" s="370" t="s">
        <v>1765</v>
      </c>
    </row>
    <row r="1245" spans="1:241">
      <c r="A1245">
        <v>1228</v>
      </c>
      <c r="C1245" s="27" t="s">
        <v>567</v>
      </c>
      <c r="D1245" s="28" t="s">
        <v>3176</v>
      </c>
      <c r="E1245" s="27" t="s">
        <v>3177</v>
      </c>
      <c r="F1245" t="s">
        <v>2444</v>
      </c>
      <c r="G1245" s="27" t="s">
        <v>90</v>
      </c>
      <c r="I1245" s="27" t="s">
        <v>121</v>
      </c>
      <c r="J1245" s="28">
        <v>20900</v>
      </c>
      <c r="K1245" s="27" t="s">
        <v>1246</v>
      </c>
      <c r="L1245" s="28"/>
      <c r="M1245" s="28"/>
      <c r="N1245" s="28" t="s">
        <v>1764</v>
      </c>
      <c r="O1245" s="28" t="s">
        <v>1763</v>
      </c>
      <c r="P1245" s="442">
        <v>43105</v>
      </c>
      <c r="Q1245" s="27"/>
      <c r="R1245" s="27"/>
      <c r="S1245" s="370"/>
      <c r="T1245" s="443"/>
      <c r="U1245" s="370"/>
      <c r="V1245" s="369"/>
      <c r="W1245" s="27" t="s">
        <v>4821</v>
      </c>
    </row>
    <row r="1246" spans="1:241">
      <c r="A1246">
        <v>1229</v>
      </c>
      <c r="C1246" s="27" t="s">
        <v>567</v>
      </c>
      <c r="D1246" s="28" t="s">
        <v>3176</v>
      </c>
      <c r="E1246" s="27" t="s">
        <v>3177</v>
      </c>
      <c r="F1246" t="s">
        <v>2444</v>
      </c>
      <c r="G1246" s="27" t="s">
        <v>90</v>
      </c>
      <c r="I1246" s="27" t="s">
        <v>94</v>
      </c>
      <c r="J1246" s="28">
        <v>20900</v>
      </c>
      <c r="K1246" s="27" t="s">
        <v>1246</v>
      </c>
      <c r="L1246" s="28"/>
      <c r="M1246" s="28"/>
      <c r="N1246" s="28" t="s">
        <v>4722</v>
      </c>
      <c r="O1246" s="28" t="s">
        <v>1763</v>
      </c>
      <c r="P1246" s="442">
        <v>43105</v>
      </c>
      <c r="Q1246" s="27"/>
      <c r="R1246" s="27"/>
      <c r="S1246" s="370"/>
      <c r="T1246" s="443"/>
      <c r="U1246" s="370"/>
      <c r="V1246" s="369"/>
      <c r="W1246" s="27" t="s">
        <v>4821</v>
      </c>
    </row>
    <row r="1247" spans="1:241">
      <c r="A1247">
        <v>1230</v>
      </c>
      <c r="C1247" s="27" t="s">
        <v>567</v>
      </c>
      <c r="D1247" s="28" t="s">
        <v>3176</v>
      </c>
      <c r="E1247" s="27" t="s">
        <v>3177</v>
      </c>
      <c r="F1247" t="s">
        <v>2444</v>
      </c>
      <c r="G1247" s="27" t="s">
        <v>90</v>
      </c>
      <c r="I1247" s="27" t="s">
        <v>226</v>
      </c>
      <c r="J1247" s="28">
        <v>21556</v>
      </c>
      <c r="K1247" s="27" t="s">
        <v>4508</v>
      </c>
      <c r="L1247" s="28"/>
      <c r="M1247" s="28"/>
      <c r="N1247" s="28" t="s">
        <v>4822</v>
      </c>
      <c r="O1247" s="28" t="s">
        <v>1766</v>
      </c>
      <c r="P1247" s="442">
        <v>43676</v>
      </c>
      <c r="Q1247" s="27"/>
      <c r="R1247" s="27"/>
      <c r="S1247" s="370"/>
      <c r="T1247" s="443"/>
      <c r="U1247" s="370"/>
      <c r="V1247" s="369"/>
      <c r="W1247" s="27" t="s">
        <v>4821</v>
      </c>
    </row>
    <row r="1248" spans="1:241" ht="25.5">
      <c r="A1248">
        <v>1231</v>
      </c>
      <c r="B1248" t="s">
        <v>468</v>
      </c>
      <c r="C1248" s="400" t="s">
        <v>4823</v>
      </c>
      <c r="D1248" s="28" t="s">
        <v>656</v>
      </c>
      <c r="E1248" s="27" t="s">
        <v>657</v>
      </c>
      <c r="F1248" t="s">
        <v>2182</v>
      </c>
      <c r="G1248" s="27" t="s">
        <v>90</v>
      </c>
      <c r="I1248" s="27" t="s">
        <v>226</v>
      </c>
      <c r="J1248" s="28">
        <v>21405</v>
      </c>
      <c r="K1248" s="27" t="s">
        <v>1239</v>
      </c>
      <c r="L1248" s="28">
        <v>20895</v>
      </c>
      <c r="M1248" s="28" t="s">
        <v>226</v>
      </c>
      <c r="N1248" s="28"/>
      <c r="O1248" s="28"/>
      <c r="P1248" s="442"/>
      <c r="Q1248" s="27" t="s">
        <v>1786</v>
      </c>
      <c r="R1248" s="27" t="s">
        <v>1769</v>
      </c>
      <c r="S1248" s="370">
        <v>43101</v>
      </c>
      <c r="T1248" s="390" t="s">
        <v>4555</v>
      </c>
      <c r="U1248" s="370">
        <v>43101</v>
      </c>
      <c r="V1248" s="369"/>
      <c r="W1248" s="444" t="s">
        <v>4824</v>
      </c>
      <c r="X1248" s="444"/>
      <c r="Y1248" s="444"/>
      <c r="Z1248" s="444"/>
      <c r="AA1248" s="369" t="s">
        <v>4825</v>
      </c>
      <c r="AB1248" s="369">
        <v>167.89</v>
      </c>
      <c r="AC1248" s="391">
        <v>20</v>
      </c>
      <c r="AD1248" s="369" t="s">
        <v>314</v>
      </c>
      <c r="AE1248" s="391">
        <f>BA1248+BK1248</f>
        <v>3.5989768700599996</v>
      </c>
      <c r="AF1248" s="391">
        <f>DU1248+DZ1248+EE1248</f>
        <v>0</v>
      </c>
      <c r="AG1248" s="391">
        <f>EU1248+FA1248</f>
        <v>1.2061403508771931</v>
      </c>
      <c r="AH1248" s="391">
        <f t="shared" ref="AH1248:AH1249" si="1314">DM1248</f>
        <v>0</v>
      </c>
      <c r="AI1248" s="391">
        <f t="shared" ref="AI1248:AI1249" si="1315">DO1248</f>
        <v>0</v>
      </c>
      <c r="AJ1248" s="391">
        <f t="shared" ref="AJ1248:AJ1249" si="1316">GW1248</f>
        <v>2.4122807017543862E-2</v>
      </c>
      <c r="AK1248" s="391">
        <f t="shared" ref="AK1248:AK1249" si="1317">GU1248</f>
        <v>9.5248832117543855E-2</v>
      </c>
      <c r="AL1248" s="391">
        <f>GQ1248</f>
        <v>0.5953052007346491</v>
      </c>
      <c r="AM1248" s="391">
        <f t="shared" ref="AM1248:AM1249" si="1318">HV1248</f>
        <v>0.11223000000000001</v>
      </c>
      <c r="AN1248" s="391">
        <f t="shared" ref="AN1248:AN1249" si="1319">IG1248</f>
        <v>0.12083780880773362</v>
      </c>
      <c r="AO1248" s="369"/>
      <c r="AP1248" s="369"/>
      <c r="AQ1248" s="391">
        <f t="shared" ref="AQ1248" si="1320">SUM(AE1248:AO1248)</f>
        <v>5.7528618696146632</v>
      </c>
      <c r="AR1248" s="391">
        <f t="shared" ref="AR1248:AR1249" si="1321">IJ1248</f>
        <v>0</v>
      </c>
      <c r="AS1248" s="391">
        <v>0</v>
      </c>
      <c r="AT1248" s="391">
        <v>0</v>
      </c>
      <c r="AU1248" s="369">
        <f>5.9-5.75</f>
        <v>0.15000000000000036</v>
      </c>
      <c r="AV1248" s="391">
        <f t="shared" ref="AV1248:AV1249" si="1322">AQ1248+AT1248+AU1248+AR1248+AS1248</f>
        <v>5.9028618696146635</v>
      </c>
      <c r="AW1248" s="391">
        <v>2.1679500000000001E-2</v>
      </c>
      <c r="AX1248" s="391">
        <v>1.7506000000000001E-2</v>
      </c>
      <c r="AY1248" s="392">
        <v>1</v>
      </c>
      <c r="AZ1248" s="391">
        <f t="shared" ref="AZ1248:AZ1249" si="1323">(AW1248-AX1248)*AY1248</f>
        <v>4.1735000000000001E-3</v>
      </c>
      <c r="BA1248" s="391">
        <f t="shared" ref="BA1248:BA1249" si="1324">AW1248*AB1248-AZ1248*AC1248</f>
        <v>3.5563012549999997</v>
      </c>
      <c r="BB1248" s="394"/>
      <c r="BC1248" s="394"/>
      <c r="BD1248" s="394"/>
      <c r="BE1248" s="394"/>
      <c r="BF1248" s="394"/>
      <c r="BG1248" s="394"/>
      <c r="BH1248" s="394"/>
      <c r="BI1248" s="394"/>
      <c r="BJ1248" s="445">
        <v>1.2E-2</v>
      </c>
      <c r="BK1248" s="391">
        <f>BJ1248*BA1248</f>
        <v>4.2675615059999998E-2</v>
      </c>
      <c r="BL1248" s="391"/>
      <c r="BM1248" s="369"/>
      <c r="BN1248" s="369"/>
      <c r="BO1248" s="369"/>
      <c r="BP1248" s="369"/>
      <c r="BQ1248" s="369"/>
      <c r="BR1248" s="369"/>
      <c r="BS1248" s="369"/>
      <c r="BT1248" s="369"/>
      <c r="BU1248" s="369"/>
      <c r="BV1248" s="369"/>
      <c r="BW1248" s="369"/>
      <c r="BX1248" s="369"/>
      <c r="BY1248" s="369"/>
      <c r="BZ1248" s="369"/>
      <c r="CA1248" s="369"/>
      <c r="CB1248" s="369"/>
      <c r="CC1248" s="369"/>
      <c r="CD1248" s="369"/>
      <c r="CE1248" s="369"/>
      <c r="CF1248" s="369"/>
      <c r="CG1248" s="369"/>
      <c r="CH1248" s="369"/>
      <c r="CI1248" s="369"/>
      <c r="CJ1248" s="369"/>
      <c r="CK1248" s="369"/>
      <c r="CL1248" s="369"/>
      <c r="CM1248" s="369"/>
      <c r="CN1248" s="369"/>
      <c r="CO1248" s="369"/>
      <c r="CP1248" s="369"/>
      <c r="CQ1248" s="369"/>
      <c r="CR1248" s="369"/>
      <c r="CS1248" s="369"/>
      <c r="CT1248" s="369"/>
      <c r="CU1248" s="369"/>
      <c r="CV1248" s="369"/>
      <c r="CW1248" s="369"/>
      <c r="CX1248" s="369"/>
      <c r="CY1248" s="369"/>
      <c r="CZ1248" s="369"/>
      <c r="DA1248" s="369"/>
      <c r="DB1248" s="369"/>
      <c r="DC1248" s="369"/>
      <c r="DD1248" s="369"/>
      <c r="DE1248" s="369"/>
      <c r="DF1248" s="369"/>
      <c r="DG1248" s="369"/>
      <c r="DH1248" s="369"/>
      <c r="DI1248" s="369"/>
      <c r="DJ1248" s="369"/>
      <c r="DK1248" s="369"/>
      <c r="DL1248" s="369"/>
      <c r="DM1248" s="369"/>
      <c r="DN1248" s="445"/>
      <c r="DO1248" s="369"/>
      <c r="DP1248" s="369"/>
      <c r="DQ1248" s="369"/>
      <c r="DR1248" s="369"/>
      <c r="DS1248" s="369"/>
      <c r="DT1248" s="369"/>
      <c r="DU1248" s="369"/>
      <c r="DV1248" s="369"/>
      <c r="DW1248" s="369"/>
      <c r="DX1248" s="369"/>
      <c r="DY1248" s="369"/>
      <c r="DZ1248" s="369"/>
      <c r="EA1248" s="369"/>
      <c r="EB1248" s="369"/>
      <c r="EC1248" s="369"/>
      <c r="ED1248" s="369"/>
      <c r="EE1248" s="369"/>
      <c r="EF1248" s="369">
        <v>110</v>
      </c>
      <c r="EG1248" s="369">
        <v>1100</v>
      </c>
      <c r="EH1248" s="369">
        <v>8</v>
      </c>
      <c r="EI1248" s="395">
        <v>0.95</v>
      </c>
      <c r="EJ1248" s="369">
        <v>2</v>
      </c>
      <c r="EK1248" s="369">
        <v>60</v>
      </c>
      <c r="EL1248" s="369">
        <f t="shared" ref="EL1248:EL1249" si="1325">3600/EK1248*EH1248*EJ1248*EI1248</f>
        <v>912</v>
      </c>
      <c r="EM1248" s="369"/>
      <c r="EN1248" s="369"/>
      <c r="EO1248" s="369"/>
      <c r="EP1248" s="369"/>
      <c r="EQ1248" s="369"/>
      <c r="ER1248" s="369"/>
      <c r="ES1248" s="369"/>
      <c r="ET1248" s="369"/>
      <c r="EU1248" s="391">
        <f t="shared" ref="EU1248:EU1249" si="1326">EG1248/EL1248+EM1248+EP1248+EQ1248+ER1248+EO1248</f>
        <v>1.2061403508771931</v>
      </c>
      <c r="EV1248" s="369"/>
      <c r="EW1248" s="369"/>
      <c r="EX1248" s="369"/>
      <c r="EY1248" s="369"/>
      <c r="EZ1248" s="369"/>
      <c r="FA1248" s="369"/>
      <c r="FB1248" s="369"/>
      <c r="FC1248" s="369"/>
      <c r="FD1248" s="369"/>
      <c r="FE1248" s="392"/>
      <c r="FF1248" s="369"/>
      <c r="FG1248" s="369"/>
      <c r="FH1248" s="369"/>
      <c r="FI1248" s="369"/>
      <c r="FJ1248" s="369"/>
      <c r="FK1248" s="369"/>
      <c r="FL1248" s="369"/>
      <c r="FM1248" s="369"/>
      <c r="FN1248" s="369"/>
      <c r="FO1248" s="369"/>
      <c r="FP1248" s="369"/>
      <c r="FQ1248" s="369"/>
      <c r="FR1248" s="369"/>
      <c r="FS1248" s="369"/>
      <c r="FT1248" s="369"/>
      <c r="FU1248" s="369"/>
      <c r="FV1248" s="369"/>
      <c r="FW1248" s="369"/>
      <c r="FX1248" s="369"/>
      <c r="FY1248" s="369"/>
      <c r="FZ1248" s="369"/>
      <c r="GA1248" s="369"/>
      <c r="GB1248" s="369"/>
      <c r="GC1248" s="369"/>
      <c r="GD1248" s="369"/>
      <c r="GE1248" s="369"/>
      <c r="GF1248" s="369"/>
      <c r="GG1248" s="369"/>
      <c r="GH1248" s="369"/>
      <c r="GI1248" s="369"/>
      <c r="GJ1248" s="369"/>
      <c r="GK1248" s="369"/>
      <c r="GL1248" s="369"/>
      <c r="GM1248" s="369"/>
      <c r="GN1248" s="392"/>
      <c r="GO1248" s="369"/>
      <c r="GP1248" s="446">
        <v>0.125</v>
      </c>
      <c r="GQ1248" s="391">
        <f>GP1248*(EU1248+BA1248)</f>
        <v>0.5953052007346491</v>
      </c>
      <c r="GR1248" s="392"/>
      <c r="GS1248" s="369"/>
      <c r="GT1248" s="392">
        <v>0.02</v>
      </c>
      <c r="GU1248" s="391">
        <f>GT1248*(EU1248+BA1248+EV1248)</f>
        <v>9.5248832117543855E-2</v>
      </c>
      <c r="GV1248" s="395">
        <v>0.02</v>
      </c>
      <c r="GW1248" s="391">
        <f>GV1248*(EU1248-EP1248-EQ1248)</f>
        <v>2.4122807017543862E-2</v>
      </c>
      <c r="GX1248" s="391">
        <f>GW1248+GU1248+GQ1248</f>
        <v>0.71467683986973685</v>
      </c>
      <c r="GY1248" s="369" t="s">
        <v>43</v>
      </c>
      <c r="GZ1248" s="369" t="s">
        <v>87</v>
      </c>
      <c r="HA1248" s="391">
        <v>650</v>
      </c>
      <c r="HB1248" s="391">
        <v>450</v>
      </c>
      <c r="HC1248" s="391">
        <v>315</v>
      </c>
      <c r="HD1248" s="391">
        <v>700</v>
      </c>
      <c r="HE1248" s="391">
        <v>1000</v>
      </c>
      <c r="HF1248" s="391">
        <f t="shared" ref="HF1248:HF1249" si="1327">ROUNDUP(HE1248/HD1248,0)</f>
        <v>2</v>
      </c>
      <c r="HG1248" s="391">
        <v>5</v>
      </c>
      <c r="HH1248" s="391">
        <f t="shared" ref="HH1248:HH1249" si="1328">HF1248*HG1248</f>
        <v>10</v>
      </c>
      <c r="HI1248" s="391">
        <v>650</v>
      </c>
      <c r="HJ1248" s="391">
        <f t="shared" ref="HJ1248:HJ1249" si="1329">HH1248*HI1248</f>
        <v>6500</v>
      </c>
      <c r="HK1248" s="445">
        <v>0.1275</v>
      </c>
      <c r="HL1248" s="391">
        <f>HJ1248*(HK1248+1)</f>
        <v>7328.75</v>
      </c>
      <c r="HM1248" s="391">
        <v>2</v>
      </c>
      <c r="HN1248" s="391">
        <f t="shared" ref="HN1248:HN1249" si="1330">HM1248*12*25*HE1248</f>
        <v>600000</v>
      </c>
      <c r="HO1248" s="391">
        <f>ROUNDUP((IF(GY1248="carton box",HI1248/HD1248,HJ1248/HN1248)),1)</f>
        <v>0.1</v>
      </c>
      <c r="HP1248" s="391">
        <v>160</v>
      </c>
      <c r="HQ1248" s="391">
        <v>0</v>
      </c>
      <c r="HR1248" s="391">
        <f>1.223*7</f>
        <v>8.5609999999999999</v>
      </c>
      <c r="HS1248" s="391">
        <v>700</v>
      </c>
      <c r="HT1248" s="391">
        <f>IF(ISERROR(HR1248/HS1248),0,HR1248/HS1248)</f>
        <v>1.223E-2</v>
      </c>
      <c r="HU1248" s="447"/>
      <c r="HV1248" s="391">
        <f t="shared" ref="HV1248:HV1249" si="1331">(HO1248+HT1248)</f>
        <v>0.11223000000000001</v>
      </c>
      <c r="HW1248" s="369"/>
      <c r="HX1248" s="391">
        <v>5016</v>
      </c>
      <c r="HY1248" s="391">
        <v>1976</v>
      </c>
      <c r="HZ1248" s="391">
        <v>1976</v>
      </c>
      <c r="IA1248" s="391">
        <f t="shared" ref="IA1248:IC1249" si="1332">ROUNDDOWN(HX1248/HA1248,0)</f>
        <v>7</v>
      </c>
      <c r="IB1248" s="391">
        <f t="shared" si="1332"/>
        <v>4</v>
      </c>
      <c r="IC1248" s="391">
        <f t="shared" si="1332"/>
        <v>6</v>
      </c>
      <c r="ID1248" s="392">
        <v>0.95</v>
      </c>
      <c r="IE1248" s="391">
        <f>PRODUCT(IA1248:ID1248)</f>
        <v>159.6</v>
      </c>
      <c r="IF1248" s="391">
        <v>13500</v>
      </c>
      <c r="IG1248" s="391">
        <f t="shared" ref="IG1248:IG1249" si="1333">(IF1248/(IE1248*HD1248))</f>
        <v>0.12083780880773362</v>
      </c>
    </row>
    <row r="1249" spans="1:241" ht="25.5">
      <c r="A1249">
        <v>1232</v>
      </c>
      <c r="B1249" t="s">
        <v>468</v>
      </c>
      <c r="C1249" s="400" t="s">
        <v>4826</v>
      </c>
      <c r="D1249" s="28" t="s">
        <v>656</v>
      </c>
      <c r="E1249" s="27" t="s">
        <v>657</v>
      </c>
      <c r="F1249" t="s">
        <v>2182</v>
      </c>
      <c r="G1249" s="27" t="s">
        <v>90</v>
      </c>
      <c r="I1249" s="27" t="s">
        <v>226</v>
      </c>
      <c r="J1249" s="28">
        <v>29164</v>
      </c>
      <c r="K1249" s="27" t="s">
        <v>229</v>
      </c>
      <c r="L1249" s="28"/>
      <c r="M1249" s="28"/>
      <c r="N1249" s="28"/>
      <c r="O1249" s="28"/>
      <c r="P1249" s="442"/>
      <c r="Q1249" s="27" t="s">
        <v>1782</v>
      </c>
      <c r="R1249" s="27" t="s">
        <v>1778</v>
      </c>
      <c r="S1249" s="370">
        <v>44256</v>
      </c>
      <c r="T1249" s="443" t="s">
        <v>4555</v>
      </c>
      <c r="U1249" s="370">
        <v>44249</v>
      </c>
      <c r="V1249" s="369"/>
      <c r="W1249" s="444" t="s">
        <v>4827</v>
      </c>
      <c r="X1249" s="444"/>
      <c r="Y1249" s="444"/>
      <c r="Z1249" s="444"/>
      <c r="AA1249" s="369" t="s">
        <v>4828</v>
      </c>
      <c r="AB1249" s="391">
        <v>194</v>
      </c>
      <c r="AC1249" s="391">
        <v>20</v>
      </c>
      <c r="AD1249" s="369" t="s">
        <v>596</v>
      </c>
      <c r="AE1249" s="391">
        <f t="shared" ref="AE1249" si="1334">BA1249</f>
        <v>4.1879999999999997</v>
      </c>
      <c r="AF1249" s="391">
        <f>DU1249+DZ1249+EE1249</f>
        <v>0</v>
      </c>
      <c r="AG1249" s="391">
        <f>EU1249+FA1249</f>
        <v>0.82236842105263153</v>
      </c>
      <c r="AH1249" s="391">
        <f t="shared" si="1314"/>
        <v>0</v>
      </c>
      <c r="AI1249" s="391">
        <f t="shared" si="1315"/>
        <v>0</v>
      </c>
      <c r="AJ1249" s="391">
        <f t="shared" si="1316"/>
        <v>1.6447368421052631E-2</v>
      </c>
      <c r="AK1249" s="391">
        <f t="shared" si="1317"/>
        <v>6.2629605263157903E-2</v>
      </c>
      <c r="AL1249" s="391">
        <f t="shared" ref="AL1249" si="1335">GS1249</f>
        <v>0.55114052631578947</v>
      </c>
      <c r="AM1249" s="391">
        <f t="shared" si="1318"/>
        <v>9.902777777777777E-2</v>
      </c>
      <c r="AN1249" s="391">
        <f t="shared" si="1319"/>
        <v>5.7870370370370367E-3</v>
      </c>
      <c r="AO1249" s="369"/>
      <c r="AP1249" s="369"/>
      <c r="AQ1249" s="391">
        <f t="shared" ref="AQ1249" si="1336">SUM(AE1249:AO1249)</f>
        <v>5.7454007358674462</v>
      </c>
      <c r="AR1249" s="391">
        <f t="shared" si="1321"/>
        <v>0</v>
      </c>
      <c r="AS1249" s="391">
        <v>0</v>
      </c>
      <c r="AT1249" s="391">
        <v>0</v>
      </c>
      <c r="AU1249" s="391">
        <f>(5.74*0.03)+(5.91-5.92)</f>
        <v>0.16220000000000021</v>
      </c>
      <c r="AV1249" s="391">
        <f t="shared" si="1322"/>
        <v>5.9076007358674465</v>
      </c>
      <c r="AW1249" s="391">
        <v>2.1999999999999999E-2</v>
      </c>
      <c r="AX1249" s="391">
        <v>1.7999999999999999E-2</v>
      </c>
      <c r="AY1249" s="392">
        <v>1</v>
      </c>
      <c r="AZ1249" s="391">
        <f t="shared" si="1323"/>
        <v>4.0000000000000001E-3</v>
      </c>
      <c r="BA1249" s="391">
        <f t="shared" si="1324"/>
        <v>4.1879999999999997</v>
      </c>
      <c r="BB1249" s="369"/>
      <c r="BC1249" s="369"/>
      <c r="BD1249" s="369"/>
      <c r="BE1249" s="369"/>
      <c r="BF1249" s="369"/>
      <c r="BG1249" s="369"/>
      <c r="BH1249" s="369"/>
      <c r="BI1249" s="369"/>
      <c r="BJ1249" s="445"/>
      <c r="BK1249" s="369"/>
      <c r="BL1249" s="369"/>
      <c r="BM1249" s="369"/>
      <c r="BN1249" s="369"/>
      <c r="BO1249" s="369"/>
      <c r="BP1249" s="369"/>
      <c r="BQ1249" s="369"/>
      <c r="BR1249" s="369"/>
      <c r="BS1249" s="369"/>
      <c r="BT1249" s="369"/>
      <c r="BU1249" s="369"/>
      <c r="BV1249" s="369"/>
      <c r="BW1249" s="369"/>
      <c r="BX1249" s="369"/>
      <c r="BY1249" s="369"/>
      <c r="BZ1249" s="369"/>
      <c r="CA1249" s="369"/>
      <c r="CB1249" s="369"/>
      <c r="CC1249" s="369"/>
      <c r="CD1249" s="369"/>
      <c r="CE1249" s="369"/>
      <c r="CF1249" s="369"/>
      <c r="CG1249" s="369"/>
      <c r="CH1249" s="369"/>
      <c r="CI1249" s="369"/>
      <c r="CJ1249" s="369"/>
      <c r="CK1249" s="369"/>
      <c r="CL1249" s="369"/>
      <c r="CM1249" s="369"/>
      <c r="CN1249" s="369"/>
      <c r="CO1249" s="369"/>
      <c r="CP1249" s="369"/>
      <c r="CQ1249" s="369"/>
      <c r="CR1249" s="369"/>
      <c r="CS1249" s="369"/>
      <c r="CT1249" s="369"/>
      <c r="CU1249" s="369"/>
      <c r="CV1249" s="369"/>
      <c r="CW1249" s="369"/>
      <c r="CX1249" s="369"/>
      <c r="CY1249" s="369"/>
      <c r="CZ1249" s="369"/>
      <c r="DA1249" s="369"/>
      <c r="DB1249" s="369"/>
      <c r="DC1249" s="369"/>
      <c r="DD1249" s="369"/>
      <c r="DE1249" s="369"/>
      <c r="DF1249" s="369"/>
      <c r="DG1249" s="369"/>
      <c r="DH1249" s="369"/>
      <c r="DI1249" s="369"/>
      <c r="DJ1249" s="369"/>
      <c r="DK1249" s="369"/>
      <c r="DL1249" s="369"/>
      <c r="DM1249" s="369"/>
      <c r="DN1249" s="445"/>
      <c r="DO1249" s="369"/>
      <c r="DP1249" s="369"/>
      <c r="DQ1249" s="369"/>
      <c r="DR1249" s="369"/>
      <c r="DS1249" s="369"/>
      <c r="DT1249" s="369"/>
      <c r="DU1249" s="369"/>
      <c r="DV1249" s="369"/>
      <c r="DW1249" s="369"/>
      <c r="DX1249" s="369"/>
      <c r="DY1249" s="369"/>
      <c r="DZ1249" s="369"/>
      <c r="EA1249" s="369"/>
      <c r="EB1249" s="369"/>
      <c r="EC1249" s="369"/>
      <c r="ED1249" s="369"/>
      <c r="EE1249" s="369"/>
      <c r="EF1249" s="369">
        <v>150</v>
      </c>
      <c r="EG1249" s="369">
        <v>1500</v>
      </c>
      <c r="EH1249" s="369">
        <v>8</v>
      </c>
      <c r="EI1249" s="395">
        <v>0.95</v>
      </c>
      <c r="EJ1249" s="369">
        <v>4</v>
      </c>
      <c r="EK1249" s="369">
        <v>60</v>
      </c>
      <c r="EL1249" s="369">
        <f t="shared" si="1325"/>
        <v>1824</v>
      </c>
      <c r="EM1249" s="369"/>
      <c r="EN1249" s="369"/>
      <c r="EO1249" s="369"/>
      <c r="EP1249" s="369"/>
      <c r="EQ1249" s="369"/>
      <c r="ER1249" s="369"/>
      <c r="ES1249" s="369"/>
      <c r="ET1249" s="369"/>
      <c r="EU1249" s="391">
        <f t="shared" si="1326"/>
        <v>0.82236842105263153</v>
      </c>
      <c r="EV1249" s="369"/>
      <c r="EW1249" s="369"/>
      <c r="EX1249" s="369"/>
      <c r="EY1249" s="369"/>
      <c r="EZ1249" s="369"/>
      <c r="FA1249" s="391">
        <f t="shared" ref="FA1249" si="1337">EX1249+EY1249</f>
        <v>0</v>
      </c>
      <c r="FB1249" s="369"/>
      <c r="FC1249" s="369"/>
      <c r="FD1249" s="369"/>
      <c r="FE1249" s="392"/>
      <c r="FF1249" s="369"/>
      <c r="FG1249" s="369"/>
      <c r="FH1249" s="369"/>
      <c r="FI1249" s="369"/>
      <c r="FJ1249" s="369"/>
      <c r="FK1249" s="369"/>
      <c r="FL1249" s="369"/>
      <c r="FM1249" s="369"/>
      <c r="FN1249" s="369"/>
      <c r="FO1249" s="369"/>
      <c r="FP1249" s="369"/>
      <c r="FQ1249" s="369"/>
      <c r="FR1249" s="369"/>
      <c r="FS1249" s="369"/>
      <c r="FT1249" s="369"/>
      <c r="FU1249" s="369"/>
      <c r="FV1249" s="369"/>
      <c r="FW1249" s="369"/>
      <c r="FX1249" s="369"/>
      <c r="FY1249" s="369"/>
      <c r="FZ1249" s="369"/>
      <c r="GA1249" s="369"/>
      <c r="GB1249" s="369"/>
      <c r="GC1249" s="369"/>
      <c r="GD1249" s="369"/>
      <c r="GE1249" s="369"/>
      <c r="GF1249" s="369"/>
      <c r="GG1249" s="369"/>
      <c r="GH1249" s="369"/>
      <c r="GI1249" s="369"/>
      <c r="GJ1249" s="369"/>
      <c r="GK1249" s="369"/>
      <c r="GL1249" s="369"/>
      <c r="GM1249" s="369"/>
      <c r="GN1249" s="392"/>
      <c r="GO1249" s="369"/>
      <c r="GP1249" s="392"/>
      <c r="GQ1249" s="369"/>
      <c r="GR1249" s="392">
        <v>0.11</v>
      </c>
      <c r="GS1249" s="391">
        <f>GR1249*(BA1249+EU1249+EV1249)</f>
        <v>0.55114052631578947</v>
      </c>
      <c r="GT1249" s="445">
        <v>1.2500000000000001E-2</v>
      </c>
      <c r="GU1249" s="391">
        <f>GT1249*(EU1249+BA1249+EV1249)</f>
        <v>6.2629605263157903E-2</v>
      </c>
      <c r="GV1249" s="395">
        <v>0.02</v>
      </c>
      <c r="GW1249" s="391">
        <f>GV1249*(EU1249-EP1249-EQ1249)</f>
        <v>1.6447368421052631E-2</v>
      </c>
      <c r="GX1249" s="402">
        <f t="shared" ref="GX1249" si="1338">GS1249+GU1249+GW1249</f>
        <v>0.63021749999999999</v>
      </c>
      <c r="GY1249" s="369" t="s">
        <v>43</v>
      </c>
      <c r="GZ1249" s="369" t="s">
        <v>87</v>
      </c>
      <c r="HA1249" s="391">
        <v>650</v>
      </c>
      <c r="HB1249" s="391">
        <v>450</v>
      </c>
      <c r="HC1249" s="391">
        <v>315</v>
      </c>
      <c r="HD1249" s="391">
        <v>600</v>
      </c>
      <c r="HE1249" s="391">
        <v>600</v>
      </c>
      <c r="HF1249" s="391">
        <f t="shared" si="1327"/>
        <v>1</v>
      </c>
      <c r="HG1249" s="391">
        <v>5</v>
      </c>
      <c r="HH1249" s="391">
        <f t="shared" si="1328"/>
        <v>5</v>
      </c>
      <c r="HI1249" s="391">
        <v>650</v>
      </c>
      <c r="HJ1249" s="391">
        <f t="shared" si="1329"/>
        <v>3250</v>
      </c>
      <c r="HK1249" s="448"/>
      <c r="HL1249" s="391"/>
      <c r="HM1249" s="391">
        <v>2</v>
      </c>
      <c r="HN1249" s="391">
        <f t="shared" si="1330"/>
        <v>360000</v>
      </c>
      <c r="HO1249" s="391">
        <f t="shared" ref="HO1249" si="1339">(IF(GY1249="carton box",HI1249/HD1249,HJ1249/HN1249))</f>
        <v>9.0277777777777769E-3</v>
      </c>
      <c r="HP1249" s="391">
        <v>160</v>
      </c>
      <c r="HQ1249" s="391">
        <v>0</v>
      </c>
      <c r="HR1249" s="391">
        <v>4.5</v>
      </c>
      <c r="HS1249" s="391">
        <v>50</v>
      </c>
      <c r="HT1249" s="369">
        <f>IF(ISERROR(HR1249/HS1249),0,HR1249/HS1249)</f>
        <v>0.09</v>
      </c>
      <c r="HU1249" s="447"/>
      <c r="HV1249" s="391">
        <f t="shared" si="1331"/>
        <v>9.902777777777777E-2</v>
      </c>
      <c r="HW1249" s="369"/>
      <c r="HX1249" s="391">
        <v>4200</v>
      </c>
      <c r="HY1249" s="391">
        <v>1900</v>
      </c>
      <c r="HZ1249" s="391">
        <v>1975</v>
      </c>
      <c r="IA1249" s="391">
        <f t="shared" si="1332"/>
        <v>6</v>
      </c>
      <c r="IB1249" s="391">
        <f t="shared" si="1332"/>
        <v>4</v>
      </c>
      <c r="IC1249" s="391">
        <f t="shared" si="1332"/>
        <v>6</v>
      </c>
      <c r="ID1249" s="392">
        <v>1</v>
      </c>
      <c r="IE1249" s="391">
        <f>PRODUCT(IA1249:ID1249)</f>
        <v>144</v>
      </c>
      <c r="IF1249" s="391">
        <v>500</v>
      </c>
      <c r="IG1249" s="391">
        <f t="shared" si="1333"/>
        <v>5.7870370370370367E-3</v>
      </c>
    </row>
    <row r="1250" spans="1:241">
      <c r="A1250">
        <v>1233</v>
      </c>
      <c r="C1250" s="27" t="s">
        <v>4568</v>
      </c>
      <c r="D1250" s="28" t="s">
        <v>3178</v>
      </c>
      <c r="E1250" s="27" t="s">
        <v>3179</v>
      </c>
      <c r="F1250" t="s">
        <v>2444</v>
      </c>
      <c r="G1250" s="27" t="s">
        <v>90</v>
      </c>
      <c r="I1250" s="27" t="s">
        <v>121</v>
      </c>
      <c r="J1250" s="28">
        <v>21743</v>
      </c>
      <c r="K1250" s="27" t="s">
        <v>4503</v>
      </c>
      <c r="L1250" s="28"/>
      <c r="M1250" s="28"/>
      <c r="N1250" s="28" t="s">
        <v>4829</v>
      </c>
      <c r="O1250" s="28" t="s">
        <v>1763</v>
      </c>
      <c r="P1250" s="442">
        <v>44361</v>
      </c>
      <c r="Q1250" s="27"/>
      <c r="R1250" s="27"/>
      <c r="S1250" s="370"/>
      <c r="T1250" s="443"/>
      <c r="U1250" s="370"/>
      <c r="V1250" s="369"/>
      <c r="W1250" s="370" t="s">
        <v>4610</v>
      </c>
    </row>
    <row r="1251" spans="1:241">
      <c r="A1251">
        <v>1234</v>
      </c>
      <c r="C1251" s="27" t="s">
        <v>4568</v>
      </c>
      <c r="D1251" s="28" t="s">
        <v>3180</v>
      </c>
      <c r="E1251" s="27" t="s">
        <v>3181</v>
      </c>
      <c r="F1251" t="s">
        <v>2444</v>
      </c>
      <c r="G1251" s="27" t="s">
        <v>90</v>
      </c>
      <c r="I1251" s="27" t="s">
        <v>121</v>
      </c>
      <c r="J1251" s="28">
        <v>21743</v>
      </c>
      <c r="K1251" s="27" t="s">
        <v>4503</v>
      </c>
      <c r="L1251" s="28"/>
      <c r="M1251" s="28"/>
      <c r="N1251" s="28" t="s">
        <v>4829</v>
      </c>
      <c r="O1251" s="28" t="s">
        <v>1763</v>
      </c>
      <c r="P1251" s="442">
        <v>44361</v>
      </c>
      <c r="Q1251" s="27"/>
      <c r="R1251" s="27"/>
      <c r="S1251" s="370"/>
      <c r="T1251" s="443"/>
      <c r="U1251" s="370"/>
      <c r="V1251" s="369"/>
      <c r="W1251" s="370" t="s">
        <v>4830</v>
      </c>
    </row>
    <row r="1252" spans="1:241">
      <c r="A1252">
        <v>1235</v>
      </c>
      <c r="C1252" s="27" t="s">
        <v>4568</v>
      </c>
      <c r="D1252" s="28" t="s">
        <v>106</v>
      </c>
      <c r="E1252" s="27" t="s">
        <v>107</v>
      </c>
      <c r="F1252" t="s">
        <v>2444</v>
      </c>
      <c r="G1252" s="27" t="s">
        <v>90</v>
      </c>
      <c r="I1252" s="27" t="s">
        <v>121</v>
      </c>
      <c r="J1252" s="28">
        <v>21697</v>
      </c>
      <c r="K1252" s="27" t="s">
        <v>227</v>
      </c>
      <c r="L1252" s="28"/>
      <c r="M1252" s="28"/>
      <c r="N1252" s="28" t="s">
        <v>1764</v>
      </c>
      <c r="O1252" s="28" t="s">
        <v>1763</v>
      </c>
      <c r="P1252" s="442">
        <v>43104</v>
      </c>
      <c r="Q1252" s="27"/>
      <c r="R1252" s="27"/>
      <c r="S1252" s="370"/>
      <c r="T1252" s="443"/>
      <c r="U1252" s="370"/>
      <c r="V1252" s="369"/>
      <c r="W1252" s="370" t="s">
        <v>1765</v>
      </c>
    </row>
    <row r="1253" spans="1:241">
      <c r="A1253">
        <v>1236</v>
      </c>
      <c r="C1253" s="27" t="s">
        <v>4568</v>
      </c>
      <c r="D1253" s="28" t="s">
        <v>106</v>
      </c>
      <c r="E1253" s="27" t="s">
        <v>107</v>
      </c>
      <c r="F1253" t="s">
        <v>2444</v>
      </c>
      <c r="G1253" s="27" t="s">
        <v>90</v>
      </c>
      <c r="I1253" s="27" t="s">
        <v>94</v>
      </c>
      <c r="J1253" s="28">
        <v>21697</v>
      </c>
      <c r="K1253" s="27" t="s">
        <v>227</v>
      </c>
      <c r="L1253" s="28"/>
      <c r="M1253" s="28"/>
      <c r="N1253" s="28" t="s">
        <v>1764</v>
      </c>
      <c r="O1253" s="28" t="s">
        <v>1763</v>
      </c>
      <c r="P1253" s="442">
        <v>43104</v>
      </c>
      <c r="Q1253" s="27"/>
      <c r="R1253" s="27"/>
      <c r="S1253" s="370"/>
      <c r="T1253" s="443"/>
      <c r="U1253" s="370"/>
      <c r="V1253" s="369"/>
      <c r="W1253" s="370" t="s">
        <v>1765</v>
      </c>
    </row>
    <row r="1254" spans="1:241">
      <c r="A1254">
        <v>1237</v>
      </c>
      <c r="C1254" s="27" t="s">
        <v>4568</v>
      </c>
      <c r="D1254" s="28" t="s">
        <v>106</v>
      </c>
      <c r="E1254" s="27" t="s">
        <v>107</v>
      </c>
      <c r="F1254" t="s">
        <v>2444</v>
      </c>
      <c r="G1254" s="27" t="s">
        <v>90</v>
      </c>
      <c r="I1254" s="27" t="s">
        <v>226</v>
      </c>
      <c r="J1254" s="28">
        <v>21590</v>
      </c>
      <c r="K1254" s="27" t="s">
        <v>397</v>
      </c>
      <c r="L1254" s="28"/>
      <c r="M1254" s="28"/>
      <c r="N1254" s="28" t="s">
        <v>4568</v>
      </c>
      <c r="O1254" s="28" t="s">
        <v>1763</v>
      </c>
      <c r="P1254" s="442">
        <v>44096</v>
      </c>
      <c r="Q1254" s="27"/>
      <c r="R1254" s="27"/>
      <c r="S1254" s="370"/>
      <c r="T1254" s="443"/>
      <c r="U1254" s="370"/>
      <c r="V1254" s="369"/>
      <c r="W1254" s="370" t="s">
        <v>1765</v>
      </c>
    </row>
    <row r="1255" spans="1:241">
      <c r="A1255">
        <v>1238</v>
      </c>
      <c r="C1255" s="27" t="s">
        <v>4568</v>
      </c>
      <c r="D1255" s="28" t="s">
        <v>3182</v>
      </c>
      <c r="E1255" s="27" t="s">
        <v>3183</v>
      </c>
      <c r="F1255" t="s">
        <v>2444</v>
      </c>
      <c r="G1255" s="27" t="s">
        <v>90</v>
      </c>
      <c r="I1255" s="27" t="s">
        <v>121</v>
      </c>
      <c r="J1255" s="28">
        <v>21020</v>
      </c>
      <c r="K1255" s="27" t="s">
        <v>403</v>
      </c>
      <c r="L1255" s="28"/>
      <c r="M1255" s="28"/>
      <c r="N1255" s="28" t="s">
        <v>4568</v>
      </c>
      <c r="O1255" s="28" t="s">
        <v>4539</v>
      </c>
      <c r="P1255" s="442">
        <v>44475</v>
      </c>
      <c r="Q1255" s="27"/>
      <c r="R1255" s="27"/>
      <c r="S1255" s="370"/>
      <c r="T1255" s="443"/>
      <c r="U1255" s="370"/>
      <c r="V1255" s="369"/>
      <c r="W1255" s="370" t="s">
        <v>1765</v>
      </c>
    </row>
    <row r="1256" spans="1:241">
      <c r="A1256">
        <v>1239</v>
      </c>
      <c r="C1256" s="27" t="s">
        <v>4568</v>
      </c>
      <c r="D1256" s="28" t="s">
        <v>3184</v>
      </c>
      <c r="E1256" s="27" t="s">
        <v>3185</v>
      </c>
      <c r="F1256" t="s">
        <v>2444</v>
      </c>
      <c r="G1256" s="27" t="s">
        <v>90</v>
      </c>
      <c r="I1256" s="27" t="s">
        <v>121</v>
      </c>
      <c r="J1256" s="28">
        <v>29010</v>
      </c>
      <c r="K1256" s="27" t="s">
        <v>229</v>
      </c>
      <c r="L1256" s="28"/>
      <c r="M1256" s="28"/>
      <c r="N1256" s="28" t="s">
        <v>1764</v>
      </c>
      <c r="O1256" s="28" t="s">
        <v>1763</v>
      </c>
      <c r="P1256" s="442">
        <v>43105</v>
      </c>
      <c r="Q1256" s="27"/>
      <c r="R1256" s="27"/>
      <c r="S1256" s="370"/>
      <c r="T1256" s="443"/>
      <c r="U1256" s="370"/>
      <c r="V1256" s="369"/>
      <c r="W1256" s="370" t="s">
        <v>1765</v>
      </c>
    </row>
    <row r="1257" spans="1:241">
      <c r="A1257">
        <v>1240</v>
      </c>
      <c r="C1257" s="27" t="s">
        <v>4568</v>
      </c>
      <c r="D1257" s="28" t="s">
        <v>3184</v>
      </c>
      <c r="E1257" s="27" t="s">
        <v>3185</v>
      </c>
      <c r="F1257" t="s">
        <v>2444</v>
      </c>
      <c r="G1257" s="27" t="s">
        <v>90</v>
      </c>
      <c r="I1257" s="27" t="s">
        <v>94</v>
      </c>
      <c r="J1257" s="28">
        <v>29268</v>
      </c>
      <c r="K1257" s="27" t="s">
        <v>229</v>
      </c>
      <c r="L1257" s="28"/>
      <c r="M1257" s="28"/>
      <c r="N1257" s="28" t="s">
        <v>4722</v>
      </c>
      <c r="O1257" s="28" t="s">
        <v>1763</v>
      </c>
      <c r="P1257" s="442">
        <v>43105</v>
      </c>
      <c r="Q1257" s="27"/>
      <c r="R1257" s="27"/>
      <c r="S1257" s="370"/>
      <c r="T1257" s="443"/>
      <c r="U1257" s="370"/>
      <c r="V1257" s="369"/>
      <c r="W1257" s="370" t="s">
        <v>1765</v>
      </c>
    </row>
    <row r="1258" spans="1:241">
      <c r="A1258">
        <v>1241</v>
      </c>
      <c r="C1258" s="27" t="s">
        <v>4568</v>
      </c>
      <c r="D1258" s="28" t="s">
        <v>3186</v>
      </c>
      <c r="E1258" s="27" t="s">
        <v>3187</v>
      </c>
      <c r="F1258" t="s">
        <v>2444</v>
      </c>
      <c r="G1258" s="27" t="s">
        <v>90</v>
      </c>
      <c r="I1258" s="27" t="s">
        <v>121</v>
      </c>
      <c r="J1258" s="28">
        <v>29010</v>
      </c>
      <c r="K1258" s="27" t="s">
        <v>229</v>
      </c>
      <c r="L1258" s="28"/>
      <c r="M1258" s="28"/>
      <c r="N1258" s="28" t="s">
        <v>1764</v>
      </c>
      <c r="O1258" s="28" t="s">
        <v>1763</v>
      </c>
      <c r="P1258" s="442">
        <v>43105</v>
      </c>
      <c r="Q1258" s="27"/>
      <c r="R1258" s="27"/>
      <c r="S1258" s="370"/>
      <c r="T1258" s="443"/>
      <c r="U1258" s="370"/>
      <c r="V1258" s="369"/>
      <c r="W1258" s="370" t="s">
        <v>1765</v>
      </c>
    </row>
    <row r="1259" spans="1:241">
      <c r="A1259">
        <v>1242</v>
      </c>
      <c r="C1259" s="27" t="s">
        <v>4568</v>
      </c>
      <c r="D1259" s="28" t="s">
        <v>3186</v>
      </c>
      <c r="E1259" s="27" t="s">
        <v>3187</v>
      </c>
      <c r="F1259" t="s">
        <v>2444</v>
      </c>
      <c r="G1259" s="27" t="s">
        <v>90</v>
      </c>
      <c r="I1259" s="27" t="s">
        <v>94</v>
      </c>
      <c r="J1259" s="28">
        <v>29268</v>
      </c>
      <c r="K1259" s="27" t="s">
        <v>229</v>
      </c>
      <c r="L1259" s="28"/>
      <c r="M1259" s="28"/>
      <c r="N1259" s="28" t="s">
        <v>4722</v>
      </c>
      <c r="O1259" s="28" t="s">
        <v>1763</v>
      </c>
      <c r="P1259" s="442">
        <v>43105</v>
      </c>
      <c r="Q1259" s="27"/>
      <c r="R1259" s="27"/>
      <c r="S1259" s="370"/>
      <c r="T1259" s="443"/>
      <c r="U1259" s="370"/>
      <c r="V1259" s="369"/>
      <c r="W1259" s="370" t="s">
        <v>1765</v>
      </c>
    </row>
    <row r="1260" spans="1:241">
      <c r="A1260">
        <v>1243</v>
      </c>
      <c r="C1260" s="27" t="s">
        <v>4568</v>
      </c>
      <c r="D1260" s="28" t="s">
        <v>3188</v>
      </c>
      <c r="E1260" s="27" t="s">
        <v>3189</v>
      </c>
      <c r="F1260" t="s">
        <v>2444</v>
      </c>
      <c r="G1260" s="27" t="s">
        <v>90</v>
      </c>
      <c r="I1260" s="27" t="s">
        <v>121</v>
      </c>
      <c r="J1260" s="28">
        <v>20895</v>
      </c>
      <c r="K1260" s="27" t="s">
        <v>1242</v>
      </c>
      <c r="L1260" s="28"/>
      <c r="M1260" s="28"/>
      <c r="N1260" s="28" t="s">
        <v>1764</v>
      </c>
      <c r="O1260" s="28" t="s">
        <v>1763</v>
      </c>
      <c r="P1260" s="442">
        <v>43104</v>
      </c>
      <c r="Q1260" s="27"/>
      <c r="R1260" s="27"/>
      <c r="S1260" s="370"/>
      <c r="T1260" s="443"/>
      <c r="U1260" s="370"/>
      <c r="V1260" s="369"/>
      <c r="W1260" s="370" t="s">
        <v>1765</v>
      </c>
    </row>
    <row r="1261" spans="1:241">
      <c r="A1261">
        <v>1244</v>
      </c>
      <c r="C1261" s="27" t="s">
        <v>4568</v>
      </c>
      <c r="D1261" s="28" t="s">
        <v>3190</v>
      </c>
      <c r="E1261" s="27" t="s">
        <v>1405</v>
      </c>
      <c r="F1261" t="s">
        <v>2444</v>
      </c>
      <c r="G1261" s="27" t="s">
        <v>90</v>
      </c>
      <c r="I1261" s="27" t="s">
        <v>121</v>
      </c>
      <c r="J1261" s="28">
        <v>20895</v>
      </c>
      <c r="K1261" s="27" t="s">
        <v>1242</v>
      </c>
      <c r="L1261" s="28"/>
      <c r="M1261" s="28"/>
      <c r="N1261" s="28" t="s">
        <v>1764</v>
      </c>
      <c r="O1261" s="28" t="s">
        <v>1763</v>
      </c>
      <c r="P1261" s="442">
        <v>43104</v>
      </c>
      <c r="Q1261" s="27"/>
      <c r="R1261" s="27"/>
      <c r="S1261" s="370"/>
      <c r="T1261" s="443"/>
      <c r="U1261" s="370"/>
      <c r="V1261" s="369"/>
      <c r="W1261" s="370" t="s">
        <v>1765</v>
      </c>
    </row>
    <row r="1262" spans="1:241">
      <c r="A1262">
        <v>1245</v>
      </c>
      <c r="C1262" s="27" t="s">
        <v>4831</v>
      </c>
      <c r="D1262" s="28" t="s">
        <v>3191</v>
      </c>
      <c r="E1262" s="27" t="s">
        <v>353</v>
      </c>
      <c r="F1262" t="s">
        <v>2444</v>
      </c>
      <c r="G1262" s="27" t="s">
        <v>90</v>
      </c>
      <c r="I1262" s="27" t="s">
        <v>121</v>
      </c>
      <c r="J1262" s="28">
        <v>21819</v>
      </c>
      <c r="K1262" s="27" t="s">
        <v>408</v>
      </c>
      <c r="L1262" s="28">
        <v>29168</v>
      </c>
      <c r="M1262" s="28"/>
      <c r="N1262" s="28"/>
      <c r="O1262" s="28"/>
      <c r="P1262" s="442"/>
      <c r="Q1262" s="28" t="s">
        <v>1818</v>
      </c>
      <c r="R1262" s="28" t="s">
        <v>4832</v>
      </c>
      <c r="S1262" s="370">
        <v>43266</v>
      </c>
      <c r="T1262" s="443"/>
      <c r="U1262" s="370"/>
      <c r="V1262" s="369"/>
      <c r="W1262" s="27" t="s">
        <v>4685</v>
      </c>
    </row>
    <row r="1263" spans="1:241">
      <c r="A1263">
        <v>1246</v>
      </c>
      <c r="B1263" t="s">
        <v>468</v>
      </c>
      <c r="C1263" s="449" t="s">
        <v>4835</v>
      </c>
      <c r="D1263" s="28" t="s">
        <v>3192</v>
      </c>
      <c r="E1263" s="27" t="s">
        <v>3193</v>
      </c>
      <c r="F1263" t="s">
        <v>4834</v>
      </c>
      <c r="G1263" s="27" t="s">
        <v>90</v>
      </c>
      <c r="H1263" t="s">
        <v>4833</v>
      </c>
      <c r="I1263" s="27" t="s">
        <v>121</v>
      </c>
      <c r="J1263" s="28">
        <v>21819</v>
      </c>
      <c r="K1263" s="27" t="s">
        <v>408</v>
      </c>
      <c r="L1263" s="450">
        <v>29168</v>
      </c>
      <c r="M1263" s="27" t="s">
        <v>121</v>
      </c>
    </row>
    <row r="1264" spans="1:241">
      <c r="A1264">
        <v>1247</v>
      </c>
      <c r="B1264" t="s">
        <v>468</v>
      </c>
      <c r="C1264" s="370" t="s">
        <v>4836</v>
      </c>
      <c r="D1264" s="28" t="s">
        <v>3194</v>
      </c>
      <c r="E1264" s="27" t="s">
        <v>353</v>
      </c>
      <c r="F1264" t="s">
        <v>4834</v>
      </c>
      <c r="G1264" s="27" t="s">
        <v>90</v>
      </c>
      <c r="H1264" t="s">
        <v>4841</v>
      </c>
      <c r="I1264" s="27" t="s">
        <v>121</v>
      </c>
      <c r="J1264" s="28">
        <v>21819</v>
      </c>
      <c r="K1264" s="27" t="s">
        <v>408</v>
      </c>
      <c r="L1264" s="450">
        <v>29168</v>
      </c>
      <c r="M1264" s="27" t="s">
        <v>121</v>
      </c>
    </row>
    <row r="1265" spans="1:23">
      <c r="A1265">
        <v>1248</v>
      </c>
      <c r="B1265" t="s">
        <v>468</v>
      </c>
      <c r="C1265" s="370" t="s">
        <v>4837</v>
      </c>
      <c r="D1265" s="28" t="s">
        <v>3194</v>
      </c>
      <c r="E1265" s="27" t="s">
        <v>353</v>
      </c>
      <c r="F1265" t="s">
        <v>4834</v>
      </c>
      <c r="G1265" s="27" t="s">
        <v>90</v>
      </c>
      <c r="H1265" t="s">
        <v>4842</v>
      </c>
      <c r="I1265" s="27" t="s">
        <v>94</v>
      </c>
      <c r="J1265" s="28">
        <v>29148</v>
      </c>
      <c r="K1265" s="27" t="s">
        <v>4510</v>
      </c>
    </row>
    <row r="1266" spans="1:23">
      <c r="A1266">
        <v>1249</v>
      </c>
      <c r="C1266" s="27" t="s">
        <v>4839</v>
      </c>
      <c r="D1266" s="28" t="s">
        <v>3195</v>
      </c>
      <c r="E1266" s="27" t="s">
        <v>3196</v>
      </c>
      <c r="F1266" t="s">
        <v>2444</v>
      </c>
      <c r="G1266" s="27" t="s">
        <v>90</v>
      </c>
      <c r="I1266" s="27" t="s">
        <v>121</v>
      </c>
      <c r="J1266" s="28">
        <v>21819</v>
      </c>
      <c r="K1266" s="27" t="s">
        <v>408</v>
      </c>
      <c r="L1266" s="28">
        <v>29168</v>
      </c>
      <c r="M1266" s="28" t="s">
        <v>121</v>
      </c>
      <c r="N1266" s="28"/>
      <c r="O1266" s="27" t="s">
        <v>1766</v>
      </c>
      <c r="P1266" s="370">
        <v>44721</v>
      </c>
      <c r="Q1266" s="28" t="s">
        <v>1890</v>
      </c>
      <c r="R1266" s="28" t="s">
        <v>1194</v>
      </c>
      <c r="S1266" s="370">
        <v>44691</v>
      </c>
      <c r="T1266" s="450" t="s">
        <v>4555</v>
      </c>
      <c r="U1266" s="370">
        <v>44721</v>
      </c>
      <c r="V1266" s="369"/>
      <c r="W1266" s="27" t="s">
        <v>4840</v>
      </c>
    </row>
    <row r="1267" spans="1:23">
      <c r="A1267">
        <v>1250</v>
      </c>
      <c r="B1267" t="s">
        <v>468</v>
      </c>
      <c r="C1267" t="s">
        <v>4838</v>
      </c>
      <c r="D1267" s="28" t="s">
        <v>3195</v>
      </c>
      <c r="E1267" s="27" t="s">
        <v>3196</v>
      </c>
      <c r="F1267" t="s">
        <v>4834</v>
      </c>
      <c r="G1267" s="27" t="s">
        <v>90</v>
      </c>
      <c r="H1267" t="s">
        <v>4843</v>
      </c>
      <c r="I1267" s="27" t="s">
        <v>94</v>
      </c>
      <c r="J1267" s="28">
        <v>29148</v>
      </c>
      <c r="K1267" s="27" t="s">
        <v>4510</v>
      </c>
    </row>
    <row r="1268" spans="1:23">
      <c r="A1268">
        <v>1251</v>
      </c>
      <c r="B1268" t="s">
        <v>468</v>
      </c>
      <c r="C1268" s="370" t="s">
        <v>4844</v>
      </c>
      <c r="D1268" s="28" t="s">
        <v>3197</v>
      </c>
      <c r="E1268" s="27" t="s">
        <v>3198</v>
      </c>
      <c r="F1268" t="s">
        <v>4834</v>
      </c>
      <c r="G1268" s="27" t="s">
        <v>90</v>
      </c>
      <c r="H1268" t="s">
        <v>4845</v>
      </c>
      <c r="I1268" s="27" t="s">
        <v>94</v>
      </c>
      <c r="J1268" s="28">
        <v>29148</v>
      </c>
      <c r="K1268" s="27" t="s">
        <v>4510</v>
      </c>
    </row>
    <row r="1269" spans="1:23">
      <c r="A1269">
        <v>1252</v>
      </c>
      <c r="B1269" t="s">
        <v>468</v>
      </c>
      <c r="C1269" s="370" t="s">
        <v>4846</v>
      </c>
      <c r="D1269" s="28" t="s">
        <v>3199</v>
      </c>
      <c r="E1269" s="27" t="s">
        <v>353</v>
      </c>
      <c r="F1269" t="s">
        <v>4834</v>
      </c>
      <c r="G1269" s="27" t="s">
        <v>90</v>
      </c>
      <c r="H1269" t="s">
        <v>4847</v>
      </c>
      <c r="I1269" s="27" t="s">
        <v>121</v>
      </c>
      <c r="J1269" s="28">
        <v>21819</v>
      </c>
      <c r="K1269" s="27" t="s">
        <v>408</v>
      </c>
      <c r="L1269" s="28">
        <v>29168</v>
      </c>
      <c r="M1269" s="28" t="s">
        <v>121</v>
      </c>
    </row>
    <row r="1270" spans="1:23">
      <c r="A1270">
        <v>1253</v>
      </c>
      <c r="B1270" t="s">
        <v>468</v>
      </c>
      <c r="C1270" s="370" t="s">
        <v>4849</v>
      </c>
      <c r="D1270" s="28" t="s">
        <v>3200</v>
      </c>
      <c r="E1270" s="27" t="s">
        <v>3196</v>
      </c>
      <c r="F1270" t="s">
        <v>4834</v>
      </c>
      <c r="G1270" s="27" t="s">
        <v>90</v>
      </c>
      <c r="H1270" t="s">
        <v>4848</v>
      </c>
      <c r="I1270" s="27" t="s">
        <v>121</v>
      </c>
      <c r="J1270" s="28">
        <v>21819</v>
      </c>
      <c r="K1270" s="27" t="s">
        <v>408</v>
      </c>
      <c r="L1270" s="28">
        <v>29168</v>
      </c>
      <c r="M1270" s="28" t="s">
        <v>121</v>
      </c>
    </row>
    <row r="1271" spans="1:23">
      <c r="A1271">
        <v>1254</v>
      </c>
      <c r="B1271" t="s">
        <v>468</v>
      </c>
      <c r="C1271" s="370" t="s">
        <v>4850</v>
      </c>
      <c r="D1271" s="28" t="s">
        <v>3200</v>
      </c>
      <c r="E1271" s="27" t="s">
        <v>3196</v>
      </c>
      <c r="F1271" t="s">
        <v>4834</v>
      </c>
      <c r="G1271" s="27" t="s">
        <v>90</v>
      </c>
      <c r="H1271" t="s">
        <v>4851</v>
      </c>
      <c r="I1271" s="27" t="s">
        <v>94</v>
      </c>
      <c r="J1271" s="28">
        <v>29148</v>
      </c>
      <c r="K1271" s="27" t="s">
        <v>4510</v>
      </c>
    </row>
    <row r="1272" spans="1:23">
      <c r="A1272">
        <v>1255</v>
      </c>
      <c r="C1272" s="370" t="s">
        <v>567</v>
      </c>
      <c r="D1272" s="28" t="s">
        <v>3201</v>
      </c>
      <c r="E1272" s="27" t="s">
        <v>3202</v>
      </c>
      <c r="F1272" t="s">
        <v>2444</v>
      </c>
      <c r="G1272" s="27" t="s">
        <v>90</v>
      </c>
      <c r="I1272" s="27" t="s">
        <v>121</v>
      </c>
      <c r="J1272" s="28">
        <v>20895</v>
      </c>
      <c r="K1272" s="27" t="s">
        <v>1242</v>
      </c>
      <c r="L1272" s="28"/>
      <c r="M1272" s="28"/>
      <c r="N1272" s="28" t="s">
        <v>1764</v>
      </c>
      <c r="O1272" s="28" t="s">
        <v>1763</v>
      </c>
      <c r="P1272" s="442">
        <v>43104</v>
      </c>
      <c r="Q1272" s="27"/>
      <c r="R1272" s="27"/>
      <c r="S1272" s="370"/>
      <c r="T1272" s="443"/>
      <c r="U1272" s="370"/>
      <c r="V1272" s="369"/>
      <c r="W1272" s="370" t="s">
        <v>1765</v>
      </c>
    </row>
    <row r="1273" spans="1:23">
      <c r="A1273">
        <v>1256</v>
      </c>
      <c r="C1273" s="370" t="s">
        <v>567</v>
      </c>
      <c r="D1273" s="28" t="s">
        <v>3203</v>
      </c>
      <c r="E1273" s="27" t="s">
        <v>3204</v>
      </c>
      <c r="F1273" t="s">
        <v>2444</v>
      </c>
      <c r="G1273" s="27" t="s">
        <v>90</v>
      </c>
      <c r="I1273" s="27" t="s">
        <v>121</v>
      </c>
      <c r="J1273" s="28">
        <v>21592</v>
      </c>
      <c r="K1273" s="27" t="s">
        <v>410</v>
      </c>
      <c r="L1273" s="28"/>
      <c r="M1273" s="28"/>
      <c r="N1273" s="28" t="s">
        <v>4568</v>
      </c>
      <c r="O1273" s="28" t="s">
        <v>1766</v>
      </c>
      <c r="P1273" s="442">
        <v>43941</v>
      </c>
      <c r="Q1273" s="27"/>
      <c r="R1273" s="27"/>
      <c r="S1273" s="370"/>
      <c r="T1273" s="443"/>
      <c r="U1273" s="370"/>
      <c r="V1273" s="369"/>
      <c r="W1273" s="370" t="s">
        <v>1765</v>
      </c>
    </row>
    <row r="1274" spans="1:23">
      <c r="A1274">
        <v>1257</v>
      </c>
      <c r="C1274" s="370" t="s">
        <v>567</v>
      </c>
      <c r="D1274" s="28" t="s">
        <v>3205</v>
      </c>
      <c r="E1274" s="27" t="s">
        <v>3206</v>
      </c>
      <c r="F1274" t="s">
        <v>2444</v>
      </c>
      <c r="G1274" s="27" t="s">
        <v>90</v>
      </c>
      <c r="I1274" s="27" t="s">
        <v>121</v>
      </c>
      <c r="J1274" s="28">
        <v>20024</v>
      </c>
      <c r="K1274" s="27" t="s">
        <v>412</v>
      </c>
      <c r="L1274" s="28"/>
      <c r="M1274" s="28"/>
      <c r="N1274" s="28" t="s">
        <v>4568</v>
      </c>
      <c r="O1274" s="28" t="s">
        <v>1763</v>
      </c>
      <c r="P1274" s="442">
        <v>43122</v>
      </c>
      <c r="Q1274" s="27"/>
      <c r="R1274" s="27"/>
      <c r="S1274" s="370"/>
      <c r="T1274" s="443"/>
      <c r="U1274" s="370"/>
      <c r="V1274" s="369"/>
      <c r="W1274" s="370" t="s">
        <v>1765</v>
      </c>
    </row>
    <row r="1275" spans="1:23">
      <c r="A1275">
        <v>1258</v>
      </c>
      <c r="C1275" s="370" t="s">
        <v>567</v>
      </c>
      <c r="D1275" s="28" t="s">
        <v>3207</v>
      </c>
      <c r="E1275" s="27" t="s">
        <v>361</v>
      </c>
      <c r="F1275" t="s">
        <v>2444</v>
      </c>
      <c r="G1275" s="27" t="s">
        <v>90</v>
      </c>
      <c r="I1275" s="27" t="s">
        <v>121</v>
      </c>
      <c r="J1275" s="28">
        <v>21592</v>
      </c>
      <c r="K1275" s="27" t="s">
        <v>410</v>
      </c>
      <c r="L1275" s="28"/>
      <c r="M1275" s="28"/>
      <c r="N1275" s="28" t="s">
        <v>4568</v>
      </c>
      <c r="O1275" s="28" t="s">
        <v>1766</v>
      </c>
      <c r="P1275" s="442">
        <v>43941</v>
      </c>
      <c r="Q1275" s="27"/>
      <c r="R1275" s="27"/>
      <c r="S1275" s="370"/>
      <c r="T1275" s="443"/>
      <c r="U1275" s="370"/>
      <c r="V1275" s="369"/>
      <c r="W1275" s="370" t="s">
        <v>1765</v>
      </c>
    </row>
    <row r="1276" spans="1:23">
      <c r="A1276">
        <v>1259</v>
      </c>
      <c r="B1276" t="s">
        <v>468</v>
      </c>
      <c r="C1276" s="451" t="s">
        <v>4852</v>
      </c>
      <c r="D1276" s="28" t="s">
        <v>3208</v>
      </c>
      <c r="E1276" s="27" t="s">
        <v>3025</v>
      </c>
      <c r="F1276" t="s">
        <v>4853</v>
      </c>
      <c r="G1276" s="27" t="s">
        <v>90</v>
      </c>
      <c r="H1276" t="s">
        <v>4854</v>
      </c>
      <c r="I1276" s="27" t="s">
        <v>121</v>
      </c>
      <c r="J1276" s="28">
        <v>20895</v>
      </c>
      <c r="K1276" s="27" t="s">
        <v>1242</v>
      </c>
    </row>
    <row r="1277" spans="1:23">
      <c r="A1277">
        <v>1260</v>
      </c>
      <c r="B1277" t="s">
        <v>468</v>
      </c>
      <c r="C1277" s="452" t="s">
        <v>4856</v>
      </c>
      <c r="D1277" s="28" t="s">
        <v>3209</v>
      </c>
      <c r="E1277" s="27" t="s">
        <v>3210</v>
      </c>
      <c r="F1277" t="s">
        <v>2192</v>
      </c>
      <c r="G1277" s="27" t="s">
        <v>90</v>
      </c>
      <c r="H1277" t="s">
        <v>4855</v>
      </c>
      <c r="I1277" s="27" t="s">
        <v>121</v>
      </c>
      <c r="J1277" s="28">
        <v>21160</v>
      </c>
      <c r="K1277" s="27" t="s">
        <v>401</v>
      </c>
    </row>
    <row r="1278" spans="1:23">
      <c r="A1278">
        <v>1261</v>
      </c>
      <c r="B1278" t="s">
        <v>468</v>
      </c>
      <c r="C1278" s="451" t="s">
        <v>4857</v>
      </c>
      <c r="D1278" s="28" t="s">
        <v>3211</v>
      </c>
      <c r="E1278" s="27" t="s">
        <v>3212</v>
      </c>
      <c r="F1278" t="s">
        <v>4853</v>
      </c>
      <c r="G1278" s="27" t="s">
        <v>90</v>
      </c>
      <c r="H1278" t="s">
        <v>4858</v>
      </c>
      <c r="I1278" s="27" t="s">
        <v>121</v>
      </c>
      <c r="J1278" s="28">
        <v>20895</v>
      </c>
      <c r="K1278" s="27" t="s">
        <v>1242</v>
      </c>
    </row>
    <row r="1279" spans="1:23">
      <c r="A1279">
        <v>1262</v>
      </c>
      <c r="B1279" t="s">
        <v>468</v>
      </c>
      <c r="C1279" s="451" t="s">
        <v>4860</v>
      </c>
      <c r="D1279" s="28" t="s">
        <v>3213</v>
      </c>
      <c r="E1279" s="27" t="s">
        <v>3025</v>
      </c>
      <c r="F1279" t="s">
        <v>4853</v>
      </c>
      <c r="G1279" s="27" t="s">
        <v>90</v>
      </c>
      <c r="H1279" t="s">
        <v>4859</v>
      </c>
      <c r="I1279" s="27" t="s">
        <v>121</v>
      </c>
      <c r="J1279" s="28">
        <v>20024</v>
      </c>
      <c r="K1279" s="27" t="s">
        <v>412</v>
      </c>
    </row>
    <row r="1280" spans="1:23">
      <c r="A1280">
        <v>1263</v>
      </c>
      <c r="C1280" s="453" t="s">
        <v>567</v>
      </c>
      <c r="D1280" s="28" t="s">
        <v>3213</v>
      </c>
      <c r="E1280" s="27" t="s">
        <v>3025</v>
      </c>
      <c r="F1280" t="s">
        <v>2444</v>
      </c>
      <c r="G1280" s="27" t="s">
        <v>90</v>
      </c>
      <c r="I1280" s="27" t="s">
        <v>121</v>
      </c>
      <c r="J1280" s="28">
        <v>29010</v>
      </c>
      <c r="K1280" s="27" t="s">
        <v>229</v>
      </c>
      <c r="L1280" s="28"/>
      <c r="M1280" s="28"/>
      <c r="N1280" s="28" t="s">
        <v>4568</v>
      </c>
      <c r="O1280" s="28" t="s">
        <v>1766</v>
      </c>
      <c r="P1280" s="442">
        <v>43907</v>
      </c>
      <c r="Q1280" s="27"/>
      <c r="R1280" s="27"/>
      <c r="S1280" s="370"/>
      <c r="T1280" s="443"/>
      <c r="U1280" s="370"/>
      <c r="V1280" s="369"/>
      <c r="W1280" s="370" t="s">
        <v>4861</v>
      </c>
    </row>
    <row r="1281" spans="1:11">
      <c r="A1281">
        <v>1264</v>
      </c>
      <c r="B1281" t="s">
        <v>468</v>
      </c>
      <c r="C1281" s="451" t="s">
        <v>4862</v>
      </c>
      <c r="D1281" s="28" t="s">
        <v>3213</v>
      </c>
      <c r="E1281" s="27" t="s">
        <v>3025</v>
      </c>
      <c r="F1281" t="s">
        <v>4853</v>
      </c>
      <c r="G1281" s="27" t="s">
        <v>90</v>
      </c>
      <c r="H1281" t="s">
        <v>4863</v>
      </c>
      <c r="I1281" s="27" t="s">
        <v>121</v>
      </c>
      <c r="J1281" s="28">
        <v>20895</v>
      </c>
      <c r="K1281" s="27" t="s">
        <v>1242</v>
      </c>
    </row>
    <row r="1282" spans="1:11">
      <c r="A1282">
        <v>1265</v>
      </c>
      <c r="B1282" t="s">
        <v>468</v>
      </c>
      <c r="C1282" s="451" t="s">
        <v>4864</v>
      </c>
      <c r="D1282" s="28" t="s">
        <v>3213</v>
      </c>
      <c r="E1282" s="27" t="s">
        <v>3025</v>
      </c>
      <c r="F1282" t="s">
        <v>4853</v>
      </c>
      <c r="G1282" s="27" t="s">
        <v>90</v>
      </c>
      <c r="I1282" s="27" t="s">
        <v>94</v>
      </c>
      <c r="J1282" s="28">
        <v>29268</v>
      </c>
      <c r="K1282" s="27" t="s">
        <v>229</v>
      </c>
    </row>
    <row r="1283" spans="1:11">
      <c r="A1283">
        <v>1266</v>
      </c>
      <c r="B1283" t="s">
        <v>468</v>
      </c>
      <c r="C1283" s="27" t="s">
        <v>4865</v>
      </c>
      <c r="D1283" s="28" t="s">
        <v>3214</v>
      </c>
      <c r="E1283" s="27" t="s">
        <v>3032</v>
      </c>
      <c r="F1283" t="s">
        <v>4574</v>
      </c>
      <c r="G1283" s="27" t="s">
        <v>90</v>
      </c>
      <c r="H1283" s="27" t="s">
        <v>4866</v>
      </c>
      <c r="I1283" s="27" t="s">
        <v>121</v>
      </c>
      <c r="J1283" s="28">
        <v>21160</v>
      </c>
      <c r="K1283" s="27" t="s">
        <v>401</v>
      </c>
    </row>
    <row r="1284" spans="1:11">
      <c r="A1284">
        <v>1267</v>
      </c>
      <c r="B1284" t="s">
        <v>468</v>
      </c>
      <c r="C1284" s="27" t="s">
        <v>4870</v>
      </c>
      <c r="D1284" s="28" t="s">
        <v>3214</v>
      </c>
      <c r="E1284" s="27" t="s">
        <v>3032</v>
      </c>
      <c r="F1284" t="s">
        <v>4574</v>
      </c>
      <c r="G1284" s="27" t="s">
        <v>90</v>
      </c>
      <c r="H1284" s="27" t="s">
        <v>4868</v>
      </c>
      <c r="I1284" s="27" t="s">
        <v>121</v>
      </c>
      <c r="J1284" s="28">
        <v>21592</v>
      </c>
      <c r="K1284" s="27" t="s">
        <v>410</v>
      </c>
    </row>
    <row r="1285" spans="1:11">
      <c r="A1285">
        <v>1268</v>
      </c>
      <c r="B1285" t="s">
        <v>468</v>
      </c>
      <c r="C1285" s="27" t="s">
        <v>4865</v>
      </c>
      <c r="D1285" s="28" t="s">
        <v>3214</v>
      </c>
      <c r="E1285" s="27" t="s">
        <v>3032</v>
      </c>
      <c r="F1285" t="s">
        <v>4574</v>
      </c>
      <c r="G1285" s="27" t="s">
        <v>90</v>
      </c>
      <c r="H1285" t="s">
        <v>4867</v>
      </c>
      <c r="I1285" s="27" t="s">
        <v>94</v>
      </c>
      <c r="J1285" s="28">
        <v>21160</v>
      </c>
      <c r="K1285" s="27" t="s">
        <v>401</v>
      </c>
    </row>
    <row r="1286" spans="1:11">
      <c r="A1286">
        <v>1269</v>
      </c>
      <c r="B1286" t="s">
        <v>468</v>
      </c>
      <c r="C1286" s="27" t="s">
        <v>4870</v>
      </c>
      <c r="D1286" s="28" t="s">
        <v>3214</v>
      </c>
      <c r="E1286" s="27" t="s">
        <v>3032</v>
      </c>
      <c r="F1286" t="s">
        <v>4574</v>
      </c>
      <c r="G1286" s="27" t="s">
        <v>90</v>
      </c>
      <c r="H1286" s="27" t="s">
        <v>4869</v>
      </c>
      <c r="I1286" s="27" t="s">
        <v>94</v>
      </c>
      <c r="J1286" s="28">
        <v>21746</v>
      </c>
      <c r="K1286" s="27" t="s">
        <v>410</v>
      </c>
    </row>
    <row r="1287" spans="1:11">
      <c r="A1287">
        <v>1270</v>
      </c>
      <c r="B1287" t="s">
        <v>468</v>
      </c>
      <c r="C1287" s="27" t="s">
        <v>4871</v>
      </c>
      <c r="D1287" s="28" t="s">
        <v>3215</v>
      </c>
      <c r="E1287" s="27" t="s">
        <v>359</v>
      </c>
      <c r="F1287" t="s">
        <v>4574</v>
      </c>
      <c r="G1287" s="27" t="s">
        <v>90</v>
      </c>
      <c r="H1287" s="27" t="s">
        <v>4873</v>
      </c>
      <c r="I1287" s="27" t="s">
        <v>121</v>
      </c>
      <c r="J1287" s="28">
        <v>21160</v>
      </c>
      <c r="K1287" s="27" t="s">
        <v>401</v>
      </c>
    </row>
    <row r="1288" spans="1:11">
      <c r="A1288">
        <v>1271</v>
      </c>
      <c r="B1288" t="s">
        <v>468</v>
      </c>
      <c r="C1288" s="27" t="s">
        <v>4872</v>
      </c>
      <c r="D1288" s="28" t="s">
        <v>3215</v>
      </c>
      <c r="E1288" s="27" t="s">
        <v>359</v>
      </c>
      <c r="F1288" t="s">
        <v>4574</v>
      </c>
      <c r="G1288" s="27" t="s">
        <v>90</v>
      </c>
      <c r="H1288" s="27" t="s">
        <v>4874</v>
      </c>
      <c r="I1288" s="27" t="s">
        <v>121</v>
      </c>
      <c r="J1288" s="28">
        <v>21592</v>
      </c>
      <c r="K1288" s="27" t="s">
        <v>410</v>
      </c>
    </row>
    <row r="1289" spans="1:11">
      <c r="A1289">
        <v>1272</v>
      </c>
      <c r="B1289" t="s">
        <v>468</v>
      </c>
      <c r="C1289" s="27" t="s">
        <v>4872</v>
      </c>
      <c r="D1289" s="28" t="s">
        <v>3215</v>
      </c>
      <c r="E1289" s="27" t="s">
        <v>359</v>
      </c>
      <c r="F1289" t="s">
        <v>4574</v>
      </c>
      <c r="G1289" s="27" t="s">
        <v>90</v>
      </c>
      <c r="H1289" s="27" t="s">
        <v>4875</v>
      </c>
      <c r="I1289" s="27" t="s">
        <v>94</v>
      </c>
      <c r="J1289" s="28">
        <v>21746</v>
      </c>
      <c r="K1289" s="27" t="s">
        <v>410</v>
      </c>
    </row>
    <row r="1290" spans="1:11">
      <c r="A1290">
        <v>1273</v>
      </c>
      <c r="B1290" t="s">
        <v>468</v>
      </c>
      <c r="C1290" s="27" t="s">
        <v>4871</v>
      </c>
      <c r="D1290" s="28" t="s">
        <v>3215</v>
      </c>
      <c r="E1290" s="27" t="s">
        <v>359</v>
      </c>
      <c r="F1290" t="s">
        <v>4574</v>
      </c>
      <c r="G1290" s="27" t="s">
        <v>90</v>
      </c>
      <c r="H1290" s="27" t="s">
        <v>4876</v>
      </c>
      <c r="I1290" s="27" t="s">
        <v>94</v>
      </c>
      <c r="J1290" s="28">
        <v>21160</v>
      </c>
      <c r="K1290" s="27" t="s">
        <v>401</v>
      </c>
    </row>
    <row r="1291" spans="1:11">
      <c r="A1291">
        <v>1274</v>
      </c>
      <c r="B1291" t="s">
        <v>468</v>
      </c>
      <c r="C1291" s="27" t="s">
        <v>4882</v>
      </c>
      <c r="D1291" s="28" t="s">
        <v>3216</v>
      </c>
      <c r="E1291" s="27" t="s">
        <v>3136</v>
      </c>
      <c r="F1291" t="s">
        <v>2192</v>
      </c>
      <c r="G1291" s="27" t="s">
        <v>90</v>
      </c>
      <c r="H1291" s="27" t="s">
        <v>4877</v>
      </c>
      <c r="I1291" s="27" t="s">
        <v>121</v>
      </c>
      <c r="J1291" s="28">
        <v>21160</v>
      </c>
      <c r="K1291" s="27" t="s">
        <v>401</v>
      </c>
    </row>
    <row r="1292" spans="1:11">
      <c r="A1292">
        <v>1275</v>
      </c>
      <c r="B1292" t="s">
        <v>468</v>
      </c>
      <c r="C1292" s="27" t="s">
        <v>4883</v>
      </c>
      <c r="D1292" s="28" t="s">
        <v>3216</v>
      </c>
      <c r="E1292" s="27" t="s">
        <v>3136</v>
      </c>
      <c r="F1292" t="s">
        <v>2192</v>
      </c>
      <c r="G1292" s="27" t="s">
        <v>90</v>
      </c>
      <c r="H1292" s="27" t="s">
        <v>4878</v>
      </c>
      <c r="I1292" s="27" t="s">
        <v>121</v>
      </c>
      <c r="J1292" s="28">
        <v>21205</v>
      </c>
      <c r="K1292" s="27" t="s">
        <v>395</v>
      </c>
    </row>
    <row r="1293" spans="1:11">
      <c r="A1293">
        <v>1276</v>
      </c>
      <c r="B1293" t="s">
        <v>468</v>
      </c>
      <c r="C1293" s="27" t="s">
        <v>4882</v>
      </c>
      <c r="D1293" s="28" t="s">
        <v>3216</v>
      </c>
      <c r="E1293" s="27" t="s">
        <v>3136</v>
      </c>
      <c r="F1293" t="s">
        <v>2192</v>
      </c>
      <c r="G1293" s="27" t="s">
        <v>90</v>
      </c>
      <c r="H1293" s="27" t="s">
        <v>4880</v>
      </c>
      <c r="I1293" s="27" t="s">
        <v>94</v>
      </c>
      <c r="J1293" s="28">
        <v>21160</v>
      </c>
      <c r="K1293" s="27" t="s">
        <v>401</v>
      </c>
    </row>
    <row r="1294" spans="1:11">
      <c r="A1294">
        <v>1277</v>
      </c>
      <c r="B1294" t="s">
        <v>468</v>
      </c>
      <c r="C1294" s="27" t="s">
        <v>4883</v>
      </c>
      <c r="D1294" s="28" t="s">
        <v>3216</v>
      </c>
      <c r="E1294" s="27" t="s">
        <v>3136</v>
      </c>
      <c r="F1294" t="s">
        <v>2192</v>
      </c>
      <c r="G1294" s="27" t="s">
        <v>90</v>
      </c>
      <c r="H1294" s="27" t="s">
        <v>4881</v>
      </c>
      <c r="I1294" s="27" t="s">
        <v>94</v>
      </c>
      <c r="J1294" s="28">
        <v>21205</v>
      </c>
      <c r="K1294" s="27" t="s">
        <v>395</v>
      </c>
    </row>
    <row r="1295" spans="1:11">
      <c r="A1295">
        <v>1278</v>
      </c>
      <c r="B1295" t="s">
        <v>468</v>
      </c>
      <c r="C1295" s="28" t="s">
        <v>4884</v>
      </c>
      <c r="D1295" s="28" t="s">
        <v>3217</v>
      </c>
      <c r="E1295" s="27" t="s">
        <v>3218</v>
      </c>
      <c r="F1295" t="s">
        <v>2221</v>
      </c>
      <c r="G1295" s="27" t="s">
        <v>90</v>
      </c>
      <c r="H1295" s="27" t="s">
        <v>4885</v>
      </c>
      <c r="I1295" s="27" t="s">
        <v>121</v>
      </c>
      <c r="J1295" s="28">
        <v>21523</v>
      </c>
      <c r="K1295" s="27" t="s">
        <v>411</v>
      </c>
    </row>
    <row r="1296" spans="1:11">
      <c r="A1296">
        <v>1279</v>
      </c>
      <c r="B1296" t="s">
        <v>468</v>
      </c>
      <c r="C1296" s="27" t="s">
        <v>4889</v>
      </c>
      <c r="D1296" s="28" t="s">
        <v>3217</v>
      </c>
      <c r="E1296" s="27" t="s">
        <v>3218</v>
      </c>
      <c r="F1296" t="s">
        <v>4574</v>
      </c>
      <c r="G1296" s="27" t="s">
        <v>90</v>
      </c>
      <c r="H1296" s="27" t="s">
        <v>4887</v>
      </c>
      <c r="I1296" s="27" t="s">
        <v>121</v>
      </c>
      <c r="J1296" s="28">
        <v>21592</v>
      </c>
      <c r="K1296" s="27" t="s">
        <v>410</v>
      </c>
    </row>
    <row r="1297" spans="1:300">
      <c r="A1297">
        <v>1280</v>
      </c>
      <c r="B1297" t="s">
        <v>468</v>
      </c>
      <c r="C1297" s="27" t="s">
        <v>4889</v>
      </c>
      <c r="D1297" s="28" t="s">
        <v>3217</v>
      </c>
      <c r="E1297" s="27" t="s">
        <v>3218</v>
      </c>
      <c r="F1297" t="s">
        <v>4574</v>
      </c>
      <c r="G1297" s="27" t="s">
        <v>90</v>
      </c>
      <c r="H1297" s="27" t="s">
        <v>4888</v>
      </c>
      <c r="I1297" s="27" t="s">
        <v>94</v>
      </c>
      <c r="J1297" s="28">
        <v>21746</v>
      </c>
      <c r="K1297" s="27" t="s">
        <v>410</v>
      </c>
    </row>
    <row r="1298" spans="1:300">
      <c r="A1298">
        <v>1281</v>
      </c>
      <c r="B1298" t="s">
        <v>468</v>
      </c>
      <c r="C1298" s="28" t="s">
        <v>4884</v>
      </c>
      <c r="D1298" s="28" t="s">
        <v>3217</v>
      </c>
      <c r="E1298" s="27" t="s">
        <v>3218</v>
      </c>
      <c r="F1298" t="s">
        <v>2221</v>
      </c>
      <c r="G1298" s="27" t="s">
        <v>90</v>
      </c>
      <c r="H1298" s="27" t="s">
        <v>4886</v>
      </c>
      <c r="I1298" s="27" t="s">
        <v>94</v>
      </c>
      <c r="J1298" s="28">
        <v>21523</v>
      </c>
      <c r="K1298" s="27" t="s">
        <v>411</v>
      </c>
    </row>
    <row r="1299" spans="1:300">
      <c r="A1299">
        <v>1282</v>
      </c>
      <c r="B1299" t="s">
        <v>468</v>
      </c>
      <c r="C1299" s="27" t="s">
        <v>617</v>
      </c>
      <c r="D1299" s="28" t="s">
        <v>113</v>
      </c>
      <c r="E1299" s="27" t="s">
        <v>114</v>
      </c>
      <c r="F1299" t="s">
        <v>2182</v>
      </c>
      <c r="G1299" s="27" t="s">
        <v>90</v>
      </c>
      <c r="I1299" s="27" t="s">
        <v>121</v>
      </c>
      <c r="J1299" s="28">
        <v>21697</v>
      </c>
      <c r="K1299" s="27" t="s">
        <v>227</v>
      </c>
      <c r="L1299" s="28">
        <v>20089</v>
      </c>
      <c r="M1299" s="28"/>
      <c r="N1299" s="28"/>
      <c r="O1299" s="28"/>
      <c r="P1299" s="442"/>
      <c r="Q1299" s="27" t="s">
        <v>1768</v>
      </c>
      <c r="R1299" s="27" t="s">
        <v>1769</v>
      </c>
      <c r="S1299" s="370">
        <v>43770</v>
      </c>
      <c r="T1299" s="443" t="s">
        <v>4555</v>
      </c>
      <c r="U1299" s="370">
        <v>43782</v>
      </c>
      <c r="V1299" s="369"/>
      <c r="W1299" s="370"/>
      <c r="X1299" s="370"/>
      <c r="Y1299" s="370"/>
      <c r="Z1299" s="370"/>
      <c r="AA1299" s="369" t="s">
        <v>126</v>
      </c>
      <c r="AB1299" s="369">
        <v>93.62</v>
      </c>
      <c r="AC1299" s="391">
        <v>20</v>
      </c>
      <c r="AD1299" s="369" t="s">
        <v>1948</v>
      </c>
      <c r="AE1299" s="391">
        <f t="shared" ref="AE1299:AE1302" si="1340">BA1299</f>
        <v>10.235010000000001</v>
      </c>
      <c r="AF1299" s="391">
        <f>DU1299+DZ1299+EE1299</f>
        <v>0</v>
      </c>
      <c r="AG1299" s="391">
        <f>EU1299+FA1299</f>
        <v>7.2016460905349788</v>
      </c>
      <c r="AH1299" s="391">
        <f t="shared" ref="AH1299:AH1302" si="1341">DM1299</f>
        <v>0</v>
      </c>
      <c r="AI1299" s="391">
        <f t="shared" ref="AI1299:AI1302" si="1342">DO1299</f>
        <v>0</v>
      </c>
      <c r="AJ1299" s="391">
        <f t="shared" ref="AJ1299:AJ1302" si="1343">GW1299</f>
        <v>0.14403292181069957</v>
      </c>
      <c r="AK1299" s="391">
        <f t="shared" ref="AK1299:AK1302" si="1344">GU1299</f>
        <v>0.21795820113168729</v>
      </c>
      <c r="AL1299" s="391">
        <f t="shared" ref="AL1299:AL1302" si="1345">GS1299</f>
        <v>1.9180321699588481</v>
      </c>
      <c r="AM1299" s="369">
        <f t="shared" ref="AM1299:AM1302" si="1346">HV1299</f>
        <v>0.03</v>
      </c>
      <c r="AN1299" s="391">
        <f t="shared" ref="AN1299:AN1302" si="1347">IG1299</f>
        <v>1.827485380116959E-2</v>
      </c>
      <c r="AO1299" s="369"/>
      <c r="AP1299" s="369"/>
      <c r="AQ1299" s="391">
        <f t="shared" ref="AQ1299" si="1348">SUM(AE1299:AO1299)</f>
        <v>19.764954237237387</v>
      </c>
      <c r="AR1299" s="391">
        <f t="shared" ref="AR1299:AR1302" si="1349">IJ1299</f>
        <v>0</v>
      </c>
      <c r="AS1299" s="391">
        <v>0</v>
      </c>
      <c r="AT1299" s="391">
        <v>0</v>
      </c>
      <c r="AU1299" s="391">
        <v>0</v>
      </c>
      <c r="AV1299" s="391">
        <f t="shared" ref="AV1299:AV1302" si="1350">AQ1299+AT1299+AU1299+AR1299+AS1299</f>
        <v>19.764954237237387</v>
      </c>
      <c r="AW1299" s="391">
        <v>0.1105</v>
      </c>
      <c r="AX1299" s="391">
        <v>0.105</v>
      </c>
      <c r="AY1299" s="392">
        <v>1</v>
      </c>
      <c r="AZ1299" s="391">
        <f t="shared" ref="AZ1299:AZ1302" si="1351">(AW1299-AX1299)*AY1299</f>
        <v>5.5000000000000049E-3</v>
      </c>
      <c r="BA1299" s="391">
        <f t="shared" ref="BA1299:BA1302" si="1352">AW1299*AB1299-AZ1299*AC1299</f>
        <v>10.235010000000001</v>
      </c>
      <c r="BB1299" s="391"/>
      <c r="BC1299" s="391"/>
      <c r="BD1299" s="391"/>
      <c r="BE1299" s="391"/>
      <c r="BF1299" s="391"/>
      <c r="BG1299" s="391"/>
      <c r="BH1299" s="391"/>
      <c r="BI1299" s="391"/>
      <c r="BJ1299" s="445"/>
      <c r="BK1299" s="369"/>
      <c r="BL1299" s="369"/>
      <c r="BM1299" s="369"/>
      <c r="BN1299" s="369"/>
      <c r="BO1299" s="369"/>
      <c r="BP1299" s="369"/>
      <c r="BQ1299" s="369"/>
      <c r="BR1299" s="369"/>
      <c r="BS1299" s="369"/>
      <c r="BT1299" s="369"/>
      <c r="BU1299" s="369"/>
      <c r="BV1299" s="369"/>
      <c r="BW1299" s="369"/>
      <c r="BX1299" s="369"/>
      <c r="BY1299" s="369"/>
      <c r="BZ1299" s="369"/>
      <c r="CA1299" s="369"/>
      <c r="CB1299" s="369"/>
      <c r="CC1299" s="369"/>
      <c r="CD1299" s="369"/>
      <c r="CE1299" s="369"/>
      <c r="CF1299" s="369"/>
      <c r="CG1299" s="369"/>
      <c r="CH1299" s="369"/>
      <c r="CI1299" s="369"/>
      <c r="CJ1299" s="369"/>
      <c r="CK1299" s="369"/>
      <c r="CL1299" s="369"/>
      <c r="CM1299" s="369"/>
      <c r="CN1299" s="369"/>
      <c r="CO1299" s="369"/>
      <c r="CP1299" s="369"/>
      <c r="CQ1299" s="369"/>
      <c r="CR1299" s="369"/>
      <c r="CS1299" s="369"/>
      <c r="CT1299" s="369"/>
      <c r="CU1299" s="369"/>
      <c r="CV1299" s="369"/>
      <c r="CW1299" s="369"/>
      <c r="CX1299" s="369"/>
      <c r="CY1299" s="369"/>
      <c r="CZ1299" s="369"/>
      <c r="DA1299" s="369"/>
      <c r="DB1299" s="369"/>
      <c r="DC1299" s="369"/>
      <c r="DD1299" s="369"/>
      <c r="DE1299" s="369"/>
      <c r="DF1299" s="369"/>
      <c r="DG1299" s="369"/>
      <c r="DH1299" s="369"/>
      <c r="DI1299" s="369"/>
      <c r="DJ1299" s="369"/>
      <c r="DK1299" s="369"/>
      <c r="DL1299" s="369"/>
      <c r="DM1299" s="369"/>
      <c r="DN1299" s="445"/>
      <c r="DO1299" s="369"/>
      <c r="DP1299" s="369"/>
      <c r="DQ1299" s="369"/>
      <c r="DR1299" s="369"/>
      <c r="DS1299" s="369"/>
      <c r="DT1299" s="369"/>
      <c r="DU1299" s="369"/>
      <c r="DV1299" s="369"/>
      <c r="DW1299" s="369"/>
      <c r="DX1299" s="369"/>
      <c r="DY1299" s="369"/>
      <c r="DZ1299" s="369"/>
      <c r="EA1299" s="369"/>
      <c r="EB1299" s="369"/>
      <c r="EC1299" s="369"/>
      <c r="ED1299" s="369"/>
      <c r="EE1299" s="369"/>
      <c r="EF1299" s="369">
        <v>250</v>
      </c>
      <c r="EG1299" s="369">
        <v>2500</v>
      </c>
      <c r="EH1299" s="369">
        <v>7.5</v>
      </c>
      <c r="EI1299" s="395">
        <v>0.9</v>
      </c>
      <c r="EJ1299" s="369">
        <v>1</v>
      </c>
      <c r="EK1299" s="369">
        <v>70</v>
      </c>
      <c r="EL1299" s="396">
        <f t="shared" ref="EL1299:EL1302" si="1353">3600/EK1299*EH1299*EJ1299*EI1299</f>
        <v>347.14285714285717</v>
      </c>
      <c r="EM1299" s="369"/>
      <c r="EN1299" s="369"/>
      <c r="EO1299" s="369"/>
      <c r="EP1299" s="369"/>
      <c r="EQ1299" s="369"/>
      <c r="ER1299" s="369"/>
      <c r="ES1299" s="369"/>
      <c r="ET1299" s="369"/>
      <c r="EU1299" s="391">
        <f t="shared" ref="EU1299:EU1302" si="1354">EG1299/EL1299+EM1299+EP1299+EQ1299+ER1299+EO1299</f>
        <v>7.2016460905349788</v>
      </c>
      <c r="EV1299" s="369"/>
      <c r="EW1299" s="369"/>
      <c r="EX1299" s="369"/>
      <c r="EY1299" s="369"/>
      <c r="EZ1299" s="369"/>
      <c r="FA1299" s="391">
        <f t="shared" ref="FA1299:FA1302" si="1355">EX1299+EY1299</f>
        <v>0</v>
      </c>
      <c r="FB1299" s="369"/>
      <c r="FC1299" s="369"/>
      <c r="FD1299" s="369"/>
      <c r="FE1299" s="392"/>
      <c r="FF1299" s="369"/>
      <c r="FG1299" s="369"/>
      <c r="FH1299" s="369"/>
      <c r="FI1299" s="369"/>
      <c r="FJ1299" s="369"/>
      <c r="FK1299" s="369"/>
      <c r="FL1299" s="369"/>
      <c r="FM1299" s="369"/>
      <c r="FN1299" s="369"/>
      <c r="FO1299" s="369"/>
      <c r="FP1299" s="369"/>
      <c r="FQ1299" s="369"/>
      <c r="FR1299" s="369"/>
      <c r="FS1299" s="369"/>
      <c r="FT1299" s="369"/>
      <c r="FU1299" s="369"/>
      <c r="FV1299" s="369"/>
      <c r="FW1299" s="369"/>
      <c r="FX1299" s="369"/>
      <c r="FY1299" s="369"/>
      <c r="FZ1299" s="369"/>
      <c r="GA1299" s="369"/>
      <c r="GB1299" s="369"/>
      <c r="GC1299" s="369"/>
      <c r="GD1299" s="369"/>
      <c r="GE1299" s="369"/>
      <c r="GF1299" s="369"/>
      <c r="GG1299" s="369"/>
      <c r="GH1299" s="369"/>
      <c r="GI1299" s="369"/>
      <c r="GJ1299" s="369"/>
      <c r="GK1299" s="369"/>
      <c r="GL1299" s="369"/>
      <c r="GM1299" s="369"/>
      <c r="GN1299" s="392"/>
      <c r="GO1299" s="369"/>
      <c r="GP1299" s="392"/>
      <c r="GQ1299" s="369"/>
      <c r="GR1299" s="392">
        <v>0.11</v>
      </c>
      <c r="GS1299" s="391">
        <f>GR1299*(BA1299+EU1299+EV1299)</f>
        <v>1.9180321699588481</v>
      </c>
      <c r="GT1299" s="446">
        <v>1.2500000000000001E-2</v>
      </c>
      <c r="GU1299" s="391">
        <f>GT1299*(EU1299+BA1299+EV1299)</f>
        <v>0.21795820113168729</v>
      </c>
      <c r="GV1299" s="395">
        <v>0.02</v>
      </c>
      <c r="GW1299" s="391">
        <f>GV1299*(EU1299-EP1299-EQ1299)</f>
        <v>0.14403292181069957</v>
      </c>
      <c r="GX1299" s="391">
        <f t="shared" ref="GX1299:GX1302" si="1356">GS1299+GU1299+GW1299</f>
        <v>2.2800232929012347</v>
      </c>
      <c r="GY1299" s="369" t="s">
        <v>43</v>
      </c>
      <c r="GZ1299" s="369" t="s">
        <v>87</v>
      </c>
      <c r="HA1299" s="391">
        <v>650</v>
      </c>
      <c r="HB1299" s="391">
        <v>450</v>
      </c>
      <c r="HC1299" s="391">
        <v>330</v>
      </c>
      <c r="HD1299" s="391">
        <v>240</v>
      </c>
      <c r="HE1299" s="391">
        <v>2200</v>
      </c>
      <c r="HF1299" s="391">
        <f t="shared" ref="HF1299:HF1302" si="1357">ROUNDUP(HE1299/HD1299,0)</f>
        <v>10</v>
      </c>
      <c r="HG1299" s="391">
        <v>5</v>
      </c>
      <c r="HH1299" s="391">
        <f t="shared" ref="HH1299" si="1358">HF1299*HG1299</f>
        <v>50</v>
      </c>
      <c r="HI1299" s="391">
        <v>650</v>
      </c>
      <c r="HJ1299" s="391">
        <f t="shared" ref="HJ1299" si="1359">HH1299*HI1299</f>
        <v>32500</v>
      </c>
      <c r="HK1299" s="448"/>
      <c r="HL1299" s="391"/>
      <c r="HM1299" s="391">
        <v>2</v>
      </c>
      <c r="HN1299" s="391">
        <f t="shared" ref="HN1299" si="1360">HM1299*12*25*HE1299</f>
        <v>1320000</v>
      </c>
      <c r="HO1299" s="391">
        <f t="shared" ref="HO1299:HO1302" si="1361">(IF(GY1299="carton box",HI1299/HD1299,HJ1299/HN1299))</f>
        <v>2.462121212121212E-2</v>
      </c>
      <c r="HP1299" s="391">
        <v>160</v>
      </c>
      <c r="HQ1299" s="391">
        <v>0</v>
      </c>
      <c r="HR1299" s="391">
        <v>0</v>
      </c>
      <c r="HS1299" s="391">
        <v>0</v>
      </c>
      <c r="HT1299" s="391">
        <f>IF(ISERROR(HR1299/HS1299),0,HR1299/HS1299)</f>
        <v>0</v>
      </c>
      <c r="HU1299" s="447"/>
      <c r="HV1299" s="369">
        <f>ROUNDUP(HO1299+HT1299,2)</f>
        <v>0.03</v>
      </c>
      <c r="HW1299" s="369"/>
      <c r="HX1299" s="391">
        <v>4200</v>
      </c>
      <c r="HY1299" s="391">
        <v>1900</v>
      </c>
      <c r="HZ1299" s="391">
        <v>1975</v>
      </c>
      <c r="IA1299" s="391">
        <f t="shared" ref="IA1299:IC1299" si="1362">ROUNDDOWN(HX1299/HA1299,0)</f>
        <v>6</v>
      </c>
      <c r="IB1299" s="391">
        <f t="shared" si="1362"/>
        <v>4</v>
      </c>
      <c r="IC1299" s="391">
        <f t="shared" si="1362"/>
        <v>5</v>
      </c>
      <c r="ID1299" s="392">
        <v>0.95</v>
      </c>
      <c r="IE1299" s="391">
        <f>PRODUCT(IA1299:ID1299)</f>
        <v>114</v>
      </c>
      <c r="IF1299" s="391">
        <v>500</v>
      </c>
      <c r="IG1299" s="391">
        <f t="shared" ref="IG1299" si="1363">(IF1299/(IE1299*HD1299))</f>
        <v>1.827485380116959E-2</v>
      </c>
    </row>
    <row r="1300" spans="1:300">
      <c r="A1300">
        <v>1283</v>
      </c>
      <c r="B1300" t="s">
        <v>468</v>
      </c>
      <c r="C1300" s="27" t="s">
        <v>617</v>
      </c>
      <c r="D1300" s="28" t="s">
        <v>113</v>
      </c>
      <c r="E1300" s="27" t="s">
        <v>114</v>
      </c>
      <c r="F1300" t="s">
        <v>2182</v>
      </c>
      <c r="G1300" s="27" t="s">
        <v>90</v>
      </c>
      <c r="I1300" s="27" t="s">
        <v>226</v>
      </c>
      <c r="J1300" s="28">
        <v>21590</v>
      </c>
      <c r="K1300" s="27" t="s">
        <v>397</v>
      </c>
      <c r="L1300" s="28">
        <v>20089</v>
      </c>
      <c r="M1300" s="28"/>
      <c r="N1300" s="27" t="s">
        <v>1925</v>
      </c>
      <c r="O1300" s="27" t="s">
        <v>1763</v>
      </c>
      <c r="P1300" s="370">
        <v>44069</v>
      </c>
      <c r="Q1300" s="27" t="s">
        <v>1768</v>
      </c>
      <c r="R1300" s="27" t="s">
        <v>1769</v>
      </c>
      <c r="S1300" s="370">
        <v>43770</v>
      </c>
      <c r="T1300" s="443" t="s">
        <v>4555</v>
      </c>
      <c r="U1300" s="370">
        <v>43782</v>
      </c>
      <c r="V1300" s="369"/>
      <c r="W1300" s="370" t="s">
        <v>4890</v>
      </c>
      <c r="X1300" s="370"/>
      <c r="Y1300" s="370"/>
      <c r="Z1300" s="370"/>
      <c r="AA1300" s="369" t="s">
        <v>126</v>
      </c>
      <c r="AB1300" s="369">
        <v>93.62</v>
      </c>
      <c r="AC1300" s="391">
        <v>20</v>
      </c>
      <c r="AD1300" s="369" t="s">
        <v>1948</v>
      </c>
      <c r="AE1300" s="391">
        <f t="shared" si="1340"/>
        <v>10.235010000000001</v>
      </c>
      <c r="AF1300" s="391">
        <f>DU1300+DZ1300+EE1300</f>
        <v>0</v>
      </c>
      <c r="AG1300" s="391">
        <f>EU1300+FA1300</f>
        <v>7.2016460905349788</v>
      </c>
      <c r="AH1300" s="391">
        <f t="shared" si="1341"/>
        <v>0</v>
      </c>
      <c r="AI1300" s="391">
        <f t="shared" si="1342"/>
        <v>0</v>
      </c>
      <c r="AJ1300" s="391">
        <f t="shared" si="1343"/>
        <v>0.14403292181069957</v>
      </c>
      <c r="AK1300" s="391">
        <f t="shared" si="1344"/>
        <v>0.21795820113168729</v>
      </c>
      <c r="AL1300" s="391">
        <f t="shared" si="1345"/>
        <v>1.9180321699588481</v>
      </c>
      <c r="AM1300" s="391">
        <f t="shared" si="1346"/>
        <v>0.30075757575757578</v>
      </c>
      <c r="AN1300" s="391">
        <f t="shared" si="1347"/>
        <v>0</v>
      </c>
      <c r="AO1300" s="369"/>
      <c r="AP1300" s="369"/>
      <c r="AQ1300" s="391">
        <f t="shared" ref="AQ1300" si="1364">SUM(AE1300:AO1300)</f>
        <v>20.017436959193791</v>
      </c>
      <c r="AR1300" s="391">
        <f t="shared" si="1349"/>
        <v>0</v>
      </c>
      <c r="AS1300" s="391">
        <v>0</v>
      </c>
      <c r="AT1300" s="391">
        <v>0</v>
      </c>
      <c r="AU1300" s="391">
        <v>0</v>
      </c>
      <c r="AV1300" s="391">
        <f t="shared" si="1350"/>
        <v>20.017436959193791</v>
      </c>
      <c r="AW1300" s="391">
        <v>0.1105</v>
      </c>
      <c r="AX1300" s="391">
        <v>0.105</v>
      </c>
      <c r="AY1300" s="392">
        <v>1</v>
      </c>
      <c r="AZ1300" s="391">
        <f t="shared" si="1351"/>
        <v>5.5000000000000049E-3</v>
      </c>
      <c r="BA1300" s="391">
        <f t="shared" si="1352"/>
        <v>10.235010000000001</v>
      </c>
      <c r="BB1300" s="391"/>
      <c r="BC1300" s="391"/>
      <c r="BD1300" s="391"/>
      <c r="BE1300" s="391"/>
      <c r="BF1300" s="391"/>
      <c r="BG1300" s="391"/>
      <c r="BH1300" s="391"/>
      <c r="BI1300" s="391"/>
      <c r="BJ1300" s="445"/>
      <c r="BK1300" s="369"/>
      <c r="BL1300" s="369"/>
      <c r="BM1300" s="369"/>
      <c r="BN1300" s="369"/>
      <c r="BO1300" s="369"/>
      <c r="BP1300" s="369"/>
      <c r="BQ1300" s="369"/>
      <c r="BR1300" s="369"/>
      <c r="BS1300" s="369"/>
      <c r="BT1300" s="369"/>
      <c r="BU1300" s="369"/>
      <c r="BV1300" s="369"/>
      <c r="BW1300" s="369"/>
      <c r="BX1300" s="369"/>
      <c r="BY1300" s="369"/>
      <c r="BZ1300" s="369"/>
      <c r="CA1300" s="369"/>
      <c r="CB1300" s="369"/>
      <c r="CC1300" s="369"/>
      <c r="CD1300" s="369"/>
      <c r="CE1300" s="369"/>
      <c r="CF1300" s="369"/>
      <c r="CG1300" s="369"/>
      <c r="CH1300" s="369"/>
      <c r="CI1300" s="369"/>
      <c r="CJ1300" s="369"/>
      <c r="CK1300" s="369"/>
      <c r="CL1300" s="369"/>
      <c r="CM1300" s="369"/>
      <c r="CN1300" s="369"/>
      <c r="CO1300" s="369"/>
      <c r="CP1300" s="369"/>
      <c r="CQ1300" s="369"/>
      <c r="CR1300" s="369"/>
      <c r="CS1300" s="369"/>
      <c r="CT1300" s="369"/>
      <c r="CU1300" s="369"/>
      <c r="CV1300" s="369"/>
      <c r="CW1300" s="369"/>
      <c r="CX1300" s="369"/>
      <c r="CY1300" s="369"/>
      <c r="CZ1300" s="369"/>
      <c r="DA1300" s="369"/>
      <c r="DB1300" s="369"/>
      <c r="DC1300" s="369"/>
      <c r="DD1300" s="369"/>
      <c r="DE1300" s="369"/>
      <c r="DF1300" s="369"/>
      <c r="DG1300" s="369"/>
      <c r="DH1300" s="369"/>
      <c r="DI1300" s="369"/>
      <c r="DJ1300" s="369"/>
      <c r="DK1300" s="369"/>
      <c r="DL1300" s="369"/>
      <c r="DM1300" s="369"/>
      <c r="DN1300" s="445"/>
      <c r="DO1300" s="369"/>
      <c r="DP1300" s="369"/>
      <c r="DQ1300" s="369"/>
      <c r="DR1300" s="369"/>
      <c r="DS1300" s="369"/>
      <c r="DT1300" s="369"/>
      <c r="DU1300" s="369"/>
      <c r="DV1300" s="369"/>
      <c r="DW1300" s="369"/>
      <c r="DX1300" s="369"/>
      <c r="DY1300" s="369"/>
      <c r="DZ1300" s="369"/>
      <c r="EA1300" s="369"/>
      <c r="EB1300" s="369"/>
      <c r="EC1300" s="369"/>
      <c r="ED1300" s="369"/>
      <c r="EE1300" s="369"/>
      <c r="EF1300" s="369">
        <v>250</v>
      </c>
      <c r="EG1300" s="369">
        <v>2500</v>
      </c>
      <c r="EH1300" s="369">
        <v>7.5</v>
      </c>
      <c r="EI1300" s="395">
        <v>0.9</v>
      </c>
      <c r="EJ1300" s="369">
        <v>1</v>
      </c>
      <c r="EK1300" s="369">
        <v>70</v>
      </c>
      <c r="EL1300" s="396">
        <f t="shared" si="1353"/>
        <v>347.14285714285717</v>
      </c>
      <c r="EM1300" s="369"/>
      <c r="EN1300" s="369"/>
      <c r="EO1300" s="369"/>
      <c r="EP1300" s="369"/>
      <c r="EQ1300" s="369"/>
      <c r="ER1300" s="369"/>
      <c r="ES1300" s="369"/>
      <c r="ET1300" s="369"/>
      <c r="EU1300" s="391">
        <f t="shared" si="1354"/>
        <v>7.2016460905349788</v>
      </c>
      <c r="EV1300" s="369"/>
      <c r="EW1300" s="369"/>
      <c r="EX1300" s="369"/>
      <c r="EY1300" s="369"/>
      <c r="EZ1300" s="369"/>
      <c r="FA1300" s="391">
        <f t="shared" si="1355"/>
        <v>0</v>
      </c>
      <c r="FB1300" s="369"/>
      <c r="FC1300" s="369"/>
      <c r="FD1300" s="369"/>
      <c r="FE1300" s="392"/>
      <c r="FF1300" s="369"/>
      <c r="FG1300" s="369"/>
      <c r="FH1300" s="369"/>
      <c r="FI1300" s="369"/>
      <c r="FJ1300" s="369"/>
      <c r="FK1300" s="369"/>
      <c r="FL1300" s="369"/>
      <c r="FM1300" s="369"/>
      <c r="FN1300" s="369"/>
      <c r="FO1300" s="369"/>
      <c r="FP1300" s="369"/>
      <c r="FQ1300" s="369"/>
      <c r="FR1300" s="369"/>
      <c r="FS1300" s="369"/>
      <c r="FT1300" s="369"/>
      <c r="FU1300" s="369"/>
      <c r="FV1300" s="369"/>
      <c r="FW1300" s="369"/>
      <c r="FX1300" s="369"/>
      <c r="FY1300" s="369"/>
      <c r="FZ1300" s="369"/>
      <c r="GA1300" s="369"/>
      <c r="GB1300" s="369"/>
      <c r="GC1300" s="369"/>
      <c r="GD1300" s="369"/>
      <c r="GE1300" s="369"/>
      <c r="GF1300" s="369"/>
      <c r="GG1300" s="369"/>
      <c r="GH1300" s="369"/>
      <c r="GI1300" s="369"/>
      <c r="GJ1300" s="369"/>
      <c r="GK1300" s="369"/>
      <c r="GL1300" s="369"/>
      <c r="GM1300" s="369"/>
      <c r="GN1300" s="392"/>
      <c r="GO1300" s="369"/>
      <c r="GP1300" s="392"/>
      <c r="GQ1300" s="369"/>
      <c r="GR1300" s="392">
        <v>0.11</v>
      </c>
      <c r="GS1300" s="391">
        <f>GR1300*(BA1300+EU1300+EV1300)</f>
        <v>1.9180321699588481</v>
      </c>
      <c r="GT1300" s="446">
        <v>1.2500000000000001E-2</v>
      </c>
      <c r="GU1300" s="391">
        <f>GT1300*(EU1300+BA1300+EV1300)</f>
        <v>0.21795820113168729</v>
      </c>
      <c r="GV1300" s="395">
        <v>0.02</v>
      </c>
      <c r="GW1300" s="391">
        <f>GV1300*(EU1300-EP1300-EQ1300)</f>
        <v>0.14403292181069957</v>
      </c>
      <c r="GX1300" s="391">
        <f t="shared" si="1356"/>
        <v>2.2800232929012347</v>
      </c>
      <c r="GY1300" s="369" t="s">
        <v>1800</v>
      </c>
      <c r="GZ1300" s="369" t="s">
        <v>1800</v>
      </c>
      <c r="HA1300" s="391"/>
      <c r="HB1300" s="391"/>
      <c r="HC1300" s="391"/>
      <c r="HD1300" s="391">
        <v>132</v>
      </c>
      <c r="HE1300" s="391">
        <v>800</v>
      </c>
      <c r="HF1300" s="391">
        <f t="shared" si="1357"/>
        <v>7</v>
      </c>
      <c r="HG1300" s="391"/>
      <c r="HH1300" s="391"/>
      <c r="HI1300" s="391">
        <v>39.700000000000003</v>
      </c>
      <c r="HJ1300" s="391"/>
      <c r="HK1300" s="448"/>
      <c r="HL1300" s="391"/>
      <c r="HM1300" s="391"/>
      <c r="HN1300" s="391"/>
      <c r="HO1300" s="391">
        <f t="shared" si="1361"/>
        <v>0.30075757575757578</v>
      </c>
      <c r="HP1300" s="369"/>
      <c r="HQ1300" s="369"/>
      <c r="HR1300" s="369"/>
      <c r="HS1300" s="369"/>
      <c r="HT1300" s="369"/>
      <c r="HU1300" s="447"/>
      <c r="HV1300" s="391">
        <f>HO1300+HT1300</f>
        <v>0.30075757575757578</v>
      </c>
      <c r="HW1300" s="369"/>
      <c r="HX1300" s="391"/>
      <c r="HY1300" s="391"/>
      <c r="HZ1300" s="391"/>
      <c r="IA1300" s="391"/>
      <c r="IB1300" s="391"/>
      <c r="IC1300" s="391"/>
      <c r="ID1300" s="392"/>
      <c r="IE1300" s="369"/>
      <c r="IF1300" s="369"/>
      <c r="IG1300" s="369"/>
    </row>
    <row r="1301" spans="1:300">
      <c r="A1301">
        <v>1284</v>
      </c>
      <c r="B1301" t="s">
        <v>468</v>
      </c>
      <c r="C1301" s="454" t="s">
        <v>1870</v>
      </c>
      <c r="D1301" s="28" t="s">
        <v>115</v>
      </c>
      <c r="E1301" s="27" t="s">
        <v>116</v>
      </c>
      <c r="G1301" s="27" t="s">
        <v>90</v>
      </c>
      <c r="I1301" s="27" t="s">
        <v>121</v>
      </c>
      <c r="J1301" s="28">
        <v>21697</v>
      </c>
      <c r="K1301" s="27" t="s">
        <v>227</v>
      </c>
      <c r="L1301" s="28">
        <v>20089</v>
      </c>
      <c r="M1301" s="28"/>
      <c r="N1301" s="28"/>
      <c r="O1301" s="28"/>
      <c r="P1301" s="442"/>
      <c r="Q1301" s="27" t="s">
        <v>1768</v>
      </c>
      <c r="R1301" s="27" t="s">
        <v>1769</v>
      </c>
      <c r="S1301" s="370">
        <v>43770</v>
      </c>
      <c r="T1301" s="443" t="s">
        <v>4555</v>
      </c>
      <c r="U1301" s="370">
        <v>43782</v>
      </c>
      <c r="V1301" s="369"/>
      <c r="W1301" s="370" t="s">
        <v>4891</v>
      </c>
      <c r="X1301" s="370"/>
      <c r="Y1301" s="370"/>
      <c r="Z1301" s="370"/>
      <c r="AA1301" s="369" t="s">
        <v>126</v>
      </c>
      <c r="AB1301" s="369">
        <v>93.62</v>
      </c>
      <c r="AC1301" s="391">
        <v>20</v>
      </c>
      <c r="AD1301" s="369" t="s">
        <v>1948</v>
      </c>
      <c r="AE1301" s="391">
        <f t="shared" si="1340"/>
        <v>7.7072700000000003</v>
      </c>
      <c r="AF1301" s="391">
        <f>DU1301+DZ1301+EE1301</f>
        <v>6.6913122530864193</v>
      </c>
      <c r="AG1301" s="391">
        <f>EU1301+FA1301</f>
        <v>4.4444444444444446</v>
      </c>
      <c r="AH1301" s="391">
        <f t="shared" si="1341"/>
        <v>0</v>
      </c>
      <c r="AI1301" s="391">
        <f t="shared" si="1342"/>
        <v>0</v>
      </c>
      <c r="AJ1301" s="391">
        <f t="shared" si="1343"/>
        <v>8.8888888888888892E-2</v>
      </c>
      <c r="AK1301" s="391">
        <f t="shared" si="1344"/>
        <v>0.15189643055555557</v>
      </c>
      <c r="AL1301" s="391">
        <f t="shared" si="1345"/>
        <v>1.3366885888888889</v>
      </c>
      <c r="AM1301" s="391">
        <f t="shared" si="1346"/>
        <v>0.03</v>
      </c>
      <c r="AN1301" s="391">
        <f t="shared" si="1347"/>
        <v>1.827485380116959E-2</v>
      </c>
      <c r="AO1301" s="369"/>
      <c r="AP1301" s="369"/>
      <c r="AQ1301" s="391">
        <f t="shared" ref="AQ1301" si="1365">SUM(AE1301:AO1301)</f>
        <v>20.468775459665373</v>
      </c>
      <c r="AR1301" s="391">
        <f t="shared" si="1349"/>
        <v>0</v>
      </c>
      <c r="AS1301" s="391">
        <v>0</v>
      </c>
      <c r="AT1301" s="391">
        <v>0</v>
      </c>
      <c r="AU1301" s="369">
        <f>20.55-20.47</f>
        <v>8.0000000000001847E-2</v>
      </c>
      <c r="AV1301" s="391">
        <f t="shared" si="1350"/>
        <v>20.548775459665375</v>
      </c>
      <c r="AW1301" s="391">
        <v>8.3500000000000005E-2</v>
      </c>
      <c r="AX1301" s="391">
        <v>7.8E-2</v>
      </c>
      <c r="AY1301" s="392">
        <v>1</v>
      </c>
      <c r="AZ1301" s="391">
        <f t="shared" si="1351"/>
        <v>5.5000000000000049E-3</v>
      </c>
      <c r="BA1301" s="391">
        <f t="shared" si="1352"/>
        <v>7.7072700000000003</v>
      </c>
      <c r="BB1301" s="391"/>
      <c r="BC1301" s="391"/>
      <c r="BD1301" s="391"/>
      <c r="BE1301" s="391"/>
      <c r="BF1301" s="391"/>
      <c r="BG1301" s="391"/>
      <c r="BH1301" s="391"/>
      <c r="BI1301" s="391"/>
      <c r="BJ1301" s="445"/>
      <c r="BK1301" s="369"/>
      <c r="BL1301" s="369"/>
      <c r="BM1301" s="369"/>
      <c r="BN1301" s="369"/>
      <c r="BO1301" s="369"/>
      <c r="BP1301" s="369"/>
      <c r="BQ1301" s="369"/>
      <c r="BR1301" s="369"/>
      <c r="BS1301" s="369"/>
      <c r="BT1301" s="369"/>
      <c r="BU1301" s="369"/>
      <c r="BV1301" s="369"/>
      <c r="BW1301" s="369"/>
      <c r="BX1301" s="369"/>
      <c r="BY1301" s="369"/>
      <c r="BZ1301" s="369"/>
      <c r="CA1301" s="369"/>
      <c r="CB1301" s="369"/>
      <c r="CC1301" s="369"/>
      <c r="CD1301" s="369"/>
      <c r="CE1301" s="369"/>
      <c r="CF1301" s="369"/>
      <c r="CG1301" s="369"/>
      <c r="CH1301" s="369"/>
      <c r="CI1301" s="369"/>
      <c r="CJ1301" s="369"/>
      <c r="CK1301" s="369"/>
      <c r="CL1301" s="369"/>
      <c r="CM1301" s="369"/>
      <c r="CN1301" s="369"/>
      <c r="CO1301" s="369"/>
      <c r="CP1301" s="369"/>
      <c r="CQ1301" s="369"/>
      <c r="CR1301" s="369"/>
      <c r="CS1301" s="369"/>
      <c r="CT1301" s="369"/>
      <c r="CU1301" s="369"/>
      <c r="CV1301" s="369"/>
      <c r="CW1301" s="369"/>
      <c r="CX1301" s="369"/>
      <c r="CY1301" s="369"/>
      <c r="CZ1301" s="369"/>
      <c r="DA1301" s="369"/>
      <c r="DB1301" s="369"/>
      <c r="DC1301" s="369"/>
      <c r="DD1301" s="369"/>
      <c r="DE1301" s="369"/>
      <c r="DF1301" s="369"/>
      <c r="DG1301" s="369"/>
      <c r="DH1301" s="369"/>
      <c r="DI1301" s="369"/>
      <c r="DJ1301" s="369"/>
      <c r="DK1301" s="369"/>
      <c r="DL1301" s="369"/>
      <c r="DM1301" s="369"/>
      <c r="DN1301" s="445"/>
      <c r="DO1301" s="369"/>
      <c r="DP1301" s="369"/>
      <c r="DQ1301" s="369" t="s">
        <v>2020</v>
      </c>
      <c r="DR1301" s="369" t="s">
        <v>2021</v>
      </c>
      <c r="DS1301" s="391">
        <v>1</v>
      </c>
      <c r="DT1301" s="391">
        <f>KN1301</f>
        <v>6.6913122530864193</v>
      </c>
      <c r="DU1301" s="391">
        <f>DS1301*DT1301</f>
        <v>6.6913122530864193</v>
      </c>
      <c r="DV1301" s="369"/>
      <c r="DW1301" s="369"/>
      <c r="DX1301" s="369"/>
      <c r="DY1301" s="369"/>
      <c r="DZ1301" s="369"/>
      <c r="EA1301" s="369"/>
      <c r="EB1301" s="369"/>
      <c r="EC1301" s="369"/>
      <c r="ED1301" s="369"/>
      <c r="EE1301" s="369"/>
      <c r="EF1301" s="369">
        <v>180</v>
      </c>
      <c r="EG1301" s="369">
        <v>1800</v>
      </c>
      <c r="EH1301" s="369">
        <v>7.5</v>
      </c>
      <c r="EI1301" s="395">
        <v>0.9</v>
      </c>
      <c r="EJ1301" s="369">
        <v>1</v>
      </c>
      <c r="EK1301" s="369">
        <v>60</v>
      </c>
      <c r="EL1301" s="369">
        <f t="shared" si="1353"/>
        <v>405</v>
      </c>
      <c r="EM1301" s="369"/>
      <c r="EN1301" s="369"/>
      <c r="EO1301" s="369"/>
      <c r="EP1301" s="369"/>
      <c r="EQ1301" s="369"/>
      <c r="ER1301" s="369"/>
      <c r="ES1301" s="369"/>
      <c r="ET1301" s="369"/>
      <c r="EU1301" s="391">
        <f t="shared" si="1354"/>
        <v>4.4444444444444446</v>
      </c>
      <c r="EV1301" s="369"/>
      <c r="EW1301" s="369"/>
      <c r="EX1301" s="369"/>
      <c r="EY1301" s="369"/>
      <c r="EZ1301" s="369"/>
      <c r="FA1301" s="391">
        <f t="shared" si="1355"/>
        <v>0</v>
      </c>
      <c r="FB1301" s="369"/>
      <c r="FC1301" s="369"/>
      <c r="FD1301" s="369"/>
      <c r="FE1301" s="392"/>
      <c r="FF1301" s="369"/>
      <c r="FG1301" s="369"/>
      <c r="FH1301" s="369"/>
      <c r="FI1301" s="369"/>
      <c r="FJ1301" s="369"/>
      <c r="FK1301" s="369"/>
      <c r="FL1301" s="369"/>
      <c r="FM1301" s="369"/>
      <c r="FN1301" s="369"/>
      <c r="FO1301" s="369"/>
      <c r="FP1301" s="369"/>
      <c r="FQ1301" s="369"/>
      <c r="FR1301" s="369"/>
      <c r="FS1301" s="369"/>
      <c r="FT1301" s="369"/>
      <c r="FU1301" s="369"/>
      <c r="FV1301" s="369"/>
      <c r="FW1301" s="369"/>
      <c r="FX1301" s="369"/>
      <c r="FY1301" s="369"/>
      <c r="FZ1301" s="369"/>
      <c r="GA1301" s="369"/>
      <c r="GB1301" s="369"/>
      <c r="GC1301" s="369"/>
      <c r="GD1301" s="369"/>
      <c r="GE1301" s="369"/>
      <c r="GF1301" s="369"/>
      <c r="GG1301" s="369"/>
      <c r="GH1301" s="369"/>
      <c r="GI1301" s="369"/>
      <c r="GJ1301" s="369"/>
      <c r="GK1301" s="369"/>
      <c r="GL1301" s="369"/>
      <c r="GM1301" s="369"/>
      <c r="GN1301" s="392"/>
      <c r="GO1301" s="369"/>
      <c r="GP1301" s="392"/>
      <c r="GQ1301" s="369"/>
      <c r="GR1301" s="392">
        <v>0.11</v>
      </c>
      <c r="GS1301" s="391">
        <f>GR1301*(BA1301+EU1301+EV1301)</f>
        <v>1.3366885888888889</v>
      </c>
      <c r="GT1301" s="446">
        <v>1.2500000000000001E-2</v>
      </c>
      <c r="GU1301" s="391">
        <f>GT1301*(EU1301+BA1301+EV1301)</f>
        <v>0.15189643055555557</v>
      </c>
      <c r="GV1301" s="395">
        <v>0.02</v>
      </c>
      <c r="GW1301" s="391">
        <f>GV1301*(EU1301-EP1301-EQ1301)</f>
        <v>8.8888888888888892E-2</v>
      </c>
      <c r="GX1301" s="391">
        <f t="shared" si="1356"/>
        <v>1.5774739083333331</v>
      </c>
      <c r="GY1301" s="369" t="s">
        <v>43</v>
      </c>
      <c r="GZ1301" s="369" t="s">
        <v>87</v>
      </c>
      <c r="HA1301" s="391">
        <v>650</v>
      </c>
      <c r="HB1301" s="391">
        <v>450</v>
      </c>
      <c r="HC1301" s="391">
        <v>330</v>
      </c>
      <c r="HD1301" s="391">
        <v>240</v>
      </c>
      <c r="HE1301" s="391">
        <v>2200</v>
      </c>
      <c r="HF1301" s="391">
        <f t="shared" si="1357"/>
        <v>10</v>
      </c>
      <c r="HG1301" s="391">
        <v>5</v>
      </c>
      <c r="HH1301" s="391">
        <f t="shared" ref="HH1301" si="1366">HF1301*HG1301</f>
        <v>50</v>
      </c>
      <c r="HI1301" s="391">
        <v>650</v>
      </c>
      <c r="HJ1301" s="391">
        <f t="shared" ref="HJ1301" si="1367">HH1301*HI1301</f>
        <v>32500</v>
      </c>
      <c r="HK1301" s="448"/>
      <c r="HL1301" s="391"/>
      <c r="HM1301" s="391">
        <v>2</v>
      </c>
      <c r="HN1301" s="391">
        <f t="shared" ref="HN1301" si="1368">HM1301*12*25*HE1301</f>
        <v>1320000</v>
      </c>
      <c r="HO1301" s="391">
        <f t="shared" si="1361"/>
        <v>2.462121212121212E-2</v>
      </c>
      <c r="HP1301" s="391">
        <v>160</v>
      </c>
      <c r="HQ1301" s="391">
        <v>0</v>
      </c>
      <c r="HR1301" s="391">
        <v>0</v>
      </c>
      <c r="HS1301" s="391">
        <v>0</v>
      </c>
      <c r="HT1301" s="391">
        <f>IF(ISERROR(HR1301/HS1301),0,HR1301/HS1301)</f>
        <v>0</v>
      </c>
      <c r="HU1301" s="447"/>
      <c r="HV1301" s="369">
        <f>ROUNDUP(HO1301+HT1301,2)</f>
        <v>0.03</v>
      </c>
      <c r="HW1301" s="369"/>
      <c r="HX1301" s="391">
        <v>4200</v>
      </c>
      <c r="HY1301" s="391">
        <v>1900</v>
      </c>
      <c r="HZ1301" s="391">
        <v>1975</v>
      </c>
      <c r="IA1301" s="391">
        <f t="shared" ref="IA1301:IC1301" si="1369">ROUNDDOWN(HX1301/HA1301,0)</f>
        <v>6</v>
      </c>
      <c r="IB1301" s="391">
        <f t="shared" si="1369"/>
        <v>4</v>
      </c>
      <c r="IC1301" s="391">
        <f t="shared" si="1369"/>
        <v>5</v>
      </c>
      <c r="ID1301" s="392">
        <v>0.95</v>
      </c>
      <c r="IE1301" s="391">
        <f>PRODUCT(IA1301:ID1301)</f>
        <v>114</v>
      </c>
      <c r="IF1301" s="391">
        <v>500</v>
      </c>
      <c r="IG1301" s="391">
        <f t="shared" ref="IG1301" si="1370">(IF1301/(IE1301*HD1301))</f>
        <v>1.827485380116959E-2</v>
      </c>
      <c r="IH1301" s="369"/>
      <c r="II1301" s="392"/>
      <c r="IJ1301" s="369"/>
      <c r="IK1301" s="369" t="s">
        <v>1945</v>
      </c>
      <c r="IL1301" s="391">
        <v>190.5</v>
      </c>
      <c r="IM1301" s="391">
        <v>20</v>
      </c>
      <c r="IN1301" s="369" t="s">
        <v>1948</v>
      </c>
      <c r="IO1301" s="391">
        <v>2.5999999999999999E-2</v>
      </c>
      <c r="IP1301" s="391">
        <v>2.3E-2</v>
      </c>
      <c r="IQ1301" s="392">
        <v>1</v>
      </c>
      <c r="IR1301" s="391">
        <f>(IO1301-IP1301)*IQ1301</f>
        <v>2.9999999999999992E-3</v>
      </c>
      <c r="IS1301" s="391">
        <f>IO1301*IL1301-IR1301*IM1301</f>
        <v>4.8929999999999998</v>
      </c>
      <c r="IT1301" s="369"/>
      <c r="IU1301" s="369"/>
      <c r="IV1301" s="369"/>
      <c r="IW1301" s="369"/>
      <c r="IX1301" s="369"/>
      <c r="IY1301" s="369"/>
      <c r="IZ1301" s="369"/>
      <c r="JA1301" s="369"/>
      <c r="JB1301" s="369"/>
      <c r="JC1301" s="369"/>
      <c r="JD1301" s="369"/>
      <c r="JE1301" s="369"/>
      <c r="JF1301" s="369"/>
      <c r="JG1301" s="369"/>
      <c r="JH1301" s="369"/>
      <c r="JI1301" s="369"/>
      <c r="JJ1301" s="369"/>
      <c r="JK1301" s="369"/>
      <c r="JL1301" s="369"/>
      <c r="JM1301" s="369"/>
      <c r="JN1301" s="369"/>
      <c r="JO1301" s="369"/>
      <c r="JP1301" s="369"/>
      <c r="JQ1301" s="391">
        <f>JP1301+JK1301+JF1301+JA1301+IV1301</f>
        <v>0</v>
      </c>
      <c r="JR1301" s="445">
        <v>1.2500000000000001E-2</v>
      </c>
      <c r="JS1301" s="391">
        <f>JR1301*JQ1301</f>
        <v>0</v>
      </c>
      <c r="JT1301" s="391">
        <f>JS1301+JQ1301</f>
        <v>0</v>
      </c>
      <c r="JU1301" s="391">
        <v>150</v>
      </c>
      <c r="JV1301" s="391">
        <v>1500</v>
      </c>
      <c r="JW1301" s="391">
        <v>7.5</v>
      </c>
      <c r="JX1301" s="392">
        <v>0.9</v>
      </c>
      <c r="JY1301" s="391">
        <v>4</v>
      </c>
      <c r="JZ1301" s="391">
        <v>68</v>
      </c>
      <c r="KA1301" s="391">
        <f>3600/JZ1301*JY1301*JX1301*JW1301</f>
        <v>1429.4117647058824</v>
      </c>
      <c r="KB1301" s="396"/>
      <c r="KC1301" s="391">
        <f>JV1301/KA1301+KD1301</f>
        <v>1.0493827160493827</v>
      </c>
      <c r="KD1301" s="391">
        <v>0</v>
      </c>
      <c r="KE1301" s="392">
        <v>0.11</v>
      </c>
      <c r="KF1301" s="391">
        <f>KE1301*(KC1301+IS1301)</f>
        <v>0.65366209876543213</v>
      </c>
      <c r="KG1301" s="445">
        <v>1.2500000000000001E-2</v>
      </c>
      <c r="KH1301" s="391">
        <f>KG1301*(KC1301+IS1301)</f>
        <v>7.4279783950617281E-2</v>
      </c>
      <c r="KI1301" s="392">
        <v>0.02</v>
      </c>
      <c r="KJ1301" s="391">
        <f>KI1301*KC1301</f>
        <v>2.0987654320987655E-2</v>
      </c>
      <c r="KK1301" s="391"/>
      <c r="KL1301" s="391"/>
      <c r="KM1301" s="391"/>
      <c r="KN1301" s="391">
        <f>IS1301+JQ1301+JS1301+KC1301+KF1301+KH1301+KJ1301</f>
        <v>6.6913122530864193</v>
      </c>
    </row>
    <row r="1302" spans="1:300" ht="25.5">
      <c r="A1302">
        <v>1285</v>
      </c>
      <c r="B1302" t="s">
        <v>468</v>
      </c>
      <c r="C1302" s="454" t="s">
        <v>1870</v>
      </c>
      <c r="D1302" s="28" t="s">
        <v>115</v>
      </c>
      <c r="E1302" s="27" t="s">
        <v>116</v>
      </c>
      <c r="G1302" s="27" t="s">
        <v>90</v>
      </c>
      <c r="I1302" s="27" t="s">
        <v>226</v>
      </c>
      <c r="J1302" s="28">
        <v>21590</v>
      </c>
      <c r="K1302" s="27" t="s">
        <v>397</v>
      </c>
      <c r="L1302" s="28">
        <v>20089</v>
      </c>
      <c r="M1302" s="28"/>
      <c r="N1302" s="27" t="s">
        <v>1925</v>
      </c>
      <c r="O1302" s="27" t="s">
        <v>1763</v>
      </c>
      <c r="P1302" s="370">
        <v>44069</v>
      </c>
      <c r="Q1302" s="27" t="s">
        <v>1768</v>
      </c>
      <c r="R1302" s="27" t="s">
        <v>1769</v>
      </c>
      <c r="S1302" s="370">
        <v>43770</v>
      </c>
      <c r="T1302" s="443" t="s">
        <v>4555</v>
      </c>
      <c r="U1302" s="370">
        <v>43782</v>
      </c>
      <c r="V1302" s="369"/>
      <c r="W1302" s="444" t="s">
        <v>4892</v>
      </c>
      <c r="X1302" s="444"/>
      <c r="Y1302" s="444"/>
      <c r="Z1302" s="444"/>
      <c r="AA1302" s="369" t="s">
        <v>126</v>
      </c>
      <c r="AB1302" s="369">
        <v>93.62</v>
      </c>
      <c r="AC1302" s="391">
        <v>20</v>
      </c>
      <c r="AD1302" s="369" t="s">
        <v>1948</v>
      </c>
      <c r="AE1302" s="391">
        <f t="shared" si="1340"/>
        <v>7.7072700000000003</v>
      </c>
      <c r="AF1302" s="391">
        <f>DU1302+DZ1302+EE1302</f>
        <v>6.6913122530864193</v>
      </c>
      <c r="AG1302" s="391">
        <f>EU1302+FA1302</f>
        <v>4.4444444444444446</v>
      </c>
      <c r="AH1302" s="391">
        <f t="shared" si="1341"/>
        <v>0</v>
      </c>
      <c r="AI1302" s="391">
        <f t="shared" si="1342"/>
        <v>0</v>
      </c>
      <c r="AJ1302" s="391">
        <f t="shared" si="1343"/>
        <v>8.8888888888888892E-2</v>
      </c>
      <c r="AK1302" s="391">
        <f t="shared" si="1344"/>
        <v>0.15189643055555557</v>
      </c>
      <c r="AL1302" s="391">
        <f t="shared" si="1345"/>
        <v>1.3366885888888889</v>
      </c>
      <c r="AM1302" s="391">
        <f t="shared" si="1346"/>
        <v>0.30075757575757578</v>
      </c>
      <c r="AN1302" s="391">
        <f t="shared" si="1347"/>
        <v>0</v>
      </c>
      <c r="AO1302" s="369"/>
      <c r="AP1302" s="369"/>
      <c r="AQ1302" s="391">
        <f t="shared" ref="AQ1302" si="1371">SUM(AE1302:AO1302)</f>
        <v>20.721258181621778</v>
      </c>
      <c r="AR1302" s="391">
        <f t="shared" si="1349"/>
        <v>0</v>
      </c>
      <c r="AS1302" s="391">
        <v>0</v>
      </c>
      <c r="AT1302" s="391">
        <v>0</v>
      </c>
      <c r="AU1302" s="369">
        <f>20.8-20.72</f>
        <v>8.0000000000001847E-2</v>
      </c>
      <c r="AV1302" s="391">
        <f t="shared" si="1350"/>
        <v>20.80125818162178</v>
      </c>
      <c r="AW1302" s="391">
        <v>8.3500000000000005E-2</v>
      </c>
      <c r="AX1302" s="391">
        <v>7.8E-2</v>
      </c>
      <c r="AY1302" s="392">
        <v>1</v>
      </c>
      <c r="AZ1302" s="391">
        <f t="shared" si="1351"/>
        <v>5.5000000000000049E-3</v>
      </c>
      <c r="BA1302" s="391">
        <f t="shared" si="1352"/>
        <v>7.7072700000000003</v>
      </c>
      <c r="BB1302" s="391"/>
      <c r="BC1302" s="391"/>
      <c r="BD1302" s="391"/>
      <c r="BE1302" s="391"/>
      <c r="BF1302" s="391"/>
      <c r="BG1302" s="391"/>
      <c r="BH1302" s="391"/>
      <c r="BI1302" s="391"/>
      <c r="BJ1302" s="445"/>
      <c r="BK1302" s="369"/>
      <c r="BL1302" s="369"/>
      <c r="BM1302" s="369"/>
      <c r="BN1302" s="369"/>
      <c r="BO1302" s="369"/>
      <c r="BP1302" s="369"/>
      <c r="BQ1302" s="369"/>
      <c r="BR1302" s="369"/>
      <c r="BS1302" s="369"/>
      <c r="BT1302" s="369"/>
      <c r="BU1302" s="369"/>
      <c r="BV1302" s="369"/>
      <c r="BW1302" s="369"/>
      <c r="BX1302" s="369"/>
      <c r="BY1302" s="369"/>
      <c r="BZ1302" s="369"/>
      <c r="CA1302" s="369"/>
      <c r="CB1302" s="369"/>
      <c r="CC1302" s="369"/>
      <c r="CD1302" s="369"/>
      <c r="CE1302" s="369"/>
      <c r="CF1302" s="369"/>
      <c r="CG1302" s="369"/>
      <c r="CH1302" s="369"/>
      <c r="CI1302" s="369"/>
      <c r="CJ1302" s="369"/>
      <c r="CK1302" s="369"/>
      <c r="CL1302" s="369"/>
      <c r="CM1302" s="369"/>
      <c r="CN1302" s="369"/>
      <c r="CO1302" s="369"/>
      <c r="CP1302" s="369"/>
      <c r="CQ1302" s="369"/>
      <c r="CR1302" s="369"/>
      <c r="CS1302" s="369"/>
      <c r="CT1302" s="369"/>
      <c r="CU1302" s="369"/>
      <c r="CV1302" s="369"/>
      <c r="CW1302" s="369"/>
      <c r="CX1302" s="369"/>
      <c r="CY1302" s="369"/>
      <c r="CZ1302" s="369"/>
      <c r="DA1302" s="369"/>
      <c r="DB1302" s="369"/>
      <c r="DC1302" s="369"/>
      <c r="DD1302" s="369"/>
      <c r="DE1302" s="369"/>
      <c r="DF1302" s="369"/>
      <c r="DG1302" s="369"/>
      <c r="DH1302" s="369"/>
      <c r="DI1302" s="369"/>
      <c r="DJ1302" s="369"/>
      <c r="DK1302" s="369"/>
      <c r="DL1302" s="369"/>
      <c r="DM1302" s="369"/>
      <c r="DN1302" s="445"/>
      <c r="DO1302" s="369"/>
      <c r="DP1302" s="369"/>
      <c r="DQ1302" s="369" t="s">
        <v>2020</v>
      </c>
      <c r="DR1302" s="369" t="s">
        <v>2021</v>
      </c>
      <c r="DS1302" s="391">
        <v>1</v>
      </c>
      <c r="DT1302" s="391">
        <f>KN1302</f>
        <v>6.6913122530864193</v>
      </c>
      <c r="DU1302" s="391">
        <f>DS1302*DT1302</f>
        <v>6.6913122530864193</v>
      </c>
      <c r="DV1302" s="369"/>
      <c r="DW1302" s="369"/>
      <c r="DX1302" s="369"/>
      <c r="DY1302" s="369"/>
      <c r="DZ1302" s="369"/>
      <c r="EA1302" s="369"/>
      <c r="EB1302" s="369"/>
      <c r="EC1302" s="369"/>
      <c r="ED1302" s="369"/>
      <c r="EE1302" s="369"/>
      <c r="EF1302" s="369">
        <v>180</v>
      </c>
      <c r="EG1302" s="369">
        <v>1800</v>
      </c>
      <c r="EH1302" s="369">
        <v>7.5</v>
      </c>
      <c r="EI1302" s="395">
        <v>0.9</v>
      </c>
      <c r="EJ1302" s="369">
        <v>1</v>
      </c>
      <c r="EK1302" s="369">
        <v>60</v>
      </c>
      <c r="EL1302" s="369">
        <f t="shared" si="1353"/>
        <v>405</v>
      </c>
      <c r="EM1302" s="369"/>
      <c r="EN1302" s="369"/>
      <c r="EO1302" s="369"/>
      <c r="EP1302" s="369"/>
      <c r="EQ1302" s="369"/>
      <c r="ER1302" s="369"/>
      <c r="ES1302" s="369"/>
      <c r="ET1302" s="369"/>
      <c r="EU1302" s="391">
        <f t="shared" si="1354"/>
        <v>4.4444444444444446</v>
      </c>
      <c r="EV1302" s="369"/>
      <c r="EW1302" s="369"/>
      <c r="EX1302" s="369"/>
      <c r="EY1302" s="369"/>
      <c r="EZ1302" s="369"/>
      <c r="FA1302" s="391">
        <f t="shared" si="1355"/>
        <v>0</v>
      </c>
      <c r="FB1302" s="369"/>
      <c r="FC1302" s="369"/>
      <c r="FD1302" s="369"/>
      <c r="FE1302" s="392"/>
      <c r="FF1302" s="369"/>
      <c r="FG1302" s="369"/>
      <c r="FH1302" s="369"/>
      <c r="FI1302" s="369"/>
      <c r="FJ1302" s="369"/>
      <c r="FK1302" s="369"/>
      <c r="FL1302" s="369"/>
      <c r="FM1302" s="369"/>
      <c r="FN1302" s="369"/>
      <c r="FO1302" s="369"/>
      <c r="FP1302" s="369"/>
      <c r="FQ1302" s="369"/>
      <c r="FR1302" s="369"/>
      <c r="FS1302" s="369"/>
      <c r="FT1302" s="369"/>
      <c r="FU1302" s="369"/>
      <c r="FV1302" s="369"/>
      <c r="FW1302" s="369"/>
      <c r="FX1302" s="369"/>
      <c r="FY1302" s="369"/>
      <c r="FZ1302" s="369"/>
      <c r="GA1302" s="369"/>
      <c r="GB1302" s="369"/>
      <c r="GC1302" s="369"/>
      <c r="GD1302" s="369"/>
      <c r="GE1302" s="369"/>
      <c r="GF1302" s="369"/>
      <c r="GG1302" s="369"/>
      <c r="GH1302" s="369"/>
      <c r="GI1302" s="369"/>
      <c r="GJ1302" s="369"/>
      <c r="GK1302" s="369"/>
      <c r="GL1302" s="369"/>
      <c r="GM1302" s="369"/>
      <c r="GN1302" s="392"/>
      <c r="GO1302" s="369"/>
      <c r="GP1302" s="392"/>
      <c r="GQ1302" s="369"/>
      <c r="GR1302" s="392">
        <v>0.11</v>
      </c>
      <c r="GS1302" s="391">
        <f>GR1302*(BA1302+EU1302+EV1302)</f>
        <v>1.3366885888888889</v>
      </c>
      <c r="GT1302" s="446">
        <v>1.2500000000000001E-2</v>
      </c>
      <c r="GU1302" s="391">
        <f>GT1302*(EU1302+BA1302+EV1302)</f>
        <v>0.15189643055555557</v>
      </c>
      <c r="GV1302" s="395">
        <v>0.02</v>
      </c>
      <c r="GW1302" s="391">
        <f>GV1302*(EU1302-EP1302-EQ1302)</f>
        <v>8.8888888888888892E-2</v>
      </c>
      <c r="GX1302" s="391">
        <f t="shared" si="1356"/>
        <v>1.5774739083333331</v>
      </c>
      <c r="GY1302" s="369" t="s">
        <v>1800</v>
      </c>
      <c r="GZ1302" s="369" t="s">
        <v>1800</v>
      </c>
      <c r="HA1302" s="391"/>
      <c r="HB1302" s="391"/>
      <c r="HC1302" s="391"/>
      <c r="HD1302" s="391">
        <v>132</v>
      </c>
      <c r="HE1302" s="391">
        <v>800</v>
      </c>
      <c r="HF1302" s="391">
        <f t="shared" si="1357"/>
        <v>7</v>
      </c>
      <c r="HG1302" s="391"/>
      <c r="HH1302" s="391"/>
      <c r="HI1302" s="391">
        <v>39.700000000000003</v>
      </c>
      <c r="HJ1302" s="391"/>
      <c r="HK1302" s="448"/>
      <c r="HL1302" s="391"/>
      <c r="HM1302" s="391"/>
      <c r="HN1302" s="391"/>
      <c r="HO1302" s="391">
        <f t="shared" si="1361"/>
        <v>0.30075757575757578</v>
      </c>
      <c r="HP1302" s="369"/>
      <c r="HQ1302" s="369"/>
      <c r="HR1302" s="369"/>
      <c r="HS1302" s="369"/>
      <c r="HT1302" s="369"/>
      <c r="HU1302" s="447"/>
      <c r="HV1302" s="391">
        <f>HO1302+HT1302</f>
        <v>0.30075757575757578</v>
      </c>
      <c r="HW1302" s="369"/>
      <c r="HX1302" s="369"/>
      <c r="HY1302" s="369"/>
      <c r="HZ1302" s="369"/>
      <c r="IA1302" s="369"/>
      <c r="IB1302" s="369"/>
      <c r="IC1302" s="369"/>
      <c r="ID1302" s="392"/>
      <c r="IE1302" s="369"/>
      <c r="IF1302" s="369"/>
      <c r="IG1302" s="369"/>
      <c r="IH1302" s="369"/>
      <c r="II1302" s="392"/>
      <c r="IJ1302" s="369"/>
      <c r="IK1302" s="369" t="s">
        <v>1945</v>
      </c>
      <c r="IL1302" s="391">
        <v>190.5</v>
      </c>
      <c r="IM1302" s="391">
        <v>20</v>
      </c>
      <c r="IN1302" s="369" t="s">
        <v>1948</v>
      </c>
      <c r="IO1302" s="391">
        <v>2.5999999999999999E-2</v>
      </c>
      <c r="IP1302" s="391">
        <v>2.3E-2</v>
      </c>
      <c r="IQ1302" s="392">
        <v>1</v>
      </c>
      <c r="IR1302" s="391">
        <f>(IO1302-IP1302)*IQ1302</f>
        <v>2.9999999999999992E-3</v>
      </c>
      <c r="IS1302" s="391">
        <f>IO1302*IL1302-IR1302*IM1302</f>
        <v>4.8929999999999998</v>
      </c>
      <c r="IT1302" s="369"/>
      <c r="IU1302" s="369"/>
      <c r="IV1302" s="369"/>
      <c r="IW1302" s="369"/>
      <c r="IX1302" s="369"/>
      <c r="IY1302" s="369"/>
      <c r="IZ1302" s="369"/>
      <c r="JA1302" s="369"/>
      <c r="JB1302" s="369"/>
      <c r="JC1302" s="369"/>
      <c r="JD1302" s="369"/>
      <c r="JE1302" s="369"/>
      <c r="JF1302" s="369"/>
      <c r="JG1302" s="369"/>
      <c r="JH1302" s="369"/>
      <c r="JI1302" s="369"/>
      <c r="JJ1302" s="369"/>
      <c r="JK1302" s="369"/>
      <c r="JL1302" s="369"/>
      <c r="JM1302" s="369"/>
      <c r="JN1302" s="369"/>
      <c r="JO1302" s="369"/>
      <c r="JP1302" s="369"/>
      <c r="JQ1302" s="391">
        <f>JP1302+JK1302+JF1302+JA1302+IV1302</f>
        <v>0</v>
      </c>
      <c r="JR1302" s="445">
        <v>1.2500000000000001E-2</v>
      </c>
      <c r="JS1302" s="391">
        <f>JR1302*JQ1302</f>
        <v>0</v>
      </c>
      <c r="JT1302" s="391">
        <f>JS1302+JQ1302</f>
        <v>0</v>
      </c>
      <c r="JU1302" s="391">
        <v>150</v>
      </c>
      <c r="JV1302" s="391">
        <v>1500</v>
      </c>
      <c r="JW1302" s="391">
        <v>7.5</v>
      </c>
      <c r="JX1302" s="392">
        <v>0.9</v>
      </c>
      <c r="JY1302" s="391">
        <v>4</v>
      </c>
      <c r="JZ1302" s="391">
        <v>68</v>
      </c>
      <c r="KA1302" s="391">
        <f>3600/JZ1302*JY1302*JX1302*JW1302</f>
        <v>1429.4117647058824</v>
      </c>
      <c r="KB1302" s="396"/>
      <c r="KC1302" s="391">
        <f>JV1302/KA1302+KD1302</f>
        <v>1.0493827160493827</v>
      </c>
      <c r="KD1302" s="391">
        <v>0</v>
      </c>
      <c r="KE1302" s="392">
        <v>0.11</v>
      </c>
      <c r="KF1302" s="391">
        <f>KE1302*(KC1302+IS1302)</f>
        <v>0.65366209876543213</v>
      </c>
      <c r="KG1302" s="445">
        <v>1.2500000000000001E-2</v>
      </c>
      <c r="KH1302" s="391">
        <f>KG1302*(KC1302+IS1302)</f>
        <v>7.4279783950617281E-2</v>
      </c>
      <c r="KI1302" s="392">
        <v>0.02</v>
      </c>
      <c r="KJ1302" s="391">
        <f>KI1302*KC1302</f>
        <v>2.0987654320987655E-2</v>
      </c>
      <c r="KK1302" s="391"/>
      <c r="KL1302" s="391"/>
      <c r="KM1302" s="391"/>
      <c r="KN1302" s="391">
        <f>IS1302+JQ1302+JS1302+KC1302+KF1302+KH1302+KJ1302</f>
        <v>6.6913122530864193</v>
      </c>
    </row>
    <row r="1303" spans="1:300">
      <c r="A1303">
        <v>1286</v>
      </c>
      <c r="C1303" t="s">
        <v>4568</v>
      </c>
      <c r="D1303" s="28" t="s">
        <v>3219</v>
      </c>
      <c r="E1303" s="27" t="s">
        <v>3220</v>
      </c>
      <c r="F1303" t="s">
        <v>2444</v>
      </c>
      <c r="G1303" s="27" t="s">
        <v>90</v>
      </c>
      <c r="I1303" s="27" t="s">
        <v>121</v>
      </c>
      <c r="J1303" s="28">
        <v>21205</v>
      </c>
      <c r="K1303" s="27" t="s">
        <v>395</v>
      </c>
      <c r="L1303" s="28"/>
      <c r="M1303" s="28"/>
      <c r="N1303" s="28" t="s">
        <v>4568</v>
      </c>
      <c r="O1303" s="28" t="s">
        <v>4538</v>
      </c>
      <c r="P1303" s="442">
        <v>44947</v>
      </c>
      <c r="Q1303" s="27"/>
      <c r="R1303" s="27"/>
      <c r="S1303" s="370"/>
      <c r="T1303" s="443"/>
      <c r="U1303" s="370"/>
      <c r="V1303" s="369"/>
      <c r="W1303" s="370" t="s">
        <v>1765</v>
      </c>
    </row>
    <row r="1304" spans="1:300">
      <c r="A1304">
        <v>1287</v>
      </c>
      <c r="C1304" t="s">
        <v>4568</v>
      </c>
      <c r="D1304" s="28" t="s">
        <v>3219</v>
      </c>
      <c r="E1304" s="27" t="s">
        <v>3220</v>
      </c>
      <c r="F1304" t="s">
        <v>2444</v>
      </c>
      <c r="G1304" s="27" t="s">
        <v>90</v>
      </c>
      <c r="I1304" s="27" t="s">
        <v>121</v>
      </c>
      <c r="J1304" s="28">
        <v>21160</v>
      </c>
      <c r="K1304" s="27" t="s">
        <v>401</v>
      </c>
      <c r="L1304" s="28"/>
      <c r="M1304" s="28"/>
      <c r="N1304" s="28" t="s">
        <v>1764</v>
      </c>
      <c r="O1304" s="28" t="s">
        <v>1763</v>
      </c>
      <c r="P1304" s="442">
        <v>43105</v>
      </c>
      <c r="Q1304" s="27"/>
      <c r="R1304" s="27"/>
      <c r="S1304" s="370"/>
      <c r="T1304" s="443"/>
      <c r="U1304" s="370"/>
      <c r="V1304" s="369"/>
      <c r="W1304" s="370" t="s">
        <v>1765</v>
      </c>
    </row>
    <row r="1305" spans="1:300">
      <c r="A1305">
        <v>1288</v>
      </c>
      <c r="C1305" t="s">
        <v>4568</v>
      </c>
      <c r="D1305" s="28" t="s">
        <v>3221</v>
      </c>
      <c r="E1305" s="27" t="s">
        <v>3222</v>
      </c>
      <c r="F1305" t="s">
        <v>2444</v>
      </c>
      <c r="G1305" s="27" t="s">
        <v>90</v>
      </c>
      <c r="I1305" s="27" t="s">
        <v>121</v>
      </c>
      <c r="J1305" s="28">
        <v>21160</v>
      </c>
      <c r="K1305" s="27" t="s">
        <v>401</v>
      </c>
      <c r="L1305" s="28"/>
      <c r="M1305" s="28"/>
      <c r="N1305" s="28" t="s">
        <v>1764</v>
      </c>
      <c r="O1305" s="28" t="s">
        <v>1763</v>
      </c>
      <c r="P1305" s="442">
        <v>43105</v>
      </c>
      <c r="Q1305" s="27"/>
      <c r="R1305" s="27"/>
      <c r="S1305" s="370"/>
      <c r="T1305" s="443"/>
      <c r="U1305" s="370"/>
      <c r="V1305" s="369"/>
      <c r="W1305" s="370" t="s">
        <v>1765</v>
      </c>
    </row>
    <row r="1306" spans="1:300">
      <c r="A1306">
        <v>1289</v>
      </c>
      <c r="C1306" t="s">
        <v>4568</v>
      </c>
      <c r="D1306" s="28" t="s">
        <v>3221</v>
      </c>
      <c r="E1306" s="27" t="s">
        <v>3222</v>
      </c>
      <c r="F1306" t="s">
        <v>2444</v>
      </c>
      <c r="G1306" s="27" t="s">
        <v>90</v>
      </c>
      <c r="I1306" s="27" t="s">
        <v>121</v>
      </c>
      <c r="J1306" s="28">
        <v>21020</v>
      </c>
      <c r="K1306" s="27" t="s">
        <v>403</v>
      </c>
      <c r="L1306" s="28"/>
      <c r="M1306" s="28"/>
      <c r="N1306" s="28" t="s">
        <v>1764</v>
      </c>
      <c r="O1306" s="28" t="s">
        <v>1763</v>
      </c>
      <c r="P1306" s="442">
        <v>43105</v>
      </c>
      <c r="Q1306" s="27"/>
      <c r="R1306" s="27"/>
      <c r="S1306" s="370"/>
      <c r="T1306" s="443"/>
      <c r="U1306" s="370"/>
      <c r="V1306" s="369"/>
      <c r="W1306" s="370" t="s">
        <v>1765</v>
      </c>
    </row>
    <row r="1307" spans="1:300">
      <c r="A1307">
        <v>1290</v>
      </c>
      <c r="C1307" t="s">
        <v>4568</v>
      </c>
      <c r="D1307" s="28" t="s">
        <v>3221</v>
      </c>
      <c r="E1307" s="27" t="s">
        <v>3222</v>
      </c>
      <c r="F1307" t="s">
        <v>2444</v>
      </c>
      <c r="G1307" s="27" t="s">
        <v>90</v>
      </c>
      <c r="I1307" s="27" t="s">
        <v>94</v>
      </c>
      <c r="J1307" s="28">
        <v>21160</v>
      </c>
      <c r="K1307" s="27" t="s">
        <v>401</v>
      </c>
      <c r="L1307" s="28"/>
      <c r="M1307" s="28"/>
      <c r="N1307" s="28" t="s">
        <v>4568</v>
      </c>
      <c r="O1307" s="28" t="s">
        <v>1763</v>
      </c>
      <c r="P1307" s="442">
        <v>43672</v>
      </c>
      <c r="Q1307" s="27"/>
      <c r="R1307" s="27"/>
      <c r="S1307" s="370"/>
      <c r="T1307" s="443"/>
      <c r="U1307" s="370"/>
      <c r="V1307" s="369"/>
      <c r="W1307" s="370" t="s">
        <v>1765</v>
      </c>
    </row>
    <row r="1308" spans="1:300">
      <c r="A1308">
        <v>1291</v>
      </c>
      <c r="C1308" t="s">
        <v>4568</v>
      </c>
      <c r="D1308" s="28" t="s">
        <v>3221</v>
      </c>
      <c r="E1308" s="27" t="s">
        <v>3222</v>
      </c>
      <c r="F1308" t="s">
        <v>2444</v>
      </c>
      <c r="G1308" s="27" t="s">
        <v>90</v>
      </c>
      <c r="I1308" s="27" t="s">
        <v>226</v>
      </c>
      <c r="J1308" s="28">
        <v>21020</v>
      </c>
      <c r="K1308" s="27" t="s">
        <v>403</v>
      </c>
      <c r="L1308" s="28"/>
      <c r="M1308" s="28"/>
      <c r="N1308" s="28" t="s">
        <v>1764</v>
      </c>
      <c r="O1308" s="28" t="s">
        <v>1763</v>
      </c>
      <c r="P1308" s="442">
        <v>43104</v>
      </c>
      <c r="Q1308" s="27"/>
      <c r="R1308" s="27"/>
      <c r="S1308" s="370"/>
      <c r="T1308" s="443"/>
      <c r="U1308" s="370"/>
      <c r="V1308" s="369"/>
      <c r="W1308" s="370" t="s">
        <v>1765</v>
      </c>
    </row>
    <row r="1309" spans="1:300">
      <c r="A1309">
        <v>1292</v>
      </c>
      <c r="C1309" t="s">
        <v>4568</v>
      </c>
      <c r="D1309" s="28" t="s">
        <v>3221</v>
      </c>
      <c r="E1309" s="27" t="s">
        <v>3222</v>
      </c>
      <c r="F1309" t="s">
        <v>2444</v>
      </c>
      <c r="G1309" s="27" t="s">
        <v>90</v>
      </c>
      <c r="I1309" s="27" t="s">
        <v>226</v>
      </c>
      <c r="J1309" s="28">
        <v>21425</v>
      </c>
      <c r="K1309" s="27" t="s">
        <v>406</v>
      </c>
      <c r="L1309" s="28"/>
      <c r="M1309" s="28"/>
      <c r="N1309" s="28" t="s">
        <v>4568</v>
      </c>
      <c r="O1309" s="28" t="s">
        <v>1766</v>
      </c>
      <c r="P1309" s="442">
        <v>43473</v>
      </c>
      <c r="Q1309" s="27"/>
      <c r="R1309" s="27"/>
      <c r="S1309" s="370"/>
      <c r="T1309" s="443"/>
      <c r="U1309" s="370"/>
      <c r="V1309" s="369"/>
      <c r="W1309" s="370" t="s">
        <v>1765</v>
      </c>
    </row>
    <row r="1310" spans="1:300">
      <c r="A1310">
        <v>1293</v>
      </c>
      <c r="C1310" t="s">
        <v>4568</v>
      </c>
      <c r="D1310" s="28" t="s">
        <v>3223</v>
      </c>
      <c r="E1310" s="27" t="s">
        <v>3224</v>
      </c>
      <c r="F1310" t="s">
        <v>2444</v>
      </c>
      <c r="G1310" s="27" t="s">
        <v>90</v>
      </c>
      <c r="I1310" s="27" t="s">
        <v>121</v>
      </c>
      <c r="J1310" s="28">
        <v>21160</v>
      </c>
      <c r="K1310" s="27" t="s">
        <v>401</v>
      </c>
      <c r="L1310" s="28"/>
      <c r="M1310" s="28"/>
      <c r="N1310" s="28" t="s">
        <v>1764</v>
      </c>
      <c r="O1310" s="28" t="s">
        <v>1763</v>
      </c>
      <c r="P1310" s="442">
        <v>43105</v>
      </c>
      <c r="Q1310" s="27"/>
      <c r="R1310" s="27"/>
      <c r="S1310" s="370"/>
      <c r="T1310" s="443"/>
      <c r="U1310" s="370"/>
      <c r="V1310" s="369"/>
      <c r="W1310" s="370" t="s">
        <v>1765</v>
      </c>
    </row>
    <row r="1311" spans="1:300">
      <c r="A1311">
        <v>1294</v>
      </c>
      <c r="C1311" t="s">
        <v>4568</v>
      </c>
      <c r="D1311" s="28" t="s">
        <v>3223</v>
      </c>
      <c r="E1311" s="27" t="s">
        <v>3224</v>
      </c>
      <c r="F1311" t="s">
        <v>2444</v>
      </c>
      <c r="G1311" s="27" t="s">
        <v>90</v>
      </c>
      <c r="I1311" s="27" t="s">
        <v>121</v>
      </c>
      <c r="J1311" s="28">
        <v>21020</v>
      </c>
      <c r="K1311" s="27" t="s">
        <v>403</v>
      </c>
      <c r="L1311" s="28"/>
      <c r="M1311" s="28"/>
      <c r="N1311" s="28" t="s">
        <v>1764</v>
      </c>
      <c r="O1311" s="28" t="s">
        <v>1763</v>
      </c>
      <c r="P1311" s="442">
        <v>43105</v>
      </c>
      <c r="Q1311" s="27"/>
      <c r="R1311" s="27"/>
      <c r="S1311" s="370"/>
      <c r="T1311" s="443"/>
      <c r="U1311" s="370"/>
      <c r="V1311" s="369"/>
      <c r="W1311" s="370" t="s">
        <v>4893</v>
      </c>
    </row>
    <row r="1312" spans="1:300">
      <c r="A1312">
        <v>1295</v>
      </c>
      <c r="C1312" t="s">
        <v>4568</v>
      </c>
      <c r="D1312" s="28" t="s">
        <v>3223</v>
      </c>
      <c r="E1312" s="27" t="s">
        <v>3224</v>
      </c>
      <c r="F1312" t="s">
        <v>2444</v>
      </c>
      <c r="G1312" s="27" t="s">
        <v>90</v>
      </c>
      <c r="I1312" s="27" t="s">
        <v>94</v>
      </c>
      <c r="J1312" s="28">
        <v>21160</v>
      </c>
      <c r="K1312" s="27" t="s">
        <v>401</v>
      </c>
      <c r="L1312" s="28"/>
      <c r="M1312" s="28"/>
      <c r="N1312" s="28" t="s">
        <v>1889</v>
      </c>
      <c r="O1312" s="28" t="s">
        <v>1766</v>
      </c>
      <c r="P1312" s="442">
        <v>43752</v>
      </c>
      <c r="Q1312" s="27"/>
      <c r="R1312" s="27"/>
      <c r="S1312" s="370"/>
      <c r="T1312" s="443"/>
      <c r="U1312" s="370"/>
      <c r="V1312" s="369"/>
      <c r="W1312" s="370" t="s">
        <v>1765</v>
      </c>
    </row>
    <row r="1313" spans="1:241">
      <c r="A1313">
        <v>1296</v>
      </c>
      <c r="C1313" t="s">
        <v>4568</v>
      </c>
      <c r="D1313" s="28" t="s">
        <v>3223</v>
      </c>
      <c r="E1313" s="27" t="s">
        <v>3224</v>
      </c>
      <c r="F1313" t="s">
        <v>2444</v>
      </c>
      <c r="G1313" s="27" t="s">
        <v>90</v>
      </c>
      <c r="I1313" s="27" t="s">
        <v>226</v>
      </c>
      <c r="J1313" s="28">
        <v>21020</v>
      </c>
      <c r="K1313" s="27" t="s">
        <v>403</v>
      </c>
      <c r="L1313" s="28"/>
      <c r="M1313" s="28"/>
      <c r="N1313" s="28" t="s">
        <v>1764</v>
      </c>
      <c r="O1313" s="28" t="s">
        <v>1763</v>
      </c>
      <c r="P1313" s="442">
        <v>43104</v>
      </c>
      <c r="Q1313" s="27"/>
      <c r="R1313" s="27"/>
      <c r="S1313" s="370"/>
      <c r="T1313" s="443"/>
      <c r="U1313" s="370"/>
      <c r="V1313" s="369"/>
      <c r="W1313" s="370" t="s">
        <v>4893</v>
      </c>
    </row>
    <row r="1314" spans="1:241">
      <c r="A1314">
        <v>1297</v>
      </c>
      <c r="C1314" t="s">
        <v>4568</v>
      </c>
      <c r="D1314" s="28" t="s">
        <v>3225</v>
      </c>
      <c r="E1314" s="27" t="s">
        <v>3226</v>
      </c>
      <c r="F1314" t="s">
        <v>2444</v>
      </c>
      <c r="G1314" s="27" t="s">
        <v>90</v>
      </c>
      <c r="I1314" s="27" t="s">
        <v>121</v>
      </c>
      <c r="J1314" s="28">
        <v>21160</v>
      </c>
      <c r="K1314" s="27" t="s">
        <v>401</v>
      </c>
      <c r="L1314" s="28"/>
      <c r="M1314" s="28"/>
      <c r="N1314" s="28" t="s">
        <v>1764</v>
      </c>
      <c r="O1314" s="28" t="s">
        <v>1763</v>
      </c>
      <c r="P1314" s="442">
        <v>43105</v>
      </c>
      <c r="Q1314" s="27"/>
      <c r="R1314" s="27"/>
      <c r="S1314" s="370"/>
      <c r="T1314" s="443"/>
      <c r="U1314" s="370"/>
      <c r="V1314" s="369"/>
      <c r="W1314" s="370" t="s">
        <v>1765</v>
      </c>
    </row>
    <row r="1315" spans="1:241">
      <c r="A1315">
        <v>1298</v>
      </c>
      <c r="C1315" t="s">
        <v>4568</v>
      </c>
      <c r="D1315" s="28" t="s">
        <v>3225</v>
      </c>
      <c r="E1315" s="27" t="s">
        <v>3226</v>
      </c>
      <c r="F1315" t="s">
        <v>2444</v>
      </c>
      <c r="G1315" s="27" t="s">
        <v>90</v>
      </c>
      <c r="I1315" s="27" t="s">
        <v>121</v>
      </c>
      <c r="J1315" s="28">
        <v>21020</v>
      </c>
      <c r="K1315" s="27" t="s">
        <v>403</v>
      </c>
      <c r="L1315" s="28"/>
      <c r="M1315" s="28"/>
      <c r="N1315" s="28" t="s">
        <v>1764</v>
      </c>
      <c r="O1315" s="28" t="s">
        <v>1763</v>
      </c>
      <c r="P1315" s="442">
        <v>43105</v>
      </c>
      <c r="Q1315" s="27"/>
      <c r="R1315" s="27"/>
      <c r="S1315" s="370"/>
      <c r="T1315" s="443"/>
      <c r="U1315" s="370"/>
      <c r="V1315" s="369"/>
      <c r="W1315" s="370" t="s">
        <v>4893</v>
      </c>
    </row>
    <row r="1316" spans="1:241">
      <c r="A1316">
        <v>1299</v>
      </c>
      <c r="C1316" t="s">
        <v>4568</v>
      </c>
      <c r="D1316" s="28" t="s">
        <v>3225</v>
      </c>
      <c r="E1316" s="27" t="s">
        <v>3226</v>
      </c>
      <c r="F1316" t="s">
        <v>2444</v>
      </c>
      <c r="G1316" s="27" t="s">
        <v>90</v>
      </c>
      <c r="I1316" s="27" t="s">
        <v>94</v>
      </c>
      <c r="J1316" s="28">
        <v>21160</v>
      </c>
      <c r="K1316" s="27" t="s">
        <v>401</v>
      </c>
      <c r="L1316" s="28"/>
      <c r="M1316" s="28"/>
      <c r="N1316" s="28" t="s">
        <v>4568</v>
      </c>
      <c r="O1316" s="28" t="s">
        <v>1763</v>
      </c>
      <c r="P1316" s="442">
        <v>43672</v>
      </c>
      <c r="Q1316" s="27"/>
      <c r="R1316" s="27"/>
      <c r="S1316" s="370"/>
      <c r="T1316" s="443"/>
      <c r="U1316" s="370"/>
      <c r="V1316" s="369"/>
      <c r="W1316" s="370" t="s">
        <v>1765</v>
      </c>
    </row>
    <row r="1317" spans="1:241">
      <c r="A1317">
        <v>1300</v>
      </c>
      <c r="C1317" t="s">
        <v>4568</v>
      </c>
      <c r="D1317" s="28" t="s">
        <v>3225</v>
      </c>
      <c r="E1317" s="27" t="s">
        <v>3226</v>
      </c>
      <c r="F1317" t="s">
        <v>2444</v>
      </c>
      <c r="G1317" s="27" t="s">
        <v>90</v>
      </c>
      <c r="I1317" s="27" t="s">
        <v>226</v>
      </c>
      <c r="J1317" s="28">
        <v>21020</v>
      </c>
      <c r="K1317" s="27" t="s">
        <v>403</v>
      </c>
      <c r="L1317" s="28"/>
      <c r="M1317" s="28"/>
      <c r="N1317" s="28" t="s">
        <v>1764</v>
      </c>
      <c r="O1317" s="28" t="s">
        <v>1763</v>
      </c>
      <c r="P1317" s="442">
        <v>43104</v>
      </c>
      <c r="Q1317" s="27"/>
      <c r="R1317" s="27"/>
      <c r="S1317" s="370"/>
      <c r="T1317" s="443"/>
      <c r="U1317" s="370"/>
      <c r="V1317" s="369"/>
      <c r="W1317" s="370" t="s">
        <v>4893</v>
      </c>
    </row>
    <row r="1318" spans="1:241">
      <c r="A1318">
        <v>1301</v>
      </c>
      <c r="C1318" t="s">
        <v>4568</v>
      </c>
      <c r="D1318" s="28" t="s">
        <v>3227</v>
      </c>
      <c r="E1318" s="27" t="s">
        <v>144</v>
      </c>
      <c r="F1318" t="s">
        <v>2444</v>
      </c>
      <c r="G1318" s="27" t="s">
        <v>90</v>
      </c>
      <c r="I1318" s="27" t="s">
        <v>121</v>
      </c>
      <c r="J1318" s="28">
        <v>29010</v>
      </c>
      <c r="K1318" s="27" t="s">
        <v>229</v>
      </c>
      <c r="L1318" s="28"/>
      <c r="M1318" s="28"/>
      <c r="N1318" s="28" t="s">
        <v>1764</v>
      </c>
      <c r="O1318" s="28" t="s">
        <v>1763</v>
      </c>
      <c r="P1318" s="442">
        <v>43105</v>
      </c>
      <c r="Q1318" s="27"/>
      <c r="R1318" s="27"/>
      <c r="S1318" s="370"/>
      <c r="T1318" s="443"/>
      <c r="U1318" s="370"/>
      <c r="V1318" s="369"/>
      <c r="W1318" s="370" t="s">
        <v>1765</v>
      </c>
    </row>
    <row r="1319" spans="1:241">
      <c r="A1319">
        <v>1302</v>
      </c>
      <c r="B1319" t="s">
        <v>468</v>
      </c>
      <c r="C1319" s="27" t="s">
        <v>4896</v>
      </c>
      <c r="D1319" s="28" t="s">
        <v>3228</v>
      </c>
      <c r="E1319" s="27" t="s">
        <v>3229</v>
      </c>
      <c r="F1319" t="s">
        <v>2192</v>
      </c>
      <c r="G1319" s="27" t="s">
        <v>90</v>
      </c>
      <c r="H1319" t="s">
        <v>4894</v>
      </c>
      <c r="I1319" s="27" t="s">
        <v>121</v>
      </c>
      <c r="J1319" s="28">
        <v>21160</v>
      </c>
      <c r="K1319" s="27" t="s">
        <v>401</v>
      </c>
    </row>
    <row r="1320" spans="1:241">
      <c r="A1320">
        <v>1303</v>
      </c>
      <c r="B1320" t="s">
        <v>468</v>
      </c>
      <c r="C1320" s="27" t="s">
        <v>4896</v>
      </c>
      <c r="D1320" s="28" t="s">
        <v>3228</v>
      </c>
      <c r="E1320" s="27" t="s">
        <v>3229</v>
      </c>
      <c r="F1320" t="s">
        <v>2192</v>
      </c>
      <c r="G1320" s="27" t="s">
        <v>90</v>
      </c>
      <c r="H1320" t="s">
        <v>4879</v>
      </c>
      <c r="I1320" s="27" t="s">
        <v>94</v>
      </c>
      <c r="J1320" s="28">
        <v>21160</v>
      </c>
      <c r="K1320" s="27" t="s">
        <v>401</v>
      </c>
    </row>
    <row r="1321" spans="1:241">
      <c r="A1321">
        <v>1304</v>
      </c>
      <c r="B1321" t="s">
        <v>468</v>
      </c>
      <c r="C1321" s="27" t="s">
        <v>4896</v>
      </c>
      <c r="D1321" s="28" t="s">
        <v>3228</v>
      </c>
      <c r="E1321" s="27" t="s">
        <v>3229</v>
      </c>
      <c r="F1321" t="s">
        <v>2192</v>
      </c>
      <c r="G1321" s="27" t="s">
        <v>90</v>
      </c>
      <c r="H1321" t="s">
        <v>4895</v>
      </c>
      <c r="I1321" s="27" t="s">
        <v>226</v>
      </c>
      <c r="J1321" s="28">
        <v>21425</v>
      </c>
      <c r="K1321" s="27" t="s">
        <v>406</v>
      </c>
    </row>
    <row r="1322" spans="1:241">
      <c r="A1322">
        <v>1305</v>
      </c>
      <c r="B1322" t="s">
        <v>4929</v>
      </c>
      <c r="C1322" s="27"/>
      <c r="D1322" s="28" t="s">
        <v>3230</v>
      </c>
      <c r="E1322" s="27" t="s">
        <v>3062</v>
      </c>
      <c r="F1322" t="s">
        <v>4929</v>
      </c>
      <c r="G1322" s="27" t="s">
        <v>90</v>
      </c>
      <c r="I1322" s="27" t="s">
        <v>4501</v>
      </c>
      <c r="J1322" s="28">
        <v>21160</v>
      </c>
      <c r="K1322" s="27" t="s">
        <v>401</v>
      </c>
    </row>
    <row r="1323" spans="1:241">
      <c r="A1323">
        <v>1306</v>
      </c>
      <c r="B1323" t="s">
        <v>468</v>
      </c>
      <c r="C1323" s="27" t="s">
        <v>4897</v>
      </c>
      <c r="D1323" s="28" t="s">
        <v>3231</v>
      </c>
      <c r="E1323" s="27" t="s">
        <v>144</v>
      </c>
      <c r="F1323" t="s">
        <v>2182</v>
      </c>
      <c r="G1323" s="27" t="s">
        <v>90</v>
      </c>
      <c r="I1323" s="27" t="s">
        <v>121</v>
      </c>
      <c r="J1323" s="28">
        <v>29010</v>
      </c>
      <c r="K1323" s="27" t="s">
        <v>229</v>
      </c>
      <c r="L1323" s="28"/>
      <c r="M1323" s="28"/>
      <c r="N1323" s="28"/>
      <c r="O1323" s="28"/>
      <c r="P1323" s="442"/>
      <c r="Q1323" s="27" t="s">
        <v>1786</v>
      </c>
      <c r="R1323" s="27" t="s">
        <v>1769</v>
      </c>
      <c r="S1323" s="370">
        <v>43901</v>
      </c>
      <c r="T1323" s="443" t="s">
        <v>4555</v>
      </c>
      <c r="U1323" s="370">
        <v>43901</v>
      </c>
      <c r="V1323" s="369"/>
      <c r="W1323" s="370" t="s">
        <v>4598</v>
      </c>
      <c r="X1323" s="370"/>
      <c r="Y1323" s="370"/>
      <c r="Z1323" s="370"/>
      <c r="AA1323" s="369" t="s">
        <v>4900</v>
      </c>
      <c r="AB1323" s="391">
        <v>122.9</v>
      </c>
      <c r="AC1323" s="391">
        <v>20</v>
      </c>
      <c r="AD1323" s="369" t="s">
        <v>285</v>
      </c>
      <c r="AE1323" s="391">
        <f t="shared" ref="AE1323:AE1325" si="1372">BA1323</f>
        <v>30.913700000000002</v>
      </c>
      <c r="AF1323" s="391">
        <f>DU1323+DZ1323+EE1323</f>
        <v>0</v>
      </c>
      <c r="AG1323" s="391">
        <f>EU1323+FA1323</f>
        <v>3.1980994152046787</v>
      </c>
      <c r="AH1323" s="391">
        <f t="shared" ref="AH1323:AH1325" si="1373">DM1323</f>
        <v>2.3431999999999999</v>
      </c>
      <c r="AI1323" s="391">
        <f t="shared" ref="AI1323:AI1325" si="1374">DO1323</f>
        <v>2.929E-2</v>
      </c>
      <c r="AJ1323" s="391">
        <f t="shared" ref="AJ1323:AJ1325" si="1375">GW1323</f>
        <v>6.3961988304093581E-2</v>
      </c>
      <c r="AK1323" s="391">
        <f t="shared" ref="AK1323:AK1325" si="1376">GU1323</f>
        <v>0.4263974926900585</v>
      </c>
      <c r="AL1323" s="391">
        <f t="shared" ref="AL1323:AL1325" si="1377">GS1323</f>
        <v>3.7522979356725146</v>
      </c>
      <c r="AM1323" s="391">
        <f t="shared" ref="AM1323:AM1325" si="1378">HV1323</f>
        <v>0.57291666666666663</v>
      </c>
      <c r="AN1323" s="391">
        <f t="shared" ref="AN1323:AN1325" si="1379">IG1323</f>
        <v>0.43402777777777779</v>
      </c>
      <c r="AO1323" s="391"/>
      <c r="AP1323" s="391"/>
      <c r="AQ1323" s="391">
        <f t="shared" ref="AQ1323" si="1380">SUM(AE1323:AO1323)</f>
        <v>41.733891276315795</v>
      </c>
      <c r="AR1323" s="391">
        <f t="shared" ref="AR1323:AR1325" si="1381">IJ1323</f>
        <v>0</v>
      </c>
      <c r="AS1323" s="391">
        <v>0</v>
      </c>
      <c r="AT1323" s="391">
        <v>0</v>
      </c>
      <c r="AU1323" s="391">
        <f>41.73*3%</f>
        <v>1.2518999999999998</v>
      </c>
      <c r="AV1323" s="391">
        <f t="shared" ref="AV1323:AV1325" si="1382">AQ1323+AT1323+AU1323+AR1323+AS1323</f>
        <v>42.985791276315794</v>
      </c>
      <c r="AW1323" s="391">
        <v>0.253</v>
      </c>
      <c r="AX1323" s="391">
        <v>0.24399999999999999</v>
      </c>
      <c r="AY1323" s="392">
        <v>1</v>
      </c>
      <c r="AZ1323" s="391">
        <f t="shared" ref="AZ1323:AZ1325" si="1383">(AW1323-AX1323)*AY1323</f>
        <v>9.000000000000008E-3</v>
      </c>
      <c r="BA1323" s="391">
        <f t="shared" ref="BA1323:BA1325" si="1384">AW1323*AB1323-AZ1323*AC1323</f>
        <v>30.913700000000002</v>
      </c>
      <c r="BB1323" s="391"/>
      <c r="BC1323" s="391"/>
      <c r="BD1323" s="391"/>
      <c r="BE1323" s="391"/>
      <c r="BF1323" s="391"/>
      <c r="BG1323" s="391"/>
      <c r="BH1323" s="391"/>
      <c r="BI1323" s="391"/>
      <c r="BJ1323" s="448"/>
      <c r="BK1323" s="391"/>
      <c r="BL1323" s="391"/>
      <c r="BM1323" s="391"/>
      <c r="BN1323" s="391"/>
      <c r="BO1323" s="391"/>
      <c r="BP1323" s="391"/>
      <c r="BQ1323" s="391"/>
      <c r="BR1323" s="369"/>
      <c r="BS1323" s="369"/>
      <c r="BT1323" s="369"/>
      <c r="BU1323" s="369"/>
      <c r="BV1323" s="369"/>
      <c r="BW1323" s="369"/>
      <c r="BX1323" s="369"/>
      <c r="BY1323" s="369"/>
      <c r="BZ1323" s="369"/>
      <c r="CA1323" s="369"/>
      <c r="CB1323" s="369"/>
      <c r="CC1323" s="369"/>
      <c r="CD1323" s="369"/>
      <c r="CE1323" s="369"/>
      <c r="CF1323" s="369"/>
      <c r="CG1323" s="369"/>
      <c r="CH1323" s="369"/>
      <c r="CI1323" s="369" t="s">
        <v>4901</v>
      </c>
      <c r="CJ1323" s="369" t="s">
        <v>4902</v>
      </c>
      <c r="CK1323" s="391">
        <v>4</v>
      </c>
      <c r="CL1323" s="391">
        <f>0.58+0.0058</f>
        <v>0.58579999999999999</v>
      </c>
      <c r="CM1323" s="391">
        <f>CK1323*CL1323</f>
        <v>2.3431999999999999</v>
      </c>
      <c r="CN1323" s="369"/>
      <c r="CO1323" s="369"/>
      <c r="CP1323" s="369"/>
      <c r="CQ1323" s="369"/>
      <c r="CR1323" s="369"/>
      <c r="CS1323" s="369"/>
      <c r="CT1323" s="369"/>
      <c r="CU1323" s="369"/>
      <c r="CV1323" s="369"/>
      <c r="CW1323" s="369"/>
      <c r="CX1323" s="369"/>
      <c r="CY1323" s="369"/>
      <c r="CZ1323" s="369"/>
      <c r="DA1323" s="369"/>
      <c r="DB1323" s="369"/>
      <c r="DC1323" s="369"/>
      <c r="DD1323" s="369"/>
      <c r="DE1323" s="369"/>
      <c r="DF1323" s="369"/>
      <c r="DG1323" s="369"/>
      <c r="DH1323" s="369"/>
      <c r="DI1323" s="369"/>
      <c r="DJ1323" s="369"/>
      <c r="DK1323" s="369"/>
      <c r="DL1323" s="369"/>
      <c r="DM1323" s="391">
        <f>DL1323+DG1323+DB1323+CW1323+CR1323+CM1323</f>
        <v>2.3431999999999999</v>
      </c>
      <c r="DN1323" s="445">
        <v>1.2500000000000001E-2</v>
      </c>
      <c r="DO1323" s="391">
        <f>DN1323*DM1323</f>
        <v>2.929E-2</v>
      </c>
      <c r="DP1323" s="391">
        <f>DO1323+DM1323</f>
        <v>2.37249</v>
      </c>
      <c r="DQ1323" s="369"/>
      <c r="DR1323" s="369"/>
      <c r="DS1323" s="369"/>
      <c r="DT1323" s="369"/>
      <c r="DU1323" s="369"/>
      <c r="DV1323" s="369"/>
      <c r="DW1323" s="369"/>
      <c r="DX1323" s="369"/>
      <c r="DY1323" s="369"/>
      <c r="DZ1323" s="369"/>
      <c r="EA1323" s="369"/>
      <c r="EB1323" s="369"/>
      <c r="EC1323" s="369"/>
      <c r="ED1323" s="369"/>
      <c r="EE1323" s="369"/>
      <c r="EF1323" s="369">
        <v>350</v>
      </c>
      <c r="EG1323" s="369">
        <v>3500</v>
      </c>
      <c r="EH1323" s="369">
        <v>8</v>
      </c>
      <c r="EI1323" s="395">
        <v>0.95</v>
      </c>
      <c r="EJ1323" s="369">
        <v>2</v>
      </c>
      <c r="EK1323" s="369">
        <v>50</v>
      </c>
      <c r="EL1323" s="396">
        <f t="shared" ref="EL1323:EL1325" si="1385">3600/EK1323*EH1323*EJ1323*EI1323</f>
        <v>1094.3999999999999</v>
      </c>
      <c r="EM1323" s="369"/>
      <c r="EN1323" s="369"/>
      <c r="EO1323" s="369"/>
      <c r="EP1323" s="369"/>
      <c r="EQ1323" s="369"/>
      <c r="ER1323" s="369"/>
      <c r="ES1323" s="369"/>
      <c r="ET1323" s="369"/>
      <c r="EU1323" s="391">
        <f t="shared" ref="EU1323:EU1325" si="1386">EG1323/EL1323+EM1323+EP1323+EQ1323+ER1323+EO1323</f>
        <v>3.1980994152046787</v>
      </c>
      <c r="EV1323" s="369"/>
      <c r="EW1323" s="369"/>
      <c r="EX1323" s="369"/>
      <c r="EY1323" s="369"/>
      <c r="EZ1323" s="369"/>
      <c r="FA1323" s="391">
        <f t="shared" ref="FA1323:FA1325" si="1387">EX1323+EY1323</f>
        <v>0</v>
      </c>
      <c r="FB1323" s="369"/>
      <c r="FC1323" s="369"/>
      <c r="FD1323" s="369"/>
      <c r="FE1323" s="392"/>
      <c r="FF1323" s="369"/>
      <c r="FG1323" s="369"/>
      <c r="FH1323" s="369"/>
      <c r="FI1323" s="369"/>
      <c r="FJ1323" s="369"/>
      <c r="FK1323" s="369"/>
      <c r="FL1323" s="369"/>
      <c r="FM1323" s="369"/>
      <c r="FN1323" s="369"/>
      <c r="FO1323" s="369"/>
      <c r="FP1323" s="369"/>
      <c r="FQ1323" s="369"/>
      <c r="FR1323" s="369"/>
      <c r="FS1323" s="369"/>
      <c r="FT1323" s="369"/>
      <c r="FU1323" s="369"/>
      <c r="FV1323" s="369"/>
      <c r="FW1323" s="369"/>
      <c r="FX1323" s="369"/>
      <c r="FY1323" s="369"/>
      <c r="FZ1323" s="369"/>
      <c r="GA1323" s="369"/>
      <c r="GB1323" s="369"/>
      <c r="GC1323" s="369"/>
      <c r="GD1323" s="369"/>
      <c r="GE1323" s="369"/>
      <c r="GF1323" s="369"/>
      <c r="GG1323" s="369"/>
      <c r="GH1323" s="369"/>
      <c r="GI1323" s="369"/>
      <c r="GJ1323" s="369"/>
      <c r="GK1323" s="369"/>
      <c r="GL1323" s="369"/>
      <c r="GM1323" s="369"/>
      <c r="GN1323" s="392"/>
      <c r="GO1323" s="369"/>
      <c r="GP1323" s="392"/>
      <c r="GQ1323" s="369"/>
      <c r="GR1323" s="392">
        <v>0.11</v>
      </c>
      <c r="GS1323" s="391">
        <f>GR1323*(BA1323+EU1323+EV1323)</f>
        <v>3.7522979356725146</v>
      </c>
      <c r="GT1323" s="445">
        <v>1.2500000000000001E-2</v>
      </c>
      <c r="GU1323" s="391">
        <f>GT1323*(EU1323+BA1323+EV1323)</f>
        <v>0.4263974926900585</v>
      </c>
      <c r="GV1323" s="395">
        <v>0.02</v>
      </c>
      <c r="GW1323" s="391">
        <f>GV1323*(EU1323-EP1323-EQ1323)</f>
        <v>6.3961988304093581E-2</v>
      </c>
      <c r="GX1323" s="391">
        <f t="shared" ref="GX1323:GX1325" si="1388">GS1323+GU1323+GW1323</f>
        <v>4.2426574166666668</v>
      </c>
      <c r="GY1323" s="369" t="s">
        <v>43</v>
      </c>
      <c r="GZ1323" s="369" t="s">
        <v>87</v>
      </c>
      <c r="HA1323" s="391">
        <v>650</v>
      </c>
      <c r="HB1323" s="391">
        <v>450</v>
      </c>
      <c r="HC1323" s="391">
        <v>315</v>
      </c>
      <c r="HD1323" s="391">
        <v>8</v>
      </c>
      <c r="HE1323" s="391">
        <v>2800</v>
      </c>
      <c r="HF1323" s="391">
        <f t="shared" ref="HF1323:HF1325" si="1389">ROUNDUP(HE1323/HD1323,0)</f>
        <v>350</v>
      </c>
      <c r="HG1323" s="391">
        <v>5</v>
      </c>
      <c r="HH1323" s="391">
        <f t="shared" ref="HH1323:HH1325" si="1390">HF1323*HG1323</f>
        <v>1750</v>
      </c>
      <c r="HI1323" s="391">
        <v>550</v>
      </c>
      <c r="HJ1323" s="391">
        <f t="shared" ref="HJ1323:HJ1325" si="1391">HH1323*HI1323</f>
        <v>962500</v>
      </c>
      <c r="HK1323" s="448"/>
      <c r="HL1323" s="391"/>
      <c r="HM1323" s="391">
        <v>2</v>
      </c>
      <c r="HN1323" s="391">
        <f t="shared" ref="HN1323:HN1325" si="1392">HM1323*12*25*HE1323</f>
        <v>1680000</v>
      </c>
      <c r="HO1323" s="391">
        <f t="shared" ref="HO1323:HO1325" si="1393">(IF(GY1323="carton box",HI1323/HD1323,HJ1323/HN1323))</f>
        <v>0.57291666666666663</v>
      </c>
      <c r="HP1323" s="391">
        <v>160</v>
      </c>
      <c r="HQ1323" s="391">
        <v>0</v>
      </c>
      <c r="HR1323" s="391">
        <v>0</v>
      </c>
      <c r="HS1323" s="391">
        <v>0</v>
      </c>
      <c r="HT1323" s="391">
        <f>IF(ISERROR(HR1323/HS1323),0,HR1323/HS1323)</f>
        <v>0</v>
      </c>
      <c r="HU1323" s="447"/>
      <c r="HV1323" s="391">
        <f>HO1323+HT1323</f>
        <v>0.57291666666666663</v>
      </c>
      <c r="HW1323" s="369"/>
      <c r="HX1323" s="391">
        <v>4200</v>
      </c>
      <c r="HY1323" s="391">
        <v>1900</v>
      </c>
      <c r="HZ1323" s="391">
        <v>1975</v>
      </c>
      <c r="IA1323" s="391">
        <f t="shared" ref="IA1323:IC1325" si="1394">ROUNDDOWN(HX1323/HA1323,0)</f>
        <v>6</v>
      </c>
      <c r="IB1323" s="391">
        <f t="shared" si="1394"/>
        <v>4</v>
      </c>
      <c r="IC1323" s="391">
        <f t="shared" si="1394"/>
        <v>6</v>
      </c>
      <c r="ID1323" s="392">
        <v>1</v>
      </c>
      <c r="IE1323" s="391">
        <f>PRODUCT(IA1323:ID1323)</f>
        <v>144</v>
      </c>
      <c r="IF1323" s="391">
        <v>500</v>
      </c>
      <c r="IG1323" s="391">
        <f t="shared" ref="IG1323:IG1325" si="1395">(IF1323/(IE1323*HD1323))</f>
        <v>0.43402777777777779</v>
      </c>
    </row>
    <row r="1324" spans="1:241">
      <c r="A1324">
        <v>1307</v>
      </c>
      <c r="B1324" t="s">
        <v>468</v>
      </c>
      <c r="C1324" s="27" t="s">
        <v>4898</v>
      </c>
      <c r="D1324" s="28" t="s">
        <v>3231</v>
      </c>
      <c r="E1324" s="27" t="s">
        <v>144</v>
      </c>
      <c r="F1324" t="s">
        <v>2182</v>
      </c>
      <c r="G1324" s="27" t="s">
        <v>90</v>
      </c>
      <c r="I1324" s="27" t="s">
        <v>94</v>
      </c>
      <c r="J1324" s="28">
        <v>29268</v>
      </c>
      <c r="K1324" s="27" t="s">
        <v>229</v>
      </c>
      <c r="L1324" s="28"/>
      <c r="M1324" s="28"/>
      <c r="N1324" s="28"/>
      <c r="O1324" s="28"/>
      <c r="P1324" s="442"/>
      <c r="Q1324" s="27" t="s">
        <v>1786</v>
      </c>
      <c r="R1324" s="27" t="s">
        <v>1769</v>
      </c>
      <c r="S1324" s="370">
        <v>43901</v>
      </c>
      <c r="T1324" s="443" t="s">
        <v>4555</v>
      </c>
      <c r="U1324" s="370">
        <v>43901</v>
      </c>
      <c r="V1324" s="369"/>
      <c r="W1324" s="370" t="s">
        <v>4598</v>
      </c>
      <c r="X1324" s="370"/>
      <c r="Y1324" s="370"/>
      <c r="Z1324" s="370"/>
      <c r="AA1324" s="369" t="s">
        <v>4900</v>
      </c>
      <c r="AB1324" s="391">
        <v>122.9</v>
      </c>
      <c r="AC1324" s="391">
        <v>20</v>
      </c>
      <c r="AD1324" s="369" t="s">
        <v>285</v>
      </c>
      <c r="AE1324" s="391">
        <f t="shared" si="1372"/>
        <v>30.913700000000002</v>
      </c>
      <c r="AF1324" s="391">
        <f>DU1324+DZ1324+EE1324</f>
        <v>0</v>
      </c>
      <c r="AG1324" s="391">
        <f>EU1324+FA1324</f>
        <v>3.1980994152046787</v>
      </c>
      <c r="AH1324" s="391">
        <f t="shared" si="1373"/>
        <v>2.3431999999999999</v>
      </c>
      <c r="AI1324" s="391">
        <f t="shared" si="1374"/>
        <v>2.929E-2</v>
      </c>
      <c r="AJ1324" s="391">
        <f t="shared" si="1375"/>
        <v>6.3961988304093581E-2</v>
      </c>
      <c r="AK1324" s="391">
        <f t="shared" si="1376"/>
        <v>0.4263974926900585</v>
      </c>
      <c r="AL1324" s="391">
        <f t="shared" si="1377"/>
        <v>3.7522979356725146</v>
      </c>
      <c r="AM1324" s="391">
        <f t="shared" si="1378"/>
        <v>0.57291666666666663</v>
      </c>
      <c r="AN1324" s="391">
        <f t="shared" si="1379"/>
        <v>0.43402777777777779</v>
      </c>
      <c r="AO1324" s="391"/>
      <c r="AP1324" s="391"/>
      <c r="AQ1324" s="391">
        <f t="shared" ref="AQ1324:AQ1325" si="1396">SUM(AE1324:AO1324)</f>
        <v>41.733891276315795</v>
      </c>
      <c r="AR1324" s="391">
        <f t="shared" si="1381"/>
        <v>0</v>
      </c>
      <c r="AS1324" s="391">
        <v>0</v>
      </c>
      <c r="AT1324" s="391">
        <v>0</v>
      </c>
      <c r="AU1324" s="391">
        <f>41.73*3%</f>
        <v>1.2518999999999998</v>
      </c>
      <c r="AV1324" s="391">
        <f t="shared" si="1382"/>
        <v>42.985791276315794</v>
      </c>
      <c r="AW1324" s="391">
        <v>0.253</v>
      </c>
      <c r="AX1324" s="391">
        <v>0.24399999999999999</v>
      </c>
      <c r="AY1324" s="392">
        <v>1</v>
      </c>
      <c r="AZ1324" s="391">
        <f t="shared" si="1383"/>
        <v>9.000000000000008E-3</v>
      </c>
      <c r="BA1324" s="391">
        <f t="shared" si="1384"/>
        <v>30.913700000000002</v>
      </c>
      <c r="BB1324" s="391"/>
      <c r="BC1324" s="391"/>
      <c r="BD1324" s="391"/>
      <c r="BE1324" s="391"/>
      <c r="BF1324" s="391"/>
      <c r="BG1324" s="391"/>
      <c r="BH1324" s="391"/>
      <c r="BI1324" s="391"/>
      <c r="BJ1324" s="448"/>
      <c r="BK1324" s="391"/>
      <c r="BL1324" s="391"/>
      <c r="BM1324" s="391"/>
      <c r="BN1324" s="391"/>
      <c r="BO1324" s="391"/>
      <c r="BP1324" s="391"/>
      <c r="BQ1324" s="391"/>
      <c r="BR1324" s="369"/>
      <c r="BS1324" s="369"/>
      <c r="BT1324" s="369"/>
      <c r="BU1324" s="369"/>
      <c r="BV1324" s="369"/>
      <c r="BW1324" s="369"/>
      <c r="BX1324" s="369"/>
      <c r="BY1324" s="369"/>
      <c r="BZ1324" s="369"/>
      <c r="CA1324" s="369"/>
      <c r="CB1324" s="369"/>
      <c r="CC1324" s="369"/>
      <c r="CD1324" s="369"/>
      <c r="CE1324" s="369"/>
      <c r="CF1324" s="369"/>
      <c r="CG1324" s="369"/>
      <c r="CH1324" s="369"/>
      <c r="CI1324" s="369" t="s">
        <v>4901</v>
      </c>
      <c r="CJ1324" s="369" t="s">
        <v>4902</v>
      </c>
      <c r="CK1324" s="391">
        <v>4</v>
      </c>
      <c r="CL1324" s="391">
        <f>0.58+0.0058</f>
        <v>0.58579999999999999</v>
      </c>
      <c r="CM1324" s="391">
        <f>CK1324*CL1324</f>
        <v>2.3431999999999999</v>
      </c>
      <c r="CN1324" s="369"/>
      <c r="CO1324" s="369"/>
      <c r="CP1324" s="369"/>
      <c r="CQ1324" s="369"/>
      <c r="CR1324" s="369"/>
      <c r="CS1324" s="369"/>
      <c r="CT1324" s="369"/>
      <c r="CU1324" s="369"/>
      <c r="CV1324" s="369"/>
      <c r="CW1324" s="369"/>
      <c r="CX1324" s="369"/>
      <c r="CY1324" s="369"/>
      <c r="CZ1324" s="369"/>
      <c r="DA1324" s="369"/>
      <c r="DB1324" s="369"/>
      <c r="DC1324" s="369"/>
      <c r="DD1324" s="369"/>
      <c r="DE1324" s="369"/>
      <c r="DF1324" s="369"/>
      <c r="DG1324" s="369"/>
      <c r="DH1324" s="369"/>
      <c r="DI1324" s="369"/>
      <c r="DJ1324" s="369"/>
      <c r="DK1324" s="369"/>
      <c r="DL1324" s="369"/>
      <c r="DM1324" s="391">
        <f>DL1324+DG1324+DB1324+CW1324+CR1324+CM1324</f>
        <v>2.3431999999999999</v>
      </c>
      <c r="DN1324" s="445">
        <v>1.2500000000000001E-2</v>
      </c>
      <c r="DO1324" s="391">
        <f>DN1324*DM1324</f>
        <v>2.929E-2</v>
      </c>
      <c r="DP1324" s="391">
        <f>DO1324+DM1324</f>
        <v>2.37249</v>
      </c>
      <c r="DQ1324" s="369"/>
      <c r="DR1324" s="369"/>
      <c r="DS1324" s="369"/>
      <c r="DT1324" s="369"/>
      <c r="DU1324" s="369"/>
      <c r="DV1324" s="369"/>
      <c r="DW1324" s="369"/>
      <c r="DX1324" s="369"/>
      <c r="DY1324" s="369"/>
      <c r="DZ1324" s="369"/>
      <c r="EA1324" s="369"/>
      <c r="EB1324" s="369"/>
      <c r="EC1324" s="369"/>
      <c r="ED1324" s="369"/>
      <c r="EE1324" s="369"/>
      <c r="EF1324" s="369">
        <v>350</v>
      </c>
      <c r="EG1324" s="369">
        <v>3500</v>
      </c>
      <c r="EH1324" s="369">
        <v>8</v>
      </c>
      <c r="EI1324" s="395">
        <v>0.95</v>
      </c>
      <c r="EJ1324" s="369">
        <v>2</v>
      </c>
      <c r="EK1324" s="369">
        <v>50</v>
      </c>
      <c r="EL1324" s="396">
        <f t="shared" si="1385"/>
        <v>1094.3999999999999</v>
      </c>
      <c r="EM1324" s="369"/>
      <c r="EN1324" s="369"/>
      <c r="EO1324" s="369"/>
      <c r="EP1324" s="369"/>
      <c r="EQ1324" s="369"/>
      <c r="ER1324" s="369"/>
      <c r="ES1324" s="369"/>
      <c r="ET1324" s="369"/>
      <c r="EU1324" s="391">
        <f t="shared" si="1386"/>
        <v>3.1980994152046787</v>
      </c>
      <c r="EV1324" s="369"/>
      <c r="EW1324" s="369"/>
      <c r="EX1324" s="369"/>
      <c r="EY1324" s="369"/>
      <c r="EZ1324" s="369"/>
      <c r="FA1324" s="391">
        <f t="shared" si="1387"/>
        <v>0</v>
      </c>
      <c r="FB1324" s="369"/>
      <c r="FC1324" s="369"/>
      <c r="FD1324" s="369"/>
      <c r="FE1324" s="392"/>
      <c r="FF1324" s="369"/>
      <c r="FG1324" s="369"/>
      <c r="FH1324" s="369"/>
      <c r="FI1324" s="369"/>
      <c r="FJ1324" s="369"/>
      <c r="FK1324" s="369"/>
      <c r="FL1324" s="369"/>
      <c r="FM1324" s="369"/>
      <c r="FN1324" s="369"/>
      <c r="FO1324" s="369"/>
      <c r="FP1324" s="369"/>
      <c r="FQ1324" s="369"/>
      <c r="FR1324" s="369"/>
      <c r="FS1324" s="369"/>
      <c r="FT1324" s="369"/>
      <c r="FU1324" s="369"/>
      <c r="FV1324" s="369"/>
      <c r="FW1324" s="369"/>
      <c r="FX1324" s="369"/>
      <c r="FY1324" s="369"/>
      <c r="FZ1324" s="369"/>
      <c r="GA1324" s="369"/>
      <c r="GB1324" s="369"/>
      <c r="GC1324" s="369"/>
      <c r="GD1324" s="369"/>
      <c r="GE1324" s="369"/>
      <c r="GF1324" s="369"/>
      <c r="GG1324" s="369"/>
      <c r="GH1324" s="369"/>
      <c r="GI1324" s="369"/>
      <c r="GJ1324" s="369"/>
      <c r="GK1324" s="369"/>
      <c r="GL1324" s="369"/>
      <c r="GM1324" s="369"/>
      <c r="GN1324" s="392"/>
      <c r="GO1324" s="369"/>
      <c r="GP1324" s="392"/>
      <c r="GQ1324" s="369"/>
      <c r="GR1324" s="392">
        <v>0.11</v>
      </c>
      <c r="GS1324" s="391">
        <f>GR1324*(BA1324+EU1324+EV1324)</f>
        <v>3.7522979356725146</v>
      </c>
      <c r="GT1324" s="445">
        <v>1.2500000000000001E-2</v>
      </c>
      <c r="GU1324" s="391">
        <f>GT1324*(EU1324+BA1324+EV1324)</f>
        <v>0.4263974926900585</v>
      </c>
      <c r="GV1324" s="395">
        <v>0.02</v>
      </c>
      <c r="GW1324" s="391">
        <f>GV1324*(EU1324-EP1324-EQ1324)</f>
        <v>6.3961988304093581E-2</v>
      </c>
      <c r="GX1324" s="391">
        <f t="shared" si="1388"/>
        <v>4.2426574166666668</v>
      </c>
      <c r="GY1324" s="369" t="s">
        <v>43</v>
      </c>
      <c r="GZ1324" s="369" t="s">
        <v>87</v>
      </c>
      <c r="HA1324" s="391">
        <v>650</v>
      </c>
      <c r="HB1324" s="391">
        <v>450</v>
      </c>
      <c r="HC1324" s="391">
        <v>315</v>
      </c>
      <c r="HD1324" s="391">
        <v>8</v>
      </c>
      <c r="HE1324" s="391">
        <v>2800</v>
      </c>
      <c r="HF1324" s="391">
        <f t="shared" si="1389"/>
        <v>350</v>
      </c>
      <c r="HG1324" s="391">
        <v>5</v>
      </c>
      <c r="HH1324" s="391">
        <f t="shared" si="1390"/>
        <v>1750</v>
      </c>
      <c r="HI1324" s="391">
        <v>550</v>
      </c>
      <c r="HJ1324" s="391">
        <f t="shared" si="1391"/>
        <v>962500</v>
      </c>
      <c r="HK1324" s="448"/>
      <c r="HL1324" s="391"/>
      <c r="HM1324" s="391">
        <v>2</v>
      </c>
      <c r="HN1324" s="391">
        <f t="shared" si="1392"/>
        <v>1680000</v>
      </c>
      <c r="HO1324" s="391">
        <f t="shared" si="1393"/>
        <v>0.57291666666666663</v>
      </c>
      <c r="HP1324" s="391">
        <v>160</v>
      </c>
      <c r="HQ1324" s="391">
        <v>0</v>
      </c>
      <c r="HR1324" s="391">
        <v>0</v>
      </c>
      <c r="HS1324" s="391">
        <v>0</v>
      </c>
      <c r="HT1324" s="391">
        <f>IF(ISERROR(HR1324/HS1324),0,HR1324/HS1324)</f>
        <v>0</v>
      </c>
      <c r="HU1324" s="447"/>
      <c r="HV1324" s="391">
        <f>HO1324+HT1324</f>
        <v>0.57291666666666663</v>
      </c>
      <c r="HW1324" s="369"/>
      <c r="HX1324" s="391">
        <v>4200</v>
      </c>
      <c r="HY1324" s="391">
        <v>1900</v>
      </c>
      <c r="HZ1324" s="391">
        <v>1975</v>
      </c>
      <c r="IA1324" s="391">
        <f t="shared" si="1394"/>
        <v>6</v>
      </c>
      <c r="IB1324" s="391">
        <f t="shared" si="1394"/>
        <v>4</v>
      </c>
      <c r="IC1324" s="391">
        <f t="shared" si="1394"/>
        <v>6</v>
      </c>
      <c r="ID1324" s="392">
        <v>1</v>
      </c>
      <c r="IE1324" s="391">
        <f>PRODUCT(IA1324:ID1324)</f>
        <v>144</v>
      </c>
      <c r="IF1324" s="391">
        <v>500</v>
      </c>
      <c r="IG1324" s="391">
        <f t="shared" si="1395"/>
        <v>0.43402777777777779</v>
      </c>
    </row>
    <row r="1325" spans="1:241">
      <c r="A1325">
        <v>1308</v>
      </c>
      <c r="B1325" t="s">
        <v>468</v>
      </c>
      <c r="C1325" s="27" t="s">
        <v>4899</v>
      </c>
      <c r="D1325" s="28" t="s">
        <v>3231</v>
      </c>
      <c r="E1325" s="27" t="s">
        <v>144</v>
      </c>
      <c r="F1325" t="s">
        <v>2182</v>
      </c>
      <c r="G1325" s="27" t="s">
        <v>90</v>
      </c>
      <c r="I1325" s="27" t="s">
        <v>226</v>
      </c>
      <c r="J1325" s="28">
        <v>29164</v>
      </c>
      <c r="K1325" s="27" t="s">
        <v>229</v>
      </c>
      <c r="L1325" s="28"/>
      <c r="M1325" s="28"/>
      <c r="N1325" s="28"/>
      <c r="O1325" s="28"/>
      <c r="P1325" s="442"/>
      <c r="Q1325" s="27" t="s">
        <v>1786</v>
      </c>
      <c r="R1325" s="27" t="s">
        <v>1769</v>
      </c>
      <c r="S1325" s="370">
        <v>43901</v>
      </c>
      <c r="T1325" s="443" t="s">
        <v>4555</v>
      </c>
      <c r="U1325" s="370">
        <v>43901</v>
      </c>
      <c r="V1325" s="369"/>
      <c r="W1325" s="370" t="s">
        <v>4598</v>
      </c>
      <c r="X1325" s="370"/>
      <c r="Y1325" s="370"/>
      <c r="Z1325" s="370"/>
      <c r="AA1325" s="369" t="s">
        <v>4900</v>
      </c>
      <c r="AB1325" s="391">
        <v>122.9</v>
      </c>
      <c r="AC1325" s="391">
        <v>20</v>
      </c>
      <c r="AD1325" s="369" t="s">
        <v>285</v>
      </c>
      <c r="AE1325" s="391">
        <f t="shared" si="1372"/>
        <v>30.913700000000002</v>
      </c>
      <c r="AF1325" s="391">
        <f>DU1325+DZ1325+EE1325</f>
        <v>0</v>
      </c>
      <c r="AG1325" s="391">
        <f>EU1325+FA1325</f>
        <v>3.1980994152046787</v>
      </c>
      <c r="AH1325" s="391">
        <f t="shared" si="1373"/>
        <v>2.3431999999999999</v>
      </c>
      <c r="AI1325" s="391">
        <f t="shared" si="1374"/>
        <v>2.929E-2</v>
      </c>
      <c r="AJ1325" s="391">
        <f t="shared" si="1375"/>
        <v>6.3961988304093581E-2</v>
      </c>
      <c r="AK1325" s="391">
        <f t="shared" si="1376"/>
        <v>0.4263974926900585</v>
      </c>
      <c r="AL1325" s="391">
        <f t="shared" si="1377"/>
        <v>3.7522979356725146</v>
      </c>
      <c r="AM1325" s="391">
        <f t="shared" si="1378"/>
        <v>0.57291666666666663</v>
      </c>
      <c r="AN1325" s="391">
        <f t="shared" si="1379"/>
        <v>0.43402777777777779</v>
      </c>
      <c r="AO1325" s="391"/>
      <c r="AP1325" s="391"/>
      <c r="AQ1325" s="391">
        <f t="shared" si="1396"/>
        <v>41.733891276315795</v>
      </c>
      <c r="AR1325" s="391">
        <f t="shared" si="1381"/>
        <v>0</v>
      </c>
      <c r="AS1325" s="391">
        <v>0</v>
      </c>
      <c r="AT1325" s="391">
        <v>0</v>
      </c>
      <c r="AU1325" s="391">
        <f>41.73*3%</f>
        <v>1.2518999999999998</v>
      </c>
      <c r="AV1325" s="391">
        <f t="shared" si="1382"/>
        <v>42.985791276315794</v>
      </c>
      <c r="AW1325" s="391">
        <v>0.253</v>
      </c>
      <c r="AX1325" s="391">
        <v>0.24399999999999999</v>
      </c>
      <c r="AY1325" s="392">
        <v>1</v>
      </c>
      <c r="AZ1325" s="391">
        <f t="shared" si="1383"/>
        <v>9.000000000000008E-3</v>
      </c>
      <c r="BA1325" s="391">
        <f t="shared" si="1384"/>
        <v>30.913700000000002</v>
      </c>
      <c r="BB1325" s="391"/>
      <c r="BC1325" s="391"/>
      <c r="BD1325" s="391"/>
      <c r="BE1325" s="391"/>
      <c r="BF1325" s="391"/>
      <c r="BG1325" s="391"/>
      <c r="BH1325" s="391"/>
      <c r="BI1325" s="391"/>
      <c r="BJ1325" s="448"/>
      <c r="BK1325" s="391"/>
      <c r="BL1325" s="391"/>
      <c r="BM1325" s="391"/>
      <c r="BN1325" s="391"/>
      <c r="BO1325" s="391"/>
      <c r="BP1325" s="391"/>
      <c r="BQ1325" s="391"/>
      <c r="BR1325" s="369"/>
      <c r="BS1325" s="369"/>
      <c r="BT1325" s="369"/>
      <c r="BU1325" s="369"/>
      <c r="BV1325" s="369"/>
      <c r="BW1325" s="369"/>
      <c r="BX1325" s="369"/>
      <c r="BY1325" s="369"/>
      <c r="BZ1325" s="369"/>
      <c r="CA1325" s="369"/>
      <c r="CB1325" s="369"/>
      <c r="CC1325" s="369"/>
      <c r="CD1325" s="369"/>
      <c r="CE1325" s="369"/>
      <c r="CF1325" s="369"/>
      <c r="CG1325" s="369"/>
      <c r="CH1325" s="369"/>
      <c r="CI1325" s="369" t="s">
        <v>4901</v>
      </c>
      <c r="CJ1325" s="369" t="s">
        <v>4902</v>
      </c>
      <c r="CK1325" s="391">
        <v>4</v>
      </c>
      <c r="CL1325" s="391">
        <f>0.58+0.0058</f>
        <v>0.58579999999999999</v>
      </c>
      <c r="CM1325" s="391">
        <f>CK1325*CL1325</f>
        <v>2.3431999999999999</v>
      </c>
      <c r="CN1325" s="369"/>
      <c r="CO1325" s="369"/>
      <c r="CP1325" s="369"/>
      <c r="CQ1325" s="369"/>
      <c r="CR1325" s="369"/>
      <c r="CS1325" s="369"/>
      <c r="CT1325" s="369"/>
      <c r="CU1325" s="369"/>
      <c r="CV1325" s="369"/>
      <c r="CW1325" s="369"/>
      <c r="CX1325" s="369"/>
      <c r="CY1325" s="369"/>
      <c r="CZ1325" s="369"/>
      <c r="DA1325" s="369"/>
      <c r="DB1325" s="369"/>
      <c r="DC1325" s="369"/>
      <c r="DD1325" s="369"/>
      <c r="DE1325" s="369"/>
      <c r="DF1325" s="369"/>
      <c r="DG1325" s="369"/>
      <c r="DH1325" s="369"/>
      <c r="DI1325" s="369"/>
      <c r="DJ1325" s="369"/>
      <c r="DK1325" s="369"/>
      <c r="DL1325" s="369"/>
      <c r="DM1325" s="391">
        <f>DL1325+DG1325+DB1325+CW1325+CR1325+CM1325</f>
        <v>2.3431999999999999</v>
      </c>
      <c r="DN1325" s="445">
        <v>1.2500000000000001E-2</v>
      </c>
      <c r="DO1325" s="391">
        <f>DN1325*DM1325</f>
        <v>2.929E-2</v>
      </c>
      <c r="DP1325" s="391">
        <f>DO1325+DM1325</f>
        <v>2.37249</v>
      </c>
      <c r="DQ1325" s="369"/>
      <c r="DR1325" s="369"/>
      <c r="DS1325" s="369"/>
      <c r="DT1325" s="369"/>
      <c r="DU1325" s="369"/>
      <c r="DV1325" s="369"/>
      <c r="DW1325" s="369"/>
      <c r="DX1325" s="369"/>
      <c r="DY1325" s="369"/>
      <c r="DZ1325" s="369"/>
      <c r="EA1325" s="369"/>
      <c r="EB1325" s="369"/>
      <c r="EC1325" s="369"/>
      <c r="ED1325" s="369"/>
      <c r="EE1325" s="369"/>
      <c r="EF1325" s="369">
        <v>350</v>
      </c>
      <c r="EG1325" s="369">
        <v>3500</v>
      </c>
      <c r="EH1325" s="369">
        <v>8</v>
      </c>
      <c r="EI1325" s="395">
        <v>0.95</v>
      </c>
      <c r="EJ1325" s="369">
        <v>2</v>
      </c>
      <c r="EK1325" s="369">
        <v>50</v>
      </c>
      <c r="EL1325" s="396">
        <f t="shared" si="1385"/>
        <v>1094.3999999999999</v>
      </c>
      <c r="EM1325" s="369"/>
      <c r="EN1325" s="369"/>
      <c r="EO1325" s="369"/>
      <c r="EP1325" s="369"/>
      <c r="EQ1325" s="369"/>
      <c r="ER1325" s="369"/>
      <c r="ES1325" s="369"/>
      <c r="ET1325" s="369"/>
      <c r="EU1325" s="391">
        <f t="shared" si="1386"/>
        <v>3.1980994152046787</v>
      </c>
      <c r="EV1325" s="369"/>
      <c r="EW1325" s="369"/>
      <c r="EX1325" s="369"/>
      <c r="EY1325" s="369"/>
      <c r="EZ1325" s="369"/>
      <c r="FA1325" s="391">
        <f t="shared" si="1387"/>
        <v>0</v>
      </c>
      <c r="FB1325" s="369"/>
      <c r="FC1325" s="369"/>
      <c r="FD1325" s="369"/>
      <c r="FE1325" s="392"/>
      <c r="FF1325" s="369"/>
      <c r="FG1325" s="369"/>
      <c r="FH1325" s="369"/>
      <c r="FI1325" s="369"/>
      <c r="FJ1325" s="369"/>
      <c r="FK1325" s="369"/>
      <c r="FL1325" s="369"/>
      <c r="FM1325" s="369"/>
      <c r="FN1325" s="369"/>
      <c r="FO1325" s="369"/>
      <c r="FP1325" s="369"/>
      <c r="FQ1325" s="369"/>
      <c r="FR1325" s="369"/>
      <c r="FS1325" s="369"/>
      <c r="FT1325" s="369"/>
      <c r="FU1325" s="369"/>
      <c r="FV1325" s="369"/>
      <c r="FW1325" s="369"/>
      <c r="FX1325" s="369"/>
      <c r="FY1325" s="369"/>
      <c r="FZ1325" s="369"/>
      <c r="GA1325" s="369"/>
      <c r="GB1325" s="369"/>
      <c r="GC1325" s="369"/>
      <c r="GD1325" s="369"/>
      <c r="GE1325" s="369"/>
      <c r="GF1325" s="369"/>
      <c r="GG1325" s="369"/>
      <c r="GH1325" s="369"/>
      <c r="GI1325" s="369"/>
      <c r="GJ1325" s="369"/>
      <c r="GK1325" s="369"/>
      <c r="GL1325" s="369"/>
      <c r="GM1325" s="369"/>
      <c r="GN1325" s="392"/>
      <c r="GO1325" s="369"/>
      <c r="GP1325" s="392"/>
      <c r="GQ1325" s="369"/>
      <c r="GR1325" s="392">
        <v>0.11</v>
      </c>
      <c r="GS1325" s="391">
        <f>GR1325*(BA1325+EU1325+EV1325)</f>
        <v>3.7522979356725146</v>
      </c>
      <c r="GT1325" s="445">
        <v>1.2500000000000001E-2</v>
      </c>
      <c r="GU1325" s="391">
        <f>GT1325*(EU1325+BA1325+EV1325)</f>
        <v>0.4263974926900585</v>
      </c>
      <c r="GV1325" s="395">
        <v>0.02</v>
      </c>
      <c r="GW1325" s="391">
        <f>GV1325*(EU1325-EP1325-EQ1325)</f>
        <v>6.3961988304093581E-2</v>
      </c>
      <c r="GX1325" s="391">
        <f t="shared" si="1388"/>
        <v>4.2426574166666668</v>
      </c>
      <c r="GY1325" s="369" t="s">
        <v>43</v>
      </c>
      <c r="GZ1325" s="369" t="s">
        <v>87</v>
      </c>
      <c r="HA1325" s="391">
        <v>650</v>
      </c>
      <c r="HB1325" s="391">
        <v>450</v>
      </c>
      <c r="HC1325" s="391">
        <v>315</v>
      </c>
      <c r="HD1325" s="391">
        <v>8</v>
      </c>
      <c r="HE1325" s="391">
        <v>2800</v>
      </c>
      <c r="HF1325" s="391">
        <f t="shared" si="1389"/>
        <v>350</v>
      </c>
      <c r="HG1325" s="391">
        <v>5</v>
      </c>
      <c r="HH1325" s="391">
        <f t="shared" si="1390"/>
        <v>1750</v>
      </c>
      <c r="HI1325" s="391">
        <v>550</v>
      </c>
      <c r="HJ1325" s="391">
        <f t="shared" si="1391"/>
        <v>962500</v>
      </c>
      <c r="HK1325" s="448"/>
      <c r="HL1325" s="391"/>
      <c r="HM1325" s="391">
        <v>2</v>
      </c>
      <c r="HN1325" s="391">
        <f t="shared" si="1392"/>
        <v>1680000</v>
      </c>
      <c r="HO1325" s="391">
        <f t="shared" si="1393"/>
        <v>0.57291666666666663</v>
      </c>
      <c r="HP1325" s="391">
        <v>160</v>
      </c>
      <c r="HQ1325" s="391">
        <v>0</v>
      </c>
      <c r="HR1325" s="391">
        <v>0</v>
      </c>
      <c r="HS1325" s="391">
        <v>0</v>
      </c>
      <c r="HT1325" s="391">
        <f>IF(ISERROR(HR1325/HS1325),0,HR1325/HS1325)</f>
        <v>0</v>
      </c>
      <c r="HU1325" s="447"/>
      <c r="HV1325" s="391">
        <f>HO1325+HT1325</f>
        <v>0.57291666666666663</v>
      </c>
      <c r="HW1325" s="369"/>
      <c r="HX1325" s="391">
        <v>4200</v>
      </c>
      <c r="HY1325" s="391">
        <v>1900</v>
      </c>
      <c r="HZ1325" s="391">
        <v>1975</v>
      </c>
      <c r="IA1325" s="391">
        <f t="shared" si="1394"/>
        <v>6</v>
      </c>
      <c r="IB1325" s="391">
        <f t="shared" si="1394"/>
        <v>4</v>
      </c>
      <c r="IC1325" s="391">
        <f t="shared" si="1394"/>
        <v>6</v>
      </c>
      <c r="ID1325" s="392">
        <v>1</v>
      </c>
      <c r="IE1325" s="391">
        <f>PRODUCT(IA1325:ID1325)</f>
        <v>144</v>
      </c>
      <c r="IF1325" s="391">
        <v>500</v>
      </c>
      <c r="IG1325" s="391">
        <f t="shared" si="1395"/>
        <v>0.43402777777777779</v>
      </c>
    </row>
    <row r="1326" spans="1:241">
      <c r="A1326">
        <v>1309</v>
      </c>
      <c r="C1326" s="27" t="s">
        <v>567</v>
      </c>
      <c r="D1326" s="28" t="s">
        <v>3232</v>
      </c>
      <c r="E1326" s="27" t="s">
        <v>3233</v>
      </c>
      <c r="F1326" t="s">
        <v>2444</v>
      </c>
      <c r="G1326" s="27" t="s">
        <v>90</v>
      </c>
      <c r="I1326" s="27" t="s">
        <v>121</v>
      </c>
      <c r="J1326" s="28">
        <v>21205</v>
      </c>
      <c r="K1326" s="27" t="s">
        <v>395</v>
      </c>
      <c r="N1326" s="28" t="s">
        <v>1764</v>
      </c>
      <c r="O1326" s="28" t="s">
        <v>1763</v>
      </c>
      <c r="P1326" s="442">
        <v>43105</v>
      </c>
      <c r="W1326" s="370" t="s">
        <v>1765</v>
      </c>
    </row>
    <row r="1327" spans="1:241">
      <c r="A1327">
        <v>1310</v>
      </c>
      <c r="C1327" s="27" t="s">
        <v>567</v>
      </c>
      <c r="D1327" s="28" t="s">
        <v>3234</v>
      </c>
      <c r="E1327" s="27" t="s">
        <v>3235</v>
      </c>
      <c r="F1327" t="s">
        <v>2444</v>
      </c>
      <c r="G1327" s="27" t="s">
        <v>90</v>
      </c>
      <c r="I1327" s="27" t="s">
        <v>121</v>
      </c>
      <c r="J1327" s="28">
        <v>29010</v>
      </c>
      <c r="K1327" s="27" t="s">
        <v>229</v>
      </c>
      <c r="N1327" s="28" t="s">
        <v>1764</v>
      </c>
      <c r="O1327" s="28" t="s">
        <v>1763</v>
      </c>
      <c r="P1327" s="442">
        <v>43105</v>
      </c>
      <c r="W1327" s="370" t="s">
        <v>4893</v>
      </c>
    </row>
    <row r="1328" spans="1:241">
      <c r="A1328">
        <v>1311</v>
      </c>
      <c r="C1328" s="27" t="s">
        <v>567</v>
      </c>
      <c r="D1328" s="28" t="s">
        <v>3236</v>
      </c>
      <c r="E1328" s="27" t="s">
        <v>1482</v>
      </c>
      <c r="F1328" t="s">
        <v>2444</v>
      </c>
      <c r="G1328" s="27" t="s">
        <v>90</v>
      </c>
      <c r="I1328" s="27" t="s">
        <v>121</v>
      </c>
      <c r="J1328" s="28">
        <v>29010</v>
      </c>
      <c r="K1328" s="27" t="s">
        <v>229</v>
      </c>
      <c r="N1328" s="28" t="s">
        <v>1764</v>
      </c>
      <c r="O1328" s="28" t="s">
        <v>1763</v>
      </c>
      <c r="P1328" s="442">
        <v>43105</v>
      </c>
      <c r="W1328" s="370" t="s">
        <v>1765</v>
      </c>
    </row>
    <row r="1329" spans="1:23">
      <c r="A1329">
        <v>1312</v>
      </c>
      <c r="C1329" s="27" t="s">
        <v>567</v>
      </c>
      <c r="D1329" s="28" t="s">
        <v>3237</v>
      </c>
      <c r="E1329" s="27" t="s">
        <v>3238</v>
      </c>
      <c r="F1329" t="s">
        <v>2444</v>
      </c>
      <c r="G1329" s="27" t="s">
        <v>90</v>
      </c>
      <c r="I1329" s="27" t="s">
        <v>121</v>
      </c>
      <c r="J1329" s="28">
        <v>29010</v>
      </c>
      <c r="K1329" s="27" t="s">
        <v>229</v>
      </c>
      <c r="N1329" s="28" t="s">
        <v>1764</v>
      </c>
      <c r="O1329" s="28" t="s">
        <v>1763</v>
      </c>
      <c r="P1329" s="442">
        <v>43105</v>
      </c>
      <c r="W1329" s="370" t="s">
        <v>1765</v>
      </c>
    </row>
    <row r="1330" spans="1:23">
      <c r="A1330">
        <v>1313</v>
      </c>
      <c r="C1330" s="27" t="s">
        <v>567</v>
      </c>
      <c r="D1330" s="28" t="s">
        <v>3239</v>
      </c>
      <c r="E1330" s="27" t="s">
        <v>3240</v>
      </c>
      <c r="F1330" t="s">
        <v>2444</v>
      </c>
      <c r="G1330" s="27" t="s">
        <v>90</v>
      </c>
      <c r="I1330" s="27" t="s">
        <v>121</v>
      </c>
      <c r="J1330" s="28">
        <v>29010</v>
      </c>
      <c r="K1330" s="27" t="s">
        <v>229</v>
      </c>
      <c r="N1330" s="28" t="s">
        <v>1764</v>
      </c>
      <c r="O1330" s="28" t="s">
        <v>1763</v>
      </c>
      <c r="P1330" s="442">
        <v>43105</v>
      </c>
      <c r="W1330" s="370" t="s">
        <v>4893</v>
      </c>
    </row>
    <row r="1331" spans="1:23">
      <c r="A1331">
        <v>1314</v>
      </c>
      <c r="C1331" s="27" t="s">
        <v>567</v>
      </c>
      <c r="D1331" s="28" t="s">
        <v>3241</v>
      </c>
      <c r="E1331" s="27" t="s">
        <v>3242</v>
      </c>
      <c r="F1331" t="s">
        <v>2444</v>
      </c>
      <c r="G1331" s="27" t="s">
        <v>90</v>
      </c>
      <c r="I1331" s="27" t="s">
        <v>121</v>
      </c>
      <c r="J1331" s="28">
        <v>29010</v>
      </c>
      <c r="K1331" s="27" t="s">
        <v>229</v>
      </c>
      <c r="N1331" s="28" t="s">
        <v>1764</v>
      </c>
      <c r="O1331" s="28" t="s">
        <v>1763</v>
      </c>
      <c r="P1331" s="442">
        <v>43105</v>
      </c>
      <c r="W1331" s="370" t="s">
        <v>1765</v>
      </c>
    </row>
    <row r="1332" spans="1:23">
      <c r="A1332">
        <v>1315</v>
      </c>
      <c r="C1332" s="27" t="s">
        <v>567</v>
      </c>
      <c r="D1332" s="28" t="s">
        <v>3243</v>
      </c>
      <c r="E1332" s="27" t="s">
        <v>1266</v>
      </c>
      <c r="F1332" t="s">
        <v>2444</v>
      </c>
      <c r="G1332" s="27" t="s">
        <v>90</v>
      </c>
      <c r="I1332" s="27" t="s">
        <v>121</v>
      </c>
      <c r="J1332" s="28">
        <v>29010</v>
      </c>
      <c r="K1332" s="27" t="s">
        <v>229</v>
      </c>
      <c r="N1332" s="28" t="s">
        <v>1764</v>
      </c>
      <c r="O1332" s="28" t="s">
        <v>1763</v>
      </c>
      <c r="P1332" s="442">
        <v>43105</v>
      </c>
      <c r="W1332" s="370" t="s">
        <v>1765</v>
      </c>
    </row>
    <row r="1333" spans="1:23">
      <c r="A1333">
        <v>1316</v>
      </c>
      <c r="C1333" s="27" t="s">
        <v>567</v>
      </c>
      <c r="D1333" s="28" t="s">
        <v>1363</v>
      </c>
      <c r="E1333" s="27" t="s">
        <v>1364</v>
      </c>
      <c r="F1333" t="s">
        <v>2444</v>
      </c>
      <c r="G1333" s="27" t="s">
        <v>90</v>
      </c>
      <c r="I1333" s="27" t="s">
        <v>94</v>
      </c>
      <c r="J1333" s="28">
        <v>29268</v>
      </c>
      <c r="K1333" s="27" t="s">
        <v>229</v>
      </c>
      <c r="N1333" s="28" t="s">
        <v>4722</v>
      </c>
      <c r="O1333" s="28" t="s">
        <v>1763</v>
      </c>
      <c r="P1333" s="442">
        <v>43105</v>
      </c>
      <c r="W1333" s="370" t="s">
        <v>1765</v>
      </c>
    </row>
    <row r="1334" spans="1:23">
      <c r="A1334">
        <v>1317</v>
      </c>
      <c r="C1334" s="27" t="s">
        <v>567</v>
      </c>
      <c r="D1334" s="28" t="s">
        <v>1365</v>
      </c>
      <c r="E1334" s="27" t="s">
        <v>1366</v>
      </c>
      <c r="F1334" t="s">
        <v>2444</v>
      </c>
      <c r="G1334" s="27" t="s">
        <v>90</v>
      </c>
      <c r="I1334" s="27" t="s">
        <v>94</v>
      </c>
      <c r="J1334" s="28">
        <v>29268</v>
      </c>
      <c r="K1334" s="27" t="s">
        <v>229</v>
      </c>
      <c r="N1334" s="28" t="s">
        <v>4722</v>
      </c>
      <c r="O1334" s="28" t="s">
        <v>1763</v>
      </c>
      <c r="P1334" s="442">
        <v>43105</v>
      </c>
      <c r="W1334" s="370" t="s">
        <v>1765</v>
      </c>
    </row>
    <row r="1335" spans="1:23">
      <c r="A1335">
        <v>1318</v>
      </c>
      <c r="C1335" s="27" t="s">
        <v>567</v>
      </c>
      <c r="D1335" s="28" t="s">
        <v>1367</v>
      </c>
      <c r="E1335" s="27" t="s">
        <v>1368</v>
      </c>
      <c r="F1335" t="s">
        <v>2444</v>
      </c>
      <c r="G1335" s="27" t="s">
        <v>90</v>
      </c>
      <c r="I1335" s="27" t="s">
        <v>94</v>
      </c>
      <c r="J1335" s="28">
        <v>29268</v>
      </c>
      <c r="K1335" s="27" t="s">
        <v>229</v>
      </c>
      <c r="N1335" s="28" t="s">
        <v>4722</v>
      </c>
      <c r="O1335" s="28" t="s">
        <v>1763</v>
      </c>
      <c r="P1335" s="442">
        <v>43105</v>
      </c>
      <c r="W1335" s="370" t="s">
        <v>1765</v>
      </c>
    </row>
    <row r="1336" spans="1:23">
      <c r="A1336">
        <v>1319</v>
      </c>
      <c r="C1336" s="27" t="s">
        <v>567</v>
      </c>
      <c r="D1336" s="28" t="s">
        <v>1369</v>
      </c>
      <c r="E1336" s="27" t="s">
        <v>1370</v>
      </c>
      <c r="F1336" t="s">
        <v>2444</v>
      </c>
      <c r="G1336" s="27" t="s">
        <v>90</v>
      </c>
      <c r="I1336" s="27" t="s">
        <v>94</v>
      </c>
      <c r="J1336" s="28">
        <v>29268</v>
      </c>
      <c r="K1336" s="27" t="s">
        <v>229</v>
      </c>
      <c r="N1336" s="28" t="s">
        <v>4722</v>
      </c>
      <c r="O1336" s="28" t="s">
        <v>1763</v>
      </c>
      <c r="P1336" s="442">
        <v>43105</v>
      </c>
      <c r="W1336" s="370" t="s">
        <v>1765</v>
      </c>
    </row>
    <row r="1337" spans="1:23">
      <c r="A1337">
        <v>1320</v>
      </c>
      <c r="C1337" s="27" t="s">
        <v>567</v>
      </c>
      <c r="D1337" s="28" t="s">
        <v>1371</v>
      </c>
      <c r="E1337" s="27" t="s">
        <v>1372</v>
      </c>
      <c r="F1337" t="s">
        <v>2444</v>
      </c>
      <c r="G1337" s="27" t="s">
        <v>90</v>
      </c>
      <c r="I1337" s="27" t="s">
        <v>94</v>
      </c>
      <c r="J1337" s="28">
        <v>29268</v>
      </c>
      <c r="K1337" s="27" t="s">
        <v>229</v>
      </c>
      <c r="N1337" s="28" t="s">
        <v>4722</v>
      </c>
      <c r="O1337" s="28" t="s">
        <v>1763</v>
      </c>
      <c r="P1337" s="442">
        <v>43105</v>
      </c>
      <c r="W1337" s="370" t="s">
        <v>1765</v>
      </c>
    </row>
    <row r="1338" spans="1:23">
      <c r="A1338">
        <v>1321</v>
      </c>
      <c r="C1338" s="27" t="s">
        <v>567</v>
      </c>
      <c r="D1338" s="28" t="s">
        <v>1373</v>
      </c>
      <c r="E1338" s="27" t="s">
        <v>1374</v>
      </c>
      <c r="F1338" t="s">
        <v>2444</v>
      </c>
      <c r="G1338" s="27" t="s">
        <v>90</v>
      </c>
      <c r="I1338" s="27" t="s">
        <v>94</v>
      </c>
      <c r="J1338" s="28">
        <v>29268</v>
      </c>
      <c r="K1338" s="27" t="s">
        <v>229</v>
      </c>
      <c r="N1338" s="28" t="s">
        <v>4722</v>
      </c>
      <c r="O1338" s="28" t="s">
        <v>1763</v>
      </c>
      <c r="P1338" s="442">
        <v>43105</v>
      </c>
      <c r="W1338" s="370" t="s">
        <v>1765</v>
      </c>
    </row>
    <row r="1339" spans="1:23">
      <c r="A1339">
        <v>1322</v>
      </c>
      <c r="C1339" s="27" t="s">
        <v>567</v>
      </c>
      <c r="D1339" s="28" t="s">
        <v>1375</v>
      </c>
      <c r="E1339" s="27" t="s">
        <v>1376</v>
      </c>
      <c r="F1339" t="s">
        <v>2444</v>
      </c>
      <c r="G1339" s="27" t="s">
        <v>90</v>
      </c>
      <c r="I1339" s="27" t="s">
        <v>94</v>
      </c>
      <c r="J1339" s="28">
        <v>29268</v>
      </c>
      <c r="K1339" s="27" t="s">
        <v>229</v>
      </c>
      <c r="N1339" s="28" t="s">
        <v>4722</v>
      </c>
      <c r="O1339" s="28" t="s">
        <v>1763</v>
      </c>
      <c r="P1339" s="442">
        <v>43105</v>
      </c>
      <c r="W1339" s="370" t="s">
        <v>1765</v>
      </c>
    </row>
    <row r="1340" spans="1:23">
      <c r="A1340">
        <v>1323</v>
      </c>
      <c r="C1340" s="27" t="s">
        <v>567</v>
      </c>
      <c r="D1340" s="28" t="s">
        <v>3244</v>
      </c>
      <c r="E1340" s="27" t="s">
        <v>3245</v>
      </c>
      <c r="F1340" t="s">
        <v>2444</v>
      </c>
      <c r="G1340" s="27" t="s">
        <v>90</v>
      </c>
      <c r="I1340" s="27" t="s">
        <v>121</v>
      </c>
      <c r="J1340" s="28">
        <v>29010</v>
      </c>
      <c r="K1340" s="27" t="s">
        <v>229</v>
      </c>
      <c r="N1340" s="28" t="s">
        <v>1764</v>
      </c>
      <c r="O1340" s="28" t="s">
        <v>1763</v>
      </c>
      <c r="P1340" s="442">
        <v>43105</v>
      </c>
      <c r="W1340" s="370" t="s">
        <v>1765</v>
      </c>
    </row>
    <row r="1341" spans="1:23">
      <c r="A1341">
        <v>1324</v>
      </c>
      <c r="C1341" s="27" t="s">
        <v>567</v>
      </c>
      <c r="D1341" s="28" t="s">
        <v>3244</v>
      </c>
      <c r="E1341" s="27" t="s">
        <v>3245</v>
      </c>
      <c r="F1341" t="s">
        <v>2444</v>
      </c>
      <c r="G1341" s="27" t="s">
        <v>90</v>
      </c>
      <c r="I1341" s="27" t="s">
        <v>121</v>
      </c>
      <c r="J1341" s="28">
        <v>20178</v>
      </c>
      <c r="K1341" s="27" t="s">
        <v>1243</v>
      </c>
      <c r="N1341" s="28" t="s">
        <v>1764</v>
      </c>
      <c r="O1341" s="28" t="s">
        <v>1763</v>
      </c>
      <c r="P1341" s="442">
        <v>43105</v>
      </c>
      <c r="W1341" s="370" t="s">
        <v>1765</v>
      </c>
    </row>
    <row r="1342" spans="1:23">
      <c r="A1342">
        <v>1325</v>
      </c>
      <c r="C1342" s="27" t="s">
        <v>567</v>
      </c>
      <c r="D1342" s="28" t="s">
        <v>3244</v>
      </c>
      <c r="E1342" s="27" t="s">
        <v>3245</v>
      </c>
      <c r="F1342" t="s">
        <v>2444</v>
      </c>
      <c r="G1342" s="27" t="s">
        <v>90</v>
      </c>
      <c r="I1342" s="27" t="s">
        <v>94</v>
      </c>
      <c r="J1342" s="28">
        <v>29268</v>
      </c>
      <c r="K1342" s="27" t="s">
        <v>229</v>
      </c>
      <c r="N1342" s="28" t="s">
        <v>4722</v>
      </c>
      <c r="O1342" s="28" t="s">
        <v>1763</v>
      </c>
      <c r="P1342" s="442">
        <v>43105</v>
      </c>
      <c r="W1342" s="370" t="s">
        <v>1765</v>
      </c>
    </row>
    <row r="1343" spans="1:23">
      <c r="A1343">
        <v>1326</v>
      </c>
      <c r="C1343" s="27" t="s">
        <v>567</v>
      </c>
      <c r="D1343" s="28" t="s">
        <v>3246</v>
      </c>
      <c r="E1343" s="27" t="s">
        <v>3247</v>
      </c>
      <c r="F1343" t="s">
        <v>2444</v>
      </c>
      <c r="G1343" s="27" t="s">
        <v>90</v>
      </c>
      <c r="I1343" s="27" t="s">
        <v>121</v>
      </c>
      <c r="J1343" s="28">
        <v>29010</v>
      </c>
      <c r="K1343" s="27" t="s">
        <v>229</v>
      </c>
      <c r="N1343" s="28" t="s">
        <v>1764</v>
      </c>
      <c r="O1343" s="28" t="s">
        <v>1763</v>
      </c>
      <c r="P1343" s="442">
        <v>43105</v>
      </c>
      <c r="W1343" s="370" t="s">
        <v>1765</v>
      </c>
    </row>
    <row r="1344" spans="1:23">
      <c r="A1344">
        <v>1327</v>
      </c>
      <c r="C1344" s="27" t="s">
        <v>567</v>
      </c>
      <c r="D1344" s="28" t="s">
        <v>3248</v>
      </c>
      <c r="E1344" s="27" t="s">
        <v>3249</v>
      </c>
      <c r="F1344" t="s">
        <v>2444</v>
      </c>
      <c r="G1344" s="27" t="s">
        <v>90</v>
      </c>
      <c r="I1344" s="27" t="s">
        <v>121</v>
      </c>
      <c r="J1344" s="28">
        <v>21205</v>
      </c>
      <c r="K1344" s="27" t="s">
        <v>395</v>
      </c>
      <c r="N1344" s="28" t="s">
        <v>1764</v>
      </c>
      <c r="O1344" s="28" t="s">
        <v>1763</v>
      </c>
      <c r="P1344" s="442">
        <v>43105</v>
      </c>
      <c r="W1344" s="370" t="s">
        <v>1765</v>
      </c>
    </row>
    <row r="1345" spans="1:23">
      <c r="A1345">
        <v>1328</v>
      </c>
      <c r="C1345" s="27" t="s">
        <v>567</v>
      </c>
      <c r="D1345" s="28" t="s">
        <v>1380</v>
      </c>
      <c r="E1345" s="27" t="s">
        <v>1381</v>
      </c>
      <c r="F1345" t="s">
        <v>2444</v>
      </c>
      <c r="G1345" s="27" t="s">
        <v>90</v>
      </c>
      <c r="I1345" s="27" t="s">
        <v>94</v>
      </c>
      <c r="J1345" s="28">
        <v>29268</v>
      </c>
      <c r="K1345" s="27" t="s">
        <v>229</v>
      </c>
      <c r="N1345" s="28" t="s">
        <v>4722</v>
      </c>
      <c r="O1345" s="28" t="s">
        <v>1763</v>
      </c>
      <c r="P1345" s="442">
        <v>43105</v>
      </c>
      <c r="W1345" s="370" t="s">
        <v>1765</v>
      </c>
    </row>
    <row r="1346" spans="1:23">
      <c r="A1346">
        <v>1329</v>
      </c>
      <c r="C1346" s="27" t="s">
        <v>567</v>
      </c>
      <c r="D1346" s="28" t="s">
        <v>1382</v>
      </c>
      <c r="E1346" s="27" t="s">
        <v>1383</v>
      </c>
      <c r="F1346" t="s">
        <v>2444</v>
      </c>
      <c r="G1346" s="27" t="s">
        <v>90</v>
      </c>
      <c r="I1346" s="27" t="s">
        <v>94</v>
      </c>
      <c r="J1346" s="28">
        <v>29268</v>
      </c>
      <c r="K1346" s="27" t="s">
        <v>229</v>
      </c>
      <c r="N1346" s="28" t="s">
        <v>4722</v>
      </c>
      <c r="O1346" s="28" t="s">
        <v>1763</v>
      </c>
      <c r="P1346" s="442">
        <v>43105</v>
      </c>
      <c r="W1346" s="370" t="s">
        <v>1765</v>
      </c>
    </row>
    <row r="1347" spans="1:23">
      <c r="A1347">
        <v>1330</v>
      </c>
      <c r="C1347" s="27" t="s">
        <v>567</v>
      </c>
      <c r="D1347" s="28" t="s">
        <v>1384</v>
      </c>
      <c r="E1347" s="27" t="s">
        <v>1385</v>
      </c>
      <c r="F1347" t="s">
        <v>2444</v>
      </c>
      <c r="G1347" s="27" t="s">
        <v>90</v>
      </c>
      <c r="I1347" s="27" t="s">
        <v>94</v>
      </c>
      <c r="J1347" s="28">
        <v>29268</v>
      </c>
      <c r="K1347" s="27" t="s">
        <v>229</v>
      </c>
      <c r="N1347" s="28" t="s">
        <v>4722</v>
      </c>
      <c r="O1347" s="28" t="s">
        <v>1763</v>
      </c>
      <c r="P1347" s="442">
        <v>43105</v>
      </c>
      <c r="W1347" s="370" t="s">
        <v>1765</v>
      </c>
    </row>
    <row r="1348" spans="1:23">
      <c r="A1348">
        <v>1331</v>
      </c>
      <c r="C1348" s="27" t="s">
        <v>567</v>
      </c>
      <c r="D1348" s="28" t="s">
        <v>1386</v>
      </c>
      <c r="E1348" s="27" t="s">
        <v>148</v>
      </c>
      <c r="F1348" t="s">
        <v>2444</v>
      </c>
      <c r="G1348" s="27" t="s">
        <v>90</v>
      </c>
      <c r="I1348" s="27" t="s">
        <v>94</v>
      </c>
      <c r="J1348" s="28">
        <v>29268</v>
      </c>
      <c r="K1348" s="27" t="s">
        <v>229</v>
      </c>
      <c r="N1348" s="28" t="s">
        <v>4722</v>
      </c>
      <c r="O1348" s="28" t="s">
        <v>1763</v>
      </c>
      <c r="P1348" s="442">
        <v>43105</v>
      </c>
      <c r="W1348" s="370" t="s">
        <v>1765</v>
      </c>
    </row>
    <row r="1349" spans="1:23">
      <c r="A1349">
        <v>1332</v>
      </c>
      <c r="D1349" s="28" t="s">
        <v>336</v>
      </c>
      <c r="E1349" s="27" t="s">
        <v>337</v>
      </c>
      <c r="G1349" s="27" t="s">
        <v>101</v>
      </c>
      <c r="I1349" s="27" t="s">
        <v>121</v>
      </c>
      <c r="J1349" s="28">
        <v>21710</v>
      </c>
      <c r="K1349" s="27" t="s">
        <v>407</v>
      </c>
      <c r="N1349" s="28"/>
      <c r="O1349" s="28"/>
      <c r="P1349" s="442"/>
    </row>
    <row r="1350" spans="1:23">
      <c r="A1350">
        <v>1333</v>
      </c>
      <c r="D1350" s="28" t="s">
        <v>336</v>
      </c>
      <c r="E1350" s="27" t="s">
        <v>337</v>
      </c>
      <c r="G1350" s="27" t="s">
        <v>101</v>
      </c>
      <c r="I1350" s="27" t="s">
        <v>94</v>
      </c>
      <c r="J1350" s="28">
        <v>21614</v>
      </c>
      <c r="K1350" s="27" t="s">
        <v>407</v>
      </c>
    </row>
    <row r="1351" spans="1:23">
      <c r="A1351">
        <v>1334</v>
      </c>
      <c r="D1351" s="28" t="s">
        <v>3250</v>
      </c>
      <c r="E1351" s="27" t="s">
        <v>3251</v>
      </c>
      <c r="G1351" s="27" t="s">
        <v>101</v>
      </c>
      <c r="I1351" s="27" t="s">
        <v>121</v>
      </c>
      <c r="J1351" s="28">
        <v>29010</v>
      </c>
      <c r="K1351" s="27" t="s">
        <v>229</v>
      </c>
    </row>
    <row r="1352" spans="1:23">
      <c r="A1352">
        <v>1335</v>
      </c>
      <c r="D1352" s="28" t="s">
        <v>3250</v>
      </c>
      <c r="E1352" s="27" t="s">
        <v>3251</v>
      </c>
      <c r="G1352" s="27" t="s">
        <v>101</v>
      </c>
      <c r="I1352" s="27" t="s">
        <v>121</v>
      </c>
      <c r="J1352" s="28">
        <v>20178</v>
      </c>
      <c r="K1352" s="27" t="s">
        <v>1243</v>
      </c>
    </row>
    <row r="1353" spans="1:23">
      <c r="A1353">
        <v>1336</v>
      </c>
      <c r="D1353" s="28" t="s">
        <v>3250</v>
      </c>
      <c r="E1353" s="27" t="s">
        <v>3251</v>
      </c>
      <c r="G1353" s="27" t="s">
        <v>101</v>
      </c>
      <c r="I1353" s="27" t="s">
        <v>94</v>
      </c>
      <c r="J1353" s="28">
        <v>29268</v>
      </c>
      <c r="K1353" s="27" t="s">
        <v>229</v>
      </c>
    </row>
    <row r="1354" spans="1:23">
      <c r="A1354">
        <v>1337</v>
      </c>
      <c r="D1354" s="28" t="s">
        <v>3252</v>
      </c>
      <c r="E1354" s="27" t="s">
        <v>3253</v>
      </c>
      <c r="G1354" s="27" t="s">
        <v>101</v>
      </c>
      <c r="I1354" s="27" t="s">
        <v>121</v>
      </c>
      <c r="J1354" s="28">
        <v>29010</v>
      </c>
      <c r="K1354" s="27" t="s">
        <v>229</v>
      </c>
    </row>
    <row r="1355" spans="1:23">
      <c r="A1355">
        <v>1338</v>
      </c>
      <c r="D1355" s="28" t="s">
        <v>3252</v>
      </c>
      <c r="E1355" s="27" t="s">
        <v>3253</v>
      </c>
      <c r="G1355" s="27" t="s">
        <v>101</v>
      </c>
      <c r="I1355" s="27" t="s">
        <v>121</v>
      </c>
      <c r="J1355" s="28">
        <v>20178</v>
      </c>
      <c r="K1355" s="27" t="s">
        <v>1243</v>
      </c>
    </row>
    <row r="1356" spans="1:23">
      <c r="A1356">
        <v>1339</v>
      </c>
      <c r="D1356" s="28" t="s">
        <v>3252</v>
      </c>
      <c r="E1356" s="27" t="s">
        <v>3253</v>
      </c>
      <c r="G1356" s="27" t="s">
        <v>101</v>
      </c>
      <c r="I1356" s="27" t="s">
        <v>94</v>
      </c>
      <c r="J1356" s="28">
        <v>29268</v>
      </c>
      <c r="K1356" s="27" t="s">
        <v>229</v>
      </c>
    </row>
    <row r="1357" spans="1:23">
      <c r="A1357">
        <v>1340</v>
      </c>
      <c r="D1357" s="28" t="s">
        <v>3254</v>
      </c>
      <c r="E1357" s="27" t="s">
        <v>3255</v>
      </c>
      <c r="G1357" s="27" t="s">
        <v>101</v>
      </c>
      <c r="I1357" s="27" t="s">
        <v>121</v>
      </c>
      <c r="J1357" s="28">
        <v>29010</v>
      </c>
      <c r="K1357" s="27" t="s">
        <v>229</v>
      </c>
    </row>
    <row r="1358" spans="1:23">
      <c r="A1358">
        <v>1341</v>
      </c>
      <c r="D1358" s="28" t="s">
        <v>3254</v>
      </c>
      <c r="E1358" s="27" t="s">
        <v>3255</v>
      </c>
      <c r="G1358" s="27" t="s">
        <v>101</v>
      </c>
      <c r="I1358" s="27" t="s">
        <v>121</v>
      </c>
      <c r="J1358" s="28">
        <v>20178</v>
      </c>
      <c r="K1358" s="27" t="s">
        <v>1243</v>
      </c>
    </row>
    <row r="1359" spans="1:23">
      <c r="A1359">
        <v>1342</v>
      </c>
      <c r="D1359" s="28" t="s">
        <v>3254</v>
      </c>
      <c r="E1359" s="27" t="s">
        <v>3255</v>
      </c>
      <c r="G1359" s="27" t="s">
        <v>101</v>
      </c>
      <c r="I1359" s="27" t="s">
        <v>94</v>
      </c>
      <c r="J1359" s="28">
        <v>29268</v>
      </c>
      <c r="K1359" s="27" t="s">
        <v>229</v>
      </c>
    </row>
    <row r="1360" spans="1:23">
      <c r="A1360">
        <v>1343</v>
      </c>
      <c r="D1360" s="28" t="s">
        <v>3256</v>
      </c>
      <c r="E1360" s="27" t="s">
        <v>3257</v>
      </c>
      <c r="G1360" s="27" t="s">
        <v>101</v>
      </c>
      <c r="I1360" s="27" t="s">
        <v>121</v>
      </c>
      <c r="J1360" s="28">
        <v>29010</v>
      </c>
      <c r="K1360" s="27" t="s">
        <v>229</v>
      </c>
    </row>
    <row r="1361" spans="1:11">
      <c r="A1361">
        <v>1344</v>
      </c>
      <c r="D1361" s="28" t="s">
        <v>3256</v>
      </c>
      <c r="E1361" s="27" t="s">
        <v>3257</v>
      </c>
      <c r="G1361" s="27" t="s">
        <v>101</v>
      </c>
      <c r="I1361" s="27" t="s">
        <v>121</v>
      </c>
      <c r="J1361" s="28">
        <v>20178</v>
      </c>
      <c r="K1361" s="27" t="s">
        <v>1243</v>
      </c>
    </row>
    <row r="1362" spans="1:11">
      <c r="A1362">
        <v>1345</v>
      </c>
      <c r="D1362" s="28" t="s">
        <v>3256</v>
      </c>
      <c r="E1362" s="27" t="s">
        <v>3257</v>
      </c>
      <c r="G1362" s="27" t="s">
        <v>101</v>
      </c>
      <c r="I1362" s="27" t="s">
        <v>94</v>
      </c>
      <c r="J1362" s="28">
        <v>29268</v>
      </c>
      <c r="K1362" s="27" t="s">
        <v>229</v>
      </c>
    </row>
    <row r="1363" spans="1:11">
      <c r="A1363">
        <v>1346</v>
      </c>
      <c r="D1363" s="28" t="s">
        <v>3258</v>
      </c>
      <c r="E1363" s="27" t="s">
        <v>3259</v>
      </c>
      <c r="G1363" s="27" t="s">
        <v>101</v>
      </c>
      <c r="I1363" s="27" t="s">
        <v>121</v>
      </c>
      <c r="J1363" s="28">
        <v>29010</v>
      </c>
      <c r="K1363" s="27" t="s">
        <v>229</v>
      </c>
    </row>
    <row r="1364" spans="1:11">
      <c r="A1364">
        <v>1347</v>
      </c>
      <c r="D1364" s="28" t="s">
        <v>3258</v>
      </c>
      <c r="E1364" s="27" t="s">
        <v>3259</v>
      </c>
      <c r="G1364" s="27" t="s">
        <v>101</v>
      </c>
      <c r="I1364" s="27" t="s">
        <v>121</v>
      </c>
      <c r="J1364" s="28">
        <v>20178</v>
      </c>
      <c r="K1364" s="27" t="s">
        <v>1243</v>
      </c>
    </row>
    <row r="1365" spans="1:11">
      <c r="A1365">
        <v>1348</v>
      </c>
      <c r="D1365" s="28" t="s">
        <v>3258</v>
      </c>
      <c r="E1365" s="27" t="s">
        <v>3259</v>
      </c>
      <c r="G1365" s="27" t="s">
        <v>101</v>
      </c>
      <c r="I1365" s="27" t="s">
        <v>94</v>
      </c>
      <c r="J1365" s="28">
        <v>29268</v>
      </c>
      <c r="K1365" s="27" t="s">
        <v>229</v>
      </c>
    </row>
    <row r="1366" spans="1:11">
      <c r="A1366">
        <v>1349</v>
      </c>
      <c r="D1366" s="28" t="s">
        <v>665</v>
      </c>
      <c r="E1366" s="27" t="s">
        <v>666</v>
      </c>
      <c r="G1366" s="27" t="s">
        <v>101</v>
      </c>
      <c r="I1366" s="27" t="s">
        <v>94</v>
      </c>
      <c r="J1366" s="28">
        <v>29268</v>
      </c>
      <c r="K1366" s="27" t="s">
        <v>229</v>
      </c>
    </row>
    <row r="1367" spans="1:11">
      <c r="A1367">
        <v>1350</v>
      </c>
      <c r="D1367" s="28" t="s">
        <v>3260</v>
      </c>
      <c r="E1367" s="27" t="s">
        <v>3261</v>
      </c>
      <c r="G1367" s="27" t="s">
        <v>101</v>
      </c>
      <c r="I1367" s="27" t="s">
        <v>121</v>
      </c>
      <c r="J1367" s="28">
        <v>29010</v>
      </c>
      <c r="K1367" s="27" t="s">
        <v>229</v>
      </c>
    </row>
    <row r="1368" spans="1:11">
      <c r="A1368">
        <v>1351</v>
      </c>
      <c r="D1368" s="28" t="s">
        <v>3262</v>
      </c>
      <c r="E1368" s="27" t="s">
        <v>148</v>
      </c>
      <c r="G1368" s="27" t="s">
        <v>101</v>
      </c>
      <c r="I1368" s="27" t="s">
        <v>121</v>
      </c>
      <c r="J1368" s="28">
        <v>29010</v>
      </c>
      <c r="K1368" s="27" t="s">
        <v>229</v>
      </c>
    </row>
    <row r="1369" spans="1:11">
      <c r="A1369">
        <v>1352</v>
      </c>
      <c r="D1369" s="28" t="s">
        <v>338</v>
      </c>
      <c r="E1369" s="27" t="s">
        <v>339</v>
      </c>
      <c r="G1369" s="27" t="s">
        <v>101</v>
      </c>
      <c r="I1369" s="27" t="s">
        <v>121</v>
      </c>
      <c r="J1369" s="28">
        <v>21697</v>
      </c>
      <c r="K1369" s="27" t="s">
        <v>227</v>
      </c>
    </row>
    <row r="1370" spans="1:11">
      <c r="A1370">
        <v>1353</v>
      </c>
      <c r="D1370" s="28" t="s">
        <v>3263</v>
      </c>
      <c r="E1370" s="27" t="s">
        <v>3264</v>
      </c>
      <c r="G1370" s="27" t="s">
        <v>101</v>
      </c>
      <c r="I1370" s="27" t="s">
        <v>121</v>
      </c>
      <c r="J1370" s="28">
        <v>29010</v>
      </c>
      <c r="K1370" s="27" t="s">
        <v>229</v>
      </c>
    </row>
    <row r="1371" spans="1:11">
      <c r="A1371">
        <v>1354</v>
      </c>
      <c r="D1371" s="28" t="s">
        <v>3263</v>
      </c>
      <c r="E1371" s="27" t="s">
        <v>3264</v>
      </c>
      <c r="G1371" s="27" t="s">
        <v>101</v>
      </c>
      <c r="I1371" s="27" t="s">
        <v>226</v>
      </c>
      <c r="J1371" s="28">
        <v>29164</v>
      </c>
      <c r="K1371" s="27" t="s">
        <v>229</v>
      </c>
    </row>
    <row r="1372" spans="1:11">
      <c r="A1372">
        <v>1355</v>
      </c>
      <c r="D1372" s="28" t="s">
        <v>3265</v>
      </c>
      <c r="E1372" s="27" t="s">
        <v>3266</v>
      </c>
      <c r="G1372" s="27" t="s">
        <v>101</v>
      </c>
      <c r="I1372" s="27" t="s">
        <v>121</v>
      </c>
      <c r="J1372" s="28">
        <v>29010</v>
      </c>
      <c r="K1372" s="27" t="s">
        <v>229</v>
      </c>
    </row>
    <row r="1373" spans="1:11">
      <c r="A1373">
        <v>1356</v>
      </c>
      <c r="D1373" s="28" t="s">
        <v>3267</v>
      </c>
      <c r="E1373" s="27" t="s">
        <v>166</v>
      </c>
      <c r="G1373" s="27" t="s">
        <v>101</v>
      </c>
      <c r="I1373" s="27" t="s">
        <v>121</v>
      </c>
      <c r="J1373" s="28">
        <v>29010</v>
      </c>
      <c r="K1373" s="27" t="s">
        <v>229</v>
      </c>
    </row>
    <row r="1374" spans="1:11">
      <c r="A1374">
        <v>1357</v>
      </c>
      <c r="D1374" s="28" t="s">
        <v>3268</v>
      </c>
      <c r="E1374" s="27" t="s">
        <v>172</v>
      </c>
      <c r="G1374" s="27" t="s">
        <v>101</v>
      </c>
      <c r="I1374" s="27" t="s">
        <v>121</v>
      </c>
      <c r="J1374" s="28">
        <v>29010</v>
      </c>
      <c r="K1374" s="27" t="s">
        <v>229</v>
      </c>
    </row>
    <row r="1375" spans="1:11">
      <c r="A1375">
        <v>1358</v>
      </c>
      <c r="D1375" s="28" t="s">
        <v>3269</v>
      </c>
      <c r="E1375" s="27" t="s">
        <v>166</v>
      </c>
      <c r="G1375" s="27" t="s">
        <v>101</v>
      </c>
      <c r="I1375" s="27" t="s">
        <v>121</v>
      </c>
      <c r="J1375" s="28">
        <v>29010</v>
      </c>
      <c r="K1375" s="27" t="s">
        <v>229</v>
      </c>
    </row>
    <row r="1376" spans="1:11">
      <c r="A1376">
        <v>1359</v>
      </c>
      <c r="D1376" s="28" t="s">
        <v>3269</v>
      </c>
      <c r="E1376" s="27" t="s">
        <v>166</v>
      </c>
      <c r="G1376" s="27" t="s">
        <v>101</v>
      </c>
      <c r="I1376" s="27" t="s">
        <v>94</v>
      </c>
      <c r="J1376" s="28">
        <v>29268</v>
      </c>
      <c r="K1376" s="27" t="s">
        <v>229</v>
      </c>
    </row>
    <row r="1377" spans="1:11">
      <c r="A1377">
        <v>1360</v>
      </c>
      <c r="D1377" s="28" t="s">
        <v>3270</v>
      </c>
      <c r="E1377" s="27" t="s">
        <v>200</v>
      </c>
      <c r="G1377" s="27" t="s">
        <v>101</v>
      </c>
      <c r="I1377" s="27" t="s">
        <v>121</v>
      </c>
      <c r="J1377" s="28">
        <v>29010</v>
      </c>
      <c r="K1377" s="27" t="s">
        <v>229</v>
      </c>
    </row>
    <row r="1378" spans="1:11">
      <c r="A1378">
        <v>1361</v>
      </c>
      <c r="D1378" s="28" t="s">
        <v>3270</v>
      </c>
      <c r="E1378" s="27" t="s">
        <v>200</v>
      </c>
      <c r="G1378" s="27" t="s">
        <v>101</v>
      </c>
      <c r="I1378" s="27" t="s">
        <v>94</v>
      </c>
      <c r="J1378" s="28">
        <v>29268</v>
      </c>
      <c r="K1378" s="27" t="s">
        <v>229</v>
      </c>
    </row>
    <row r="1379" spans="1:11">
      <c r="A1379">
        <v>1362</v>
      </c>
      <c r="D1379" s="28" t="s">
        <v>3271</v>
      </c>
      <c r="E1379" s="27" t="s">
        <v>3272</v>
      </c>
      <c r="G1379" s="27" t="s">
        <v>101</v>
      </c>
      <c r="I1379" s="27" t="s">
        <v>121</v>
      </c>
      <c r="J1379" s="28">
        <v>29010</v>
      </c>
      <c r="K1379" s="27" t="s">
        <v>229</v>
      </c>
    </row>
    <row r="1380" spans="1:11">
      <c r="A1380">
        <v>1363</v>
      </c>
      <c r="D1380" s="28" t="s">
        <v>3271</v>
      </c>
      <c r="E1380" s="27" t="s">
        <v>3272</v>
      </c>
      <c r="G1380" s="27" t="s">
        <v>101</v>
      </c>
      <c r="I1380" s="27" t="s">
        <v>94</v>
      </c>
      <c r="J1380" s="28">
        <v>29268</v>
      </c>
      <c r="K1380" s="27" t="s">
        <v>229</v>
      </c>
    </row>
    <row r="1381" spans="1:11">
      <c r="A1381">
        <v>1364</v>
      </c>
      <c r="D1381" s="28" t="s">
        <v>3273</v>
      </c>
      <c r="E1381" s="27" t="s">
        <v>3274</v>
      </c>
      <c r="G1381" s="27" t="s">
        <v>101</v>
      </c>
      <c r="I1381" s="27" t="s">
        <v>121</v>
      </c>
      <c r="J1381" s="28">
        <v>29010</v>
      </c>
      <c r="K1381" s="27" t="s">
        <v>229</v>
      </c>
    </row>
    <row r="1382" spans="1:11">
      <c r="A1382">
        <v>1365</v>
      </c>
      <c r="D1382" s="28" t="s">
        <v>3273</v>
      </c>
      <c r="E1382" s="27" t="s">
        <v>3274</v>
      </c>
      <c r="G1382" s="27" t="s">
        <v>101</v>
      </c>
      <c r="I1382" s="27" t="s">
        <v>94</v>
      </c>
      <c r="J1382" s="28">
        <v>29268</v>
      </c>
      <c r="K1382" s="27" t="s">
        <v>229</v>
      </c>
    </row>
    <row r="1383" spans="1:11">
      <c r="A1383">
        <v>1366</v>
      </c>
      <c r="D1383" s="28" t="s">
        <v>3275</v>
      </c>
      <c r="E1383" s="27" t="s">
        <v>172</v>
      </c>
      <c r="G1383" s="27" t="s">
        <v>101</v>
      </c>
      <c r="I1383" s="27" t="s">
        <v>121</v>
      </c>
      <c r="J1383" s="28">
        <v>29010</v>
      </c>
      <c r="K1383" s="27" t="s">
        <v>229</v>
      </c>
    </row>
    <row r="1384" spans="1:11">
      <c r="A1384">
        <v>1367</v>
      </c>
      <c r="D1384" s="28" t="s">
        <v>3275</v>
      </c>
      <c r="E1384" s="27" t="s">
        <v>172</v>
      </c>
      <c r="G1384" s="27" t="s">
        <v>101</v>
      </c>
      <c r="I1384" s="27" t="s">
        <v>94</v>
      </c>
      <c r="J1384" s="28">
        <v>29268</v>
      </c>
      <c r="K1384" s="27" t="s">
        <v>229</v>
      </c>
    </row>
    <row r="1385" spans="1:11">
      <c r="A1385">
        <v>1368</v>
      </c>
      <c r="D1385" s="28" t="s">
        <v>3276</v>
      </c>
      <c r="E1385" s="27" t="s">
        <v>178</v>
      </c>
      <c r="G1385" s="27" t="s">
        <v>101</v>
      </c>
      <c r="I1385" s="27" t="s">
        <v>121</v>
      </c>
      <c r="J1385" s="28">
        <v>29010</v>
      </c>
      <c r="K1385" s="27" t="s">
        <v>229</v>
      </c>
    </row>
    <row r="1386" spans="1:11">
      <c r="A1386">
        <v>1369</v>
      </c>
      <c r="D1386" s="28" t="s">
        <v>3276</v>
      </c>
      <c r="E1386" s="27" t="s">
        <v>178</v>
      </c>
      <c r="G1386" s="27" t="s">
        <v>101</v>
      </c>
      <c r="I1386" s="27" t="s">
        <v>94</v>
      </c>
      <c r="J1386" s="28">
        <v>29268</v>
      </c>
      <c r="K1386" s="27" t="s">
        <v>229</v>
      </c>
    </row>
    <row r="1387" spans="1:11">
      <c r="A1387">
        <v>1370</v>
      </c>
      <c r="D1387" s="28" t="s">
        <v>1395</v>
      </c>
      <c r="E1387" s="27" t="s">
        <v>188</v>
      </c>
      <c r="G1387" s="27" t="s">
        <v>101</v>
      </c>
      <c r="I1387" s="27" t="s">
        <v>94</v>
      </c>
      <c r="J1387" s="28">
        <v>29268</v>
      </c>
      <c r="K1387" s="27" t="s">
        <v>229</v>
      </c>
    </row>
    <row r="1388" spans="1:11">
      <c r="A1388">
        <v>1371</v>
      </c>
      <c r="D1388" s="28" t="s">
        <v>3277</v>
      </c>
      <c r="E1388" s="27" t="s">
        <v>3278</v>
      </c>
      <c r="G1388" s="27" t="s">
        <v>101</v>
      </c>
      <c r="I1388" s="27" t="s">
        <v>121</v>
      </c>
      <c r="J1388" s="28">
        <v>29010</v>
      </c>
      <c r="K1388" s="27" t="s">
        <v>229</v>
      </c>
    </row>
    <row r="1389" spans="1:11">
      <c r="A1389">
        <v>1372</v>
      </c>
      <c r="D1389" s="28" t="s">
        <v>3277</v>
      </c>
      <c r="E1389" s="27" t="s">
        <v>3278</v>
      </c>
      <c r="G1389" s="27" t="s">
        <v>101</v>
      </c>
      <c r="I1389" s="27" t="s">
        <v>94</v>
      </c>
      <c r="J1389" s="28">
        <v>29268</v>
      </c>
      <c r="K1389" s="27" t="s">
        <v>229</v>
      </c>
    </row>
    <row r="1390" spans="1:11">
      <c r="A1390">
        <v>1373</v>
      </c>
      <c r="D1390" s="28" t="s">
        <v>3279</v>
      </c>
      <c r="E1390" s="27" t="s">
        <v>1388</v>
      </c>
      <c r="G1390" s="27" t="s">
        <v>101</v>
      </c>
      <c r="I1390" s="27" t="s">
        <v>121</v>
      </c>
      <c r="J1390" s="28">
        <v>29010</v>
      </c>
      <c r="K1390" s="27" t="s">
        <v>229</v>
      </c>
    </row>
    <row r="1391" spans="1:11">
      <c r="A1391">
        <v>1374</v>
      </c>
      <c r="D1391" s="28" t="s">
        <v>3279</v>
      </c>
      <c r="E1391" s="27" t="s">
        <v>1388</v>
      </c>
      <c r="G1391" s="27" t="s">
        <v>101</v>
      </c>
      <c r="I1391" s="27" t="s">
        <v>94</v>
      </c>
      <c r="J1391" s="28">
        <v>29268</v>
      </c>
      <c r="K1391" s="27" t="s">
        <v>229</v>
      </c>
    </row>
    <row r="1392" spans="1:11">
      <c r="A1392">
        <v>1375</v>
      </c>
      <c r="D1392" s="28" t="s">
        <v>3280</v>
      </c>
      <c r="E1392" s="27" t="s">
        <v>1268</v>
      </c>
      <c r="G1392" s="27" t="s">
        <v>101</v>
      </c>
      <c r="I1392" s="27" t="s">
        <v>121</v>
      </c>
      <c r="J1392" s="28">
        <v>29010</v>
      </c>
      <c r="K1392" s="27" t="s">
        <v>229</v>
      </c>
    </row>
    <row r="1393" spans="1:11">
      <c r="A1393">
        <v>1376</v>
      </c>
      <c r="D1393" s="28" t="s">
        <v>3280</v>
      </c>
      <c r="E1393" s="27" t="s">
        <v>1268</v>
      </c>
      <c r="G1393" s="27" t="s">
        <v>101</v>
      </c>
      <c r="I1393" s="27" t="s">
        <v>94</v>
      </c>
      <c r="J1393" s="28">
        <v>29268</v>
      </c>
      <c r="K1393" s="27" t="s">
        <v>229</v>
      </c>
    </row>
    <row r="1394" spans="1:11">
      <c r="A1394">
        <v>1377</v>
      </c>
      <c r="D1394" s="28" t="s">
        <v>3281</v>
      </c>
      <c r="E1394" s="27" t="s">
        <v>3282</v>
      </c>
      <c r="G1394" s="27" t="s">
        <v>101</v>
      </c>
      <c r="I1394" s="27" t="s">
        <v>121</v>
      </c>
      <c r="J1394" s="28">
        <v>29010</v>
      </c>
      <c r="K1394" s="27" t="s">
        <v>229</v>
      </c>
    </row>
    <row r="1395" spans="1:11">
      <c r="A1395">
        <v>1378</v>
      </c>
      <c r="D1395" s="28" t="s">
        <v>3281</v>
      </c>
      <c r="E1395" s="27" t="s">
        <v>3282</v>
      </c>
      <c r="G1395" s="27" t="s">
        <v>101</v>
      </c>
      <c r="I1395" s="27" t="s">
        <v>94</v>
      </c>
      <c r="J1395" s="28">
        <v>29268</v>
      </c>
      <c r="K1395" s="27" t="s">
        <v>229</v>
      </c>
    </row>
    <row r="1396" spans="1:11">
      <c r="A1396">
        <v>1379</v>
      </c>
      <c r="D1396" s="28" t="s">
        <v>1396</v>
      </c>
      <c r="E1396" s="27" t="s">
        <v>1388</v>
      </c>
      <c r="G1396" s="27" t="s">
        <v>101</v>
      </c>
      <c r="I1396" s="27" t="s">
        <v>94</v>
      </c>
      <c r="J1396" s="28">
        <v>29268</v>
      </c>
      <c r="K1396" s="27" t="s">
        <v>229</v>
      </c>
    </row>
    <row r="1397" spans="1:11">
      <c r="A1397">
        <v>1380</v>
      </c>
      <c r="D1397" s="28" t="s">
        <v>1397</v>
      </c>
      <c r="E1397" s="27" t="s">
        <v>184</v>
      </c>
      <c r="G1397" s="27" t="s">
        <v>101</v>
      </c>
      <c r="I1397" s="27" t="s">
        <v>94</v>
      </c>
      <c r="J1397" s="28">
        <v>29268</v>
      </c>
      <c r="K1397" s="27" t="s">
        <v>229</v>
      </c>
    </row>
    <row r="1398" spans="1:11">
      <c r="A1398">
        <v>1381</v>
      </c>
      <c r="D1398" s="28" t="s">
        <v>3283</v>
      </c>
      <c r="E1398" s="27" t="s">
        <v>3284</v>
      </c>
      <c r="G1398" s="27" t="s">
        <v>101</v>
      </c>
      <c r="I1398" s="27" t="s">
        <v>121</v>
      </c>
      <c r="J1398" s="28">
        <v>21710</v>
      </c>
      <c r="K1398" s="27" t="s">
        <v>407</v>
      </c>
    </row>
    <row r="1399" spans="1:11">
      <c r="A1399">
        <v>1382</v>
      </c>
      <c r="D1399" s="28" t="s">
        <v>3283</v>
      </c>
      <c r="E1399" s="27" t="s">
        <v>3284</v>
      </c>
      <c r="G1399" s="27" t="s">
        <v>101</v>
      </c>
      <c r="I1399" s="27" t="s">
        <v>94</v>
      </c>
      <c r="J1399" s="28">
        <v>21614</v>
      </c>
      <c r="K1399" s="27" t="s">
        <v>407</v>
      </c>
    </row>
    <row r="1400" spans="1:11">
      <c r="A1400">
        <v>1383</v>
      </c>
      <c r="D1400" s="28" t="s">
        <v>3285</v>
      </c>
      <c r="E1400" s="27" t="s">
        <v>3286</v>
      </c>
      <c r="G1400" s="27" t="s">
        <v>101</v>
      </c>
      <c r="I1400" s="27" t="s">
        <v>121</v>
      </c>
      <c r="J1400" s="28">
        <v>21710</v>
      </c>
      <c r="K1400" s="27" t="s">
        <v>407</v>
      </c>
    </row>
    <row r="1401" spans="1:11">
      <c r="A1401">
        <v>1384</v>
      </c>
      <c r="D1401" s="28" t="s">
        <v>3285</v>
      </c>
      <c r="E1401" s="27" t="s">
        <v>3286</v>
      </c>
      <c r="G1401" s="27" t="s">
        <v>101</v>
      </c>
      <c r="I1401" s="27" t="s">
        <v>94</v>
      </c>
      <c r="J1401" s="28">
        <v>21614</v>
      </c>
      <c r="K1401" s="27" t="s">
        <v>407</v>
      </c>
    </row>
    <row r="1402" spans="1:11">
      <c r="A1402">
        <v>1385</v>
      </c>
      <c r="D1402" s="28" t="s">
        <v>3287</v>
      </c>
      <c r="E1402" s="27" t="s">
        <v>3288</v>
      </c>
      <c r="G1402" s="27" t="s">
        <v>101</v>
      </c>
      <c r="I1402" s="27" t="s">
        <v>94</v>
      </c>
      <c r="J1402" s="28">
        <v>29268</v>
      </c>
      <c r="K1402" s="27" t="s">
        <v>229</v>
      </c>
    </row>
    <row r="1403" spans="1:11">
      <c r="A1403">
        <v>1386</v>
      </c>
      <c r="D1403" s="28" t="s">
        <v>3289</v>
      </c>
      <c r="E1403" s="27" t="s">
        <v>3290</v>
      </c>
      <c r="G1403" s="27" t="s">
        <v>101</v>
      </c>
      <c r="I1403" s="27" t="s">
        <v>121</v>
      </c>
      <c r="J1403" s="28">
        <v>29010</v>
      </c>
      <c r="K1403" s="27" t="s">
        <v>229</v>
      </c>
    </row>
    <row r="1404" spans="1:11">
      <c r="A1404">
        <v>1387</v>
      </c>
      <c r="D1404" s="28" t="s">
        <v>3289</v>
      </c>
      <c r="E1404" s="27" t="s">
        <v>3290</v>
      </c>
      <c r="G1404" s="27" t="s">
        <v>101</v>
      </c>
      <c r="I1404" s="27" t="s">
        <v>94</v>
      </c>
      <c r="J1404" s="28">
        <v>29268</v>
      </c>
      <c r="K1404" s="27" t="s">
        <v>229</v>
      </c>
    </row>
    <row r="1405" spans="1:11">
      <c r="A1405">
        <v>1388</v>
      </c>
      <c r="D1405" s="28" t="s">
        <v>3291</v>
      </c>
      <c r="E1405" s="27" t="s">
        <v>172</v>
      </c>
      <c r="G1405" s="27" t="s">
        <v>101</v>
      </c>
      <c r="I1405" s="27" t="s">
        <v>121</v>
      </c>
      <c r="J1405" s="28">
        <v>29010</v>
      </c>
      <c r="K1405" s="27" t="s">
        <v>229</v>
      </c>
    </row>
    <row r="1406" spans="1:11">
      <c r="A1406">
        <v>1389</v>
      </c>
      <c r="D1406" s="28" t="s">
        <v>3292</v>
      </c>
      <c r="E1406" s="27" t="s">
        <v>184</v>
      </c>
      <c r="G1406" s="27" t="s">
        <v>101</v>
      </c>
      <c r="I1406" s="27" t="s">
        <v>121</v>
      </c>
      <c r="J1406" s="28">
        <v>29010</v>
      </c>
      <c r="K1406" s="27" t="s">
        <v>229</v>
      </c>
    </row>
    <row r="1407" spans="1:11">
      <c r="A1407">
        <v>1390</v>
      </c>
      <c r="D1407" s="28" t="s">
        <v>3293</v>
      </c>
      <c r="E1407" s="27" t="s">
        <v>3294</v>
      </c>
      <c r="G1407" s="27" t="s">
        <v>101</v>
      </c>
      <c r="I1407" s="27" t="s">
        <v>121</v>
      </c>
      <c r="J1407" s="28">
        <v>29010</v>
      </c>
      <c r="K1407" s="27" t="s">
        <v>229</v>
      </c>
    </row>
    <row r="1408" spans="1:11">
      <c r="A1408">
        <v>1391</v>
      </c>
      <c r="D1408" s="28" t="s">
        <v>3295</v>
      </c>
      <c r="E1408" s="27" t="s">
        <v>166</v>
      </c>
      <c r="G1408" s="27" t="s">
        <v>101</v>
      </c>
      <c r="I1408" s="27" t="s">
        <v>121</v>
      </c>
      <c r="J1408" s="28">
        <v>29010</v>
      </c>
      <c r="K1408" s="27" t="s">
        <v>229</v>
      </c>
    </row>
    <row r="1409" spans="1:11">
      <c r="A1409">
        <v>1392</v>
      </c>
      <c r="D1409" s="28" t="s">
        <v>3296</v>
      </c>
      <c r="E1409" s="27" t="s">
        <v>3272</v>
      </c>
      <c r="G1409" s="27" t="s">
        <v>101</v>
      </c>
      <c r="I1409" s="27" t="s">
        <v>121</v>
      </c>
      <c r="J1409" s="28">
        <v>29010</v>
      </c>
      <c r="K1409" s="27" t="s">
        <v>229</v>
      </c>
    </row>
    <row r="1410" spans="1:11">
      <c r="A1410">
        <v>1393</v>
      </c>
      <c r="D1410" s="28" t="s">
        <v>3297</v>
      </c>
      <c r="E1410" s="27" t="s">
        <v>3274</v>
      </c>
      <c r="G1410" s="27" t="s">
        <v>101</v>
      </c>
      <c r="I1410" s="27" t="s">
        <v>121</v>
      </c>
      <c r="J1410" s="28">
        <v>29010</v>
      </c>
      <c r="K1410" s="27" t="s">
        <v>229</v>
      </c>
    </row>
    <row r="1411" spans="1:11">
      <c r="A1411">
        <v>1394</v>
      </c>
      <c r="D1411" s="28" t="s">
        <v>3298</v>
      </c>
      <c r="E1411" s="27" t="s">
        <v>200</v>
      </c>
      <c r="G1411" s="27" t="s">
        <v>101</v>
      </c>
      <c r="I1411" s="27" t="s">
        <v>121</v>
      </c>
      <c r="J1411" s="28">
        <v>29010</v>
      </c>
      <c r="K1411" s="27" t="s">
        <v>229</v>
      </c>
    </row>
    <row r="1412" spans="1:11">
      <c r="A1412">
        <v>1395</v>
      </c>
      <c r="D1412" s="28" t="s">
        <v>3299</v>
      </c>
      <c r="E1412" s="27" t="s">
        <v>3300</v>
      </c>
      <c r="G1412" s="27" t="s">
        <v>101</v>
      </c>
      <c r="I1412" s="27" t="s">
        <v>121</v>
      </c>
      <c r="J1412" s="28">
        <v>21710</v>
      </c>
      <c r="K1412" s="27" t="s">
        <v>407</v>
      </c>
    </row>
    <row r="1413" spans="1:11">
      <c r="A1413">
        <v>1396</v>
      </c>
      <c r="D1413" s="28" t="s">
        <v>3301</v>
      </c>
      <c r="E1413" s="27" t="s">
        <v>3302</v>
      </c>
      <c r="G1413" s="27" t="s">
        <v>101</v>
      </c>
      <c r="I1413" s="27" t="s">
        <v>121</v>
      </c>
      <c r="J1413" s="28">
        <v>21710</v>
      </c>
      <c r="K1413" s="27" t="s">
        <v>407</v>
      </c>
    </row>
    <row r="1414" spans="1:11">
      <c r="A1414">
        <v>1397</v>
      </c>
      <c r="D1414" s="28" t="s">
        <v>3303</v>
      </c>
      <c r="E1414" s="27" t="s">
        <v>136</v>
      </c>
      <c r="G1414" s="27" t="s">
        <v>101</v>
      </c>
      <c r="I1414" s="27" t="s">
        <v>121</v>
      </c>
      <c r="J1414" s="28">
        <v>29010</v>
      </c>
      <c r="K1414" s="27" t="s">
        <v>229</v>
      </c>
    </row>
    <row r="1415" spans="1:11">
      <c r="A1415">
        <v>1398</v>
      </c>
      <c r="D1415" s="28" t="s">
        <v>3304</v>
      </c>
      <c r="E1415" s="27" t="s">
        <v>3305</v>
      </c>
      <c r="G1415" s="27" t="s">
        <v>101</v>
      </c>
      <c r="I1415" s="27" t="s">
        <v>121</v>
      </c>
      <c r="J1415" s="28">
        <v>29010</v>
      </c>
      <c r="K1415" s="27" t="s">
        <v>229</v>
      </c>
    </row>
    <row r="1416" spans="1:11">
      <c r="A1416">
        <v>1399</v>
      </c>
      <c r="D1416" s="28" t="s">
        <v>3304</v>
      </c>
      <c r="E1416" s="27" t="s">
        <v>3305</v>
      </c>
      <c r="G1416" s="27" t="s">
        <v>101</v>
      </c>
      <c r="I1416" s="27" t="s">
        <v>94</v>
      </c>
      <c r="J1416" s="28">
        <v>29268</v>
      </c>
      <c r="K1416" s="27" t="s">
        <v>229</v>
      </c>
    </row>
    <row r="1417" spans="1:11">
      <c r="A1417">
        <v>1400</v>
      </c>
      <c r="D1417" s="28" t="s">
        <v>3306</v>
      </c>
      <c r="E1417" s="27" t="s">
        <v>3307</v>
      </c>
      <c r="G1417" s="27" t="s">
        <v>101</v>
      </c>
      <c r="I1417" s="27" t="s">
        <v>121</v>
      </c>
      <c r="J1417" s="28">
        <v>29010</v>
      </c>
      <c r="K1417" s="27" t="s">
        <v>229</v>
      </c>
    </row>
    <row r="1418" spans="1:11">
      <c r="A1418">
        <v>1401</v>
      </c>
      <c r="D1418" s="28" t="s">
        <v>3308</v>
      </c>
      <c r="E1418" s="27" t="s">
        <v>3003</v>
      </c>
      <c r="G1418" s="27" t="s">
        <v>101</v>
      </c>
      <c r="I1418" s="27" t="s">
        <v>4501</v>
      </c>
      <c r="J1418" s="28">
        <v>29010</v>
      </c>
      <c r="K1418" s="27" t="s">
        <v>229</v>
      </c>
    </row>
    <row r="1419" spans="1:11">
      <c r="A1419">
        <v>1402</v>
      </c>
      <c r="D1419" s="28" t="s">
        <v>3308</v>
      </c>
      <c r="E1419" s="27" t="s">
        <v>3003</v>
      </c>
      <c r="G1419" s="27" t="s">
        <v>101</v>
      </c>
      <c r="I1419" s="27" t="s">
        <v>121</v>
      </c>
      <c r="J1419" s="28">
        <v>29010</v>
      </c>
      <c r="K1419" s="27" t="s">
        <v>229</v>
      </c>
    </row>
    <row r="1420" spans="1:11">
      <c r="A1420">
        <v>1403</v>
      </c>
      <c r="D1420" s="28" t="s">
        <v>3309</v>
      </c>
      <c r="E1420" s="27" t="s">
        <v>3003</v>
      </c>
      <c r="G1420" s="27" t="s">
        <v>101</v>
      </c>
      <c r="I1420" s="27" t="s">
        <v>121</v>
      </c>
      <c r="J1420" s="28">
        <v>21545</v>
      </c>
      <c r="K1420" s="27" t="s">
        <v>4507</v>
      </c>
    </row>
    <row r="1421" spans="1:11">
      <c r="A1421">
        <v>1404</v>
      </c>
      <c r="D1421" s="28" t="s">
        <v>3309</v>
      </c>
      <c r="E1421" s="27" t="s">
        <v>3003</v>
      </c>
      <c r="G1421" s="27" t="s">
        <v>101</v>
      </c>
      <c r="I1421" s="27" t="s">
        <v>94</v>
      </c>
      <c r="J1421" s="28">
        <v>21190</v>
      </c>
      <c r="K1421" s="27" t="s">
        <v>4506</v>
      </c>
    </row>
    <row r="1422" spans="1:11">
      <c r="A1422">
        <v>1405</v>
      </c>
      <c r="D1422" s="28" t="s">
        <v>3309</v>
      </c>
      <c r="E1422" s="27" t="s">
        <v>3003</v>
      </c>
      <c r="G1422" s="27" t="s">
        <v>101</v>
      </c>
      <c r="I1422" s="27" t="s">
        <v>226</v>
      </c>
      <c r="J1422" s="28">
        <v>21545</v>
      </c>
      <c r="K1422" s="27" t="s">
        <v>4507</v>
      </c>
    </row>
    <row r="1423" spans="1:11">
      <c r="A1423">
        <v>1406</v>
      </c>
      <c r="D1423" s="28" t="s">
        <v>3310</v>
      </c>
      <c r="E1423" s="27" t="s">
        <v>678</v>
      </c>
      <c r="G1423" s="27" t="s">
        <v>101</v>
      </c>
      <c r="I1423" s="27" t="s">
        <v>121</v>
      </c>
      <c r="J1423" s="28">
        <v>20895</v>
      </c>
      <c r="K1423" s="27" t="s">
        <v>1242</v>
      </c>
    </row>
    <row r="1424" spans="1:11">
      <c r="A1424">
        <v>1407</v>
      </c>
      <c r="D1424" s="28" t="s">
        <v>3311</v>
      </c>
      <c r="E1424" s="27" t="s">
        <v>3036</v>
      </c>
      <c r="G1424" s="27" t="s">
        <v>101</v>
      </c>
      <c r="I1424" s="27" t="s">
        <v>121</v>
      </c>
      <c r="J1424" s="28">
        <v>21160</v>
      </c>
      <c r="K1424" s="27" t="s">
        <v>401</v>
      </c>
    </row>
    <row r="1425" spans="1:11">
      <c r="A1425">
        <v>1408</v>
      </c>
      <c r="D1425" s="28" t="s">
        <v>3312</v>
      </c>
      <c r="E1425" s="27" t="s">
        <v>3036</v>
      </c>
      <c r="G1425" s="27" t="s">
        <v>101</v>
      </c>
      <c r="I1425" s="27" t="s">
        <v>94</v>
      </c>
      <c r="J1425" s="28">
        <v>21712</v>
      </c>
      <c r="K1425" s="27" t="s">
        <v>400</v>
      </c>
    </row>
    <row r="1426" spans="1:11">
      <c r="A1426">
        <v>1409</v>
      </c>
      <c r="D1426" s="28" t="s">
        <v>3312</v>
      </c>
      <c r="E1426" s="27" t="s">
        <v>3036</v>
      </c>
      <c r="G1426" s="27" t="s">
        <v>101</v>
      </c>
      <c r="I1426" s="27" t="s">
        <v>226</v>
      </c>
      <c r="J1426" s="28">
        <v>21425</v>
      </c>
      <c r="K1426" s="27" t="s">
        <v>406</v>
      </c>
    </row>
    <row r="1427" spans="1:11">
      <c r="A1427">
        <v>1410</v>
      </c>
      <c r="D1427" s="28" t="s">
        <v>340</v>
      </c>
      <c r="E1427" s="27" t="s">
        <v>341</v>
      </c>
      <c r="G1427" s="27" t="s">
        <v>101</v>
      </c>
      <c r="I1427" s="27" t="s">
        <v>121</v>
      </c>
      <c r="J1427" s="28">
        <v>21160</v>
      </c>
      <c r="K1427" s="27" t="s">
        <v>401</v>
      </c>
    </row>
    <row r="1428" spans="1:11">
      <c r="A1428">
        <v>1411</v>
      </c>
      <c r="D1428" s="28" t="s">
        <v>340</v>
      </c>
      <c r="E1428" s="27" t="s">
        <v>341</v>
      </c>
      <c r="G1428" s="27" t="s">
        <v>101</v>
      </c>
      <c r="I1428" s="27" t="s">
        <v>121</v>
      </c>
      <c r="J1428" s="28">
        <v>21205</v>
      </c>
      <c r="K1428" s="27" t="s">
        <v>395</v>
      </c>
    </row>
    <row r="1429" spans="1:11">
      <c r="A1429">
        <v>1412</v>
      </c>
      <c r="D1429" s="28" t="s">
        <v>340</v>
      </c>
      <c r="E1429" s="27" t="s">
        <v>341</v>
      </c>
      <c r="G1429" s="27" t="s">
        <v>101</v>
      </c>
      <c r="I1429" s="27" t="s">
        <v>94</v>
      </c>
      <c r="J1429" s="28">
        <v>21160</v>
      </c>
      <c r="K1429" s="27" t="s">
        <v>401</v>
      </c>
    </row>
    <row r="1430" spans="1:11">
      <c r="A1430">
        <v>1413</v>
      </c>
      <c r="D1430" s="28" t="s">
        <v>340</v>
      </c>
      <c r="E1430" s="27" t="s">
        <v>341</v>
      </c>
      <c r="G1430" s="27" t="s">
        <v>101</v>
      </c>
      <c r="I1430" s="27" t="s">
        <v>94</v>
      </c>
      <c r="J1430" s="28">
        <v>21205</v>
      </c>
      <c r="K1430" s="27" t="s">
        <v>395</v>
      </c>
    </row>
    <row r="1431" spans="1:11">
      <c r="A1431">
        <v>1414</v>
      </c>
      <c r="D1431" s="28" t="s">
        <v>340</v>
      </c>
      <c r="E1431" s="27" t="s">
        <v>341</v>
      </c>
      <c r="G1431" s="27" t="s">
        <v>101</v>
      </c>
      <c r="I1431" s="27" t="s">
        <v>226</v>
      </c>
      <c r="J1431" s="28">
        <v>21425</v>
      </c>
      <c r="K1431" s="27" t="s">
        <v>406</v>
      </c>
    </row>
    <row r="1432" spans="1:11">
      <c r="A1432">
        <v>1415</v>
      </c>
      <c r="D1432" s="28" t="s">
        <v>3313</v>
      </c>
      <c r="E1432" s="27" t="s">
        <v>3051</v>
      </c>
      <c r="G1432" s="27" t="s">
        <v>101</v>
      </c>
      <c r="I1432" s="27" t="s">
        <v>121</v>
      </c>
      <c r="J1432" s="28">
        <v>29010</v>
      </c>
      <c r="K1432" s="27" t="s">
        <v>229</v>
      </c>
    </row>
    <row r="1433" spans="1:11">
      <c r="A1433">
        <v>1416</v>
      </c>
      <c r="D1433" s="28" t="s">
        <v>3314</v>
      </c>
      <c r="E1433" s="27" t="s">
        <v>3053</v>
      </c>
      <c r="G1433" s="27" t="s">
        <v>101</v>
      </c>
      <c r="I1433" s="27" t="s">
        <v>121</v>
      </c>
      <c r="J1433" s="28">
        <v>29010</v>
      </c>
      <c r="K1433" s="27" t="s">
        <v>229</v>
      </c>
    </row>
    <row r="1434" spans="1:11">
      <c r="A1434">
        <v>1417</v>
      </c>
      <c r="D1434" s="28" t="s">
        <v>3314</v>
      </c>
      <c r="E1434" s="27" t="s">
        <v>3053</v>
      </c>
      <c r="G1434" s="27" t="s">
        <v>101</v>
      </c>
      <c r="I1434" s="27" t="s">
        <v>94</v>
      </c>
      <c r="J1434" s="28">
        <v>29268</v>
      </c>
      <c r="K1434" s="27" t="s">
        <v>229</v>
      </c>
    </row>
    <row r="1435" spans="1:11">
      <c r="A1435">
        <v>1418</v>
      </c>
      <c r="D1435" s="28" t="s">
        <v>3314</v>
      </c>
      <c r="E1435" s="27" t="s">
        <v>3053</v>
      </c>
      <c r="G1435" s="27" t="s">
        <v>101</v>
      </c>
      <c r="I1435" s="27" t="s">
        <v>226</v>
      </c>
      <c r="J1435" s="28">
        <v>29164</v>
      </c>
      <c r="K1435" s="27" t="s">
        <v>229</v>
      </c>
    </row>
    <row r="1436" spans="1:11">
      <c r="A1436">
        <v>1419</v>
      </c>
      <c r="D1436" s="28" t="s">
        <v>342</v>
      </c>
      <c r="E1436" s="27" t="s">
        <v>343</v>
      </c>
      <c r="G1436" s="27" t="s">
        <v>101</v>
      </c>
      <c r="I1436" s="27" t="s">
        <v>121</v>
      </c>
      <c r="J1436" s="28">
        <v>21589</v>
      </c>
      <c r="K1436" s="27" t="s">
        <v>405</v>
      </c>
    </row>
    <row r="1437" spans="1:11">
      <c r="A1437">
        <v>1420</v>
      </c>
      <c r="D1437" s="28" t="s">
        <v>344</v>
      </c>
      <c r="E1437" s="27" t="s">
        <v>345</v>
      </c>
      <c r="G1437" s="27" t="s">
        <v>101</v>
      </c>
      <c r="I1437" s="27" t="s">
        <v>121</v>
      </c>
      <c r="J1437" s="28">
        <v>21589</v>
      </c>
      <c r="K1437" s="27" t="s">
        <v>405</v>
      </c>
    </row>
    <row r="1438" spans="1:11">
      <c r="A1438">
        <v>1421</v>
      </c>
      <c r="D1438" s="28" t="s">
        <v>1398</v>
      </c>
      <c r="E1438" s="27" t="s">
        <v>1358</v>
      </c>
      <c r="G1438" s="27" t="s">
        <v>101</v>
      </c>
      <c r="I1438" s="27" t="s">
        <v>94</v>
      </c>
      <c r="J1438" s="28">
        <v>29268</v>
      </c>
      <c r="K1438" s="27" t="s">
        <v>229</v>
      </c>
    </row>
    <row r="1439" spans="1:11">
      <c r="A1439">
        <v>1422</v>
      </c>
      <c r="D1439" s="28" t="s">
        <v>544</v>
      </c>
      <c r="E1439" s="27" t="s">
        <v>3315</v>
      </c>
      <c r="G1439" s="27" t="s">
        <v>101</v>
      </c>
      <c r="I1439" s="27" t="s">
        <v>121</v>
      </c>
      <c r="J1439" s="28">
        <v>29010</v>
      </c>
      <c r="K1439" s="27" t="s">
        <v>229</v>
      </c>
    </row>
    <row r="1440" spans="1:11">
      <c r="A1440">
        <v>1423</v>
      </c>
      <c r="D1440" s="28" t="s">
        <v>544</v>
      </c>
      <c r="E1440" s="27" t="s">
        <v>3315</v>
      </c>
      <c r="G1440" s="27" t="s">
        <v>101</v>
      </c>
      <c r="I1440" s="27" t="s">
        <v>94</v>
      </c>
      <c r="J1440" s="28">
        <v>29268</v>
      </c>
      <c r="K1440" s="27" t="s">
        <v>229</v>
      </c>
    </row>
    <row r="1441" spans="1:11">
      <c r="A1441">
        <v>1424</v>
      </c>
      <c r="D1441" s="28" t="s">
        <v>544</v>
      </c>
      <c r="E1441" s="27" t="s">
        <v>3315</v>
      </c>
      <c r="G1441" s="27" t="s">
        <v>101</v>
      </c>
      <c r="I1441" s="27" t="s">
        <v>226</v>
      </c>
      <c r="J1441" s="28">
        <v>29164</v>
      </c>
      <c r="K1441" s="27" t="s">
        <v>229</v>
      </c>
    </row>
    <row r="1442" spans="1:11">
      <c r="A1442">
        <v>1425</v>
      </c>
      <c r="D1442" s="28" t="s">
        <v>3316</v>
      </c>
      <c r="E1442" s="27" t="s">
        <v>3317</v>
      </c>
      <c r="G1442" s="27" t="s">
        <v>101</v>
      </c>
      <c r="I1442" s="27" t="s">
        <v>121</v>
      </c>
      <c r="J1442" s="28">
        <v>20205</v>
      </c>
      <c r="K1442" s="27" t="s">
        <v>1245</v>
      </c>
    </row>
    <row r="1443" spans="1:11">
      <c r="A1443">
        <v>1426</v>
      </c>
      <c r="D1443" s="28" t="s">
        <v>3318</v>
      </c>
      <c r="E1443" s="27" t="s">
        <v>3319</v>
      </c>
      <c r="G1443" s="27" t="s">
        <v>101</v>
      </c>
      <c r="I1443" s="27" t="s">
        <v>121</v>
      </c>
      <c r="J1443" s="28">
        <v>21743</v>
      </c>
      <c r="K1443" s="27" t="s">
        <v>4503</v>
      </c>
    </row>
    <row r="1444" spans="1:11">
      <c r="A1444">
        <v>1427</v>
      </c>
      <c r="D1444" s="28" t="s">
        <v>346</v>
      </c>
      <c r="E1444" s="27" t="s">
        <v>347</v>
      </c>
      <c r="G1444" s="27" t="s">
        <v>101</v>
      </c>
      <c r="I1444" s="27" t="s">
        <v>121</v>
      </c>
      <c r="J1444" s="28">
        <v>21697</v>
      </c>
      <c r="K1444" s="27" t="s">
        <v>227</v>
      </c>
    </row>
    <row r="1445" spans="1:11">
      <c r="A1445">
        <v>1428</v>
      </c>
      <c r="D1445" s="28" t="s">
        <v>346</v>
      </c>
      <c r="E1445" s="27" t="s">
        <v>347</v>
      </c>
      <c r="G1445" s="27" t="s">
        <v>101</v>
      </c>
      <c r="I1445" s="27" t="s">
        <v>121</v>
      </c>
      <c r="J1445" s="28">
        <v>21205</v>
      </c>
      <c r="K1445" s="27" t="s">
        <v>395</v>
      </c>
    </row>
    <row r="1446" spans="1:11">
      <c r="A1446">
        <v>1429</v>
      </c>
      <c r="D1446" s="28" t="s">
        <v>348</v>
      </c>
      <c r="E1446" s="27" t="s">
        <v>349</v>
      </c>
      <c r="G1446" s="27" t="s">
        <v>101</v>
      </c>
      <c r="I1446" s="27" t="s">
        <v>121</v>
      </c>
      <c r="J1446" s="28">
        <v>21697</v>
      </c>
      <c r="K1446" s="27" t="s">
        <v>227</v>
      </c>
    </row>
    <row r="1447" spans="1:11">
      <c r="A1447">
        <v>1430</v>
      </c>
      <c r="D1447" s="28" t="s">
        <v>348</v>
      </c>
      <c r="E1447" s="27" t="s">
        <v>349</v>
      </c>
      <c r="G1447" s="27" t="s">
        <v>101</v>
      </c>
      <c r="I1447" s="27" t="s">
        <v>121</v>
      </c>
      <c r="J1447" s="28">
        <v>21205</v>
      </c>
      <c r="K1447" s="27" t="s">
        <v>395</v>
      </c>
    </row>
    <row r="1448" spans="1:11">
      <c r="A1448">
        <v>1431</v>
      </c>
      <c r="D1448" s="28" t="s">
        <v>3320</v>
      </c>
      <c r="E1448" s="27" t="s">
        <v>353</v>
      </c>
      <c r="G1448" s="27" t="s">
        <v>101</v>
      </c>
      <c r="I1448" s="27" t="s">
        <v>121</v>
      </c>
      <c r="J1448" s="28">
        <v>21819</v>
      </c>
      <c r="K1448" s="27" t="s">
        <v>408</v>
      </c>
    </row>
    <row r="1449" spans="1:11">
      <c r="A1449">
        <v>1432</v>
      </c>
      <c r="D1449" s="28" t="s">
        <v>3321</v>
      </c>
      <c r="E1449" s="27" t="s">
        <v>3322</v>
      </c>
      <c r="G1449" s="27" t="s">
        <v>101</v>
      </c>
      <c r="I1449" s="27" t="s">
        <v>121</v>
      </c>
      <c r="J1449" s="28">
        <v>21160</v>
      </c>
      <c r="K1449" s="27" t="s">
        <v>401</v>
      </c>
    </row>
    <row r="1450" spans="1:11">
      <c r="A1450">
        <v>1433</v>
      </c>
      <c r="D1450" s="28" t="s">
        <v>3321</v>
      </c>
      <c r="E1450" s="27" t="s">
        <v>3322</v>
      </c>
      <c r="G1450" s="27" t="s">
        <v>101</v>
      </c>
      <c r="I1450" s="27" t="s">
        <v>121</v>
      </c>
      <c r="J1450" s="28">
        <v>21205</v>
      </c>
      <c r="K1450" s="27" t="s">
        <v>395</v>
      </c>
    </row>
    <row r="1451" spans="1:11">
      <c r="A1451">
        <v>1434</v>
      </c>
      <c r="D1451" s="28" t="s">
        <v>3323</v>
      </c>
      <c r="E1451" s="27" t="s">
        <v>3324</v>
      </c>
      <c r="G1451" s="27" t="s">
        <v>101</v>
      </c>
      <c r="I1451" s="27" t="s">
        <v>121</v>
      </c>
      <c r="J1451" s="28">
        <v>20205</v>
      </c>
      <c r="K1451" s="27" t="s">
        <v>1245</v>
      </c>
    </row>
    <row r="1452" spans="1:11">
      <c r="A1452">
        <v>1435</v>
      </c>
      <c r="D1452" s="28" t="s">
        <v>3325</v>
      </c>
      <c r="E1452" s="27" t="s">
        <v>3326</v>
      </c>
      <c r="G1452" s="27" t="s">
        <v>101</v>
      </c>
      <c r="I1452" s="27" t="s">
        <v>121</v>
      </c>
      <c r="J1452" s="28">
        <v>21205</v>
      </c>
      <c r="K1452" s="27" t="s">
        <v>395</v>
      </c>
    </row>
    <row r="1453" spans="1:11">
      <c r="A1453">
        <v>1436</v>
      </c>
      <c r="D1453" s="28" t="s">
        <v>3327</v>
      </c>
      <c r="E1453" s="27" t="s">
        <v>3328</v>
      </c>
      <c r="G1453" s="27" t="s">
        <v>101</v>
      </c>
      <c r="I1453" s="27" t="s">
        <v>121</v>
      </c>
      <c r="J1453" s="28">
        <v>21205</v>
      </c>
      <c r="K1453" s="27" t="s">
        <v>395</v>
      </c>
    </row>
    <row r="1454" spans="1:11">
      <c r="A1454">
        <v>1437</v>
      </c>
      <c r="D1454" s="28" t="s">
        <v>3329</v>
      </c>
      <c r="E1454" s="27" t="s">
        <v>3330</v>
      </c>
      <c r="G1454" s="27" t="s">
        <v>101</v>
      </c>
      <c r="I1454" s="27" t="s">
        <v>121</v>
      </c>
      <c r="J1454" s="28">
        <v>21205</v>
      </c>
      <c r="K1454" s="27" t="s">
        <v>395</v>
      </c>
    </row>
    <row r="1455" spans="1:11">
      <c r="A1455">
        <v>1438</v>
      </c>
      <c r="D1455" s="28" t="s">
        <v>3331</v>
      </c>
      <c r="E1455" s="27" t="s">
        <v>703</v>
      </c>
      <c r="G1455" s="27" t="s">
        <v>101</v>
      </c>
      <c r="I1455" s="27" t="s">
        <v>121</v>
      </c>
      <c r="J1455" s="28">
        <v>20895</v>
      </c>
      <c r="K1455" s="27" t="s">
        <v>1242</v>
      </c>
    </row>
    <row r="1456" spans="1:11">
      <c r="A1456">
        <v>1439</v>
      </c>
      <c r="D1456" s="28" t="s">
        <v>3332</v>
      </c>
      <c r="E1456" s="27" t="s">
        <v>3333</v>
      </c>
      <c r="G1456" s="27" t="s">
        <v>101</v>
      </c>
      <c r="I1456" s="27" t="s">
        <v>121</v>
      </c>
      <c r="J1456" s="28">
        <v>29010</v>
      </c>
      <c r="K1456" s="27" t="s">
        <v>229</v>
      </c>
    </row>
    <row r="1457" spans="1:11">
      <c r="A1457">
        <v>1440</v>
      </c>
      <c r="D1457" s="28" t="s">
        <v>3334</v>
      </c>
      <c r="E1457" s="27" t="s">
        <v>166</v>
      </c>
      <c r="G1457" s="27" t="s">
        <v>101</v>
      </c>
      <c r="I1457" s="27" t="s">
        <v>121</v>
      </c>
      <c r="J1457" s="28">
        <v>29010</v>
      </c>
      <c r="K1457" s="27" t="s">
        <v>229</v>
      </c>
    </row>
    <row r="1458" spans="1:11">
      <c r="A1458">
        <v>1441</v>
      </c>
      <c r="D1458" s="28" t="s">
        <v>3335</v>
      </c>
      <c r="E1458" s="27" t="s">
        <v>3336</v>
      </c>
      <c r="G1458" s="27" t="s">
        <v>101</v>
      </c>
      <c r="I1458" s="27" t="s">
        <v>121</v>
      </c>
      <c r="J1458" s="28">
        <v>29010</v>
      </c>
      <c r="K1458" s="27" t="s">
        <v>229</v>
      </c>
    </row>
    <row r="1459" spans="1:11">
      <c r="A1459">
        <v>1442</v>
      </c>
      <c r="D1459" s="28" t="s">
        <v>3337</v>
      </c>
      <c r="E1459" s="27" t="s">
        <v>3338</v>
      </c>
      <c r="G1459" s="27" t="s">
        <v>101</v>
      </c>
      <c r="I1459" s="27" t="s">
        <v>121</v>
      </c>
      <c r="J1459" s="28">
        <v>29010</v>
      </c>
      <c r="K1459" s="27" t="s">
        <v>229</v>
      </c>
    </row>
    <row r="1460" spans="1:11">
      <c r="A1460">
        <v>1443</v>
      </c>
      <c r="D1460" s="28" t="s">
        <v>3339</v>
      </c>
      <c r="E1460" s="27" t="s">
        <v>3340</v>
      </c>
      <c r="G1460" s="27" t="s">
        <v>101</v>
      </c>
      <c r="I1460" s="27" t="s">
        <v>121</v>
      </c>
      <c r="J1460" s="28">
        <v>29010</v>
      </c>
      <c r="K1460" s="27" t="s">
        <v>229</v>
      </c>
    </row>
    <row r="1461" spans="1:11">
      <c r="A1461">
        <v>1444</v>
      </c>
      <c r="D1461" s="28" t="s">
        <v>3341</v>
      </c>
      <c r="E1461" s="27" t="s">
        <v>3342</v>
      </c>
      <c r="G1461" s="27" t="s">
        <v>101</v>
      </c>
      <c r="I1461" s="27" t="s">
        <v>121</v>
      </c>
      <c r="J1461" s="28">
        <v>29010</v>
      </c>
      <c r="K1461" s="27" t="s">
        <v>229</v>
      </c>
    </row>
    <row r="1462" spans="1:11">
      <c r="A1462">
        <v>1445</v>
      </c>
      <c r="D1462" s="28" t="s">
        <v>3343</v>
      </c>
      <c r="E1462" s="27" t="s">
        <v>3344</v>
      </c>
      <c r="G1462" s="27" t="s">
        <v>101</v>
      </c>
      <c r="I1462" s="27" t="s">
        <v>121</v>
      </c>
      <c r="J1462" s="28">
        <v>29010</v>
      </c>
      <c r="K1462" s="27" t="s">
        <v>229</v>
      </c>
    </row>
    <row r="1463" spans="1:11">
      <c r="A1463">
        <v>1446</v>
      </c>
      <c r="D1463" s="28" t="s">
        <v>3345</v>
      </c>
      <c r="E1463" s="27" t="s">
        <v>1327</v>
      </c>
      <c r="G1463" s="27" t="s">
        <v>101</v>
      </c>
      <c r="I1463" s="27" t="s">
        <v>121</v>
      </c>
      <c r="J1463" s="28">
        <v>20895</v>
      </c>
      <c r="K1463" s="27" t="s">
        <v>1242</v>
      </c>
    </row>
    <row r="1464" spans="1:11">
      <c r="A1464">
        <v>1447</v>
      </c>
      <c r="D1464" s="28" t="s">
        <v>3345</v>
      </c>
      <c r="E1464" s="27" t="s">
        <v>1327</v>
      </c>
      <c r="G1464" s="27" t="s">
        <v>101</v>
      </c>
      <c r="I1464" s="27" t="s">
        <v>121</v>
      </c>
      <c r="J1464" s="28">
        <v>29010</v>
      </c>
      <c r="K1464" s="27" t="s">
        <v>229</v>
      </c>
    </row>
    <row r="1465" spans="1:11">
      <c r="A1465">
        <v>1448</v>
      </c>
      <c r="D1465" s="28" t="s">
        <v>3346</v>
      </c>
      <c r="E1465" s="27" t="s">
        <v>1329</v>
      </c>
      <c r="G1465" s="27" t="s">
        <v>101</v>
      </c>
      <c r="I1465" s="27" t="s">
        <v>121</v>
      </c>
      <c r="J1465" s="28">
        <v>20895</v>
      </c>
      <c r="K1465" s="27" t="s">
        <v>1242</v>
      </c>
    </row>
    <row r="1466" spans="1:11">
      <c r="A1466">
        <v>1449</v>
      </c>
      <c r="D1466" s="28" t="s">
        <v>3346</v>
      </c>
      <c r="E1466" s="27" t="s">
        <v>1329</v>
      </c>
      <c r="G1466" s="27" t="s">
        <v>101</v>
      </c>
      <c r="I1466" s="27" t="s">
        <v>121</v>
      </c>
      <c r="J1466" s="28">
        <v>29010</v>
      </c>
      <c r="K1466" s="27" t="s">
        <v>229</v>
      </c>
    </row>
    <row r="1467" spans="1:11">
      <c r="A1467">
        <v>1450</v>
      </c>
      <c r="D1467" s="28" t="s">
        <v>3347</v>
      </c>
      <c r="E1467" s="27" t="s">
        <v>178</v>
      </c>
      <c r="G1467" s="27" t="s">
        <v>101</v>
      </c>
      <c r="I1467" s="27" t="s">
        <v>121</v>
      </c>
      <c r="J1467" s="28">
        <v>20895</v>
      </c>
      <c r="K1467" s="27" t="s">
        <v>1242</v>
      </c>
    </row>
    <row r="1468" spans="1:11">
      <c r="A1468">
        <v>1451</v>
      </c>
      <c r="D1468" s="28" t="s">
        <v>3348</v>
      </c>
      <c r="E1468" s="27" t="s">
        <v>737</v>
      </c>
      <c r="G1468" s="27" t="s">
        <v>101</v>
      </c>
      <c r="I1468" s="27" t="s">
        <v>121</v>
      </c>
      <c r="J1468" s="28">
        <v>20895</v>
      </c>
      <c r="K1468" s="27" t="s">
        <v>1242</v>
      </c>
    </row>
    <row r="1469" spans="1:11">
      <c r="A1469">
        <v>1452</v>
      </c>
      <c r="D1469" s="28" t="s">
        <v>3349</v>
      </c>
      <c r="E1469" s="27" t="s">
        <v>700</v>
      </c>
      <c r="G1469" s="27" t="s">
        <v>101</v>
      </c>
      <c r="I1469" s="27" t="s">
        <v>121</v>
      </c>
      <c r="J1469" s="28">
        <v>20895</v>
      </c>
      <c r="K1469" s="27" t="s">
        <v>1242</v>
      </c>
    </row>
    <row r="1470" spans="1:11">
      <c r="A1470">
        <v>1453</v>
      </c>
      <c r="D1470" s="28" t="s">
        <v>3350</v>
      </c>
      <c r="E1470" s="27" t="s">
        <v>174</v>
      </c>
      <c r="G1470" s="27" t="s">
        <v>101</v>
      </c>
      <c r="I1470" s="27" t="s">
        <v>121</v>
      </c>
      <c r="J1470" s="28">
        <v>20895</v>
      </c>
      <c r="K1470" s="27" t="s">
        <v>1242</v>
      </c>
    </row>
    <row r="1471" spans="1:11">
      <c r="A1471">
        <v>1454</v>
      </c>
      <c r="D1471" s="28" t="s">
        <v>3351</v>
      </c>
      <c r="E1471" s="27" t="s">
        <v>639</v>
      </c>
      <c r="G1471" s="27" t="s">
        <v>101</v>
      </c>
      <c r="I1471" s="27" t="s">
        <v>121</v>
      </c>
      <c r="J1471" s="28">
        <v>29010</v>
      </c>
      <c r="K1471" s="27" t="s">
        <v>229</v>
      </c>
    </row>
    <row r="1472" spans="1:11">
      <c r="A1472">
        <v>1455</v>
      </c>
      <c r="D1472" s="28" t="s">
        <v>3352</v>
      </c>
      <c r="E1472" s="27" t="s">
        <v>176</v>
      </c>
      <c r="G1472" s="27" t="s">
        <v>101</v>
      </c>
      <c r="I1472" s="27" t="s">
        <v>121</v>
      </c>
      <c r="J1472" s="28">
        <v>20895</v>
      </c>
      <c r="K1472" s="27" t="s">
        <v>1242</v>
      </c>
    </row>
    <row r="1473" spans="1:11">
      <c r="A1473">
        <v>1456</v>
      </c>
      <c r="D1473" s="28" t="s">
        <v>3353</v>
      </c>
      <c r="E1473" s="27" t="s">
        <v>3354</v>
      </c>
      <c r="G1473" s="27" t="s">
        <v>101</v>
      </c>
      <c r="I1473" s="27" t="s">
        <v>121</v>
      </c>
      <c r="J1473" s="28">
        <v>20895</v>
      </c>
      <c r="K1473" s="27" t="s">
        <v>1242</v>
      </c>
    </row>
    <row r="1474" spans="1:11">
      <c r="A1474">
        <v>1457</v>
      </c>
      <c r="D1474" s="28" t="s">
        <v>3355</v>
      </c>
      <c r="E1474" s="27" t="s">
        <v>3356</v>
      </c>
      <c r="G1474" s="27" t="s">
        <v>101</v>
      </c>
      <c r="I1474" s="27" t="s">
        <v>121</v>
      </c>
      <c r="J1474" s="28">
        <v>20205</v>
      </c>
      <c r="K1474" s="27" t="s">
        <v>1245</v>
      </c>
    </row>
    <row r="1475" spans="1:11">
      <c r="A1475">
        <v>1458</v>
      </c>
      <c r="D1475" s="28" t="s">
        <v>3357</v>
      </c>
      <c r="E1475" s="27" t="s">
        <v>3358</v>
      </c>
      <c r="G1475" s="27" t="s">
        <v>101</v>
      </c>
      <c r="I1475" s="27" t="s">
        <v>121</v>
      </c>
      <c r="J1475" s="28">
        <v>29010</v>
      </c>
      <c r="K1475" s="27" t="s">
        <v>229</v>
      </c>
    </row>
    <row r="1476" spans="1:11">
      <c r="A1476">
        <v>1459</v>
      </c>
      <c r="D1476" s="28" t="s">
        <v>3359</v>
      </c>
      <c r="E1476" s="27" t="s">
        <v>182</v>
      </c>
      <c r="G1476" s="27" t="s">
        <v>101</v>
      </c>
      <c r="I1476" s="27" t="s">
        <v>121</v>
      </c>
      <c r="J1476" s="28">
        <v>20895</v>
      </c>
      <c r="K1476" s="27" t="s">
        <v>1242</v>
      </c>
    </row>
    <row r="1477" spans="1:11">
      <c r="A1477">
        <v>1460</v>
      </c>
      <c r="D1477" s="28" t="s">
        <v>3360</v>
      </c>
      <c r="E1477" s="27" t="s">
        <v>3361</v>
      </c>
      <c r="G1477" s="27" t="s">
        <v>101</v>
      </c>
      <c r="I1477" s="27" t="s">
        <v>121</v>
      </c>
      <c r="J1477" s="28">
        <v>20205</v>
      </c>
      <c r="K1477" s="27" t="s">
        <v>1245</v>
      </c>
    </row>
    <row r="1478" spans="1:11">
      <c r="A1478">
        <v>1461</v>
      </c>
      <c r="D1478" s="28" t="s">
        <v>3362</v>
      </c>
      <c r="E1478" s="27" t="s">
        <v>3363</v>
      </c>
      <c r="G1478" s="27" t="s">
        <v>101</v>
      </c>
      <c r="I1478" s="27" t="s">
        <v>121</v>
      </c>
      <c r="J1478" s="28">
        <v>20205</v>
      </c>
      <c r="K1478" s="27" t="s">
        <v>1245</v>
      </c>
    </row>
    <row r="1479" spans="1:11">
      <c r="A1479">
        <v>1462</v>
      </c>
      <c r="D1479" s="28" t="s">
        <v>3364</v>
      </c>
      <c r="E1479" s="27" t="s">
        <v>3365</v>
      </c>
      <c r="G1479" s="27" t="s">
        <v>101</v>
      </c>
      <c r="I1479" s="27" t="s">
        <v>121</v>
      </c>
      <c r="J1479" s="28">
        <v>29010</v>
      </c>
      <c r="K1479" s="27" t="s">
        <v>229</v>
      </c>
    </row>
    <row r="1480" spans="1:11">
      <c r="A1480">
        <v>1463</v>
      </c>
      <c r="D1480" s="28" t="s">
        <v>3366</v>
      </c>
      <c r="E1480" s="27" t="s">
        <v>166</v>
      </c>
      <c r="G1480" s="27" t="s">
        <v>101</v>
      </c>
      <c r="I1480" s="27" t="s">
        <v>121</v>
      </c>
      <c r="J1480" s="28">
        <v>29010</v>
      </c>
      <c r="K1480" s="27" t="s">
        <v>229</v>
      </c>
    </row>
    <row r="1481" spans="1:11">
      <c r="A1481">
        <v>1464</v>
      </c>
      <c r="D1481" s="28" t="s">
        <v>3367</v>
      </c>
      <c r="E1481" s="27" t="s">
        <v>737</v>
      </c>
      <c r="G1481" s="27" t="s">
        <v>101</v>
      </c>
      <c r="I1481" s="27" t="s">
        <v>121</v>
      </c>
      <c r="J1481" s="28">
        <v>29010</v>
      </c>
      <c r="K1481" s="27" t="s">
        <v>229</v>
      </c>
    </row>
    <row r="1482" spans="1:11">
      <c r="A1482">
        <v>1465</v>
      </c>
      <c r="D1482" s="28" t="s">
        <v>3368</v>
      </c>
      <c r="E1482" s="27" t="s">
        <v>3369</v>
      </c>
      <c r="G1482" s="27" t="s">
        <v>101</v>
      </c>
      <c r="I1482" s="27" t="s">
        <v>121</v>
      </c>
      <c r="J1482" s="28">
        <v>21205</v>
      </c>
      <c r="K1482" s="27" t="s">
        <v>395</v>
      </c>
    </row>
    <row r="1483" spans="1:11">
      <c r="A1483">
        <v>1466</v>
      </c>
      <c r="D1483" s="28" t="s">
        <v>3370</v>
      </c>
      <c r="E1483" s="27" t="s">
        <v>3371</v>
      </c>
      <c r="G1483" s="27" t="s">
        <v>101</v>
      </c>
      <c r="I1483" s="27" t="s">
        <v>121</v>
      </c>
      <c r="J1483" s="28">
        <v>29010</v>
      </c>
      <c r="K1483" s="27" t="s">
        <v>229</v>
      </c>
    </row>
    <row r="1484" spans="1:11">
      <c r="A1484">
        <v>1467</v>
      </c>
      <c r="D1484" s="28" t="s">
        <v>3372</v>
      </c>
      <c r="E1484" s="27" t="s">
        <v>369</v>
      </c>
      <c r="G1484" s="27" t="s">
        <v>101</v>
      </c>
      <c r="I1484" s="27" t="s">
        <v>121</v>
      </c>
      <c r="J1484" s="28">
        <v>21205</v>
      </c>
      <c r="K1484" s="27" t="s">
        <v>395</v>
      </c>
    </row>
    <row r="1485" spans="1:11">
      <c r="A1485">
        <v>1468</v>
      </c>
      <c r="D1485" s="28" t="s">
        <v>3373</v>
      </c>
      <c r="E1485" s="27" t="s">
        <v>3374</v>
      </c>
      <c r="G1485" s="27" t="s">
        <v>101</v>
      </c>
      <c r="I1485" s="27" t="s">
        <v>121</v>
      </c>
      <c r="J1485" s="28">
        <v>21758</v>
      </c>
      <c r="K1485" s="27" t="s">
        <v>398</v>
      </c>
    </row>
    <row r="1486" spans="1:11">
      <c r="A1486">
        <v>1469</v>
      </c>
      <c r="D1486" s="28" t="s">
        <v>3375</v>
      </c>
      <c r="E1486" s="27" t="s">
        <v>3376</v>
      </c>
      <c r="G1486" s="27" t="s">
        <v>101</v>
      </c>
      <c r="I1486" s="27" t="s">
        <v>121</v>
      </c>
      <c r="J1486" s="28">
        <v>21205</v>
      </c>
      <c r="K1486" s="27" t="s">
        <v>395</v>
      </c>
    </row>
    <row r="1487" spans="1:11">
      <c r="A1487">
        <v>1470</v>
      </c>
      <c r="D1487" s="28" t="s">
        <v>3375</v>
      </c>
      <c r="E1487" s="27" t="s">
        <v>3376</v>
      </c>
      <c r="G1487" s="27" t="s">
        <v>101</v>
      </c>
      <c r="I1487" s="27" t="s">
        <v>121</v>
      </c>
      <c r="J1487" s="28">
        <v>21160</v>
      </c>
      <c r="K1487" s="27" t="s">
        <v>401</v>
      </c>
    </row>
    <row r="1488" spans="1:11">
      <c r="A1488">
        <v>1471</v>
      </c>
      <c r="D1488" s="28" t="s">
        <v>3377</v>
      </c>
      <c r="E1488" s="27" t="s">
        <v>3378</v>
      </c>
      <c r="G1488" s="27" t="s">
        <v>101</v>
      </c>
      <c r="I1488" s="27" t="s">
        <v>121</v>
      </c>
      <c r="J1488" s="28">
        <v>21205</v>
      </c>
      <c r="K1488" s="27" t="s">
        <v>395</v>
      </c>
    </row>
    <row r="1489" spans="1:11">
      <c r="A1489">
        <v>1472</v>
      </c>
      <c r="D1489" s="28" t="s">
        <v>3377</v>
      </c>
      <c r="E1489" s="27" t="s">
        <v>3378</v>
      </c>
      <c r="G1489" s="27" t="s">
        <v>101</v>
      </c>
      <c r="I1489" s="27" t="s">
        <v>121</v>
      </c>
      <c r="J1489" s="28">
        <v>21160</v>
      </c>
      <c r="K1489" s="27" t="s">
        <v>401</v>
      </c>
    </row>
    <row r="1490" spans="1:11">
      <c r="A1490">
        <v>1473</v>
      </c>
      <c r="D1490" s="28" t="s">
        <v>3379</v>
      </c>
      <c r="E1490" s="27" t="s">
        <v>3380</v>
      </c>
      <c r="G1490" s="27" t="s">
        <v>101</v>
      </c>
      <c r="I1490" s="27" t="s">
        <v>121</v>
      </c>
      <c r="J1490" s="28">
        <v>21205</v>
      </c>
      <c r="K1490" s="27" t="s">
        <v>395</v>
      </c>
    </row>
    <row r="1491" spans="1:11">
      <c r="A1491">
        <v>1474</v>
      </c>
      <c r="D1491" s="28" t="s">
        <v>3381</v>
      </c>
      <c r="E1491" s="27" t="s">
        <v>3369</v>
      </c>
      <c r="G1491" s="27" t="s">
        <v>101</v>
      </c>
      <c r="I1491" s="27" t="s">
        <v>121</v>
      </c>
      <c r="J1491" s="28">
        <v>21160</v>
      </c>
      <c r="K1491" s="27" t="s">
        <v>401</v>
      </c>
    </row>
    <row r="1492" spans="1:11">
      <c r="A1492">
        <v>1475</v>
      </c>
      <c r="D1492" s="28" t="s">
        <v>3381</v>
      </c>
      <c r="E1492" s="27" t="s">
        <v>3369</v>
      </c>
      <c r="G1492" s="27" t="s">
        <v>101</v>
      </c>
      <c r="I1492" s="27" t="s">
        <v>121</v>
      </c>
      <c r="J1492" s="28">
        <v>21589</v>
      </c>
      <c r="K1492" s="27" t="s">
        <v>405</v>
      </c>
    </row>
    <row r="1493" spans="1:11">
      <c r="A1493">
        <v>1476</v>
      </c>
      <c r="D1493" s="28" t="s">
        <v>3382</v>
      </c>
      <c r="E1493" s="27" t="s">
        <v>3383</v>
      </c>
      <c r="G1493" s="27" t="s">
        <v>101</v>
      </c>
      <c r="I1493" s="27" t="s">
        <v>121</v>
      </c>
      <c r="J1493" s="28">
        <v>21160</v>
      </c>
      <c r="K1493" s="27" t="s">
        <v>401</v>
      </c>
    </row>
    <row r="1494" spans="1:11">
      <c r="A1494">
        <v>1477</v>
      </c>
      <c r="D1494" s="28" t="s">
        <v>3382</v>
      </c>
      <c r="E1494" s="27" t="s">
        <v>3383</v>
      </c>
      <c r="G1494" s="27" t="s">
        <v>101</v>
      </c>
      <c r="I1494" s="27" t="s">
        <v>121</v>
      </c>
      <c r="J1494" s="28">
        <v>21589</v>
      </c>
      <c r="K1494" s="27" t="s">
        <v>405</v>
      </c>
    </row>
    <row r="1495" spans="1:11">
      <c r="A1495">
        <v>1478</v>
      </c>
      <c r="D1495" s="28" t="s">
        <v>3384</v>
      </c>
      <c r="E1495" s="27" t="s">
        <v>3385</v>
      </c>
      <c r="G1495" s="27" t="s">
        <v>101</v>
      </c>
      <c r="I1495" s="27" t="s">
        <v>121</v>
      </c>
      <c r="J1495" s="28">
        <v>21205</v>
      </c>
      <c r="K1495" s="27" t="s">
        <v>395</v>
      </c>
    </row>
    <row r="1496" spans="1:11">
      <c r="A1496">
        <v>1479</v>
      </c>
      <c r="D1496" s="28" t="s">
        <v>3386</v>
      </c>
      <c r="E1496" s="27" t="s">
        <v>3387</v>
      </c>
      <c r="G1496" s="27" t="s">
        <v>101</v>
      </c>
      <c r="I1496" s="27" t="s">
        <v>94</v>
      </c>
      <c r="J1496" s="28">
        <v>29268</v>
      </c>
      <c r="K1496" s="27" t="s">
        <v>229</v>
      </c>
    </row>
    <row r="1497" spans="1:11">
      <c r="A1497">
        <v>1480</v>
      </c>
      <c r="D1497" s="28" t="s">
        <v>3386</v>
      </c>
      <c r="E1497" s="27" t="s">
        <v>3387</v>
      </c>
      <c r="G1497" s="27" t="s">
        <v>101</v>
      </c>
      <c r="I1497" s="27" t="s">
        <v>226</v>
      </c>
      <c r="J1497" s="28">
        <v>20205</v>
      </c>
      <c r="K1497" s="27" t="s">
        <v>1245</v>
      </c>
    </row>
    <row r="1498" spans="1:11">
      <c r="A1498">
        <v>1481</v>
      </c>
      <c r="D1498" s="28" t="s">
        <v>3386</v>
      </c>
      <c r="E1498" s="27" t="s">
        <v>3387</v>
      </c>
      <c r="G1498" s="27" t="s">
        <v>101</v>
      </c>
      <c r="I1498" s="27" t="s">
        <v>226</v>
      </c>
      <c r="J1498" s="28">
        <v>29164</v>
      </c>
      <c r="K1498" s="27" t="s">
        <v>229</v>
      </c>
    </row>
    <row r="1499" spans="1:11">
      <c r="A1499">
        <v>1482</v>
      </c>
      <c r="D1499" s="28" t="s">
        <v>3388</v>
      </c>
      <c r="E1499" s="27" t="s">
        <v>3389</v>
      </c>
      <c r="G1499" s="27" t="s">
        <v>101</v>
      </c>
      <c r="I1499" s="27" t="s">
        <v>94</v>
      </c>
      <c r="J1499" s="28">
        <v>29268</v>
      </c>
      <c r="K1499" s="27" t="s">
        <v>229</v>
      </c>
    </row>
    <row r="1500" spans="1:11">
      <c r="A1500">
        <v>1483</v>
      </c>
      <c r="D1500" s="28" t="s">
        <v>3388</v>
      </c>
      <c r="E1500" s="27" t="s">
        <v>3389</v>
      </c>
      <c r="G1500" s="27" t="s">
        <v>101</v>
      </c>
      <c r="I1500" s="27" t="s">
        <v>226</v>
      </c>
      <c r="J1500" s="28">
        <v>20205</v>
      </c>
      <c r="K1500" s="27" t="s">
        <v>1245</v>
      </c>
    </row>
    <row r="1501" spans="1:11">
      <c r="A1501">
        <v>1484</v>
      </c>
      <c r="D1501" s="28" t="s">
        <v>3388</v>
      </c>
      <c r="E1501" s="27" t="s">
        <v>3389</v>
      </c>
      <c r="G1501" s="27" t="s">
        <v>101</v>
      </c>
      <c r="I1501" s="27" t="s">
        <v>226</v>
      </c>
      <c r="J1501" s="28">
        <v>29164</v>
      </c>
      <c r="K1501" s="27" t="s">
        <v>229</v>
      </c>
    </row>
    <row r="1502" spans="1:11">
      <c r="A1502">
        <v>1485</v>
      </c>
      <c r="D1502" s="28" t="s">
        <v>3390</v>
      </c>
      <c r="E1502" s="27" t="s">
        <v>154</v>
      </c>
      <c r="G1502" s="27" t="s">
        <v>101</v>
      </c>
      <c r="I1502" s="27" t="s">
        <v>226</v>
      </c>
      <c r="J1502" s="28">
        <v>21556</v>
      </c>
      <c r="K1502" s="27" t="s">
        <v>4508</v>
      </c>
    </row>
    <row r="1503" spans="1:11">
      <c r="A1503">
        <v>1486</v>
      </c>
      <c r="D1503" s="28" t="s">
        <v>3391</v>
      </c>
      <c r="E1503" s="27" t="s">
        <v>333</v>
      </c>
      <c r="G1503" s="27" t="s">
        <v>101</v>
      </c>
      <c r="I1503" s="27" t="s">
        <v>226</v>
      </c>
      <c r="J1503" s="28">
        <v>21628</v>
      </c>
      <c r="K1503" s="27" t="s">
        <v>4502</v>
      </c>
    </row>
    <row r="1504" spans="1:11">
      <c r="A1504">
        <v>1487</v>
      </c>
      <c r="D1504" s="28" t="s">
        <v>350</v>
      </c>
      <c r="E1504" s="27" t="s">
        <v>351</v>
      </c>
      <c r="G1504" s="27" t="s">
        <v>101</v>
      </c>
      <c r="I1504" s="27" t="s">
        <v>121</v>
      </c>
      <c r="J1504" s="28">
        <v>21205</v>
      </c>
      <c r="K1504" s="27" t="s">
        <v>395</v>
      </c>
    </row>
    <row r="1505" spans="1:11">
      <c r="A1505">
        <v>1488</v>
      </c>
      <c r="D1505" s="28" t="s">
        <v>352</v>
      </c>
      <c r="E1505" s="27" t="s">
        <v>353</v>
      </c>
      <c r="G1505" s="27" t="s">
        <v>101</v>
      </c>
      <c r="I1505" s="27" t="s">
        <v>121</v>
      </c>
      <c r="J1505" s="28">
        <v>21819</v>
      </c>
      <c r="K1505" s="27" t="s">
        <v>408</v>
      </c>
    </row>
    <row r="1506" spans="1:11">
      <c r="A1506">
        <v>1489</v>
      </c>
      <c r="D1506" s="28" t="s">
        <v>352</v>
      </c>
      <c r="E1506" s="27" t="s">
        <v>353</v>
      </c>
      <c r="G1506" s="27" t="s">
        <v>101</v>
      </c>
      <c r="I1506" s="27" t="s">
        <v>121</v>
      </c>
      <c r="J1506" s="28">
        <v>21828</v>
      </c>
      <c r="K1506" s="27" t="s">
        <v>409</v>
      </c>
    </row>
    <row r="1507" spans="1:11">
      <c r="A1507">
        <v>1490</v>
      </c>
      <c r="D1507" s="28" t="s">
        <v>354</v>
      </c>
      <c r="E1507" s="27" t="s">
        <v>355</v>
      </c>
      <c r="G1507" s="27" t="s">
        <v>101</v>
      </c>
      <c r="I1507" s="27" t="s">
        <v>121</v>
      </c>
      <c r="J1507" s="28">
        <v>21592</v>
      </c>
      <c r="K1507" s="27" t="s">
        <v>410</v>
      </c>
    </row>
    <row r="1508" spans="1:11">
      <c r="A1508">
        <v>1491</v>
      </c>
      <c r="D1508" s="28" t="s">
        <v>354</v>
      </c>
      <c r="E1508" s="27" t="s">
        <v>355</v>
      </c>
      <c r="G1508" s="27" t="s">
        <v>101</v>
      </c>
      <c r="I1508" s="27" t="s">
        <v>121</v>
      </c>
      <c r="J1508" s="28">
        <v>21523</v>
      </c>
      <c r="K1508" s="27" t="s">
        <v>411</v>
      </c>
    </row>
    <row r="1509" spans="1:11">
      <c r="A1509">
        <v>1492</v>
      </c>
      <c r="D1509" s="28" t="s">
        <v>356</v>
      </c>
      <c r="E1509" s="27" t="s">
        <v>357</v>
      </c>
      <c r="G1509" s="27" t="s">
        <v>101</v>
      </c>
      <c r="I1509" s="27" t="s">
        <v>121</v>
      </c>
      <c r="J1509" s="28">
        <v>21589</v>
      </c>
      <c r="K1509" s="27" t="s">
        <v>405</v>
      </c>
    </row>
    <row r="1510" spans="1:11">
      <c r="A1510">
        <v>1493</v>
      </c>
      <c r="D1510" s="28" t="s">
        <v>358</v>
      </c>
      <c r="E1510" s="27" t="s">
        <v>359</v>
      </c>
      <c r="G1510" s="27" t="s">
        <v>101</v>
      </c>
      <c r="I1510" s="27" t="s">
        <v>121</v>
      </c>
      <c r="J1510" s="28">
        <v>21160</v>
      </c>
      <c r="K1510" s="27" t="s">
        <v>401</v>
      </c>
    </row>
    <row r="1511" spans="1:11">
      <c r="A1511">
        <v>1494</v>
      </c>
      <c r="D1511" s="28" t="s">
        <v>3392</v>
      </c>
      <c r="E1511" s="27" t="s">
        <v>3393</v>
      </c>
      <c r="G1511" s="27" t="s">
        <v>101</v>
      </c>
      <c r="I1511" s="27" t="s">
        <v>121</v>
      </c>
      <c r="J1511" s="28">
        <v>20024</v>
      </c>
      <c r="K1511" s="27" t="s">
        <v>412</v>
      </c>
    </row>
    <row r="1512" spans="1:11">
      <c r="A1512">
        <v>1495</v>
      </c>
      <c r="D1512" s="28" t="s">
        <v>360</v>
      </c>
      <c r="E1512" s="27" t="s">
        <v>361</v>
      </c>
      <c r="G1512" s="27" t="s">
        <v>101</v>
      </c>
      <c r="I1512" s="27" t="s">
        <v>121</v>
      </c>
      <c r="J1512" s="28">
        <v>21160</v>
      </c>
      <c r="K1512" s="27" t="s">
        <v>401</v>
      </c>
    </row>
    <row r="1513" spans="1:11">
      <c r="A1513">
        <v>1496</v>
      </c>
      <c r="D1513" s="28" t="s">
        <v>3394</v>
      </c>
      <c r="E1513" s="27" t="s">
        <v>118</v>
      </c>
      <c r="G1513" s="27" t="s">
        <v>101</v>
      </c>
      <c r="I1513" s="27" t="s">
        <v>121</v>
      </c>
      <c r="J1513" s="28">
        <v>21545</v>
      </c>
      <c r="K1513" s="27" t="s">
        <v>4507</v>
      </c>
    </row>
    <row r="1514" spans="1:11">
      <c r="A1514">
        <v>1497</v>
      </c>
      <c r="D1514" s="28" t="s">
        <v>3395</v>
      </c>
      <c r="E1514" s="27" t="s">
        <v>3396</v>
      </c>
      <c r="G1514" s="27" t="s">
        <v>101</v>
      </c>
      <c r="I1514" s="27" t="s">
        <v>121</v>
      </c>
      <c r="J1514" s="28">
        <v>21592</v>
      </c>
      <c r="K1514" s="27" t="s">
        <v>410</v>
      </c>
    </row>
    <row r="1515" spans="1:11">
      <c r="A1515">
        <v>1498</v>
      </c>
      <c r="D1515" s="28" t="s">
        <v>362</v>
      </c>
      <c r="E1515" s="27" t="s">
        <v>363</v>
      </c>
      <c r="G1515" s="27" t="s">
        <v>101</v>
      </c>
      <c r="I1515" s="27" t="s">
        <v>121</v>
      </c>
      <c r="J1515" s="28">
        <v>20945</v>
      </c>
      <c r="K1515" s="27" t="s">
        <v>402</v>
      </c>
    </row>
    <row r="1516" spans="1:11">
      <c r="A1516">
        <v>1499</v>
      </c>
      <c r="D1516" s="28" t="s">
        <v>117</v>
      </c>
      <c r="E1516" s="27" t="s">
        <v>118</v>
      </c>
      <c r="G1516" s="27" t="s">
        <v>101</v>
      </c>
      <c r="I1516" s="27" t="s">
        <v>121</v>
      </c>
      <c r="J1516" s="28">
        <v>21545</v>
      </c>
      <c r="K1516" s="27" t="s">
        <v>4507</v>
      </c>
    </row>
    <row r="1517" spans="1:11">
      <c r="A1517">
        <v>1500</v>
      </c>
      <c r="D1517" s="28" t="s">
        <v>3397</v>
      </c>
      <c r="E1517" s="27" t="s">
        <v>3398</v>
      </c>
      <c r="G1517" s="27" t="s">
        <v>101</v>
      </c>
      <c r="I1517" s="27" t="s">
        <v>121</v>
      </c>
      <c r="J1517" s="28">
        <v>21592</v>
      </c>
      <c r="K1517" s="27" t="s">
        <v>410</v>
      </c>
    </row>
    <row r="1518" spans="1:11">
      <c r="A1518">
        <v>1501</v>
      </c>
      <c r="D1518" s="28" t="s">
        <v>3397</v>
      </c>
      <c r="E1518" s="27" t="s">
        <v>3398</v>
      </c>
      <c r="G1518" s="27" t="s">
        <v>101</v>
      </c>
      <c r="I1518" s="27" t="s">
        <v>121</v>
      </c>
      <c r="J1518" s="28">
        <v>21160</v>
      </c>
      <c r="K1518" s="27" t="s">
        <v>401</v>
      </c>
    </row>
    <row r="1519" spans="1:11">
      <c r="A1519">
        <v>1502</v>
      </c>
      <c r="D1519" s="28" t="s">
        <v>364</v>
      </c>
      <c r="E1519" s="27" t="s">
        <v>365</v>
      </c>
      <c r="G1519" s="27" t="s">
        <v>101</v>
      </c>
      <c r="I1519" s="27" t="s">
        <v>121</v>
      </c>
      <c r="J1519" s="28">
        <v>21592</v>
      </c>
      <c r="K1519" s="27" t="s">
        <v>410</v>
      </c>
    </row>
    <row r="1520" spans="1:11">
      <c r="A1520">
        <v>1503</v>
      </c>
      <c r="D1520" s="28" t="s">
        <v>364</v>
      </c>
      <c r="E1520" s="27" t="s">
        <v>365</v>
      </c>
      <c r="G1520" s="27" t="s">
        <v>101</v>
      </c>
      <c r="I1520" s="27" t="s">
        <v>121</v>
      </c>
      <c r="J1520" s="28">
        <v>21160</v>
      </c>
      <c r="K1520" s="27" t="s">
        <v>401</v>
      </c>
    </row>
    <row r="1521" spans="1:11">
      <c r="A1521">
        <v>1504</v>
      </c>
      <c r="D1521" s="28" t="s">
        <v>366</v>
      </c>
      <c r="E1521" s="27" t="s">
        <v>367</v>
      </c>
      <c r="G1521" s="27" t="s">
        <v>101</v>
      </c>
      <c r="I1521" s="27" t="s">
        <v>121</v>
      </c>
      <c r="J1521" s="28">
        <v>20024</v>
      </c>
      <c r="K1521" s="27" t="s">
        <v>412</v>
      </c>
    </row>
    <row r="1522" spans="1:11">
      <c r="A1522">
        <v>1505</v>
      </c>
      <c r="D1522" s="28" t="s">
        <v>368</v>
      </c>
      <c r="E1522" s="27" t="s">
        <v>369</v>
      </c>
      <c r="G1522" s="27" t="s">
        <v>101</v>
      </c>
      <c r="I1522" s="27" t="s">
        <v>121</v>
      </c>
      <c r="J1522" s="28">
        <v>21710</v>
      </c>
      <c r="K1522" s="27" t="s">
        <v>407</v>
      </c>
    </row>
    <row r="1523" spans="1:11">
      <c r="A1523">
        <v>1506</v>
      </c>
      <c r="D1523" s="28" t="s">
        <v>370</v>
      </c>
      <c r="E1523" s="27" t="s">
        <v>371</v>
      </c>
      <c r="G1523" s="27" t="s">
        <v>101</v>
      </c>
      <c r="I1523" s="27" t="s">
        <v>121</v>
      </c>
      <c r="J1523" s="28">
        <v>21205</v>
      </c>
      <c r="K1523" s="27" t="s">
        <v>395</v>
      </c>
    </row>
    <row r="1524" spans="1:11">
      <c r="A1524">
        <v>1507</v>
      </c>
      <c r="D1524" s="28" t="s">
        <v>1463</v>
      </c>
      <c r="E1524" s="27" t="s">
        <v>1464</v>
      </c>
      <c r="G1524" s="27" t="s">
        <v>101</v>
      </c>
      <c r="I1524" s="27" t="s">
        <v>94</v>
      </c>
      <c r="J1524" s="28">
        <v>29268</v>
      </c>
      <c r="K1524" s="27" t="s">
        <v>229</v>
      </c>
    </row>
    <row r="1525" spans="1:11">
      <c r="A1525">
        <v>1508</v>
      </c>
      <c r="D1525" s="28" t="s">
        <v>1465</v>
      </c>
      <c r="E1525" s="27" t="s">
        <v>1466</v>
      </c>
      <c r="G1525" s="27" t="s">
        <v>101</v>
      </c>
      <c r="I1525" s="27" t="s">
        <v>94</v>
      </c>
      <c r="J1525" s="28">
        <v>29268</v>
      </c>
      <c r="K1525" s="27" t="s">
        <v>229</v>
      </c>
    </row>
    <row r="1526" spans="1:11">
      <c r="A1526">
        <v>1509</v>
      </c>
      <c r="D1526" s="28" t="s">
        <v>1467</v>
      </c>
      <c r="E1526" s="27" t="s">
        <v>1318</v>
      </c>
      <c r="G1526" s="27" t="s">
        <v>101</v>
      </c>
      <c r="I1526" s="27" t="s">
        <v>94</v>
      </c>
      <c r="J1526" s="28">
        <v>29268</v>
      </c>
      <c r="K1526" s="27" t="s">
        <v>229</v>
      </c>
    </row>
    <row r="1527" spans="1:11">
      <c r="A1527">
        <v>1510</v>
      </c>
      <c r="D1527" s="28" t="s">
        <v>1468</v>
      </c>
      <c r="E1527" s="27" t="s">
        <v>1469</v>
      </c>
      <c r="G1527" s="27" t="s">
        <v>101</v>
      </c>
      <c r="I1527" s="27" t="s">
        <v>94</v>
      </c>
      <c r="J1527" s="28">
        <v>29268</v>
      </c>
      <c r="K1527" s="27" t="s">
        <v>229</v>
      </c>
    </row>
    <row r="1528" spans="1:11">
      <c r="A1528">
        <v>1511</v>
      </c>
      <c r="D1528" s="28" t="s">
        <v>1471</v>
      </c>
      <c r="E1528" s="27" t="s">
        <v>1472</v>
      </c>
      <c r="G1528" s="27" t="s">
        <v>101</v>
      </c>
      <c r="I1528" s="27" t="s">
        <v>94</v>
      </c>
      <c r="J1528" s="28">
        <v>29268</v>
      </c>
      <c r="K1528" s="27" t="s">
        <v>229</v>
      </c>
    </row>
    <row r="1529" spans="1:11">
      <c r="A1529">
        <v>1512</v>
      </c>
      <c r="D1529" s="28" t="s">
        <v>1474</v>
      </c>
      <c r="E1529" s="27" t="s">
        <v>1475</v>
      </c>
      <c r="G1529" s="27" t="s">
        <v>101</v>
      </c>
      <c r="I1529" s="27" t="s">
        <v>94</v>
      </c>
      <c r="J1529" s="28">
        <v>29268</v>
      </c>
      <c r="K1529" s="27" t="s">
        <v>229</v>
      </c>
    </row>
    <row r="1530" spans="1:11">
      <c r="A1530">
        <v>1513</v>
      </c>
      <c r="D1530" s="28" t="s">
        <v>1476</v>
      </c>
      <c r="E1530" s="27" t="s">
        <v>180</v>
      </c>
      <c r="G1530" s="27" t="s">
        <v>101</v>
      </c>
      <c r="I1530" s="27" t="s">
        <v>94</v>
      </c>
      <c r="J1530" s="28">
        <v>29268</v>
      </c>
      <c r="K1530" s="27" t="s">
        <v>229</v>
      </c>
    </row>
    <row r="1531" spans="1:11">
      <c r="A1531">
        <v>1514</v>
      </c>
      <c r="D1531" s="28" t="s">
        <v>1477</v>
      </c>
      <c r="E1531" s="27" t="s">
        <v>1478</v>
      </c>
      <c r="G1531" s="27" t="s">
        <v>101</v>
      </c>
      <c r="I1531" s="27" t="s">
        <v>94</v>
      </c>
      <c r="J1531" s="28">
        <v>29268</v>
      </c>
      <c r="K1531" s="27" t="s">
        <v>229</v>
      </c>
    </row>
    <row r="1532" spans="1:11">
      <c r="A1532">
        <v>1515</v>
      </c>
      <c r="D1532" s="28" t="s">
        <v>1479</v>
      </c>
      <c r="E1532" s="27" t="s">
        <v>1480</v>
      </c>
      <c r="G1532" s="27" t="s">
        <v>101</v>
      </c>
      <c r="I1532" s="27" t="s">
        <v>94</v>
      </c>
      <c r="J1532" s="28">
        <v>29268</v>
      </c>
      <c r="K1532" s="27" t="s">
        <v>229</v>
      </c>
    </row>
    <row r="1533" spans="1:11">
      <c r="A1533">
        <v>1516</v>
      </c>
      <c r="D1533" s="28" t="s">
        <v>1481</v>
      </c>
      <c r="E1533" s="27" t="s">
        <v>1482</v>
      </c>
      <c r="G1533" s="27" t="s">
        <v>101</v>
      </c>
      <c r="I1533" s="27" t="s">
        <v>94</v>
      </c>
      <c r="J1533" s="28">
        <v>29268</v>
      </c>
      <c r="K1533" s="27" t="s">
        <v>229</v>
      </c>
    </row>
    <row r="1534" spans="1:11">
      <c r="A1534">
        <v>1517</v>
      </c>
      <c r="D1534" s="28" t="s">
        <v>1484</v>
      </c>
      <c r="E1534" s="27" t="s">
        <v>3399</v>
      </c>
      <c r="G1534" s="27" t="s">
        <v>101</v>
      </c>
      <c r="I1534" s="27" t="s">
        <v>94</v>
      </c>
      <c r="J1534" s="28">
        <v>29268</v>
      </c>
      <c r="K1534" s="27" t="s">
        <v>229</v>
      </c>
    </row>
    <row r="1535" spans="1:11">
      <c r="A1535">
        <v>1518</v>
      </c>
      <c r="D1535" s="28" t="s">
        <v>1486</v>
      </c>
      <c r="E1535" s="27" t="s">
        <v>3400</v>
      </c>
      <c r="G1535" s="27" t="s">
        <v>101</v>
      </c>
      <c r="I1535" s="27" t="s">
        <v>94</v>
      </c>
      <c r="J1535" s="28">
        <v>29268</v>
      </c>
      <c r="K1535" s="27" t="s">
        <v>229</v>
      </c>
    </row>
    <row r="1536" spans="1:11">
      <c r="A1536">
        <v>1519</v>
      </c>
      <c r="D1536" s="28" t="s">
        <v>1488</v>
      </c>
      <c r="E1536" s="27" t="s">
        <v>1489</v>
      </c>
      <c r="G1536" s="27" t="s">
        <v>101</v>
      </c>
      <c r="I1536" s="27" t="s">
        <v>94</v>
      </c>
      <c r="J1536" s="28">
        <v>29268</v>
      </c>
      <c r="K1536" s="27" t="s">
        <v>229</v>
      </c>
    </row>
    <row r="1537" spans="1:11">
      <c r="A1537">
        <v>1520</v>
      </c>
      <c r="D1537" s="28" t="s">
        <v>1491</v>
      </c>
      <c r="E1537" s="27" t="s">
        <v>1492</v>
      </c>
      <c r="G1537" s="27" t="s">
        <v>101</v>
      </c>
      <c r="I1537" s="27" t="s">
        <v>94</v>
      </c>
      <c r="J1537" s="28">
        <v>29268</v>
      </c>
      <c r="K1537" s="27" t="s">
        <v>229</v>
      </c>
    </row>
    <row r="1538" spans="1:11">
      <c r="A1538">
        <v>1521</v>
      </c>
      <c r="D1538" s="28" t="s">
        <v>1494</v>
      </c>
      <c r="E1538" s="27" t="s">
        <v>1495</v>
      </c>
      <c r="G1538" s="27" t="s">
        <v>101</v>
      </c>
      <c r="I1538" s="27" t="s">
        <v>94</v>
      </c>
      <c r="J1538" s="28">
        <v>29268</v>
      </c>
      <c r="K1538" s="27" t="s">
        <v>229</v>
      </c>
    </row>
    <row r="1539" spans="1:11">
      <c r="A1539">
        <v>1522</v>
      </c>
      <c r="D1539" s="28" t="s">
        <v>1496</v>
      </c>
      <c r="E1539" s="27" t="s">
        <v>1497</v>
      </c>
      <c r="G1539" s="27" t="s">
        <v>101</v>
      </c>
      <c r="I1539" s="27" t="s">
        <v>94</v>
      </c>
      <c r="J1539" s="28">
        <v>29268</v>
      </c>
      <c r="K1539" s="27" t="s">
        <v>229</v>
      </c>
    </row>
    <row r="1540" spans="1:11">
      <c r="A1540">
        <v>1523</v>
      </c>
      <c r="D1540" s="28" t="s">
        <v>1498</v>
      </c>
      <c r="E1540" s="27" t="s">
        <v>1499</v>
      </c>
      <c r="G1540" s="27" t="s">
        <v>101</v>
      </c>
      <c r="I1540" s="27" t="s">
        <v>94</v>
      </c>
      <c r="J1540" s="28">
        <v>29268</v>
      </c>
      <c r="K1540" s="27" t="s">
        <v>229</v>
      </c>
    </row>
    <row r="1541" spans="1:11">
      <c r="A1541">
        <v>1524</v>
      </c>
      <c r="D1541" s="28" t="s">
        <v>3401</v>
      </c>
      <c r="E1541" s="27" t="s">
        <v>225</v>
      </c>
      <c r="G1541" s="27" t="s">
        <v>101</v>
      </c>
      <c r="I1541" s="27" t="s">
        <v>121</v>
      </c>
      <c r="J1541" s="28">
        <v>29010</v>
      </c>
      <c r="K1541" s="27" t="s">
        <v>229</v>
      </c>
    </row>
    <row r="1542" spans="1:11">
      <c r="A1542">
        <v>1525</v>
      </c>
      <c r="D1542" s="28" t="s">
        <v>3402</v>
      </c>
      <c r="E1542" s="27" t="s">
        <v>3403</v>
      </c>
      <c r="G1542" s="27" t="s">
        <v>101</v>
      </c>
      <c r="I1542" s="27" t="s">
        <v>121</v>
      </c>
      <c r="J1542" s="28">
        <v>21545</v>
      </c>
      <c r="K1542" s="27" t="s">
        <v>4507</v>
      </c>
    </row>
    <row r="1543" spans="1:11">
      <c r="A1543">
        <v>1526</v>
      </c>
      <c r="D1543" s="28" t="s">
        <v>3402</v>
      </c>
      <c r="E1543" s="27" t="s">
        <v>3403</v>
      </c>
      <c r="G1543" s="27" t="s">
        <v>101</v>
      </c>
      <c r="I1543" s="27" t="s">
        <v>226</v>
      </c>
      <c r="J1543" s="28">
        <v>21545</v>
      </c>
      <c r="K1543" s="27" t="s">
        <v>4507</v>
      </c>
    </row>
    <row r="1544" spans="1:11">
      <c r="A1544">
        <v>1527</v>
      </c>
      <c r="D1544" s="28" t="s">
        <v>205</v>
      </c>
      <c r="E1544" s="27" t="s">
        <v>3404</v>
      </c>
      <c r="G1544" s="27" t="s">
        <v>101</v>
      </c>
      <c r="I1544" s="27" t="s">
        <v>121</v>
      </c>
      <c r="J1544" s="28">
        <v>20178</v>
      </c>
      <c r="K1544" s="27" t="s">
        <v>1243</v>
      </c>
    </row>
    <row r="1545" spans="1:11">
      <c r="A1545">
        <v>1528</v>
      </c>
      <c r="D1545" s="28" t="s">
        <v>207</v>
      </c>
      <c r="E1545" s="27" t="s">
        <v>3405</v>
      </c>
      <c r="G1545" s="27" t="s">
        <v>101</v>
      </c>
      <c r="I1545" s="27" t="s">
        <v>121</v>
      </c>
      <c r="J1545" s="28">
        <v>20178</v>
      </c>
      <c r="K1545" s="27" t="s">
        <v>1243</v>
      </c>
    </row>
    <row r="1546" spans="1:11">
      <c r="A1546">
        <v>1529</v>
      </c>
      <c r="D1546" s="28" t="s">
        <v>210</v>
      </c>
      <c r="E1546" s="27" t="s">
        <v>3406</v>
      </c>
      <c r="G1546" s="27" t="s">
        <v>101</v>
      </c>
      <c r="I1546" s="27" t="s">
        <v>121</v>
      </c>
      <c r="J1546" s="28">
        <v>20178</v>
      </c>
      <c r="K1546" s="27" t="s">
        <v>1243</v>
      </c>
    </row>
    <row r="1547" spans="1:11">
      <c r="A1547">
        <v>1530</v>
      </c>
      <c r="D1547" s="28" t="s">
        <v>212</v>
      </c>
      <c r="E1547" s="27" t="s">
        <v>3407</v>
      </c>
      <c r="G1547" s="27" t="s">
        <v>101</v>
      </c>
      <c r="I1547" s="27" t="s">
        <v>121</v>
      </c>
      <c r="J1547" s="28">
        <v>20178</v>
      </c>
      <c r="K1547" s="27" t="s">
        <v>1243</v>
      </c>
    </row>
    <row r="1548" spans="1:11">
      <c r="A1548">
        <v>1531</v>
      </c>
      <c r="D1548" s="28" t="s">
        <v>214</v>
      </c>
      <c r="E1548" s="27" t="s">
        <v>3408</v>
      </c>
      <c r="G1548" s="27" t="s">
        <v>101</v>
      </c>
      <c r="I1548" s="27" t="s">
        <v>121</v>
      </c>
      <c r="J1548" s="28">
        <v>20178</v>
      </c>
      <c r="K1548" s="27" t="s">
        <v>1243</v>
      </c>
    </row>
    <row r="1549" spans="1:11">
      <c r="A1549">
        <v>1532</v>
      </c>
      <c r="D1549" s="28" t="s">
        <v>216</v>
      </c>
      <c r="E1549" s="27" t="s">
        <v>3409</v>
      </c>
      <c r="G1549" s="27" t="s">
        <v>101</v>
      </c>
      <c r="I1549" s="27" t="s">
        <v>121</v>
      </c>
      <c r="J1549" s="28">
        <v>20178</v>
      </c>
      <c r="K1549" s="27" t="s">
        <v>1243</v>
      </c>
    </row>
    <row r="1550" spans="1:11">
      <c r="A1550">
        <v>1533</v>
      </c>
      <c r="D1550" s="28" t="s">
        <v>372</v>
      </c>
      <c r="E1550" s="27" t="s">
        <v>373</v>
      </c>
      <c r="G1550" s="27" t="s">
        <v>101</v>
      </c>
      <c r="I1550" s="27" t="s">
        <v>121</v>
      </c>
      <c r="J1550" s="28">
        <v>21710</v>
      </c>
      <c r="K1550" s="27" t="s">
        <v>407</v>
      </c>
    </row>
    <row r="1551" spans="1:11">
      <c r="A1551">
        <v>1534</v>
      </c>
      <c r="D1551" s="28" t="s">
        <v>374</v>
      </c>
      <c r="E1551" s="27" t="s">
        <v>375</v>
      </c>
      <c r="G1551" s="27" t="s">
        <v>101</v>
      </c>
      <c r="I1551" s="27" t="s">
        <v>121</v>
      </c>
      <c r="J1551" s="28">
        <v>21819</v>
      </c>
      <c r="K1551" s="27" t="s">
        <v>408</v>
      </c>
    </row>
    <row r="1552" spans="1:11">
      <c r="A1552">
        <v>1535</v>
      </c>
      <c r="D1552" s="28" t="s">
        <v>3410</v>
      </c>
      <c r="E1552" s="27" t="s">
        <v>3411</v>
      </c>
      <c r="G1552" s="27" t="s">
        <v>101</v>
      </c>
      <c r="I1552" s="27" t="s">
        <v>226</v>
      </c>
      <c r="J1552" s="28">
        <v>21425</v>
      </c>
      <c r="K1552" s="27" t="s">
        <v>406</v>
      </c>
    </row>
    <row r="1553" spans="1:11">
      <c r="A1553">
        <v>1536</v>
      </c>
      <c r="D1553" s="28" t="s">
        <v>3412</v>
      </c>
      <c r="E1553" s="27" t="s">
        <v>3413</v>
      </c>
      <c r="G1553" s="27" t="s">
        <v>101</v>
      </c>
      <c r="I1553" s="27" t="s">
        <v>226</v>
      </c>
      <c r="J1553" s="28">
        <v>21425</v>
      </c>
      <c r="K1553" s="27" t="s">
        <v>406</v>
      </c>
    </row>
    <row r="1554" spans="1:11">
      <c r="A1554">
        <v>1537</v>
      </c>
      <c r="D1554" s="28" t="s">
        <v>3414</v>
      </c>
      <c r="E1554" s="27" t="s">
        <v>3415</v>
      </c>
      <c r="G1554" s="27" t="s">
        <v>101</v>
      </c>
      <c r="I1554" s="27" t="s">
        <v>4501</v>
      </c>
      <c r="J1554" s="28">
        <v>21160</v>
      </c>
      <c r="K1554" s="27" t="s">
        <v>401</v>
      </c>
    </row>
    <row r="1555" spans="1:11">
      <c r="A1555">
        <v>1538</v>
      </c>
      <c r="D1555" s="28" t="s">
        <v>3414</v>
      </c>
      <c r="E1555" s="27" t="s">
        <v>3415</v>
      </c>
      <c r="G1555" s="27" t="s">
        <v>101</v>
      </c>
      <c r="I1555" s="27" t="s">
        <v>121</v>
      </c>
      <c r="J1555" s="28">
        <v>21761</v>
      </c>
      <c r="K1555" s="27" t="s">
        <v>400</v>
      </c>
    </row>
    <row r="1556" spans="1:11">
      <c r="A1556">
        <v>1539</v>
      </c>
      <c r="D1556" s="28" t="s">
        <v>3414</v>
      </c>
      <c r="E1556" s="27" t="s">
        <v>3415</v>
      </c>
      <c r="G1556" s="27" t="s">
        <v>101</v>
      </c>
      <c r="I1556" s="27" t="s">
        <v>121</v>
      </c>
      <c r="J1556" s="28">
        <v>21160</v>
      </c>
      <c r="K1556" s="27" t="s">
        <v>401</v>
      </c>
    </row>
    <row r="1557" spans="1:11">
      <c r="A1557">
        <v>1540</v>
      </c>
      <c r="D1557" s="28" t="s">
        <v>3414</v>
      </c>
      <c r="E1557" s="27" t="s">
        <v>3415</v>
      </c>
      <c r="G1557" s="27" t="s">
        <v>101</v>
      </c>
      <c r="I1557" s="27" t="s">
        <v>94</v>
      </c>
      <c r="J1557" s="28">
        <v>21160</v>
      </c>
      <c r="K1557" s="27" t="s">
        <v>401</v>
      </c>
    </row>
    <row r="1558" spans="1:11">
      <c r="A1558">
        <v>1541</v>
      </c>
      <c r="D1558" s="28" t="s">
        <v>3414</v>
      </c>
      <c r="E1558" s="27" t="s">
        <v>3415</v>
      </c>
      <c r="G1558" s="27" t="s">
        <v>101</v>
      </c>
      <c r="I1558" s="27" t="s">
        <v>226</v>
      </c>
      <c r="J1558" s="28">
        <v>21425</v>
      </c>
      <c r="K1558" s="27" t="s">
        <v>406</v>
      </c>
    </row>
    <row r="1559" spans="1:11">
      <c r="A1559">
        <v>1542</v>
      </c>
      <c r="D1559" s="28" t="s">
        <v>3414</v>
      </c>
      <c r="E1559" s="27" t="s">
        <v>3415</v>
      </c>
      <c r="G1559" s="27" t="s">
        <v>101</v>
      </c>
      <c r="I1559" s="27" t="s">
        <v>226</v>
      </c>
      <c r="J1559" s="28">
        <v>21761</v>
      </c>
      <c r="K1559" s="27" t="s">
        <v>400</v>
      </c>
    </row>
    <row r="1560" spans="1:11">
      <c r="A1560">
        <v>1543</v>
      </c>
      <c r="D1560" s="28" t="s">
        <v>3416</v>
      </c>
      <c r="E1560" s="27" t="s">
        <v>3417</v>
      </c>
      <c r="G1560" s="27" t="s">
        <v>101</v>
      </c>
      <c r="I1560" s="27" t="s">
        <v>226</v>
      </c>
      <c r="J1560" s="28">
        <v>21557</v>
      </c>
      <c r="K1560" s="27" t="s">
        <v>396</v>
      </c>
    </row>
    <row r="1561" spans="1:11">
      <c r="A1561">
        <v>1544</v>
      </c>
      <c r="D1561" s="28" t="s">
        <v>3418</v>
      </c>
      <c r="E1561" s="27" t="s">
        <v>3419</v>
      </c>
      <c r="G1561" s="27" t="s">
        <v>101</v>
      </c>
      <c r="I1561" s="27" t="s">
        <v>226</v>
      </c>
      <c r="J1561" s="28">
        <v>21557</v>
      </c>
      <c r="K1561" s="27" t="s">
        <v>396</v>
      </c>
    </row>
    <row r="1562" spans="1:11">
      <c r="A1562">
        <v>1545</v>
      </c>
      <c r="D1562" s="28" t="s">
        <v>3420</v>
      </c>
      <c r="E1562" s="27" t="s">
        <v>3421</v>
      </c>
      <c r="G1562" s="27" t="s">
        <v>101</v>
      </c>
      <c r="I1562" s="27" t="s">
        <v>226</v>
      </c>
      <c r="J1562" s="28">
        <v>21557</v>
      </c>
      <c r="K1562" s="27" t="s">
        <v>396</v>
      </c>
    </row>
    <row r="1563" spans="1:11">
      <c r="A1563">
        <v>1546</v>
      </c>
      <c r="D1563" s="28" t="s">
        <v>3422</v>
      </c>
      <c r="E1563" s="27" t="s">
        <v>3082</v>
      </c>
      <c r="G1563" s="27" t="s">
        <v>101</v>
      </c>
      <c r="I1563" s="27" t="s">
        <v>121</v>
      </c>
      <c r="J1563" s="28">
        <v>21160</v>
      </c>
      <c r="K1563" s="27" t="s">
        <v>401</v>
      </c>
    </row>
    <row r="1564" spans="1:11">
      <c r="A1564">
        <v>1547</v>
      </c>
      <c r="D1564" s="28" t="s">
        <v>3422</v>
      </c>
      <c r="E1564" s="27" t="s">
        <v>3082</v>
      </c>
      <c r="G1564" s="27" t="s">
        <v>101</v>
      </c>
      <c r="I1564" s="27" t="s">
        <v>226</v>
      </c>
      <c r="J1564" s="28">
        <v>21425</v>
      </c>
      <c r="K1564" s="27" t="s">
        <v>406</v>
      </c>
    </row>
    <row r="1565" spans="1:11">
      <c r="A1565">
        <v>1548</v>
      </c>
      <c r="D1565" s="28" t="s">
        <v>3423</v>
      </c>
      <c r="E1565" s="27" t="s">
        <v>3424</v>
      </c>
      <c r="G1565" s="27" t="s">
        <v>101</v>
      </c>
      <c r="I1565" s="27" t="s">
        <v>121</v>
      </c>
      <c r="J1565" s="28">
        <v>21020</v>
      </c>
      <c r="K1565" s="27" t="s">
        <v>403</v>
      </c>
    </row>
    <row r="1566" spans="1:11">
      <c r="A1566">
        <v>1549</v>
      </c>
      <c r="D1566" s="28" t="s">
        <v>3425</v>
      </c>
      <c r="E1566" s="27" t="s">
        <v>3426</v>
      </c>
      <c r="G1566" s="27" t="s">
        <v>101</v>
      </c>
      <c r="I1566" s="27" t="s">
        <v>226</v>
      </c>
      <c r="J1566" s="28">
        <v>29164</v>
      </c>
      <c r="K1566" s="27" t="s">
        <v>229</v>
      </c>
    </row>
    <row r="1567" spans="1:11">
      <c r="A1567">
        <v>1550</v>
      </c>
      <c r="D1567" s="28" t="s">
        <v>3427</v>
      </c>
      <c r="E1567" s="27" t="s">
        <v>3428</v>
      </c>
      <c r="G1567" s="27" t="s">
        <v>101</v>
      </c>
      <c r="I1567" s="27" t="s">
        <v>226</v>
      </c>
      <c r="J1567" s="28">
        <v>21105</v>
      </c>
      <c r="K1567" s="27" t="s">
        <v>4512</v>
      </c>
    </row>
    <row r="1568" spans="1:11">
      <c r="A1568">
        <v>1551</v>
      </c>
      <c r="D1568" s="28" t="s">
        <v>3429</v>
      </c>
      <c r="E1568" s="27" t="s">
        <v>3430</v>
      </c>
      <c r="G1568" s="27" t="s">
        <v>101</v>
      </c>
      <c r="I1568" s="27" t="s">
        <v>226</v>
      </c>
      <c r="J1568" s="28">
        <v>20205</v>
      </c>
      <c r="K1568" s="27" t="s">
        <v>1245</v>
      </c>
    </row>
    <row r="1569" spans="1:11">
      <c r="A1569">
        <v>1552</v>
      </c>
      <c r="D1569" s="28" t="s">
        <v>3431</v>
      </c>
      <c r="E1569" s="27" t="s">
        <v>3432</v>
      </c>
      <c r="G1569" s="27" t="s">
        <v>101</v>
      </c>
      <c r="I1569" s="27" t="s">
        <v>121</v>
      </c>
      <c r="J1569" s="28">
        <v>29010</v>
      </c>
      <c r="K1569" s="27" t="s">
        <v>229</v>
      </c>
    </row>
    <row r="1570" spans="1:11">
      <c r="A1570">
        <v>1553</v>
      </c>
      <c r="D1570" s="28" t="s">
        <v>3433</v>
      </c>
      <c r="E1570" s="27" t="s">
        <v>1762</v>
      </c>
      <c r="G1570" s="27" t="s">
        <v>101</v>
      </c>
      <c r="I1570" s="27" t="s">
        <v>121</v>
      </c>
      <c r="J1570" s="28">
        <v>21205</v>
      </c>
      <c r="K1570" s="27" t="s">
        <v>395</v>
      </c>
    </row>
    <row r="1571" spans="1:11">
      <c r="A1571">
        <v>1554</v>
      </c>
      <c r="D1571" s="28" t="s">
        <v>3434</v>
      </c>
      <c r="E1571" s="27" t="s">
        <v>3435</v>
      </c>
      <c r="G1571" s="27" t="s">
        <v>101</v>
      </c>
      <c r="I1571" s="27" t="s">
        <v>121</v>
      </c>
      <c r="J1571" s="28">
        <v>21205</v>
      </c>
      <c r="K1571" s="27" t="s">
        <v>395</v>
      </c>
    </row>
    <row r="1572" spans="1:11">
      <c r="A1572">
        <v>1555</v>
      </c>
      <c r="D1572" s="28" t="s">
        <v>3434</v>
      </c>
      <c r="E1572" s="27" t="s">
        <v>3435</v>
      </c>
      <c r="G1572" s="27" t="s">
        <v>101</v>
      </c>
      <c r="I1572" s="27" t="s">
        <v>226</v>
      </c>
      <c r="J1572" s="28">
        <v>21557</v>
      </c>
      <c r="K1572" s="27" t="s">
        <v>396</v>
      </c>
    </row>
    <row r="1573" spans="1:11">
      <c r="A1573">
        <v>1556</v>
      </c>
      <c r="D1573" s="28" t="s">
        <v>752</v>
      </c>
      <c r="E1573" s="27" t="s">
        <v>753</v>
      </c>
      <c r="G1573" s="27" t="s">
        <v>101</v>
      </c>
      <c r="I1573" s="27" t="s">
        <v>94</v>
      </c>
      <c r="J1573" s="28">
        <v>21085</v>
      </c>
      <c r="K1573" s="27" t="s">
        <v>399</v>
      </c>
    </row>
    <row r="1574" spans="1:11">
      <c r="A1574">
        <v>1557</v>
      </c>
      <c r="D1574" s="28" t="s">
        <v>752</v>
      </c>
      <c r="E1574" s="27" t="s">
        <v>753</v>
      </c>
      <c r="G1574" s="27" t="s">
        <v>101</v>
      </c>
      <c r="I1574" s="27" t="s">
        <v>226</v>
      </c>
      <c r="J1574" s="28">
        <v>21085</v>
      </c>
      <c r="K1574" s="27" t="s">
        <v>399</v>
      </c>
    </row>
    <row r="1575" spans="1:11">
      <c r="A1575">
        <v>1558</v>
      </c>
      <c r="D1575" s="28" t="s">
        <v>3436</v>
      </c>
      <c r="E1575" s="27" t="s">
        <v>3437</v>
      </c>
      <c r="G1575" s="27" t="s">
        <v>101</v>
      </c>
      <c r="I1575" s="27" t="s">
        <v>121</v>
      </c>
      <c r="J1575" s="28">
        <v>21758</v>
      </c>
      <c r="K1575" s="27" t="s">
        <v>398</v>
      </c>
    </row>
    <row r="1576" spans="1:11">
      <c r="A1576">
        <v>1559</v>
      </c>
      <c r="D1576" s="28" t="s">
        <v>3438</v>
      </c>
      <c r="E1576" s="27" t="s">
        <v>361</v>
      </c>
      <c r="G1576" s="27" t="s">
        <v>101</v>
      </c>
      <c r="I1576" s="27" t="s">
        <v>121</v>
      </c>
      <c r="J1576" s="28">
        <v>21205</v>
      </c>
      <c r="K1576" s="27" t="s">
        <v>395</v>
      </c>
    </row>
    <row r="1577" spans="1:11">
      <c r="A1577">
        <v>1560</v>
      </c>
      <c r="D1577" s="28" t="s">
        <v>3439</v>
      </c>
      <c r="E1577" s="27" t="s">
        <v>3440</v>
      </c>
      <c r="G1577" s="27" t="s">
        <v>101</v>
      </c>
      <c r="I1577" s="27" t="s">
        <v>121</v>
      </c>
      <c r="J1577" s="28">
        <v>21020</v>
      </c>
      <c r="K1577" s="27" t="s">
        <v>403</v>
      </c>
    </row>
    <row r="1578" spans="1:11">
      <c r="A1578">
        <v>1561</v>
      </c>
      <c r="D1578" s="28" t="s">
        <v>3441</v>
      </c>
      <c r="E1578" s="27" t="s">
        <v>323</v>
      </c>
      <c r="G1578" s="27" t="s">
        <v>101</v>
      </c>
      <c r="I1578" s="27" t="s">
        <v>121</v>
      </c>
      <c r="J1578" s="28">
        <v>29010</v>
      </c>
      <c r="K1578" s="27" t="s">
        <v>229</v>
      </c>
    </row>
    <row r="1579" spans="1:11">
      <c r="A1579">
        <v>1562</v>
      </c>
      <c r="D1579" s="28" t="s">
        <v>3441</v>
      </c>
      <c r="E1579" s="27" t="s">
        <v>323</v>
      </c>
      <c r="G1579" s="27" t="s">
        <v>101</v>
      </c>
      <c r="I1579" s="27" t="s">
        <v>94</v>
      </c>
      <c r="J1579" s="28">
        <v>29268</v>
      </c>
      <c r="K1579" s="27" t="s">
        <v>229</v>
      </c>
    </row>
    <row r="1580" spans="1:11">
      <c r="A1580">
        <v>1563</v>
      </c>
      <c r="D1580" s="28" t="s">
        <v>3442</v>
      </c>
      <c r="E1580" s="27" t="s">
        <v>3443</v>
      </c>
      <c r="G1580" s="27" t="s">
        <v>101</v>
      </c>
      <c r="I1580" s="27" t="s">
        <v>121</v>
      </c>
      <c r="J1580" s="28">
        <v>21592</v>
      </c>
      <c r="K1580" s="27" t="s">
        <v>410</v>
      </c>
    </row>
    <row r="1581" spans="1:11">
      <c r="A1581">
        <v>1564</v>
      </c>
      <c r="D1581" s="28" t="s">
        <v>3444</v>
      </c>
      <c r="E1581" s="27" t="s">
        <v>3445</v>
      </c>
      <c r="G1581" s="27" t="s">
        <v>101</v>
      </c>
      <c r="I1581" s="27" t="s">
        <v>121</v>
      </c>
      <c r="J1581" s="28">
        <v>21592</v>
      </c>
      <c r="K1581" s="27" t="s">
        <v>410</v>
      </c>
    </row>
    <row r="1582" spans="1:11">
      <c r="A1582">
        <v>1565</v>
      </c>
      <c r="D1582" s="28" t="s">
        <v>3446</v>
      </c>
      <c r="E1582" s="27" t="s">
        <v>3447</v>
      </c>
      <c r="G1582" s="27" t="s">
        <v>101</v>
      </c>
      <c r="I1582" s="27" t="s">
        <v>121</v>
      </c>
      <c r="J1582" s="28">
        <v>21205</v>
      </c>
      <c r="K1582" s="27" t="s">
        <v>395</v>
      </c>
    </row>
    <row r="1583" spans="1:11">
      <c r="A1583">
        <v>1566</v>
      </c>
      <c r="D1583" s="28" t="s">
        <v>3446</v>
      </c>
      <c r="E1583" s="27" t="s">
        <v>3447</v>
      </c>
      <c r="G1583" s="27" t="s">
        <v>101</v>
      </c>
      <c r="I1583" s="27" t="s">
        <v>226</v>
      </c>
      <c r="J1583" s="28">
        <v>21557</v>
      </c>
      <c r="K1583" s="27" t="s">
        <v>396</v>
      </c>
    </row>
    <row r="1584" spans="1:11">
      <c r="A1584">
        <v>1567</v>
      </c>
      <c r="D1584" s="28" t="s">
        <v>3448</v>
      </c>
      <c r="E1584" s="27" t="s">
        <v>3449</v>
      </c>
      <c r="G1584" s="27" t="s">
        <v>101</v>
      </c>
      <c r="I1584" s="27" t="s">
        <v>121</v>
      </c>
      <c r="J1584" s="28">
        <v>21758</v>
      </c>
      <c r="K1584" s="27" t="s">
        <v>398</v>
      </c>
    </row>
    <row r="1585" spans="1:11">
      <c r="A1585">
        <v>1568</v>
      </c>
      <c r="D1585" s="28" t="s">
        <v>3450</v>
      </c>
      <c r="E1585" s="27" t="s">
        <v>323</v>
      </c>
      <c r="G1585" s="27" t="s">
        <v>101</v>
      </c>
      <c r="I1585" s="27" t="s">
        <v>226</v>
      </c>
      <c r="J1585" s="28">
        <v>29164</v>
      </c>
      <c r="K1585" s="27" t="s">
        <v>229</v>
      </c>
    </row>
    <row r="1586" spans="1:11">
      <c r="A1586">
        <v>1569</v>
      </c>
      <c r="D1586" s="28" t="s">
        <v>3451</v>
      </c>
      <c r="E1586" s="27" t="s">
        <v>3452</v>
      </c>
      <c r="G1586" s="27" t="s">
        <v>101</v>
      </c>
      <c r="I1586" s="27" t="s">
        <v>121</v>
      </c>
      <c r="J1586" s="28">
        <v>21758</v>
      </c>
      <c r="K1586" s="27" t="s">
        <v>398</v>
      </c>
    </row>
    <row r="1587" spans="1:11">
      <c r="A1587">
        <v>1570</v>
      </c>
      <c r="D1587" s="28" t="s">
        <v>3453</v>
      </c>
      <c r="E1587" s="27" t="s">
        <v>3454</v>
      </c>
      <c r="G1587" s="27" t="s">
        <v>101</v>
      </c>
      <c r="I1587" s="27" t="s">
        <v>121</v>
      </c>
      <c r="J1587" s="28">
        <v>21589</v>
      </c>
      <c r="K1587" s="27" t="s">
        <v>405</v>
      </c>
    </row>
    <row r="1588" spans="1:11">
      <c r="A1588">
        <v>1571</v>
      </c>
      <c r="D1588" s="28" t="s">
        <v>3453</v>
      </c>
      <c r="E1588" s="27" t="s">
        <v>3454</v>
      </c>
      <c r="G1588" s="27" t="s">
        <v>101</v>
      </c>
      <c r="I1588" s="27" t="s">
        <v>121</v>
      </c>
      <c r="J1588" s="28">
        <v>21020</v>
      </c>
      <c r="K1588" s="27" t="s">
        <v>403</v>
      </c>
    </row>
    <row r="1589" spans="1:11">
      <c r="A1589">
        <v>1572</v>
      </c>
      <c r="D1589" s="28" t="s">
        <v>3455</v>
      </c>
      <c r="E1589" s="27" t="s">
        <v>3456</v>
      </c>
      <c r="G1589" s="27" t="s">
        <v>101</v>
      </c>
      <c r="I1589" s="27" t="s">
        <v>121</v>
      </c>
      <c r="J1589" s="28">
        <v>21205</v>
      </c>
      <c r="K1589" s="27" t="s">
        <v>395</v>
      </c>
    </row>
    <row r="1590" spans="1:11">
      <c r="A1590">
        <v>1573</v>
      </c>
      <c r="D1590" s="28" t="s">
        <v>376</v>
      </c>
      <c r="E1590" s="27" t="s">
        <v>377</v>
      </c>
      <c r="G1590" s="27" t="s">
        <v>101</v>
      </c>
      <c r="I1590" s="27" t="s">
        <v>121</v>
      </c>
      <c r="J1590" s="28">
        <v>21160</v>
      </c>
      <c r="K1590" s="27" t="s">
        <v>401</v>
      </c>
    </row>
    <row r="1591" spans="1:11">
      <c r="A1591">
        <v>1574</v>
      </c>
      <c r="D1591" s="28" t="s">
        <v>376</v>
      </c>
      <c r="E1591" s="27" t="s">
        <v>377</v>
      </c>
      <c r="G1591" s="27" t="s">
        <v>101</v>
      </c>
      <c r="I1591" s="27" t="s">
        <v>121</v>
      </c>
      <c r="J1591" s="28">
        <v>21205</v>
      </c>
      <c r="K1591" s="27" t="s">
        <v>395</v>
      </c>
    </row>
    <row r="1592" spans="1:11">
      <c r="A1592">
        <v>1575</v>
      </c>
      <c r="D1592" s="28" t="s">
        <v>376</v>
      </c>
      <c r="E1592" s="27" t="s">
        <v>377</v>
      </c>
      <c r="G1592" s="27" t="s">
        <v>101</v>
      </c>
      <c r="I1592" s="27" t="s">
        <v>94</v>
      </c>
      <c r="J1592" s="28">
        <v>21160</v>
      </c>
      <c r="K1592" s="27" t="s">
        <v>401</v>
      </c>
    </row>
    <row r="1593" spans="1:11">
      <c r="A1593">
        <v>1576</v>
      </c>
      <c r="D1593" s="28" t="s">
        <v>376</v>
      </c>
      <c r="E1593" s="27" t="s">
        <v>377</v>
      </c>
      <c r="G1593" s="27" t="s">
        <v>101</v>
      </c>
      <c r="I1593" s="27" t="s">
        <v>226</v>
      </c>
      <c r="J1593" s="28">
        <v>21425</v>
      </c>
      <c r="K1593" s="27" t="s">
        <v>406</v>
      </c>
    </row>
    <row r="1594" spans="1:11">
      <c r="A1594">
        <v>1577</v>
      </c>
      <c r="D1594" s="28" t="s">
        <v>3457</v>
      </c>
      <c r="E1594" s="27" t="s">
        <v>3458</v>
      </c>
      <c r="G1594" s="27" t="s">
        <v>101</v>
      </c>
      <c r="I1594" s="27" t="s">
        <v>121</v>
      </c>
      <c r="J1594" s="28">
        <v>21205</v>
      </c>
      <c r="K1594" s="27" t="s">
        <v>395</v>
      </c>
    </row>
    <row r="1595" spans="1:11">
      <c r="A1595">
        <v>1578</v>
      </c>
      <c r="D1595" s="28" t="s">
        <v>3457</v>
      </c>
      <c r="E1595" s="27" t="s">
        <v>3458</v>
      </c>
      <c r="G1595" s="27" t="s">
        <v>101</v>
      </c>
      <c r="I1595" s="27" t="s">
        <v>94</v>
      </c>
      <c r="J1595" s="28">
        <v>21205</v>
      </c>
      <c r="K1595" s="27" t="s">
        <v>395</v>
      </c>
    </row>
    <row r="1596" spans="1:11">
      <c r="A1596">
        <v>1579</v>
      </c>
      <c r="D1596" s="28" t="s">
        <v>3457</v>
      </c>
      <c r="E1596" s="27" t="s">
        <v>3458</v>
      </c>
      <c r="G1596" s="27" t="s">
        <v>101</v>
      </c>
      <c r="I1596" s="27" t="s">
        <v>226</v>
      </c>
      <c r="J1596" s="28">
        <v>21557</v>
      </c>
      <c r="K1596" s="27" t="s">
        <v>396</v>
      </c>
    </row>
    <row r="1597" spans="1:11">
      <c r="A1597">
        <v>1580</v>
      </c>
      <c r="D1597" s="28" t="s">
        <v>3459</v>
      </c>
      <c r="E1597" s="27" t="s">
        <v>3460</v>
      </c>
      <c r="G1597" s="27" t="s">
        <v>101</v>
      </c>
      <c r="I1597" s="27" t="s">
        <v>121</v>
      </c>
      <c r="J1597" s="28">
        <v>21205</v>
      </c>
      <c r="K1597" s="27" t="s">
        <v>395</v>
      </c>
    </row>
    <row r="1598" spans="1:11">
      <c r="A1598">
        <v>1581</v>
      </c>
      <c r="D1598" s="28" t="s">
        <v>3461</v>
      </c>
      <c r="E1598" s="27" t="s">
        <v>150</v>
      </c>
      <c r="G1598" s="27" t="s">
        <v>101</v>
      </c>
      <c r="I1598" s="27" t="s">
        <v>121</v>
      </c>
      <c r="J1598" s="28">
        <v>21160</v>
      </c>
      <c r="K1598" s="27" t="s">
        <v>401</v>
      </c>
    </row>
    <row r="1599" spans="1:11">
      <c r="A1599">
        <v>1582</v>
      </c>
      <c r="D1599" s="28" t="s">
        <v>3462</v>
      </c>
      <c r="E1599" s="27" t="s">
        <v>3463</v>
      </c>
      <c r="G1599" s="27" t="s">
        <v>101</v>
      </c>
      <c r="I1599" s="27" t="s">
        <v>121</v>
      </c>
      <c r="J1599" s="28">
        <v>21160</v>
      </c>
      <c r="K1599" s="27" t="s">
        <v>401</v>
      </c>
    </row>
    <row r="1600" spans="1:11">
      <c r="A1600">
        <v>1583</v>
      </c>
      <c r="D1600" s="28" t="s">
        <v>3464</v>
      </c>
      <c r="E1600" s="27" t="s">
        <v>329</v>
      </c>
      <c r="G1600" s="27" t="s">
        <v>101</v>
      </c>
      <c r="I1600" s="27" t="s">
        <v>226</v>
      </c>
      <c r="J1600" s="28">
        <v>21425</v>
      </c>
      <c r="K1600" s="27" t="s">
        <v>406</v>
      </c>
    </row>
    <row r="1601" spans="1:11">
      <c r="A1601">
        <v>1584</v>
      </c>
      <c r="D1601" s="28" t="s">
        <v>3465</v>
      </c>
      <c r="E1601" s="27" t="s">
        <v>3466</v>
      </c>
      <c r="G1601" s="27" t="s">
        <v>101</v>
      </c>
      <c r="I1601" s="27" t="s">
        <v>121</v>
      </c>
      <c r="J1601" s="28">
        <v>21160</v>
      </c>
      <c r="K1601" s="27" t="s">
        <v>401</v>
      </c>
    </row>
    <row r="1602" spans="1:11">
      <c r="A1602">
        <v>1585</v>
      </c>
      <c r="D1602" s="28" t="s">
        <v>3465</v>
      </c>
      <c r="E1602" s="27" t="s">
        <v>3466</v>
      </c>
      <c r="G1602" s="27" t="s">
        <v>101</v>
      </c>
      <c r="I1602" s="27" t="s">
        <v>121</v>
      </c>
      <c r="J1602" s="28">
        <v>21020</v>
      </c>
      <c r="K1602" s="27" t="s">
        <v>403</v>
      </c>
    </row>
    <row r="1603" spans="1:11">
      <c r="A1603">
        <v>1586</v>
      </c>
      <c r="D1603" s="28" t="s">
        <v>3467</v>
      </c>
      <c r="E1603" s="27" t="s">
        <v>3468</v>
      </c>
      <c r="G1603" s="27" t="s">
        <v>101</v>
      </c>
      <c r="I1603" s="27" t="s">
        <v>121</v>
      </c>
      <c r="J1603" s="28">
        <v>21758</v>
      </c>
      <c r="K1603" s="27" t="s">
        <v>398</v>
      </c>
    </row>
    <row r="1604" spans="1:11">
      <c r="A1604">
        <v>1587</v>
      </c>
      <c r="D1604" s="28" t="s">
        <v>3467</v>
      </c>
      <c r="E1604" s="27" t="s">
        <v>3468</v>
      </c>
      <c r="G1604" s="27" t="s">
        <v>101</v>
      </c>
      <c r="I1604" s="27" t="s">
        <v>226</v>
      </c>
      <c r="J1604" s="28">
        <v>21085</v>
      </c>
      <c r="K1604" s="27" t="s">
        <v>399</v>
      </c>
    </row>
    <row r="1605" spans="1:11">
      <c r="A1605">
        <v>1588</v>
      </c>
      <c r="D1605" s="28" t="s">
        <v>3469</v>
      </c>
      <c r="E1605" s="27" t="s">
        <v>769</v>
      </c>
      <c r="G1605" s="27" t="s">
        <v>101</v>
      </c>
      <c r="I1605" s="27" t="s">
        <v>121</v>
      </c>
      <c r="J1605" s="28">
        <v>29010</v>
      </c>
      <c r="K1605" s="27" t="s">
        <v>229</v>
      </c>
    </row>
    <row r="1606" spans="1:11">
      <c r="A1606">
        <v>1589</v>
      </c>
      <c r="D1606" s="28" t="s">
        <v>3469</v>
      </c>
      <c r="E1606" s="27" t="s">
        <v>769</v>
      </c>
      <c r="G1606" s="27" t="s">
        <v>101</v>
      </c>
      <c r="I1606" s="27" t="s">
        <v>94</v>
      </c>
      <c r="J1606" s="28">
        <v>29268</v>
      </c>
      <c r="K1606" s="27" t="s">
        <v>229</v>
      </c>
    </row>
    <row r="1607" spans="1:11">
      <c r="A1607">
        <v>1590</v>
      </c>
      <c r="D1607" s="28" t="s">
        <v>3470</v>
      </c>
      <c r="E1607" s="27" t="s">
        <v>771</v>
      </c>
      <c r="G1607" s="27" t="s">
        <v>101</v>
      </c>
      <c r="I1607" s="27" t="s">
        <v>121</v>
      </c>
      <c r="J1607" s="28">
        <v>29010</v>
      </c>
      <c r="K1607" s="27" t="s">
        <v>229</v>
      </c>
    </row>
    <row r="1608" spans="1:11">
      <c r="A1608">
        <v>1591</v>
      </c>
      <c r="D1608" s="28" t="s">
        <v>3470</v>
      </c>
      <c r="E1608" s="27" t="s">
        <v>771</v>
      </c>
      <c r="G1608" s="27" t="s">
        <v>101</v>
      </c>
      <c r="I1608" s="27" t="s">
        <v>94</v>
      </c>
      <c r="J1608" s="28">
        <v>29268</v>
      </c>
      <c r="K1608" s="27" t="s">
        <v>229</v>
      </c>
    </row>
    <row r="1609" spans="1:11">
      <c r="A1609">
        <v>1592</v>
      </c>
      <c r="D1609" s="28" t="s">
        <v>3471</v>
      </c>
      <c r="E1609" s="27" t="s">
        <v>1762</v>
      </c>
      <c r="G1609" s="27" t="s">
        <v>101</v>
      </c>
      <c r="I1609" s="27" t="s">
        <v>121</v>
      </c>
      <c r="J1609" s="28">
        <v>21205</v>
      </c>
      <c r="K1609" s="27" t="s">
        <v>395</v>
      </c>
    </row>
    <row r="1610" spans="1:11">
      <c r="A1610">
        <v>1593</v>
      </c>
      <c r="D1610" s="28" t="s">
        <v>3471</v>
      </c>
      <c r="E1610" s="27" t="s">
        <v>1762</v>
      </c>
      <c r="G1610" s="27" t="s">
        <v>101</v>
      </c>
      <c r="I1610" s="27" t="s">
        <v>94</v>
      </c>
      <c r="J1610" s="28">
        <v>21205</v>
      </c>
      <c r="K1610" s="27" t="s">
        <v>395</v>
      </c>
    </row>
    <row r="1611" spans="1:11">
      <c r="A1611">
        <v>1594</v>
      </c>
      <c r="D1611" s="28" t="s">
        <v>3472</v>
      </c>
      <c r="E1611" s="27" t="s">
        <v>3473</v>
      </c>
      <c r="G1611" s="27" t="s">
        <v>101</v>
      </c>
      <c r="I1611" s="27" t="s">
        <v>121</v>
      </c>
      <c r="J1611" s="28">
        <v>21205</v>
      </c>
      <c r="K1611" s="27" t="s">
        <v>395</v>
      </c>
    </row>
    <row r="1612" spans="1:11">
      <c r="A1612">
        <v>1595</v>
      </c>
      <c r="D1612" s="28" t="s">
        <v>3472</v>
      </c>
      <c r="E1612" s="27" t="s">
        <v>3473</v>
      </c>
      <c r="G1612" s="27" t="s">
        <v>101</v>
      </c>
      <c r="I1612" s="27" t="s">
        <v>121</v>
      </c>
      <c r="J1612" s="28">
        <v>21020</v>
      </c>
      <c r="K1612" s="27" t="s">
        <v>403</v>
      </c>
    </row>
    <row r="1613" spans="1:11">
      <c r="A1613">
        <v>1596</v>
      </c>
      <c r="D1613" s="28" t="s">
        <v>3472</v>
      </c>
      <c r="E1613" s="27" t="s">
        <v>3473</v>
      </c>
      <c r="G1613" s="27" t="s">
        <v>101</v>
      </c>
      <c r="I1613" s="27" t="s">
        <v>94</v>
      </c>
      <c r="J1613" s="28">
        <v>21020</v>
      </c>
      <c r="K1613" s="27" t="s">
        <v>403</v>
      </c>
    </row>
    <row r="1614" spans="1:11">
      <c r="A1614">
        <v>1597</v>
      </c>
      <c r="D1614" s="28" t="s">
        <v>3474</v>
      </c>
      <c r="E1614" s="27" t="s">
        <v>3475</v>
      </c>
      <c r="G1614" s="27" t="s">
        <v>101</v>
      </c>
      <c r="I1614" s="27" t="s">
        <v>121</v>
      </c>
      <c r="J1614" s="28">
        <v>21743</v>
      </c>
      <c r="K1614" s="27" t="s">
        <v>4503</v>
      </c>
    </row>
    <row r="1615" spans="1:11">
      <c r="A1615">
        <v>1598</v>
      </c>
      <c r="D1615" s="28" t="s">
        <v>3476</v>
      </c>
      <c r="E1615" s="27" t="s">
        <v>3477</v>
      </c>
      <c r="G1615" s="27" t="s">
        <v>101</v>
      </c>
      <c r="I1615" s="27" t="s">
        <v>121</v>
      </c>
      <c r="J1615" s="28">
        <v>21205</v>
      </c>
      <c r="K1615" s="27" t="s">
        <v>395</v>
      </c>
    </row>
    <row r="1616" spans="1:11">
      <c r="A1616">
        <v>1599</v>
      </c>
      <c r="D1616" s="28" t="s">
        <v>3476</v>
      </c>
      <c r="E1616" s="27" t="s">
        <v>3477</v>
      </c>
      <c r="G1616" s="27" t="s">
        <v>101</v>
      </c>
      <c r="I1616" s="27" t="s">
        <v>94</v>
      </c>
      <c r="J1616" s="28">
        <v>21205</v>
      </c>
      <c r="K1616" s="27" t="s">
        <v>395</v>
      </c>
    </row>
    <row r="1617" spans="1:11">
      <c r="A1617">
        <v>1600</v>
      </c>
      <c r="D1617" s="28" t="s">
        <v>3476</v>
      </c>
      <c r="E1617" s="27" t="s">
        <v>3477</v>
      </c>
      <c r="G1617" s="27" t="s">
        <v>101</v>
      </c>
      <c r="I1617" s="27" t="s">
        <v>226</v>
      </c>
      <c r="J1617" s="28">
        <v>21557</v>
      </c>
      <c r="K1617" s="27" t="s">
        <v>396</v>
      </c>
    </row>
    <row r="1618" spans="1:11">
      <c r="A1618">
        <v>1601</v>
      </c>
      <c r="D1618" s="28" t="s">
        <v>3478</v>
      </c>
      <c r="E1618" s="27" t="s">
        <v>3479</v>
      </c>
      <c r="G1618" s="27" t="s">
        <v>101</v>
      </c>
      <c r="I1618" s="27" t="s">
        <v>121</v>
      </c>
      <c r="J1618" s="28">
        <v>21205</v>
      </c>
      <c r="K1618" s="27" t="s">
        <v>395</v>
      </c>
    </row>
    <row r="1619" spans="1:11">
      <c r="A1619">
        <v>1602</v>
      </c>
      <c r="D1619" s="28" t="s">
        <v>3478</v>
      </c>
      <c r="E1619" s="27" t="s">
        <v>3479</v>
      </c>
      <c r="G1619" s="27" t="s">
        <v>101</v>
      </c>
      <c r="I1619" s="27" t="s">
        <v>94</v>
      </c>
      <c r="J1619" s="28">
        <v>21205</v>
      </c>
      <c r="K1619" s="27" t="s">
        <v>395</v>
      </c>
    </row>
    <row r="1620" spans="1:11">
      <c r="A1620">
        <v>1603</v>
      </c>
      <c r="D1620" s="28" t="s">
        <v>3478</v>
      </c>
      <c r="E1620" s="27" t="s">
        <v>3479</v>
      </c>
      <c r="G1620" s="27" t="s">
        <v>101</v>
      </c>
      <c r="I1620" s="27" t="s">
        <v>226</v>
      </c>
      <c r="J1620" s="28">
        <v>21557</v>
      </c>
      <c r="K1620" s="27" t="s">
        <v>396</v>
      </c>
    </row>
    <row r="1621" spans="1:11">
      <c r="A1621">
        <v>1604</v>
      </c>
      <c r="D1621" s="28" t="s">
        <v>3480</v>
      </c>
      <c r="E1621" s="27" t="s">
        <v>3481</v>
      </c>
      <c r="G1621" s="27" t="s">
        <v>101</v>
      </c>
      <c r="I1621" s="27" t="s">
        <v>226</v>
      </c>
      <c r="J1621" s="28">
        <v>21557</v>
      </c>
      <c r="K1621" s="27" t="s">
        <v>396</v>
      </c>
    </row>
    <row r="1622" spans="1:11">
      <c r="A1622">
        <v>1605</v>
      </c>
      <c r="D1622" s="28" t="s">
        <v>3482</v>
      </c>
      <c r="E1622" s="27" t="s">
        <v>3483</v>
      </c>
      <c r="G1622" s="27" t="s">
        <v>101</v>
      </c>
      <c r="I1622" s="27" t="s">
        <v>121</v>
      </c>
      <c r="J1622" s="28">
        <v>21205</v>
      </c>
      <c r="K1622" s="27" t="s">
        <v>395</v>
      </c>
    </row>
    <row r="1623" spans="1:11">
      <c r="A1623">
        <v>1606</v>
      </c>
      <c r="D1623" s="28" t="s">
        <v>3482</v>
      </c>
      <c r="E1623" s="27" t="s">
        <v>3483</v>
      </c>
      <c r="G1623" s="27" t="s">
        <v>101</v>
      </c>
      <c r="I1623" s="27" t="s">
        <v>121</v>
      </c>
      <c r="J1623" s="28">
        <v>21020</v>
      </c>
      <c r="K1623" s="27" t="s">
        <v>403</v>
      </c>
    </row>
    <row r="1624" spans="1:11">
      <c r="A1624">
        <v>1607</v>
      </c>
      <c r="D1624" s="28" t="s">
        <v>3484</v>
      </c>
      <c r="E1624" s="27" t="s">
        <v>3485</v>
      </c>
      <c r="G1624" s="27" t="s">
        <v>101</v>
      </c>
      <c r="I1624" s="27" t="s">
        <v>121</v>
      </c>
      <c r="J1624" s="28">
        <v>21819</v>
      </c>
      <c r="K1624" s="27" t="s">
        <v>408</v>
      </c>
    </row>
    <row r="1625" spans="1:11">
      <c r="A1625">
        <v>1608</v>
      </c>
      <c r="D1625" s="28" t="s">
        <v>3486</v>
      </c>
      <c r="E1625" s="27" t="s">
        <v>3487</v>
      </c>
      <c r="G1625" s="27" t="s">
        <v>101</v>
      </c>
      <c r="I1625" s="27" t="s">
        <v>121</v>
      </c>
      <c r="J1625" s="28">
        <v>21589</v>
      </c>
      <c r="K1625" s="27" t="s">
        <v>405</v>
      </c>
    </row>
    <row r="1626" spans="1:11">
      <c r="A1626">
        <v>1609</v>
      </c>
      <c r="D1626" s="28" t="s">
        <v>3486</v>
      </c>
      <c r="E1626" s="27" t="s">
        <v>3487</v>
      </c>
      <c r="G1626" s="27" t="s">
        <v>101</v>
      </c>
      <c r="I1626" s="27" t="s">
        <v>121</v>
      </c>
      <c r="J1626" s="28">
        <v>21020</v>
      </c>
      <c r="K1626" s="27" t="s">
        <v>403</v>
      </c>
    </row>
    <row r="1627" spans="1:11">
      <c r="A1627">
        <v>1610</v>
      </c>
      <c r="D1627" s="28" t="s">
        <v>3486</v>
      </c>
      <c r="E1627" s="27" t="s">
        <v>3487</v>
      </c>
      <c r="G1627" s="27" t="s">
        <v>101</v>
      </c>
      <c r="I1627" s="27" t="s">
        <v>94</v>
      </c>
      <c r="J1627" s="28">
        <v>21589</v>
      </c>
      <c r="K1627" s="27" t="s">
        <v>405</v>
      </c>
    </row>
    <row r="1628" spans="1:11">
      <c r="A1628">
        <v>1611</v>
      </c>
      <c r="D1628" s="28" t="s">
        <v>3486</v>
      </c>
      <c r="E1628" s="27" t="s">
        <v>3487</v>
      </c>
      <c r="G1628" s="27" t="s">
        <v>101</v>
      </c>
      <c r="I1628" s="27" t="s">
        <v>226</v>
      </c>
      <c r="J1628" s="28">
        <v>21628</v>
      </c>
      <c r="K1628" s="27" t="s">
        <v>4502</v>
      </c>
    </row>
    <row r="1629" spans="1:11">
      <c r="A1629">
        <v>1612</v>
      </c>
      <c r="D1629" s="28" t="s">
        <v>3486</v>
      </c>
      <c r="E1629" s="27" t="s">
        <v>3487</v>
      </c>
      <c r="G1629" s="27" t="s">
        <v>101</v>
      </c>
      <c r="I1629" s="27" t="s">
        <v>226</v>
      </c>
      <c r="J1629" s="28">
        <v>21020</v>
      </c>
      <c r="K1629" s="27" t="s">
        <v>403</v>
      </c>
    </row>
    <row r="1630" spans="1:11">
      <c r="A1630">
        <v>1613</v>
      </c>
      <c r="D1630" s="28" t="s">
        <v>3488</v>
      </c>
      <c r="E1630" s="27" t="s">
        <v>3489</v>
      </c>
      <c r="G1630" s="27" t="s">
        <v>101</v>
      </c>
      <c r="I1630" s="27" t="s">
        <v>121</v>
      </c>
      <c r="J1630" s="28">
        <v>21589</v>
      </c>
      <c r="K1630" s="27" t="s">
        <v>405</v>
      </c>
    </row>
    <row r="1631" spans="1:11">
      <c r="A1631">
        <v>1614</v>
      </c>
      <c r="D1631" s="28" t="s">
        <v>3488</v>
      </c>
      <c r="E1631" s="27" t="s">
        <v>3489</v>
      </c>
      <c r="G1631" s="27" t="s">
        <v>101</v>
      </c>
      <c r="I1631" s="27" t="s">
        <v>121</v>
      </c>
      <c r="J1631" s="28">
        <v>21020</v>
      </c>
      <c r="K1631" s="27" t="s">
        <v>403</v>
      </c>
    </row>
    <row r="1632" spans="1:11">
      <c r="A1632">
        <v>1615</v>
      </c>
      <c r="D1632" s="28" t="s">
        <v>3488</v>
      </c>
      <c r="E1632" s="27" t="s">
        <v>3489</v>
      </c>
      <c r="G1632" s="27" t="s">
        <v>101</v>
      </c>
      <c r="I1632" s="27" t="s">
        <v>94</v>
      </c>
      <c r="J1632" s="28">
        <v>21589</v>
      </c>
      <c r="K1632" s="27" t="s">
        <v>405</v>
      </c>
    </row>
    <row r="1633" spans="1:11">
      <c r="A1633">
        <v>1616</v>
      </c>
      <c r="D1633" s="28" t="s">
        <v>3488</v>
      </c>
      <c r="E1633" s="27" t="s">
        <v>3489</v>
      </c>
      <c r="G1633" s="27" t="s">
        <v>101</v>
      </c>
      <c r="I1633" s="27" t="s">
        <v>226</v>
      </c>
      <c r="J1633" s="28">
        <v>21628</v>
      </c>
      <c r="K1633" s="27" t="s">
        <v>4502</v>
      </c>
    </row>
    <row r="1634" spans="1:11">
      <c r="A1634">
        <v>1617</v>
      </c>
      <c r="D1634" s="28" t="s">
        <v>3488</v>
      </c>
      <c r="E1634" s="27" t="s">
        <v>3489</v>
      </c>
      <c r="G1634" s="27" t="s">
        <v>101</v>
      </c>
      <c r="I1634" s="27" t="s">
        <v>226</v>
      </c>
      <c r="J1634" s="28">
        <v>21020</v>
      </c>
      <c r="K1634" s="27" t="s">
        <v>403</v>
      </c>
    </row>
    <row r="1635" spans="1:11">
      <c r="A1635">
        <v>1618</v>
      </c>
      <c r="D1635" s="28" t="s">
        <v>3490</v>
      </c>
      <c r="E1635" s="27" t="s">
        <v>3491</v>
      </c>
      <c r="G1635" s="27" t="s">
        <v>101</v>
      </c>
      <c r="I1635" s="27" t="s">
        <v>121</v>
      </c>
      <c r="J1635" s="28">
        <v>21020</v>
      </c>
      <c r="K1635" s="27" t="s">
        <v>403</v>
      </c>
    </row>
    <row r="1636" spans="1:11">
      <c r="A1636">
        <v>1619</v>
      </c>
      <c r="D1636" s="28" t="s">
        <v>3490</v>
      </c>
      <c r="E1636" s="27" t="s">
        <v>3491</v>
      </c>
      <c r="G1636" s="27" t="s">
        <v>101</v>
      </c>
      <c r="I1636" s="27" t="s">
        <v>121</v>
      </c>
      <c r="J1636" s="28">
        <v>21589</v>
      </c>
      <c r="K1636" s="27" t="s">
        <v>405</v>
      </c>
    </row>
    <row r="1637" spans="1:11">
      <c r="A1637">
        <v>1620</v>
      </c>
      <c r="D1637" s="28" t="s">
        <v>3490</v>
      </c>
      <c r="E1637" s="27" t="s">
        <v>3491</v>
      </c>
      <c r="G1637" s="27" t="s">
        <v>101</v>
      </c>
      <c r="I1637" s="27" t="s">
        <v>94</v>
      </c>
      <c r="J1637" s="28">
        <v>21020</v>
      </c>
      <c r="K1637" s="27" t="s">
        <v>403</v>
      </c>
    </row>
    <row r="1638" spans="1:11">
      <c r="A1638">
        <v>1621</v>
      </c>
      <c r="D1638" s="28" t="s">
        <v>3490</v>
      </c>
      <c r="E1638" s="27" t="s">
        <v>3491</v>
      </c>
      <c r="G1638" s="27" t="s">
        <v>101</v>
      </c>
      <c r="I1638" s="27" t="s">
        <v>226</v>
      </c>
      <c r="J1638" s="28">
        <v>21628</v>
      </c>
      <c r="K1638" s="27" t="s">
        <v>4502</v>
      </c>
    </row>
    <row r="1639" spans="1:11">
      <c r="A1639">
        <v>1622</v>
      </c>
      <c r="D1639" s="28" t="s">
        <v>3490</v>
      </c>
      <c r="E1639" s="27" t="s">
        <v>3491</v>
      </c>
      <c r="G1639" s="27" t="s">
        <v>101</v>
      </c>
      <c r="I1639" s="27" t="s">
        <v>226</v>
      </c>
      <c r="J1639" s="28">
        <v>21020</v>
      </c>
      <c r="K1639" s="27" t="s">
        <v>403</v>
      </c>
    </row>
    <row r="1640" spans="1:11">
      <c r="A1640">
        <v>1623</v>
      </c>
      <c r="D1640" s="28" t="s">
        <v>3492</v>
      </c>
      <c r="E1640" s="27" t="s">
        <v>160</v>
      </c>
      <c r="G1640" s="27" t="s">
        <v>101</v>
      </c>
      <c r="I1640" s="27" t="s">
        <v>121</v>
      </c>
      <c r="J1640" s="28">
        <v>21160</v>
      </c>
      <c r="K1640" s="27" t="s">
        <v>401</v>
      </c>
    </row>
    <row r="1641" spans="1:11">
      <c r="A1641">
        <v>1624</v>
      </c>
      <c r="D1641" s="28" t="s">
        <v>3492</v>
      </c>
      <c r="E1641" s="27" t="s">
        <v>160</v>
      </c>
      <c r="G1641" s="27" t="s">
        <v>101</v>
      </c>
      <c r="I1641" s="27" t="s">
        <v>226</v>
      </c>
      <c r="J1641" s="28">
        <v>21425</v>
      </c>
      <c r="K1641" s="27" t="s">
        <v>406</v>
      </c>
    </row>
    <row r="1642" spans="1:11">
      <c r="A1642">
        <v>1625</v>
      </c>
      <c r="D1642" s="28" t="s">
        <v>3493</v>
      </c>
      <c r="E1642" s="27" t="s">
        <v>3494</v>
      </c>
      <c r="G1642" s="27" t="s">
        <v>101</v>
      </c>
      <c r="I1642" s="27" t="s">
        <v>121</v>
      </c>
      <c r="J1642" s="28">
        <v>21020</v>
      </c>
      <c r="K1642" s="27" t="s">
        <v>403</v>
      </c>
    </row>
    <row r="1643" spans="1:11">
      <c r="A1643">
        <v>1626</v>
      </c>
      <c r="D1643" s="28" t="s">
        <v>3493</v>
      </c>
      <c r="E1643" s="27" t="s">
        <v>3494</v>
      </c>
      <c r="G1643" s="27" t="s">
        <v>101</v>
      </c>
      <c r="I1643" s="27" t="s">
        <v>121</v>
      </c>
      <c r="J1643" s="28">
        <v>21160</v>
      </c>
      <c r="K1643" s="27" t="s">
        <v>401</v>
      </c>
    </row>
    <row r="1644" spans="1:11">
      <c r="A1644">
        <v>1627</v>
      </c>
      <c r="D1644" s="28" t="s">
        <v>378</v>
      </c>
      <c r="E1644" s="27" t="s">
        <v>379</v>
      </c>
      <c r="G1644" s="27" t="s">
        <v>101</v>
      </c>
      <c r="I1644" s="27" t="s">
        <v>121</v>
      </c>
      <c r="J1644" s="28">
        <v>21697</v>
      </c>
      <c r="K1644" s="27" t="s">
        <v>227</v>
      </c>
    </row>
    <row r="1645" spans="1:11">
      <c r="A1645">
        <v>1628</v>
      </c>
      <c r="D1645" s="28" t="s">
        <v>378</v>
      </c>
      <c r="E1645" s="27" t="s">
        <v>379</v>
      </c>
      <c r="G1645" s="27" t="s">
        <v>101</v>
      </c>
      <c r="I1645" s="27" t="s">
        <v>94</v>
      </c>
      <c r="J1645" s="28">
        <v>21697</v>
      </c>
      <c r="K1645" s="27" t="s">
        <v>227</v>
      </c>
    </row>
    <row r="1646" spans="1:11">
      <c r="A1646">
        <v>1629</v>
      </c>
      <c r="D1646" s="28" t="s">
        <v>378</v>
      </c>
      <c r="E1646" s="27" t="s">
        <v>379</v>
      </c>
      <c r="G1646" s="27" t="s">
        <v>101</v>
      </c>
      <c r="I1646" s="27" t="s">
        <v>226</v>
      </c>
      <c r="J1646" s="28">
        <v>21590</v>
      </c>
      <c r="K1646" s="27" t="s">
        <v>397</v>
      </c>
    </row>
    <row r="1647" spans="1:11">
      <c r="A1647">
        <v>1630</v>
      </c>
      <c r="D1647" s="28" t="s">
        <v>3495</v>
      </c>
      <c r="E1647" s="27" t="s">
        <v>846</v>
      </c>
      <c r="G1647" s="27" t="s">
        <v>101</v>
      </c>
      <c r="I1647" s="27" t="s">
        <v>121</v>
      </c>
      <c r="J1647" s="28">
        <v>20895</v>
      </c>
      <c r="K1647" s="27" t="s">
        <v>1242</v>
      </c>
    </row>
    <row r="1648" spans="1:11">
      <c r="A1648">
        <v>1631</v>
      </c>
      <c r="D1648" s="28" t="s">
        <v>3496</v>
      </c>
      <c r="E1648" s="27" t="s">
        <v>848</v>
      </c>
      <c r="G1648" s="27" t="s">
        <v>101</v>
      </c>
      <c r="I1648" s="27" t="s">
        <v>121</v>
      </c>
      <c r="J1648" s="28">
        <v>20895</v>
      </c>
      <c r="K1648" s="27" t="s">
        <v>1242</v>
      </c>
    </row>
    <row r="1649" spans="1:11">
      <c r="A1649">
        <v>1632</v>
      </c>
      <c r="D1649" s="28" t="s">
        <v>3497</v>
      </c>
      <c r="E1649" s="27" t="s">
        <v>836</v>
      </c>
      <c r="G1649" s="27" t="s">
        <v>101</v>
      </c>
      <c r="I1649" s="27" t="s">
        <v>121</v>
      </c>
      <c r="J1649" s="28">
        <v>20895</v>
      </c>
      <c r="K1649" s="27" t="s">
        <v>1242</v>
      </c>
    </row>
    <row r="1650" spans="1:11">
      <c r="A1650">
        <v>1633</v>
      </c>
      <c r="D1650" s="28" t="s">
        <v>3498</v>
      </c>
      <c r="E1650" s="27" t="s">
        <v>838</v>
      </c>
      <c r="G1650" s="27" t="s">
        <v>101</v>
      </c>
      <c r="I1650" s="27" t="s">
        <v>121</v>
      </c>
      <c r="J1650" s="28">
        <v>20895</v>
      </c>
      <c r="K1650" s="27" t="s">
        <v>1242</v>
      </c>
    </row>
    <row r="1651" spans="1:11">
      <c r="A1651">
        <v>1634</v>
      </c>
      <c r="D1651" s="28" t="s">
        <v>3499</v>
      </c>
      <c r="E1651" s="27" t="s">
        <v>1376</v>
      </c>
      <c r="G1651" s="27" t="s">
        <v>101</v>
      </c>
      <c r="I1651" s="27" t="s">
        <v>121</v>
      </c>
      <c r="J1651" s="28">
        <v>20895</v>
      </c>
      <c r="K1651" s="27" t="s">
        <v>1242</v>
      </c>
    </row>
    <row r="1652" spans="1:11">
      <c r="A1652">
        <v>1635</v>
      </c>
      <c r="D1652" s="28" t="s">
        <v>3500</v>
      </c>
      <c r="E1652" s="27" t="s">
        <v>3501</v>
      </c>
      <c r="G1652" s="27" t="s">
        <v>101</v>
      </c>
      <c r="I1652" s="27" t="s">
        <v>121</v>
      </c>
      <c r="J1652" s="28">
        <v>20895</v>
      </c>
      <c r="K1652" s="27" t="s">
        <v>1242</v>
      </c>
    </row>
    <row r="1653" spans="1:11">
      <c r="A1653">
        <v>1636</v>
      </c>
      <c r="D1653" s="28" t="s">
        <v>3502</v>
      </c>
      <c r="E1653" s="27" t="s">
        <v>3503</v>
      </c>
      <c r="G1653" s="27" t="s">
        <v>101</v>
      </c>
      <c r="I1653" s="27" t="s">
        <v>121</v>
      </c>
      <c r="J1653" s="28">
        <v>29010</v>
      </c>
      <c r="K1653" s="27" t="s">
        <v>229</v>
      </c>
    </row>
    <row r="1654" spans="1:11">
      <c r="A1654">
        <v>1637</v>
      </c>
      <c r="D1654" s="28" t="s">
        <v>3504</v>
      </c>
      <c r="E1654" s="27" t="s">
        <v>3505</v>
      </c>
      <c r="G1654" s="27" t="s">
        <v>101</v>
      </c>
      <c r="I1654" s="27" t="s">
        <v>121</v>
      </c>
      <c r="J1654" s="28">
        <v>20895</v>
      </c>
      <c r="K1654" s="27" t="s">
        <v>1242</v>
      </c>
    </row>
    <row r="1655" spans="1:11">
      <c r="A1655">
        <v>1638</v>
      </c>
      <c r="D1655" s="28" t="s">
        <v>3506</v>
      </c>
      <c r="E1655" s="27" t="s">
        <v>3507</v>
      </c>
      <c r="G1655" s="27" t="s">
        <v>101</v>
      </c>
      <c r="I1655" s="27" t="s">
        <v>121</v>
      </c>
      <c r="J1655" s="28">
        <v>29010</v>
      </c>
      <c r="K1655" s="27" t="s">
        <v>229</v>
      </c>
    </row>
    <row r="1656" spans="1:11">
      <c r="A1656">
        <v>1639</v>
      </c>
      <c r="D1656" s="28" t="s">
        <v>3508</v>
      </c>
      <c r="E1656" s="27" t="s">
        <v>3509</v>
      </c>
      <c r="G1656" s="27" t="s">
        <v>101</v>
      </c>
      <c r="I1656" s="27" t="s">
        <v>121</v>
      </c>
      <c r="J1656" s="28">
        <v>21592</v>
      </c>
      <c r="K1656" s="27" t="s">
        <v>410</v>
      </c>
    </row>
    <row r="1657" spans="1:11">
      <c r="A1657">
        <v>1640</v>
      </c>
      <c r="D1657" s="28" t="s">
        <v>3510</v>
      </c>
      <c r="E1657" s="27" t="s">
        <v>761</v>
      </c>
      <c r="G1657" s="27" t="s">
        <v>108</v>
      </c>
      <c r="I1657" s="27" t="s">
        <v>121</v>
      </c>
      <c r="J1657" s="28">
        <v>29010</v>
      </c>
      <c r="K1657" s="27" t="s">
        <v>229</v>
      </c>
    </row>
    <row r="1658" spans="1:11">
      <c r="A1658">
        <v>1641</v>
      </c>
      <c r="D1658" s="28" t="s">
        <v>3511</v>
      </c>
      <c r="E1658" s="27" t="s">
        <v>3512</v>
      </c>
      <c r="G1658" s="27" t="s">
        <v>108</v>
      </c>
      <c r="I1658" s="27" t="s">
        <v>121</v>
      </c>
      <c r="J1658" s="28">
        <v>21592</v>
      </c>
      <c r="K1658" s="27" t="s">
        <v>410</v>
      </c>
    </row>
    <row r="1659" spans="1:11">
      <c r="A1659">
        <v>1642</v>
      </c>
      <c r="D1659" s="28" t="s">
        <v>3513</v>
      </c>
      <c r="E1659" s="27" t="s">
        <v>3514</v>
      </c>
      <c r="G1659" s="27" t="s">
        <v>108</v>
      </c>
      <c r="I1659" s="27" t="s">
        <v>121</v>
      </c>
      <c r="J1659" s="28">
        <v>20900</v>
      </c>
      <c r="K1659" s="27" t="s">
        <v>1246</v>
      </c>
    </row>
    <row r="1660" spans="1:11">
      <c r="A1660">
        <v>1643</v>
      </c>
      <c r="D1660" s="28" t="s">
        <v>3515</v>
      </c>
      <c r="E1660" s="27" t="s">
        <v>3516</v>
      </c>
      <c r="G1660" s="27" t="s">
        <v>108</v>
      </c>
      <c r="I1660" s="27" t="s">
        <v>121</v>
      </c>
      <c r="J1660" s="28">
        <v>21020</v>
      </c>
      <c r="K1660" s="27" t="s">
        <v>403</v>
      </c>
    </row>
    <row r="1661" spans="1:11">
      <c r="A1661">
        <v>1644</v>
      </c>
      <c r="D1661" s="28" t="s">
        <v>3515</v>
      </c>
      <c r="E1661" s="27" t="s">
        <v>3516</v>
      </c>
      <c r="G1661" s="27" t="s">
        <v>108</v>
      </c>
      <c r="I1661" s="27" t="s">
        <v>226</v>
      </c>
      <c r="J1661" s="28">
        <v>21557</v>
      </c>
      <c r="K1661" s="27" t="s">
        <v>396</v>
      </c>
    </row>
    <row r="1662" spans="1:11">
      <c r="A1662">
        <v>1645</v>
      </c>
      <c r="D1662" s="28" t="s">
        <v>3515</v>
      </c>
      <c r="E1662" s="27" t="s">
        <v>3516</v>
      </c>
      <c r="G1662" s="27" t="s">
        <v>108</v>
      </c>
      <c r="I1662" s="27" t="s">
        <v>226</v>
      </c>
      <c r="J1662" s="28">
        <v>21020</v>
      </c>
      <c r="K1662" s="27" t="s">
        <v>403</v>
      </c>
    </row>
    <row r="1663" spans="1:11">
      <c r="A1663">
        <v>1646</v>
      </c>
      <c r="D1663" s="28" t="s">
        <v>3517</v>
      </c>
      <c r="E1663" s="27" t="s">
        <v>3518</v>
      </c>
      <c r="G1663" s="27" t="s">
        <v>108</v>
      </c>
      <c r="I1663" s="27" t="s">
        <v>121</v>
      </c>
      <c r="J1663" s="28">
        <v>21160</v>
      </c>
      <c r="K1663" s="27" t="s">
        <v>401</v>
      </c>
    </row>
    <row r="1664" spans="1:11">
      <c r="A1664">
        <v>1647</v>
      </c>
      <c r="D1664" s="28" t="s">
        <v>3519</v>
      </c>
      <c r="E1664" s="27" t="s">
        <v>3520</v>
      </c>
      <c r="G1664" s="27" t="s">
        <v>108</v>
      </c>
      <c r="I1664" s="27" t="s">
        <v>121</v>
      </c>
      <c r="J1664" s="28">
        <v>21205</v>
      </c>
      <c r="K1664" s="27" t="s">
        <v>395</v>
      </c>
    </row>
    <row r="1665" spans="1:11">
      <c r="A1665">
        <v>1648</v>
      </c>
      <c r="D1665" s="28" t="s">
        <v>3521</v>
      </c>
      <c r="E1665" s="27" t="s">
        <v>3522</v>
      </c>
      <c r="G1665" s="27" t="s">
        <v>108</v>
      </c>
      <c r="I1665" s="27" t="s">
        <v>121</v>
      </c>
      <c r="J1665" s="28">
        <v>29010</v>
      </c>
      <c r="K1665" s="27" t="s">
        <v>229</v>
      </c>
    </row>
    <row r="1666" spans="1:11">
      <c r="A1666">
        <v>1649</v>
      </c>
      <c r="D1666" s="28" t="s">
        <v>3523</v>
      </c>
      <c r="E1666" s="27" t="s">
        <v>3116</v>
      </c>
      <c r="G1666" s="27" t="s">
        <v>108</v>
      </c>
      <c r="I1666" s="27" t="s">
        <v>121</v>
      </c>
      <c r="J1666" s="28">
        <v>21160</v>
      </c>
      <c r="K1666" s="27" t="s">
        <v>401</v>
      </c>
    </row>
    <row r="1667" spans="1:11">
      <c r="A1667">
        <v>1650</v>
      </c>
      <c r="D1667" s="28" t="s">
        <v>3523</v>
      </c>
      <c r="E1667" s="27" t="s">
        <v>3116</v>
      </c>
      <c r="G1667" s="27" t="s">
        <v>108</v>
      </c>
      <c r="I1667" s="27" t="s">
        <v>121</v>
      </c>
      <c r="J1667" s="28">
        <v>21020</v>
      </c>
      <c r="K1667" s="27" t="s">
        <v>403</v>
      </c>
    </row>
    <row r="1668" spans="1:11">
      <c r="A1668">
        <v>1651</v>
      </c>
      <c r="D1668" s="28" t="s">
        <v>3524</v>
      </c>
      <c r="E1668" s="27" t="s">
        <v>3525</v>
      </c>
      <c r="G1668" s="27" t="s">
        <v>108</v>
      </c>
      <c r="I1668" s="27" t="s">
        <v>121</v>
      </c>
      <c r="J1668" s="28">
        <v>21160</v>
      </c>
      <c r="K1668" s="27" t="s">
        <v>401</v>
      </c>
    </row>
    <row r="1669" spans="1:11">
      <c r="A1669">
        <v>1652</v>
      </c>
      <c r="D1669" s="28" t="s">
        <v>3524</v>
      </c>
      <c r="E1669" s="27" t="s">
        <v>3525</v>
      </c>
      <c r="G1669" s="27" t="s">
        <v>108</v>
      </c>
      <c r="I1669" s="27" t="s">
        <v>121</v>
      </c>
      <c r="J1669" s="28">
        <v>21020</v>
      </c>
      <c r="K1669" s="27" t="s">
        <v>403</v>
      </c>
    </row>
    <row r="1670" spans="1:11">
      <c r="A1670">
        <v>1653</v>
      </c>
      <c r="D1670" s="28" t="s">
        <v>3524</v>
      </c>
      <c r="E1670" s="27" t="s">
        <v>3525</v>
      </c>
      <c r="G1670" s="27" t="s">
        <v>108</v>
      </c>
      <c r="I1670" s="27" t="s">
        <v>94</v>
      </c>
      <c r="J1670" s="28">
        <v>21160</v>
      </c>
      <c r="K1670" s="27" t="s">
        <v>401</v>
      </c>
    </row>
    <row r="1671" spans="1:11">
      <c r="A1671">
        <v>1654</v>
      </c>
      <c r="D1671" s="28" t="s">
        <v>3524</v>
      </c>
      <c r="E1671" s="27" t="s">
        <v>3525</v>
      </c>
      <c r="G1671" s="27" t="s">
        <v>108</v>
      </c>
      <c r="I1671" s="27" t="s">
        <v>226</v>
      </c>
      <c r="J1671" s="28">
        <v>21020</v>
      </c>
      <c r="K1671" s="27" t="s">
        <v>403</v>
      </c>
    </row>
    <row r="1672" spans="1:11">
      <c r="A1672">
        <v>1655</v>
      </c>
      <c r="D1672" s="28" t="s">
        <v>3526</v>
      </c>
      <c r="E1672" s="27" t="s">
        <v>3527</v>
      </c>
      <c r="G1672" s="27" t="s">
        <v>108</v>
      </c>
      <c r="I1672" s="27" t="s">
        <v>121</v>
      </c>
      <c r="J1672" s="28">
        <v>20900</v>
      </c>
      <c r="K1672" s="27" t="s">
        <v>1246</v>
      </c>
    </row>
    <row r="1673" spans="1:11">
      <c r="A1673">
        <v>1656</v>
      </c>
      <c r="D1673" s="28" t="s">
        <v>3526</v>
      </c>
      <c r="E1673" s="27" t="s">
        <v>3528</v>
      </c>
      <c r="G1673" s="27" t="s">
        <v>108</v>
      </c>
      <c r="I1673" s="27" t="s">
        <v>121</v>
      </c>
      <c r="J1673" s="28">
        <v>29010</v>
      </c>
      <c r="K1673" s="27" t="s">
        <v>229</v>
      </c>
    </row>
    <row r="1674" spans="1:11">
      <c r="A1674">
        <v>1657</v>
      </c>
      <c r="D1674" s="28" t="s">
        <v>3529</v>
      </c>
      <c r="E1674" s="27" t="s">
        <v>154</v>
      </c>
      <c r="G1674" s="27" t="s">
        <v>108</v>
      </c>
      <c r="I1674" s="27" t="s">
        <v>121</v>
      </c>
      <c r="J1674" s="28">
        <v>29010</v>
      </c>
      <c r="K1674" s="27" t="s">
        <v>229</v>
      </c>
    </row>
    <row r="1675" spans="1:11">
      <c r="A1675">
        <v>1658</v>
      </c>
      <c r="D1675" s="28" t="s">
        <v>3530</v>
      </c>
      <c r="E1675" s="27" t="s">
        <v>3468</v>
      </c>
      <c r="G1675" s="27" t="s">
        <v>108</v>
      </c>
      <c r="I1675" s="27" t="s">
        <v>121</v>
      </c>
      <c r="J1675" s="28">
        <v>21758</v>
      </c>
      <c r="K1675" s="27" t="s">
        <v>398</v>
      </c>
    </row>
    <row r="1676" spans="1:11">
      <c r="A1676">
        <v>1659</v>
      </c>
      <c r="D1676" s="28" t="s">
        <v>3530</v>
      </c>
      <c r="E1676" s="27" t="s">
        <v>3468</v>
      </c>
      <c r="G1676" s="27" t="s">
        <v>108</v>
      </c>
      <c r="I1676" s="27" t="s">
        <v>94</v>
      </c>
      <c r="J1676" s="28">
        <v>20205</v>
      </c>
      <c r="K1676" s="27" t="s">
        <v>1245</v>
      </c>
    </row>
    <row r="1677" spans="1:11">
      <c r="A1677">
        <v>1660</v>
      </c>
      <c r="D1677" s="28" t="s">
        <v>3530</v>
      </c>
      <c r="E1677" s="27" t="s">
        <v>3468</v>
      </c>
      <c r="G1677" s="27" t="s">
        <v>108</v>
      </c>
      <c r="I1677" s="27" t="s">
        <v>226</v>
      </c>
      <c r="J1677" s="28">
        <v>20205</v>
      </c>
      <c r="K1677" s="27" t="s">
        <v>1245</v>
      </c>
    </row>
    <row r="1678" spans="1:11">
      <c r="A1678">
        <v>1661</v>
      </c>
      <c r="D1678" s="28" t="s">
        <v>3531</v>
      </c>
      <c r="E1678" s="27" t="s">
        <v>3532</v>
      </c>
      <c r="G1678" s="27" t="s">
        <v>108</v>
      </c>
      <c r="I1678" s="27" t="s">
        <v>121</v>
      </c>
      <c r="J1678" s="28">
        <v>29010</v>
      </c>
      <c r="K1678" s="27" t="s">
        <v>229</v>
      </c>
    </row>
    <row r="1679" spans="1:11">
      <c r="A1679">
        <v>1662</v>
      </c>
      <c r="D1679" s="28" t="s">
        <v>3533</v>
      </c>
      <c r="E1679" s="27" t="s">
        <v>1651</v>
      </c>
      <c r="G1679" s="27" t="s">
        <v>108</v>
      </c>
      <c r="I1679" s="27" t="s">
        <v>121</v>
      </c>
      <c r="J1679" s="28">
        <v>29010</v>
      </c>
      <c r="K1679" s="27" t="s">
        <v>229</v>
      </c>
    </row>
    <row r="1680" spans="1:11">
      <c r="A1680">
        <v>1663</v>
      </c>
      <c r="D1680" s="28" t="s">
        <v>3534</v>
      </c>
      <c r="E1680" s="27" t="s">
        <v>3535</v>
      </c>
      <c r="G1680" s="27" t="s">
        <v>108</v>
      </c>
      <c r="I1680" s="27" t="s">
        <v>121</v>
      </c>
      <c r="J1680" s="28">
        <v>21758</v>
      </c>
      <c r="K1680" s="27" t="s">
        <v>398</v>
      </c>
    </row>
    <row r="1681" spans="1:11">
      <c r="A1681">
        <v>1664</v>
      </c>
      <c r="D1681" s="28" t="s">
        <v>3534</v>
      </c>
      <c r="E1681" s="27" t="s">
        <v>3535</v>
      </c>
      <c r="G1681" s="27" t="s">
        <v>108</v>
      </c>
      <c r="I1681" s="27" t="s">
        <v>226</v>
      </c>
      <c r="J1681" s="28">
        <v>21085</v>
      </c>
      <c r="K1681" s="27" t="s">
        <v>399</v>
      </c>
    </row>
    <row r="1682" spans="1:11">
      <c r="A1682">
        <v>1665</v>
      </c>
      <c r="D1682" s="28" t="s">
        <v>3536</v>
      </c>
      <c r="E1682" s="27" t="s">
        <v>3537</v>
      </c>
      <c r="G1682" s="27" t="s">
        <v>108</v>
      </c>
      <c r="I1682" s="27" t="s">
        <v>121</v>
      </c>
      <c r="J1682" s="28">
        <v>21205</v>
      </c>
      <c r="K1682" s="27" t="s">
        <v>395</v>
      </c>
    </row>
    <row r="1683" spans="1:11">
      <c r="A1683">
        <v>1666</v>
      </c>
      <c r="D1683" s="28" t="s">
        <v>3538</v>
      </c>
      <c r="E1683" s="27" t="s">
        <v>3539</v>
      </c>
      <c r="G1683" s="27" t="s">
        <v>108</v>
      </c>
      <c r="I1683" s="27" t="s">
        <v>121</v>
      </c>
      <c r="J1683" s="28">
        <v>21743</v>
      </c>
      <c r="K1683" s="27" t="s">
        <v>4503</v>
      </c>
    </row>
    <row r="1684" spans="1:11">
      <c r="A1684">
        <v>1667</v>
      </c>
      <c r="D1684" s="28" t="s">
        <v>3540</v>
      </c>
      <c r="E1684" s="27" t="s">
        <v>3541</v>
      </c>
      <c r="G1684" s="27" t="s">
        <v>108</v>
      </c>
      <c r="I1684" s="27" t="s">
        <v>121</v>
      </c>
      <c r="J1684" s="28">
        <v>21743</v>
      </c>
      <c r="K1684" s="27" t="s">
        <v>4503</v>
      </c>
    </row>
    <row r="1685" spans="1:11">
      <c r="A1685">
        <v>1668</v>
      </c>
      <c r="D1685" s="28" t="s">
        <v>3542</v>
      </c>
      <c r="E1685" s="27" t="s">
        <v>3543</v>
      </c>
      <c r="G1685" s="27" t="s">
        <v>108</v>
      </c>
      <c r="I1685" s="27" t="s">
        <v>121</v>
      </c>
      <c r="J1685" s="28">
        <v>21743</v>
      </c>
      <c r="K1685" s="27" t="s">
        <v>4503</v>
      </c>
    </row>
    <row r="1686" spans="1:11">
      <c r="A1686">
        <v>1669</v>
      </c>
      <c r="D1686" s="28" t="s">
        <v>3544</v>
      </c>
      <c r="E1686" s="27" t="s">
        <v>3545</v>
      </c>
      <c r="G1686" s="27" t="s">
        <v>108</v>
      </c>
      <c r="I1686" s="27" t="s">
        <v>121</v>
      </c>
      <c r="J1686" s="28">
        <v>21743</v>
      </c>
      <c r="K1686" s="27" t="s">
        <v>4503</v>
      </c>
    </row>
    <row r="1687" spans="1:11">
      <c r="A1687">
        <v>1670</v>
      </c>
      <c r="D1687" s="28" t="s">
        <v>3546</v>
      </c>
      <c r="E1687" s="27" t="s">
        <v>3477</v>
      </c>
      <c r="G1687" s="27" t="s">
        <v>108</v>
      </c>
      <c r="I1687" s="27" t="s">
        <v>121</v>
      </c>
      <c r="J1687" s="28">
        <v>21205</v>
      </c>
      <c r="K1687" s="27" t="s">
        <v>395</v>
      </c>
    </row>
    <row r="1688" spans="1:11">
      <c r="A1688">
        <v>1671</v>
      </c>
      <c r="D1688" s="28" t="s">
        <v>3546</v>
      </c>
      <c r="E1688" s="27" t="s">
        <v>3477</v>
      </c>
      <c r="G1688" s="27" t="s">
        <v>108</v>
      </c>
      <c r="I1688" s="27" t="s">
        <v>121</v>
      </c>
      <c r="J1688" s="28">
        <v>21761</v>
      </c>
      <c r="K1688" s="27" t="s">
        <v>400</v>
      </c>
    </row>
    <row r="1689" spans="1:11">
      <c r="A1689">
        <v>1672</v>
      </c>
      <c r="D1689" s="28" t="s">
        <v>3546</v>
      </c>
      <c r="E1689" s="27" t="s">
        <v>3477</v>
      </c>
      <c r="G1689" s="27" t="s">
        <v>108</v>
      </c>
      <c r="I1689" s="27" t="s">
        <v>94</v>
      </c>
      <c r="J1689" s="28">
        <v>21712</v>
      </c>
      <c r="K1689" s="27" t="s">
        <v>400</v>
      </c>
    </row>
    <row r="1690" spans="1:11">
      <c r="A1690">
        <v>1673</v>
      </c>
      <c r="D1690" s="28" t="s">
        <v>3546</v>
      </c>
      <c r="E1690" s="27" t="s">
        <v>3477</v>
      </c>
      <c r="G1690" s="27" t="s">
        <v>108</v>
      </c>
      <c r="I1690" s="27" t="s">
        <v>226</v>
      </c>
      <c r="J1690" s="28">
        <v>21557</v>
      </c>
      <c r="K1690" s="27" t="s">
        <v>396</v>
      </c>
    </row>
    <row r="1691" spans="1:11">
      <c r="A1691">
        <v>1674</v>
      </c>
      <c r="D1691" s="28" t="s">
        <v>3547</v>
      </c>
      <c r="E1691" s="27" t="s">
        <v>353</v>
      </c>
      <c r="G1691" s="27" t="s">
        <v>108</v>
      </c>
      <c r="I1691" s="27" t="s">
        <v>121</v>
      </c>
      <c r="J1691" s="28">
        <v>21819</v>
      </c>
      <c r="K1691" s="27" t="s">
        <v>408</v>
      </c>
    </row>
    <row r="1692" spans="1:11">
      <c r="A1692">
        <v>1675</v>
      </c>
      <c r="D1692" s="28" t="s">
        <v>3548</v>
      </c>
      <c r="E1692" s="27" t="s">
        <v>3549</v>
      </c>
      <c r="G1692" s="27" t="s">
        <v>108</v>
      </c>
      <c r="I1692" s="27" t="s">
        <v>121</v>
      </c>
      <c r="J1692" s="28">
        <v>21160</v>
      </c>
      <c r="K1692" s="27" t="s">
        <v>401</v>
      </c>
    </row>
    <row r="1693" spans="1:11">
      <c r="A1693">
        <v>1676</v>
      </c>
      <c r="D1693" s="28" t="s">
        <v>3550</v>
      </c>
      <c r="E1693" s="27" t="s">
        <v>3029</v>
      </c>
      <c r="G1693" s="27" t="s">
        <v>108</v>
      </c>
      <c r="I1693" s="27" t="s">
        <v>121</v>
      </c>
      <c r="J1693" s="28">
        <v>21160</v>
      </c>
      <c r="K1693" s="27" t="s">
        <v>401</v>
      </c>
    </row>
    <row r="1694" spans="1:11">
      <c r="A1694">
        <v>1677</v>
      </c>
      <c r="D1694" s="28" t="s">
        <v>3551</v>
      </c>
      <c r="E1694" s="27" t="s">
        <v>3552</v>
      </c>
      <c r="G1694" s="27" t="s">
        <v>108</v>
      </c>
      <c r="I1694" s="27" t="s">
        <v>121</v>
      </c>
      <c r="J1694" s="28">
        <v>29010</v>
      </c>
      <c r="K1694" s="27" t="s">
        <v>229</v>
      </c>
    </row>
    <row r="1695" spans="1:11">
      <c r="A1695">
        <v>1678</v>
      </c>
      <c r="D1695" s="28" t="s">
        <v>3553</v>
      </c>
      <c r="E1695" s="27" t="s">
        <v>778</v>
      </c>
      <c r="G1695" s="27" t="s">
        <v>108</v>
      </c>
      <c r="I1695" s="27" t="s">
        <v>121</v>
      </c>
      <c r="J1695" s="28">
        <v>29010</v>
      </c>
      <c r="K1695" s="27" t="s">
        <v>229</v>
      </c>
    </row>
    <row r="1696" spans="1:11">
      <c r="A1696">
        <v>1679</v>
      </c>
      <c r="D1696" s="28" t="s">
        <v>3553</v>
      </c>
      <c r="E1696" s="27" t="s">
        <v>778</v>
      </c>
      <c r="G1696" s="27" t="s">
        <v>108</v>
      </c>
      <c r="I1696" s="27" t="s">
        <v>94</v>
      </c>
      <c r="J1696" s="28">
        <v>29268</v>
      </c>
      <c r="K1696" s="27" t="s">
        <v>229</v>
      </c>
    </row>
    <row r="1697" spans="1:11">
      <c r="A1697">
        <v>1680</v>
      </c>
      <c r="D1697" s="28" t="s">
        <v>3554</v>
      </c>
      <c r="E1697" s="27" t="s">
        <v>780</v>
      </c>
      <c r="G1697" s="27" t="s">
        <v>108</v>
      </c>
      <c r="I1697" s="27" t="s">
        <v>121</v>
      </c>
      <c r="J1697" s="28">
        <v>29010</v>
      </c>
      <c r="K1697" s="27" t="s">
        <v>229</v>
      </c>
    </row>
    <row r="1698" spans="1:11">
      <c r="A1698">
        <v>1681</v>
      </c>
      <c r="D1698" s="28" t="s">
        <v>3554</v>
      </c>
      <c r="E1698" s="27" t="s">
        <v>780</v>
      </c>
      <c r="G1698" s="27" t="s">
        <v>108</v>
      </c>
      <c r="I1698" s="27" t="s">
        <v>94</v>
      </c>
      <c r="J1698" s="28">
        <v>29268</v>
      </c>
      <c r="K1698" s="27" t="s">
        <v>229</v>
      </c>
    </row>
    <row r="1699" spans="1:11">
      <c r="A1699">
        <v>1682</v>
      </c>
      <c r="D1699" s="28" t="s">
        <v>3555</v>
      </c>
      <c r="E1699" s="27" t="s">
        <v>176</v>
      </c>
      <c r="G1699" s="27" t="s">
        <v>108</v>
      </c>
      <c r="I1699" s="27" t="s">
        <v>94</v>
      </c>
      <c r="J1699" s="28">
        <v>29268</v>
      </c>
      <c r="K1699" s="27" t="s">
        <v>229</v>
      </c>
    </row>
    <row r="1700" spans="1:11">
      <c r="A1700">
        <v>1683</v>
      </c>
      <c r="D1700" s="28" t="s">
        <v>3556</v>
      </c>
      <c r="E1700" s="27" t="s">
        <v>3557</v>
      </c>
      <c r="G1700" s="27" t="s">
        <v>108</v>
      </c>
      <c r="I1700" s="27" t="s">
        <v>121</v>
      </c>
      <c r="J1700" s="28">
        <v>29010</v>
      </c>
      <c r="K1700" s="27" t="s">
        <v>229</v>
      </c>
    </row>
    <row r="1701" spans="1:11">
      <c r="A1701">
        <v>1684</v>
      </c>
      <c r="D1701" s="28" t="s">
        <v>3558</v>
      </c>
      <c r="E1701" s="27" t="s">
        <v>3559</v>
      </c>
      <c r="G1701" s="27" t="s">
        <v>108</v>
      </c>
      <c r="I1701" s="27" t="s">
        <v>121</v>
      </c>
      <c r="J1701" s="28">
        <v>29010</v>
      </c>
      <c r="K1701" s="27" t="s">
        <v>229</v>
      </c>
    </row>
    <row r="1702" spans="1:11">
      <c r="A1702">
        <v>1685</v>
      </c>
      <c r="D1702" s="28" t="s">
        <v>3558</v>
      </c>
      <c r="E1702" s="27" t="s">
        <v>3559</v>
      </c>
      <c r="G1702" s="27" t="s">
        <v>108</v>
      </c>
      <c r="I1702" s="27" t="s">
        <v>94</v>
      </c>
      <c r="J1702" s="28">
        <v>29268</v>
      </c>
      <c r="K1702" s="27" t="s">
        <v>229</v>
      </c>
    </row>
    <row r="1703" spans="1:11">
      <c r="A1703">
        <v>1686</v>
      </c>
      <c r="D1703" s="28" t="s">
        <v>3560</v>
      </c>
      <c r="E1703" s="27" t="s">
        <v>3561</v>
      </c>
      <c r="G1703" s="27" t="s">
        <v>108</v>
      </c>
      <c r="I1703" s="27" t="s">
        <v>121</v>
      </c>
      <c r="J1703" s="28">
        <v>29010</v>
      </c>
      <c r="K1703" s="27" t="s">
        <v>229</v>
      </c>
    </row>
    <row r="1704" spans="1:11">
      <c r="A1704">
        <v>1687</v>
      </c>
      <c r="D1704" s="28" t="s">
        <v>3562</v>
      </c>
      <c r="E1704" s="27" t="s">
        <v>3563</v>
      </c>
      <c r="G1704" s="27" t="s">
        <v>108</v>
      </c>
      <c r="I1704" s="27" t="s">
        <v>121</v>
      </c>
      <c r="J1704" s="28">
        <v>29010</v>
      </c>
      <c r="K1704" s="27" t="s">
        <v>229</v>
      </c>
    </row>
    <row r="1705" spans="1:11">
      <c r="A1705">
        <v>1688</v>
      </c>
      <c r="D1705" s="28" t="s">
        <v>3562</v>
      </c>
      <c r="E1705" s="27" t="s">
        <v>3563</v>
      </c>
      <c r="G1705" s="27" t="s">
        <v>108</v>
      </c>
      <c r="I1705" s="27" t="s">
        <v>94</v>
      </c>
      <c r="J1705" s="28">
        <v>29268</v>
      </c>
      <c r="K1705" s="27" t="s">
        <v>229</v>
      </c>
    </row>
    <row r="1706" spans="1:11">
      <c r="A1706">
        <v>1689</v>
      </c>
      <c r="D1706" s="28" t="s">
        <v>3564</v>
      </c>
      <c r="E1706" s="27" t="s">
        <v>3565</v>
      </c>
      <c r="G1706" s="27" t="s">
        <v>108</v>
      </c>
      <c r="I1706" s="27" t="s">
        <v>121</v>
      </c>
      <c r="J1706" s="28">
        <v>29010</v>
      </c>
      <c r="K1706" s="27" t="s">
        <v>229</v>
      </c>
    </row>
    <row r="1707" spans="1:11">
      <c r="A1707">
        <v>1690</v>
      </c>
      <c r="D1707" s="28" t="s">
        <v>3566</v>
      </c>
      <c r="E1707" s="27" t="s">
        <v>3567</v>
      </c>
      <c r="G1707" s="27" t="s">
        <v>108</v>
      </c>
      <c r="I1707" s="27" t="s">
        <v>121</v>
      </c>
      <c r="J1707" s="28">
        <v>29010</v>
      </c>
      <c r="K1707" s="27" t="s">
        <v>229</v>
      </c>
    </row>
    <row r="1708" spans="1:11">
      <c r="A1708">
        <v>1691</v>
      </c>
      <c r="D1708" s="28" t="s">
        <v>3568</v>
      </c>
      <c r="E1708" s="27" t="s">
        <v>3569</v>
      </c>
      <c r="G1708" s="27" t="s">
        <v>108</v>
      </c>
      <c r="I1708" s="27" t="s">
        <v>121</v>
      </c>
      <c r="J1708" s="28">
        <v>29010</v>
      </c>
      <c r="K1708" s="27" t="s">
        <v>229</v>
      </c>
    </row>
    <row r="1709" spans="1:11">
      <c r="A1709">
        <v>1692</v>
      </c>
      <c r="D1709" s="28" t="s">
        <v>3570</v>
      </c>
      <c r="E1709" s="27" t="s">
        <v>3571</v>
      </c>
      <c r="G1709" s="27" t="s">
        <v>108</v>
      </c>
      <c r="I1709" s="27" t="s">
        <v>121</v>
      </c>
      <c r="J1709" s="28">
        <v>29010</v>
      </c>
      <c r="K1709" s="27" t="s">
        <v>229</v>
      </c>
    </row>
    <row r="1710" spans="1:11">
      <c r="A1710">
        <v>1693</v>
      </c>
      <c r="D1710" s="28" t="s">
        <v>3570</v>
      </c>
      <c r="E1710" s="27" t="s">
        <v>3571</v>
      </c>
      <c r="G1710" s="27" t="s">
        <v>108</v>
      </c>
      <c r="I1710" s="27" t="s">
        <v>94</v>
      </c>
      <c r="J1710" s="28">
        <v>29268</v>
      </c>
      <c r="K1710" s="27" t="s">
        <v>229</v>
      </c>
    </row>
    <row r="1711" spans="1:11">
      <c r="A1711">
        <v>1694</v>
      </c>
      <c r="D1711" s="28" t="s">
        <v>3572</v>
      </c>
      <c r="E1711" s="27" t="s">
        <v>3573</v>
      </c>
      <c r="G1711" s="27" t="s">
        <v>108</v>
      </c>
      <c r="I1711" s="27" t="s">
        <v>121</v>
      </c>
      <c r="J1711" s="28">
        <v>29010</v>
      </c>
      <c r="K1711" s="27" t="s">
        <v>229</v>
      </c>
    </row>
    <row r="1712" spans="1:11">
      <c r="A1712">
        <v>1695</v>
      </c>
      <c r="D1712" s="28" t="s">
        <v>3574</v>
      </c>
      <c r="E1712" s="27" t="s">
        <v>3575</v>
      </c>
      <c r="G1712" s="27" t="s">
        <v>108</v>
      </c>
      <c r="I1712" s="27" t="s">
        <v>121</v>
      </c>
      <c r="J1712" s="28">
        <v>29010</v>
      </c>
      <c r="K1712" s="27" t="s">
        <v>229</v>
      </c>
    </row>
    <row r="1713" spans="1:11">
      <c r="A1713">
        <v>1696</v>
      </c>
      <c r="D1713" s="28" t="s">
        <v>3574</v>
      </c>
      <c r="E1713" s="27" t="s">
        <v>3575</v>
      </c>
      <c r="G1713" s="27" t="s">
        <v>108</v>
      </c>
      <c r="I1713" s="27" t="s">
        <v>94</v>
      </c>
      <c r="J1713" s="28">
        <v>29268</v>
      </c>
      <c r="K1713" s="27" t="s">
        <v>229</v>
      </c>
    </row>
    <row r="1714" spans="1:11">
      <c r="A1714">
        <v>1697</v>
      </c>
      <c r="D1714" s="28" t="s">
        <v>3576</v>
      </c>
      <c r="E1714" s="27" t="s">
        <v>3577</v>
      </c>
      <c r="G1714" s="27" t="s">
        <v>108</v>
      </c>
      <c r="I1714" s="27" t="s">
        <v>121</v>
      </c>
      <c r="J1714" s="28">
        <v>29010</v>
      </c>
      <c r="K1714" s="27" t="s">
        <v>229</v>
      </c>
    </row>
    <row r="1715" spans="1:11">
      <c r="A1715">
        <v>1698</v>
      </c>
      <c r="D1715" s="28" t="s">
        <v>3578</v>
      </c>
      <c r="E1715" s="27" t="s">
        <v>832</v>
      </c>
      <c r="G1715" s="27" t="s">
        <v>108</v>
      </c>
      <c r="I1715" s="27" t="s">
        <v>121</v>
      </c>
      <c r="J1715" s="28">
        <v>29010</v>
      </c>
      <c r="K1715" s="27" t="s">
        <v>229</v>
      </c>
    </row>
    <row r="1716" spans="1:11">
      <c r="A1716">
        <v>1699</v>
      </c>
      <c r="D1716" s="28" t="s">
        <v>3579</v>
      </c>
      <c r="E1716" s="27" t="s">
        <v>834</v>
      </c>
      <c r="G1716" s="27" t="s">
        <v>108</v>
      </c>
      <c r="I1716" s="27" t="s">
        <v>121</v>
      </c>
      <c r="J1716" s="28">
        <v>29010</v>
      </c>
      <c r="K1716" s="27" t="s">
        <v>229</v>
      </c>
    </row>
    <row r="1717" spans="1:11">
      <c r="A1717">
        <v>1700</v>
      </c>
      <c r="D1717" s="28" t="s">
        <v>3580</v>
      </c>
      <c r="E1717" s="27" t="s">
        <v>3581</v>
      </c>
      <c r="G1717" s="27" t="s">
        <v>108</v>
      </c>
      <c r="I1717" s="27" t="s">
        <v>121</v>
      </c>
      <c r="J1717" s="28">
        <v>29010</v>
      </c>
      <c r="K1717" s="27" t="s">
        <v>229</v>
      </c>
    </row>
    <row r="1718" spans="1:11">
      <c r="A1718">
        <v>1701</v>
      </c>
      <c r="D1718" s="28" t="s">
        <v>3582</v>
      </c>
      <c r="E1718" s="27" t="s">
        <v>3583</v>
      </c>
      <c r="G1718" s="27" t="s">
        <v>108</v>
      </c>
      <c r="I1718" s="27" t="s">
        <v>121</v>
      </c>
      <c r="J1718" s="28">
        <v>29010</v>
      </c>
      <c r="K1718" s="27" t="s">
        <v>229</v>
      </c>
    </row>
    <row r="1719" spans="1:11">
      <c r="A1719">
        <v>1702</v>
      </c>
      <c r="D1719" s="28" t="s">
        <v>3584</v>
      </c>
      <c r="E1719" s="27" t="s">
        <v>170</v>
      </c>
      <c r="G1719" s="27" t="s">
        <v>108</v>
      </c>
      <c r="I1719" s="27" t="s">
        <v>121</v>
      </c>
      <c r="J1719" s="28">
        <v>29010</v>
      </c>
      <c r="K1719" s="27" t="s">
        <v>229</v>
      </c>
    </row>
    <row r="1720" spans="1:11">
      <c r="A1720">
        <v>1703</v>
      </c>
      <c r="D1720" s="28" t="s">
        <v>3585</v>
      </c>
      <c r="E1720" s="27" t="s">
        <v>3586</v>
      </c>
      <c r="G1720" s="27" t="s">
        <v>108</v>
      </c>
      <c r="I1720" s="27" t="s">
        <v>121</v>
      </c>
      <c r="J1720" s="28">
        <v>29010</v>
      </c>
      <c r="K1720" s="27" t="s">
        <v>229</v>
      </c>
    </row>
    <row r="1721" spans="1:11">
      <c r="A1721">
        <v>1704</v>
      </c>
      <c r="D1721" s="28" t="s">
        <v>3587</v>
      </c>
      <c r="E1721" s="27" t="s">
        <v>3588</v>
      </c>
      <c r="G1721" s="27" t="s">
        <v>108</v>
      </c>
      <c r="I1721" s="27" t="s">
        <v>121</v>
      </c>
      <c r="J1721" s="28">
        <v>29010</v>
      </c>
      <c r="K1721" s="27" t="s">
        <v>229</v>
      </c>
    </row>
    <row r="1722" spans="1:11">
      <c r="A1722">
        <v>1705</v>
      </c>
      <c r="D1722" s="28" t="s">
        <v>3589</v>
      </c>
      <c r="E1722" s="27" t="s">
        <v>3590</v>
      </c>
      <c r="G1722" s="27" t="s">
        <v>108</v>
      </c>
      <c r="I1722" s="27" t="s">
        <v>121</v>
      </c>
      <c r="J1722" s="28">
        <v>29010</v>
      </c>
      <c r="K1722" s="27" t="s">
        <v>229</v>
      </c>
    </row>
    <row r="1723" spans="1:11">
      <c r="A1723">
        <v>1706</v>
      </c>
      <c r="D1723" s="28" t="s">
        <v>3591</v>
      </c>
      <c r="E1723" s="27" t="s">
        <v>3592</v>
      </c>
      <c r="G1723" s="27" t="s">
        <v>108</v>
      </c>
      <c r="I1723" s="27" t="s">
        <v>121</v>
      </c>
      <c r="J1723" s="28">
        <v>29010</v>
      </c>
      <c r="K1723" s="27" t="s">
        <v>229</v>
      </c>
    </row>
    <row r="1724" spans="1:11">
      <c r="A1724">
        <v>1707</v>
      </c>
      <c r="D1724" s="28" t="s">
        <v>3593</v>
      </c>
      <c r="E1724" s="27" t="s">
        <v>836</v>
      </c>
      <c r="G1724" s="27" t="s">
        <v>108</v>
      </c>
      <c r="I1724" s="27" t="s">
        <v>121</v>
      </c>
      <c r="J1724" s="28">
        <v>29010</v>
      </c>
      <c r="K1724" s="27" t="s">
        <v>229</v>
      </c>
    </row>
    <row r="1725" spans="1:11">
      <c r="A1725">
        <v>1708</v>
      </c>
      <c r="D1725" s="28" t="s">
        <v>3594</v>
      </c>
      <c r="E1725" s="27" t="s">
        <v>838</v>
      </c>
      <c r="G1725" s="27" t="s">
        <v>108</v>
      </c>
      <c r="I1725" s="27" t="s">
        <v>121</v>
      </c>
      <c r="J1725" s="28">
        <v>29010</v>
      </c>
      <c r="K1725" s="27" t="s">
        <v>229</v>
      </c>
    </row>
    <row r="1726" spans="1:11">
      <c r="A1726">
        <v>1709</v>
      </c>
      <c r="D1726" s="28" t="s">
        <v>3595</v>
      </c>
      <c r="E1726" s="27" t="s">
        <v>176</v>
      </c>
      <c r="G1726" s="27" t="s">
        <v>108</v>
      </c>
      <c r="I1726" s="27" t="s">
        <v>121</v>
      </c>
      <c r="J1726" s="28">
        <v>29010</v>
      </c>
      <c r="K1726" s="27" t="s">
        <v>229</v>
      </c>
    </row>
    <row r="1727" spans="1:11">
      <c r="A1727">
        <v>1710</v>
      </c>
      <c r="D1727" s="28" t="s">
        <v>3596</v>
      </c>
      <c r="E1727" s="27" t="s">
        <v>3597</v>
      </c>
      <c r="G1727" s="27" t="s">
        <v>108</v>
      </c>
      <c r="I1727" s="27" t="s">
        <v>121</v>
      </c>
      <c r="J1727" s="28">
        <v>29010</v>
      </c>
      <c r="K1727" s="27" t="s">
        <v>229</v>
      </c>
    </row>
    <row r="1728" spans="1:11">
      <c r="A1728">
        <v>1711</v>
      </c>
      <c r="D1728" s="28" t="s">
        <v>3598</v>
      </c>
      <c r="E1728" s="27" t="s">
        <v>3599</v>
      </c>
      <c r="G1728" s="27" t="s">
        <v>108</v>
      </c>
      <c r="I1728" s="27" t="s">
        <v>121</v>
      </c>
      <c r="J1728" s="28">
        <v>20900</v>
      </c>
      <c r="K1728" s="27" t="s">
        <v>1246</v>
      </c>
    </row>
    <row r="1729" spans="1:11">
      <c r="A1729">
        <v>1712</v>
      </c>
      <c r="D1729" s="28" t="s">
        <v>3598</v>
      </c>
      <c r="E1729" s="27" t="s">
        <v>3599</v>
      </c>
      <c r="G1729" s="27" t="s">
        <v>108</v>
      </c>
      <c r="I1729" s="27" t="s">
        <v>94</v>
      </c>
      <c r="J1729" s="28">
        <v>20900</v>
      </c>
      <c r="K1729" s="27" t="s">
        <v>1246</v>
      </c>
    </row>
    <row r="1730" spans="1:11">
      <c r="A1730">
        <v>1713</v>
      </c>
      <c r="D1730" s="28" t="s">
        <v>3598</v>
      </c>
      <c r="E1730" s="27" t="s">
        <v>3599</v>
      </c>
      <c r="G1730" s="27" t="s">
        <v>108</v>
      </c>
      <c r="I1730" s="27" t="s">
        <v>226</v>
      </c>
      <c r="J1730" s="28">
        <v>21556</v>
      </c>
      <c r="K1730" s="27" t="s">
        <v>4508</v>
      </c>
    </row>
    <row r="1731" spans="1:11">
      <c r="A1731">
        <v>1714</v>
      </c>
      <c r="D1731" s="28" t="s">
        <v>3600</v>
      </c>
      <c r="E1731" s="27" t="s">
        <v>3601</v>
      </c>
      <c r="G1731" s="27" t="s">
        <v>108</v>
      </c>
      <c r="I1731" s="27" t="s">
        <v>121</v>
      </c>
      <c r="J1731" s="28">
        <v>29010</v>
      </c>
      <c r="K1731" s="27" t="s">
        <v>229</v>
      </c>
    </row>
    <row r="1732" spans="1:11">
      <c r="A1732">
        <v>1715</v>
      </c>
      <c r="D1732" s="28" t="s">
        <v>3602</v>
      </c>
      <c r="E1732" s="27" t="s">
        <v>3603</v>
      </c>
      <c r="G1732" s="27" t="s">
        <v>108</v>
      </c>
      <c r="I1732" s="27" t="s">
        <v>121</v>
      </c>
      <c r="J1732" s="28">
        <v>29010</v>
      </c>
      <c r="K1732" s="27" t="s">
        <v>229</v>
      </c>
    </row>
    <row r="1733" spans="1:11">
      <c r="A1733">
        <v>1716</v>
      </c>
      <c r="D1733" s="28" t="s">
        <v>3604</v>
      </c>
      <c r="E1733" s="27" t="s">
        <v>172</v>
      </c>
      <c r="G1733" s="27" t="s">
        <v>108</v>
      </c>
      <c r="I1733" s="27" t="s">
        <v>121</v>
      </c>
      <c r="J1733" s="28">
        <v>29010</v>
      </c>
      <c r="K1733" s="27" t="s">
        <v>229</v>
      </c>
    </row>
    <row r="1734" spans="1:11">
      <c r="A1734">
        <v>1717</v>
      </c>
      <c r="D1734" s="28" t="s">
        <v>3605</v>
      </c>
      <c r="E1734" s="27" t="s">
        <v>3606</v>
      </c>
      <c r="G1734" s="27" t="s">
        <v>108</v>
      </c>
      <c r="I1734" s="27" t="s">
        <v>121</v>
      </c>
      <c r="J1734" s="28">
        <v>29010</v>
      </c>
      <c r="K1734" s="27" t="s">
        <v>229</v>
      </c>
    </row>
    <row r="1735" spans="1:11">
      <c r="A1735">
        <v>1718</v>
      </c>
      <c r="D1735" s="28" t="s">
        <v>3607</v>
      </c>
      <c r="E1735" s="27" t="s">
        <v>683</v>
      </c>
      <c r="G1735" s="27" t="s">
        <v>108</v>
      </c>
      <c r="I1735" s="27" t="s">
        <v>121</v>
      </c>
      <c r="J1735" s="28">
        <v>29010</v>
      </c>
      <c r="K1735" s="27" t="s">
        <v>229</v>
      </c>
    </row>
    <row r="1736" spans="1:11">
      <c r="A1736">
        <v>1719</v>
      </c>
      <c r="D1736" s="28" t="s">
        <v>3608</v>
      </c>
      <c r="E1736" s="27" t="s">
        <v>788</v>
      </c>
      <c r="G1736" s="27" t="s">
        <v>108</v>
      </c>
      <c r="I1736" s="27" t="s">
        <v>121</v>
      </c>
      <c r="J1736" s="28">
        <v>29010</v>
      </c>
      <c r="K1736" s="27" t="s">
        <v>229</v>
      </c>
    </row>
    <row r="1737" spans="1:11">
      <c r="A1737">
        <v>1720</v>
      </c>
      <c r="D1737" s="28" t="s">
        <v>1514</v>
      </c>
      <c r="E1737" s="27" t="s">
        <v>150</v>
      </c>
      <c r="G1737" s="27" t="s">
        <v>108</v>
      </c>
      <c r="I1737" s="27" t="s">
        <v>226</v>
      </c>
      <c r="J1737" s="28">
        <v>29164</v>
      </c>
      <c r="K1737" s="27" t="s">
        <v>229</v>
      </c>
    </row>
    <row r="1738" spans="1:11">
      <c r="A1738">
        <v>1721</v>
      </c>
      <c r="D1738" s="28" t="s">
        <v>3609</v>
      </c>
      <c r="E1738" s="27" t="s">
        <v>140</v>
      </c>
      <c r="G1738" s="27" t="s">
        <v>108</v>
      </c>
      <c r="I1738" s="27" t="s">
        <v>121</v>
      </c>
      <c r="J1738" s="28">
        <v>21758</v>
      </c>
      <c r="K1738" s="27" t="s">
        <v>398</v>
      </c>
    </row>
    <row r="1739" spans="1:11">
      <c r="A1739">
        <v>1722</v>
      </c>
      <c r="D1739" s="28" t="s">
        <v>3610</v>
      </c>
      <c r="E1739" s="27" t="s">
        <v>3307</v>
      </c>
      <c r="G1739" s="27" t="s">
        <v>108</v>
      </c>
      <c r="I1739" s="27" t="s">
        <v>121</v>
      </c>
      <c r="J1739" s="28">
        <v>20900</v>
      </c>
      <c r="K1739" s="27" t="s">
        <v>1246</v>
      </c>
    </row>
    <row r="1740" spans="1:11">
      <c r="A1740">
        <v>1723</v>
      </c>
      <c r="D1740" s="28" t="s">
        <v>3611</v>
      </c>
      <c r="E1740" s="27" t="s">
        <v>3169</v>
      </c>
      <c r="G1740" s="27" t="s">
        <v>108</v>
      </c>
      <c r="I1740" s="27" t="s">
        <v>121</v>
      </c>
      <c r="J1740" s="28">
        <v>21592</v>
      </c>
      <c r="K1740" s="27" t="s">
        <v>410</v>
      </c>
    </row>
    <row r="1741" spans="1:11">
      <c r="A1741">
        <v>1724</v>
      </c>
      <c r="D1741" s="28" t="s">
        <v>3611</v>
      </c>
      <c r="E1741" s="27" t="s">
        <v>3169</v>
      </c>
      <c r="G1741" s="27" t="s">
        <v>108</v>
      </c>
      <c r="I1741" s="27" t="s">
        <v>121</v>
      </c>
      <c r="J1741" s="28">
        <v>21160</v>
      </c>
      <c r="K1741" s="27" t="s">
        <v>401</v>
      </c>
    </row>
    <row r="1742" spans="1:11">
      <c r="A1742">
        <v>1725</v>
      </c>
      <c r="D1742" s="28" t="s">
        <v>3612</v>
      </c>
      <c r="E1742" s="27" t="s">
        <v>3613</v>
      </c>
      <c r="G1742" s="27" t="s">
        <v>108</v>
      </c>
      <c r="I1742" s="27" t="s">
        <v>121</v>
      </c>
      <c r="J1742" s="28">
        <v>20900</v>
      </c>
      <c r="K1742" s="27" t="s">
        <v>1246</v>
      </c>
    </row>
    <row r="1743" spans="1:11">
      <c r="A1743">
        <v>1726</v>
      </c>
      <c r="D1743" s="28" t="s">
        <v>3614</v>
      </c>
      <c r="E1743" s="27" t="s">
        <v>3615</v>
      </c>
      <c r="G1743" s="27" t="s">
        <v>108</v>
      </c>
      <c r="I1743" s="27" t="s">
        <v>121</v>
      </c>
      <c r="J1743" s="28">
        <v>21592</v>
      </c>
      <c r="K1743" s="27" t="s">
        <v>410</v>
      </c>
    </row>
    <row r="1744" spans="1:11">
      <c r="A1744">
        <v>1727</v>
      </c>
      <c r="D1744" s="28" t="s">
        <v>3616</v>
      </c>
      <c r="E1744" s="27" t="s">
        <v>1592</v>
      </c>
      <c r="G1744" s="27" t="s">
        <v>108</v>
      </c>
      <c r="I1744" s="27" t="s">
        <v>121</v>
      </c>
      <c r="J1744" s="28">
        <v>20900</v>
      </c>
      <c r="K1744" s="27" t="s">
        <v>1246</v>
      </c>
    </row>
    <row r="1745" spans="1:11">
      <c r="A1745">
        <v>1728</v>
      </c>
      <c r="D1745" s="28" t="s">
        <v>3617</v>
      </c>
      <c r="E1745" s="27" t="s">
        <v>2997</v>
      </c>
      <c r="G1745" s="27" t="s">
        <v>108</v>
      </c>
      <c r="I1745" s="27" t="s">
        <v>121</v>
      </c>
      <c r="J1745" s="28">
        <v>21160</v>
      </c>
      <c r="K1745" s="27" t="s">
        <v>401</v>
      </c>
    </row>
    <row r="1746" spans="1:11">
      <c r="A1746">
        <v>1729</v>
      </c>
      <c r="D1746" s="28" t="s">
        <v>3618</v>
      </c>
      <c r="E1746" s="27" t="s">
        <v>2999</v>
      </c>
      <c r="G1746" s="27" t="s">
        <v>108</v>
      </c>
      <c r="I1746" s="27" t="s">
        <v>121</v>
      </c>
      <c r="J1746" s="28">
        <v>21160</v>
      </c>
      <c r="K1746" s="27" t="s">
        <v>401</v>
      </c>
    </row>
    <row r="1747" spans="1:11">
      <c r="A1747">
        <v>1730</v>
      </c>
      <c r="D1747" s="28" t="s">
        <v>3619</v>
      </c>
      <c r="E1747" s="27" t="s">
        <v>154</v>
      </c>
      <c r="G1747" s="27" t="s">
        <v>108</v>
      </c>
      <c r="I1747" s="27" t="s">
        <v>121</v>
      </c>
      <c r="J1747" s="28">
        <v>20900</v>
      </c>
      <c r="K1747" s="27" t="s">
        <v>1246</v>
      </c>
    </row>
    <row r="1748" spans="1:11">
      <c r="A1748">
        <v>1731</v>
      </c>
      <c r="D1748" s="28" t="s">
        <v>3619</v>
      </c>
      <c r="E1748" s="27" t="s">
        <v>3620</v>
      </c>
      <c r="G1748" s="27" t="s">
        <v>108</v>
      </c>
      <c r="I1748" s="27" t="s">
        <v>226</v>
      </c>
      <c r="J1748" s="28">
        <v>29164</v>
      </c>
      <c r="K1748" s="27" t="s">
        <v>229</v>
      </c>
    </row>
    <row r="1749" spans="1:11">
      <c r="A1749">
        <v>1732</v>
      </c>
      <c r="D1749" s="28" t="s">
        <v>3621</v>
      </c>
      <c r="E1749" s="27" t="s">
        <v>3622</v>
      </c>
      <c r="G1749" s="27" t="s">
        <v>108</v>
      </c>
      <c r="I1749" s="27" t="s">
        <v>121</v>
      </c>
      <c r="J1749" s="28">
        <v>21545</v>
      </c>
      <c r="K1749" s="27" t="s">
        <v>4507</v>
      </c>
    </row>
    <row r="1750" spans="1:11">
      <c r="A1750">
        <v>1733</v>
      </c>
      <c r="D1750" s="28" t="s">
        <v>3621</v>
      </c>
      <c r="E1750" s="27" t="s">
        <v>3622</v>
      </c>
      <c r="G1750" s="27" t="s">
        <v>108</v>
      </c>
      <c r="I1750" s="27" t="s">
        <v>226</v>
      </c>
      <c r="J1750" s="28">
        <v>21545</v>
      </c>
      <c r="K1750" s="27" t="s">
        <v>4507</v>
      </c>
    </row>
    <row r="1751" spans="1:11">
      <c r="A1751">
        <v>1734</v>
      </c>
      <c r="D1751" s="28" t="s">
        <v>3623</v>
      </c>
      <c r="E1751" s="27" t="s">
        <v>335</v>
      </c>
      <c r="G1751" s="27" t="s">
        <v>108</v>
      </c>
      <c r="I1751" s="27" t="s">
        <v>121</v>
      </c>
      <c r="J1751" s="28">
        <v>21205</v>
      </c>
      <c r="K1751" s="27" t="s">
        <v>395</v>
      </c>
    </row>
    <row r="1752" spans="1:11">
      <c r="A1752">
        <v>1735</v>
      </c>
      <c r="D1752" s="28" t="s">
        <v>3623</v>
      </c>
      <c r="E1752" s="27" t="s">
        <v>335</v>
      </c>
      <c r="G1752" s="27" t="s">
        <v>108</v>
      </c>
      <c r="I1752" s="27" t="s">
        <v>226</v>
      </c>
      <c r="J1752" s="28">
        <v>21557</v>
      </c>
      <c r="K1752" s="27" t="s">
        <v>396</v>
      </c>
    </row>
    <row r="1753" spans="1:11">
      <c r="A1753">
        <v>1736</v>
      </c>
      <c r="D1753" s="28" t="s">
        <v>3624</v>
      </c>
      <c r="E1753" s="27" t="s">
        <v>3625</v>
      </c>
      <c r="G1753" s="27" t="s">
        <v>108</v>
      </c>
      <c r="I1753" s="27" t="s">
        <v>121</v>
      </c>
      <c r="J1753" s="28">
        <v>20900</v>
      </c>
      <c r="K1753" s="27" t="s">
        <v>1246</v>
      </c>
    </row>
    <row r="1754" spans="1:11">
      <c r="A1754">
        <v>1737</v>
      </c>
      <c r="D1754" s="28" t="s">
        <v>3626</v>
      </c>
      <c r="E1754" s="27" t="s">
        <v>3627</v>
      </c>
      <c r="G1754" s="27" t="s">
        <v>108</v>
      </c>
      <c r="I1754" s="27" t="s">
        <v>121</v>
      </c>
      <c r="J1754" s="28">
        <v>20900</v>
      </c>
      <c r="K1754" s="27" t="s">
        <v>1246</v>
      </c>
    </row>
    <row r="1755" spans="1:11">
      <c r="A1755">
        <v>1738</v>
      </c>
      <c r="D1755" s="28" t="s">
        <v>3628</v>
      </c>
      <c r="E1755" s="27" t="s">
        <v>3629</v>
      </c>
      <c r="G1755" s="27" t="s">
        <v>108</v>
      </c>
      <c r="I1755" s="27" t="s">
        <v>121</v>
      </c>
      <c r="J1755" s="28">
        <v>29010</v>
      </c>
      <c r="K1755" s="27" t="s">
        <v>229</v>
      </c>
    </row>
    <row r="1756" spans="1:11">
      <c r="A1756">
        <v>1739</v>
      </c>
      <c r="D1756" s="28" t="s">
        <v>3630</v>
      </c>
      <c r="E1756" s="27" t="s">
        <v>3631</v>
      </c>
      <c r="G1756" s="27" t="s">
        <v>108</v>
      </c>
      <c r="I1756" s="27" t="s">
        <v>121</v>
      </c>
      <c r="J1756" s="28">
        <v>29010</v>
      </c>
      <c r="K1756" s="27" t="s">
        <v>229</v>
      </c>
    </row>
    <row r="1757" spans="1:11">
      <c r="A1757">
        <v>1740</v>
      </c>
      <c r="D1757" s="28" t="s">
        <v>3632</v>
      </c>
      <c r="E1757" s="27" t="s">
        <v>3631</v>
      </c>
      <c r="G1757" s="27" t="s">
        <v>108</v>
      </c>
      <c r="I1757" s="27" t="s">
        <v>121</v>
      </c>
      <c r="J1757" s="28">
        <v>29010</v>
      </c>
      <c r="K1757" s="27" t="s">
        <v>229</v>
      </c>
    </row>
    <row r="1758" spans="1:11">
      <c r="A1758">
        <v>1741</v>
      </c>
      <c r="D1758" s="28" t="s">
        <v>3633</v>
      </c>
      <c r="E1758" s="27" t="s">
        <v>3629</v>
      </c>
      <c r="G1758" s="27" t="s">
        <v>108</v>
      </c>
      <c r="I1758" s="27" t="s">
        <v>121</v>
      </c>
      <c r="J1758" s="28">
        <v>29010</v>
      </c>
      <c r="K1758" s="27" t="s">
        <v>229</v>
      </c>
    </row>
    <row r="1759" spans="1:11">
      <c r="A1759">
        <v>1742</v>
      </c>
      <c r="D1759" s="28" t="s">
        <v>3634</v>
      </c>
      <c r="E1759" s="27" t="s">
        <v>769</v>
      </c>
      <c r="G1759" s="27" t="s">
        <v>108</v>
      </c>
      <c r="I1759" s="27" t="s">
        <v>121</v>
      </c>
      <c r="J1759" s="28">
        <v>29010</v>
      </c>
      <c r="K1759" s="27" t="s">
        <v>229</v>
      </c>
    </row>
    <row r="1760" spans="1:11">
      <c r="A1760">
        <v>1743</v>
      </c>
      <c r="D1760" s="28" t="s">
        <v>3635</v>
      </c>
      <c r="E1760" s="27" t="s">
        <v>771</v>
      </c>
      <c r="G1760" s="27" t="s">
        <v>108</v>
      </c>
      <c r="I1760" s="27" t="s">
        <v>121</v>
      </c>
      <c r="J1760" s="28">
        <v>29010</v>
      </c>
      <c r="K1760" s="27" t="s">
        <v>229</v>
      </c>
    </row>
    <row r="1761" spans="1:11">
      <c r="A1761">
        <v>1744</v>
      </c>
      <c r="D1761" s="28" t="s">
        <v>3636</v>
      </c>
      <c r="E1761" s="27" t="s">
        <v>3537</v>
      </c>
      <c r="G1761" s="27" t="s">
        <v>108</v>
      </c>
      <c r="I1761" s="27" t="s">
        <v>121</v>
      </c>
      <c r="J1761" s="28">
        <v>21160</v>
      </c>
      <c r="K1761" s="27" t="s">
        <v>401</v>
      </c>
    </row>
    <row r="1762" spans="1:11">
      <c r="A1762">
        <v>1745</v>
      </c>
      <c r="D1762" s="28" t="s">
        <v>3637</v>
      </c>
      <c r="E1762" s="27" t="s">
        <v>3638</v>
      </c>
      <c r="G1762" s="27" t="s">
        <v>108</v>
      </c>
      <c r="I1762" s="27" t="s">
        <v>121</v>
      </c>
      <c r="J1762" s="28">
        <v>21743</v>
      </c>
      <c r="K1762" s="27" t="s">
        <v>4503</v>
      </c>
    </row>
    <row r="1763" spans="1:11">
      <c r="A1763">
        <v>1746</v>
      </c>
      <c r="D1763" s="28" t="s">
        <v>3639</v>
      </c>
      <c r="E1763" s="27" t="s">
        <v>3640</v>
      </c>
      <c r="G1763" s="27" t="s">
        <v>108</v>
      </c>
      <c r="I1763" s="27" t="s">
        <v>121</v>
      </c>
      <c r="J1763" s="28">
        <v>21743</v>
      </c>
      <c r="K1763" s="27" t="s">
        <v>4503</v>
      </c>
    </row>
    <row r="1764" spans="1:11">
      <c r="A1764">
        <v>1747</v>
      </c>
      <c r="D1764" s="28" t="s">
        <v>3641</v>
      </c>
      <c r="E1764" s="27" t="s">
        <v>3642</v>
      </c>
      <c r="G1764" s="27" t="s">
        <v>108</v>
      </c>
      <c r="I1764" s="27" t="s">
        <v>121</v>
      </c>
      <c r="J1764" s="28">
        <v>21743</v>
      </c>
      <c r="K1764" s="27" t="s">
        <v>4503</v>
      </c>
    </row>
    <row r="1765" spans="1:11">
      <c r="A1765">
        <v>1748</v>
      </c>
      <c r="D1765" s="28" t="s">
        <v>3641</v>
      </c>
      <c r="E1765" s="27" t="s">
        <v>3642</v>
      </c>
      <c r="G1765" s="27" t="s">
        <v>108</v>
      </c>
      <c r="I1765" s="27" t="s">
        <v>226</v>
      </c>
      <c r="J1765" s="28">
        <v>21355</v>
      </c>
      <c r="K1765" s="27" t="s">
        <v>4504</v>
      </c>
    </row>
    <row r="1766" spans="1:11">
      <c r="A1766">
        <v>1749</v>
      </c>
      <c r="D1766" s="28" t="s">
        <v>3643</v>
      </c>
      <c r="E1766" s="27" t="s">
        <v>3644</v>
      </c>
      <c r="G1766" s="27" t="s">
        <v>108</v>
      </c>
      <c r="I1766" s="27" t="s">
        <v>121</v>
      </c>
      <c r="J1766" s="28">
        <v>21743</v>
      </c>
      <c r="K1766" s="27" t="s">
        <v>4503</v>
      </c>
    </row>
    <row r="1767" spans="1:11">
      <c r="A1767">
        <v>1750</v>
      </c>
      <c r="D1767" s="28" t="s">
        <v>3643</v>
      </c>
      <c r="E1767" s="27" t="s">
        <v>3644</v>
      </c>
      <c r="G1767" s="27" t="s">
        <v>108</v>
      </c>
      <c r="I1767" s="27" t="s">
        <v>226</v>
      </c>
      <c r="J1767" s="28">
        <v>21355</v>
      </c>
      <c r="K1767" s="27" t="s">
        <v>4504</v>
      </c>
    </row>
    <row r="1768" spans="1:11">
      <c r="A1768">
        <v>1751</v>
      </c>
      <c r="D1768" s="28" t="s">
        <v>3645</v>
      </c>
      <c r="E1768" s="27" t="s">
        <v>773</v>
      </c>
      <c r="G1768" s="27" t="s">
        <v>108</v>
      </c>
      <c r="I1768" s="27" t="s">
        <v>121</v>
      </c>
      <c r="J1768" s="28">
        <v>29010</v>
      </c>
      <c r="K1768" s="27" t="s">
        <v>229</v>
      </c>
    </row>
    <row r="1769" spans="1:11">
      <c r="A1769">
        <v>1752</v>
      </c>
      <c r="D1769" s="28" t="s">
        <v>3646</v>
      </c>
      <c r="E1769" s="27" t="s">
        <v>3647</v>
      </c>
      <c r="G1769" s="27" t="s">
        <v>108</v>
      </c>
      <c r="I1769" s="27" t="s">
        <v>121</v>
      </c>
      <c r="J1769" s="28">
        <v>21819</v>
      </c>
      <c r="K1769" s="27" t="s">
        <v>408</v>
      </c>
    </row>
    <row r="1770" spans="1:11">
      <c r="A1770">
        <v>1753</v>
      </c>
      <c r="D1770" s="28" t="s">
        <v>3648</v>
      </c>
      <c r="E1770" s="27" t="s">
        <v>3649</v>
      </c>
      <c r="G1770" s="27" t="s">
        <v>122</v>
      </c>
      <c r="I1770" s="27" t="s">
        <v>121</v>
      </c>
      <c r="J1770" s="28">
        <v>21819</v>
      </c>
      <c r="K1770" s="27" t="s">
        <v>408</v>
      </c>
    </row>
    <row r="1771" spans="1:11">
      <c r="A1771">
        <v>1754</v>
      </c>
      <c r="D1771" s="28" t="s">
        <v>3650</v>
      </c>
      <c r="E1771" s="27" t="s">
        <v>353</v>
      </c>
      <c r="G1771" s="27" t="s">
        <v>122</v>
      </c>
      <c r="I1771" s="27" t="s">
        <v>121</v>
      </c>
      <c r="J1771" s="28">
        <v>21819</v>
      </c>
      <c r="K1771" s="27" t="s">
        <v>408</v>
      </c>
    </row>
    <row r="1772" spans="1:11">
      <c r="A1772">
        <v>1755</v>
      </c>
      <c r="D1772" s="28" t="s">
        <v>3651</v>
      </c>
      <c r="E1772" s="27" t="s">
        <v>3652</v>
      </c>
      <c r="G1772" s="27" t="s">
        <v>122</v>
      </c>
      <c r="I1772" s="27" t="s">
        <v>121</v>
      </c>
      <c r="J1772" s="28">
        <v>21819</v>
      </c>
      <c r="K1772" s="27" t="s">
        <v>408</v>
      </c>
    </row>
    <row r="1773" spans="1:11">
      <c r="A1773">
        <v>1756</v>
      </c>
      <c r="D1773" s="28" t="s">
        <v>3651</v>
      </c>
      <c r="E1773" s="27" t="s">
        <v>3652</v>
      </c>
      <c r="G1773" s="27" t="s">
        <v>122</v>
      </c>
      <c r="I1773" s="27" t="s">
        <v>121</v>
      </c>
      <c r="J1773" s="28">
        <v>21828</v>
      </c>
      <c r="K1773" s="27" t="s">
        <v>409</v>
      </c>
    </row>
    <row r="1774" spans="1:11">
      <c r="A1774">
        <v>1757</v>
      </c>
      <c r="D1774" s="28" t="s">
        <v>3651</v>
      </c>
      <c r="E1774" s="27" t="s">
        <v>3652</v>
      </c>
      <c r="G1774" s="27" t="s">
        <v>122</v>
      </c>
      <c r="I1774" s="27" t="s">
        <v>226</v>
      </c>
      <c r="J1774" s="28">
        <v>21820</v>
      </c>
      <c r="K1774" s="27" t="s">
        <v>408</v>
      </c>
    </row>
    <row r="1775" spans="1:11">
      <c r="A1775">
        <v>1758</v>
      </c>
      <c r="D1775" s="28" t="s">
        <v>3653</v>
      </c>
      <c r="E1775" s="27" t="s">
        <v>3654</v>
      </c>
      <c r="G1775" s="27" t="s">
        <v>122</v>
      </c>
      <c r="I1775" s="27" t="s">
        <v>121</v>
      </c>
      <c r="J1775" s="28">
        <v>21819</v>
      </c>
      <c r="K1775" s="27" t="s">
        <v>408</v>
      </c>
    </row>
    <row r="1776" spans="1:11">
      <c r="A1776">
        <v>1759</v>
      </c>
      <c r="D1776" s="28" t="s">
        <v>3653</v>
      </c>
      <c r="E1776" s="27" t="s">
        <v>3654</v>
      </c>
      <c r="G1776" s="27" t="s">
        <v>122</v>
      </c>
      <c r="I1776" s="27" t="s">
        <v>121</v>
      </c>
      <c r="J1776" s="28">
        <v>21828</v>
      </c>
      <c r="K1776" s="27" t="s">
        <v>409</v>
      </c>
    </row>
    <row r="1777" spans="1:11">
      <c r="A1777">
        <v>1760</v>
      </c>
      <c r="D1777" s="28" t="s">
        <v>3653</v>
      </c>
      <c r="E1777" s="27" t="s">
        <v>3654</v>
      </c>
      <c r="G1777" s="27" t="s">
        <v>122</v>
      </c>
      <c r="I1777" s="27" t="s">
        <v>226</v>
      </c>
      <c r="J1777" s="28">
        <v>21820</v>
      </c>
      <c r="K1777" s="27" t="s">
        <v>408</v>
      </c>
    </row>
    <row r="1778" spans="1:11">
      <c r="A1778">
        <v>1761</v>
      </c>
      <c r="D1778" s="28" t="s">
        <v>3655</v>
      </c>
      <c r="E1778" s="27" t="s">
        <v>353</v>
      </c>
      <c r="G1778" s="27" t="s">
        <v>122</v>
      </c>
      <c r="I1778" s="27" t="s">
        <v>121</v>
      </c>
      <c r="J1778" s="28">
        <v>21819</v>
      </c>
      <c r="K1778" s="27" t="s">
        <v>408</v>
      </c>
    </row>
    <row r="1779" spans="1:11">
      <c r="A1779">
        <v>1762</v>
      </c>
      <c r="D1779" s="28" t="s">
        <v>3656</v>
      </c>
      <c r="E1779" s="27" t="s">
        <v>3657</v>
      </c>
      <c r="G1779" s="27" t="s">
        <v>122</v>
      </c>
      <c r="I1779" s="27" t="s">
        <v>121</v>
      </c>
      <c r="J1779" s="28">
        <v>21819</v>
      </c>
      <c r="K1779" s="27" t="s">
        <v>408</v>
      </c>
    </row>
    <row r="1780" spans="1:11">
      <c r="A1780">
        <v>1763</v>
      </c>
      <c r="D1780" s="28" t="s">
        <v>3658</v>
      </c>
      <c r="E1780" s="27" t="s">
        <v>3659</v>
      </c>
      <c r="G1780" s="27" t="s">
        <v>122</v>
      </c>
      <c r="I1780" s="27" t="s">
        <v>121</v>
      </c>
      <c r="J1780" s="28">
        <v>21819</v>
      </c>
      <c r="K1780" s="27" t="s">
        <v>408</v>
      </c>
    </row>
    <row r="1781" spans="1:11">
      <c r="A1781">
        <v>1764</v>
      </c>
      <c r="D1781" s="28" t="s">
        <v>3660</v>
      </c>
      <c r="E1781" s="27" t="s">
        <v>353</v>
      </c>
      <c r="G1781" s="27" t="s">
        <v>122</v>
      </c>
      <c r="I1781" s="27" t="s">
        <v>121</v>
      </c>
      <c r="J1781" s="28">
        <v>21819</v>
      </c>
      <c r="K1781" s="27" t="s">
        <v>408</v>
      </c>
    </row>
    <row r="1782" spans="1:11">
      <c r="A1782">
        <v>1765</v>
      </c>
      <c r="D1782" s="28" t="s">
        <v>3661</v>
      </c>
      <c r="E1782" s="27" t="s">
        <v>353</v>
      </c>
      <c r="G1782" s="27" t="s">
        <v>122</v>
      </c>
      <c r="I1782" s="27" t="s">
        <v>121</v>
      </c>
      <c r="J1782" s="28">
        <v>21819</v>
      </c>
      <c r="K1782" s="27" t="s">
        <v>408</v>
      </c>
    </row>
    <row r="1783" spans="1:11">
      <c r="A1783">
        <v>1766</v>
      </c>
      <c r="D1783" s="28" t="s">
        <v>3662</v>
      </c>
      <c r="E1783" s="27" t="s">
        <v>3663</v>
      </c>
      <c r="G1783" s="27" t="s">
        <v>122</v>
      </c>
      <c r="I1783" s="27" t="s">
        <v>121</v>
      </c>
      <c r="J1783" s="28">
        <v>21819</v>
      </c>
      <c r="K1783" s="27" t="s">
        <v>408</v>
      </c>
    </row>
    <row r="1784" spans="1:11">
      <c r="A1784">
        <v>1767</v>
      </c>
      <c r="D1784" s="28" t="s">
        <v>3664</v>
      </c>
      <c r="E1784" s="27" t="s">
        <v>3659</v>
      </c>
      <c r="G1784" s="27" t="s">
        <v>122</v>
      </c>
      <c r="I1784" s="27" t="s">
        <v>121</v>
      </c>
      <c r="J1784" s="28">
        <v>21819</v>
      </c>
      <c r="K1784" s="27" t="s">
        <v>408</v>
      </c>
    </row>
    <row r="1785" spans="1:11">
      <c r="A1785">
        <v>1768</v>
      </c>
      <c r="D1785" s="28" t="s">
        <v>3665</v>
      </c>
      <c r="E1785" s="27" t="s">
        <v>3666</v>
      </c>
      <c r="G1785" s="27" t="s">
        <v>122</v>
      </c>
      <c r="I1785" s="27" t="s">
        <v>121</v>
      </c>
      <c r="J1785" s="28">
        <v>21819</v>
      </c>
      <c r="K1785" s="27" t="s">
        <v>408</v>
      </c>
    </row>
    <row r="1786" spans="1:11">
      <c r="A1786">
        <v>1769</v>
      </c>
      <c r="D1786" s="28" t="s">
        <v>3667</v>
      </c>
      <c r="E1786" s="27" t="s">
        <v>3666</v>
      </c>
      <c r="G1786" s="27" t="s">
        <v>122</v>
      </c>
      <c r="I1786" s="27" t="s">
        <v>121</v>
      </c>
      <c r="J1786" s="28">
        <v>21819</v>
      </c>
      <c r="K1786" s="27" t="s">
        <v>408</v>
      </c>
    </row>
    <row r="1787" spans="1:11">
      <c r="A1787">
        <v>1770</v>
      </c>
      <c r="D1787" s="28" t="s">
        <v>3668</v>
      </c>
      <c r="E1787" s="27" t="s">
        <v>355</v>
      </c>
      <c r="G1787" s="27" t="s">
        <v>122</v>
      </c>
      <c r="I1787" s="27" t="s">
        <v>121</v>
      </c>
      <c r="J1787" s="28">
        <v>21592</v>
      </c>
      <c r="K1787" s="27" t="s">
        <v>410</v>
      </c>
    </row>
    <row r="1788" spans="1:11">
      <c r="A1788">
        <v>1771</v>
      </c>
      <c r="D1788" s="28" t="s">
        <v>3669</v>
      </c>
      <c r="E1788" s="27" t="s">
        <v>3110</v>
      </c>
      <c r="G1788" s="27" t="s">
        <v>122</v>
      </c>
      <c r="I1788" s="27" t="s">
        <v>121</v>
      </c>
      <c r="J1788" s="28">
        <v>21592</v>
      </c>
      <c r="K1788" s="27" t="s">
        <v>410</v>
      </c>
    </row>
    <row r="1789" spans="1:11">
      <c r="A1789">
        <v>1772</v>
      </c>
      <c r="D1789" s="28" t="s">
        <v>3669</v>
      </c>
      <c r="E1789" s="27" t="s">
        <v>3110</v>
      </c>
      <c r="G1789" s="27" t="s">
        <v>122</v>
      </c>
      <c r="I1789" s="27" t="s">
        <v>121</v>
      </c>
      <c r="J1789" s="28">
        <v>21523</v>
      </c>
      <c r="K1789" s="27" t="s">
        <v>411</v>
      </c>
    </row>
    <row r="1790" spans="1:11">
      <c r="A1790">
        <v>1773</v>
      </c>
      <c r="D1790" s="28" t="s">
        <v>3669</v>
      </c>
      <c r="E1790" s="27" t="s">
        <v>3110</v>
      </c>
      <c r="G1790" s="27" t="s">
        <v>122</v>
      </c>
      <c r="I1790" s="27" t="s">
        <v>226</v>
      </c>
      <c r="J1790" s="28">
        <v>21516</v>
      </c>
      <c r="K1790" s="27" t="s">
        <v>410</v>
      </c>
    </row>
    <row r="1791" spans="1:11">
      <c r="A1791">
        <v>1774</v>
      </c>
      <c r="D1791" s="28" t="s">
        <v>3670</v>
      </c>
      <c r="E1791" s="27" t="s">
        <v>3671</v>
      </c>
      <c r="G1791" s="27" t="s">
        <v>122</v>
      </c>
      <c r="I1791" s="27" t="s">
        <v>121</v>
      </c>
      <c r="J1791" s="28">
        <v>21592</v>
      </c>
      <c r="K1791" s="27" t="s">
        <v>410</v>
      </c>
    </row>
    <row r="1792" spans="1:11">
      <c r="A1792">
        <v>1775</v>
      </c>
      <c r="D1792" s="28" t="s">
        <v>3670</v>
      </c>
      <c r="E1792" s="27" t="s">
        <v>3671</v>
      </c>
      <c r="G1792" s="27" t="s">
        <v>122</v>
      </c>
      <c r="I1792" s="27" t="s">
        <v>226</v>
      </c>
      <c r="J1792" s="28">
        <v>21516</v>
      </c>
      <c r="K1792" s="27" t="s">
        <v>410</v>
      </c>
    </row>
    <row r="1793" spans="1:11">
      <c r="A1793">
        <v>1776</v>
      </c>
      <c r="D1793" s="28" t="s">
        <v>3672</v>
      </c>
      <c r="E1793" s="27" t="s">
        <v>3673</v>
      </c>
      <c r="G1793" s="27" t="s">
        <v>122</v>
      </c>
      <c r="I1793" s="27" t="s">
        <v>121</v>
      </c>
      <c r="J1793" s="28">
        <v>21160</v>
      </c>
      <c r="K1793" s="27" t="s">
        <v>401</v>
      </c>
    </row>
    <row r="1794" spans="1:11">
      <c r="A1794">
        <v>1777</v>
      </c>
      <c r="D1794" s="28" t="s">
        <v>3674</v>
      </c>
      <c r="E1794" s="27" t="s">
        <v>3036</v>
      </c>
      <c r="G1794" s="27" t="s">
        <v>122</v>
      </c>
      <c r="I1794" s="27" t="s">
        <v>121</v>
      </c>
      <c r="J1794" s="28">
        <v>21160</v>
      </c>
      <c r="K1794" s="27" t="s">
        <v>401</v>
      </c>
    </row>
    <row r="1795" spans="1:11">
      <c r="A1795">
        <v>1778</v>
      </c>
      <c r="D1795" s="28" t="s">
        <v>3675</v>
      </c>
      <c r="E1795" s="27" t="s">
        <v>3036</v>
      </c>
      <c r="G1795" s="27" t="s">
        <v>122</v>
      </c>
      <c r="I1795" s="27" t="s">
        <v>121</v>
      </c>
      <c r="J1795" s="28">
        <v>21205</v>
      </c>
      <c r="K1795" s="27" t="s">
        <v>395</v>
      </c>
    </row>
    <row r="1796" spans="1:11">
      <c r="A1796">
        <v>1779</v>
      </c>
      <c r="D1796" s="28" t="s">
        <v>3675</v>
      </c>
      <c r="E1796" s="27" t="s">
        <v>3036</v>
      </c>
      <c r="G1796" s="27" t="s">
        <v>122</v>
      </c>
      <c r="I1796" s="27" t="s">
        <v>226</v>
      </c>
      <c r="J1796" s="28">
        <v>21557</v>
      </c>
      <c r="K1796" s="27" t="s">
        <v>396</v>
      </c>
    </row>
    <row r="1797" spans="1:11">
      <c r="A1797">
        <v>1780</v>
      </c>
      <c r="D1797" s="28" t="s">
        <v>3676</v>
      </c>
      <c r="E1797" s="27" t="s">
        <v>3677</v>
      </c>
      <c r="G1797" s="27" t="s">
        <v>122</v>
      </c>
      <c r="I1797" s="27" t="s">
        <v>121</v>
      </c>
      <c r="J1797" s="28">
        <v>20205</v>
      </c>
      <c r="K1797" s="27" t="s">
        <v>1245</v>
      </c>
    </row>
    <row r="1798" spans="1:11">
      <c r="A1798">
        <v>1781</v>
      </c>
      <c r="D1798" s="28" t="s">
        <v>3678</v>
      </c>
      <c r="E1798" s="27" t="s">
        <v>3567</v>
      </c>
      <c r="G1798" s="27" t="s">
        <v>122</v>
      </c>
      <c r="I1798" s="27" t="s">
        <v>121</v>
      </c>
      <c r="J1798" s="28">
        <v>29010</v>
      </c>
      <c r="K1798" s="27" t="s">
        <v>229</v>
      </c>
    </row>
    <row r="1799" spans="1:11">
      <c r="A1799">
        <v>1782</v>
      </c>
      <c r="D1799" s="28" t="s">
        <v>3679</v>
      </c>
      <c r="E1799" s="27" t="s">
        <v>3569</v>
      </c>
      <c r="G1799" s="27" t="s">
        <v>122</v>
      </c>
      <c r="I1799" s="27" t="s">
        <v>121</v>
      </c>
      <c r="J1799" s="28">
        <v>29010</v>
      </c>
      <c r="K1799" s="27" t="s">
        <v>229</v>
      </c>
    </row>
    <row r="1800" spans="1:11">
      <c r="A1800">
        <v>1783</v>
      </c>
      <c r="D1800" s="28" t="s">
        <v>3680</v>
      </c>
      <c r="E1800" s="27" t="s">
        <v>1536</v>
      </c>
      <c r="G1800" s="27" t="s">
        <v>122</v>
      </c>
      <c r="I1800" s="27" t="s">
        <v>121</v>
      </c>
      <c r="J1800" s="28">
        <v>29010</v>
      </c>
      <c r="K1800" s="27" t="s">
        <v>229</v>
      </c>
    </row>
    <row r="1801" spans="1:11">
      <c r="A1801">
        <v>1784</v>
      </c>
      <c r="D1801" s="28" t="s">
        <v>3681</v>
      </c>
      <c r="E1801" s="27" t="s">
        <v>1538</v>
      </c>
      <c r="G1801" s="27" t="s">
        <v>122</v>
      </c>
      <c r="I1801" s="27" t="s">
        <v>121</v>
      </c>
      <c r="J1801" s="28">
        <v>29010</v>
      </c>
      <c r="K1801" s="27" t="s">
        <v>229</v>
      </c>
    </row>
    <row r="1802" spans="1:11">
      <c r="A1802">
        <v>1785</v>
      </c>
      <c r="D1802" s="28" t="s">
        <v>3682</v>
      </c>
      <c r="E1802" s="27" t="s">
        <v>3683</v>
      </c>
      <c r="G1802" s="27" t="s">
        <v>122</v>
      </c>
      <c r="I1802" s="27" t="s">
        <v>121</v>
      </c>
      <c r="J1802" s="28">
        <v>29010</v>
      </c>
      <c r="K1802" s="27" t="s">
        <v>229</v>
      </c>
    </row>
    <row r="1803" spans="1:11">
      <c r="A1803">
        <v>1786</v>
      </c>
      <c r="D1803" s="28" t="s">
        <v>3684</v>
      </c>
      <c r="E1803" s="27" t="s">
        <v>3685</v>
      </c>
      <c r="G1803" s="27" t="s">
        <v>122</v>
      </c>
      <c r="I1803" s="27" t="s">
        <v>121</v>
      </c>
      <c r="J1803" s="28">
        <v>29010</v>
      </c>
      <c r="K1803" s="27" t="s">
        <v>229</v>
      </c>
    </row>
    <row r="1804" spans="1:11">
      <c r="A1804">
        <v>1787</v>
      </c>
      <c r="D1804" s="28" t="s">
        <v>3686</v>
      </c>
      <c r="E1804" s="27" t="s">
        <v>3501</v>
      </c>
      <c r="G1804" s="27" t="s">
        <v>122</v>
      </c>
      <c r="I1804" s="27" t="s">
        <v>121</v>
      </c>
      <c r="J1804" s="28">
        <v>29010</v>
      </c>
      <c r="K1804" s="27" t="s">
        <v>229</v>
      </c>
    </row>
    <row r="1805" spans="1:11">
      <c r="A1805">
        <v>1788</v>
      </c>
      <c r="D1805" s="28" t="s">
        <v>3687</v>
      </c>
      <c r="E1805" s="27" t="s">
        <v>174</v>
      </c>
      <c r="G1805" s="27" t="s">
        <v>122</v>
      </c>
      <c r="I1805" s="27" t="s">
        <v>121</v>
      </c>
      <c r="J1805" s="28">
        <v>29010</v>
      </c>
      <c r="K1805" s="27" t="s">
        <v>229</v>
      </c>
    </row>
    <row r="1806" spans="1:11">
      <c r="A1806">
        <v>1789</v>
      </c>
      <c r="D1806" s="28" t="s">
        <v>3688</v>
      </c>
      <c r="E1806" s="27" t="s">
        <v>3689</v>
      </c>
      <c r="G1806" s="27" t="s">
        <v>122</v>
      </c>
      <c r="I1806" s="27" t="s">
        <v>121</v>
      </c>
      <c r="J1806" s="28">
        <v>29010</v>
      </c>
      <c r="K1806" s="27" t="s">
        <v>229</v>
      </c>
    </row>
    <row r="1807" spans="1:11">
      <c r="A1807">
        <v>1790</v>
      </c>
      <c r="D1807" s="28" t="s">
        <v>3690</v>
      </c>
      <c r="E1807" s="27" t="s">
        <v>639</v>
      </c>
      <c r="G1807" s="27" t="s">
        <v>122</v>
      </c>
      <c r="I1807" s="27" t="s">
        <v>121</v>
      </c>
      <c r="J1807" s="28">
        <v>29010</v>
      </c>
      <c r="K1807" s="27" t="s">
        <v>229</v>
      </c>
    </row>
    <row r="1808" spans="1:11">
      <c r="A1808">
        <v>1791</v>
      </c>
      <c r="D1808" s="28" t="s">
        <v>3690</v>
      </c>
      <c r="E1808" s="27" t="s">
        <v>639</v>
      </c>
      <c r="G1808" s="27" t="s">
        <v>122</v>
      </c>
      <c r="I1808" s="27" t="s">
        <v>121</v>
      </c>
      <c r="J1808" s="28">
        <v>20895</v>
      </c>
      <c r="K1808" s="27" t="s">
        <v>1242</v>
      </c>
    </row>
    <row r="1809" spans="1:11">
      <c r="A1809">
        <v>1792</v>
      </c>
      <c r="D1809" s="28" t="s">
        <v>3691</v>
      </c>
      <c r="E1809" s="27" t="s">
        <v>778</v>
      </c>
      <c r="G1809" s="27" t="s">
        <v>122</v>
      </c>
      <c r="I1809" s="27" t="s">
        <v>121</v>
      </c>
      <c r="J1809" s="28">
        <v>29010</v>
      </c>
      <c r="K1809" s="27" t="s">
        <v>229</v>
      </c>
    </row>
    <row r="1810" spans="1:11">
      <c r="A1810">
        <v>1793</v>
      </c>
      <c r="D1810" s="28" t="s">
        <v>3692</v>
      </c>
      <c r="E1810" s="27" t="s">
        <v>780</v>
      </c>
      <c r="G1810" s="27" t="s">
        <v>122</v>
      </c>
      <c r="I1810" s="27" t="s">
        <v>121</v>
      </c>
      <c r="J1810" s="28">
        <v>29010</v>
      </c>
      <c r="K1810" s="27" t="s">
        <v>229</v>
      </c>
    </row>
    <row r="1811" spans="1:11">
      <c r="A1811">
        <v>1794</v>
      </c>
      <c r="D1811" s="28" t="s">
        <v>3693</v>
      </c>
      <c r="E1811" s="27" t="s">
        <v>1540</v>
      </c>
      <c r="G1811" s="27" t="s">
        <v>122</v>
      </c>
      <c r="I1811" s="27" t="s">
        <v>121</v>
      </c>
      <c r="J1811" s="28">
        <v>29010</v>
      </c>
      <c r="K1811" s="27" t="s">
        <v>229</v>
      </c>
    </row>
    <row r="1812" spans="1:11">
      <c r="A1812">
        <v>1795</v>
      </c>
      <c r="D1812" s="28" t="s">
        <v>3694</v>
      </c>
      <c r="E1812" s="27" t="s">
        <v>1542</v>
      </c>
      <c r="G1812" s="27" t="s">
        <v>122</v>
      </c>
      <c r="I1812" s="27" t="s">
        <v>121</v>
      </c>
      <c r="J1812" s="28">
        <v>29010</v>
      </c>
      <c r="K1812" s="27" t="s">
        <v>229</v>
      </c>
    </row>
    <row r="1813" spans="1:11">
      <c r="A1813">
        <v>1796</v>
      </c>
      <c r="D1813" s="28" t="s">
        <v>3695</v>
      </c>
      <c r="E1813" s="27" t="s">
        <v>3073</v>
      </c>
      <c r="G1813" s="27" t="s">
        <v>122</v>
      </c>
      <c r="I1813" s="27" t="s">
        <v>121</v>
      </c>
      <c r="J1813" s="28">
        <v>29010</v>
      </c>
      <c r="K1813" s="27" t="s">
        <v>229</v>
      </c>
    </row>
    <row r="1814" spans="1:11">
      <c r="A1814">
        <v>1797</v>
      </c>
      <c r="D1814" s="28" t="s">
        <v>3696</v>
      </c>
      <c r="E1814" s="27" t="s">
        <v>3697</v>
      </c>
      <c r="G1814" s="27" t="s">
        <v>122</v>
      </c>
      <c r="I1814" s="27" t="s">
        <v>121</v>
      </c>
      <c r="J1814" s="28">
        <v>29010</v>
      </c>
      <c r="K1814" s="27" t="s">
        <v>229</v>
      </c>
    </row>
    <row r="1815" spans="1:11">
      <c r="A1815">
        <v>1798</v>
      </c>
      <c r="D1815" s="28" t="s">
        <v>3698</v>
      </c>
      <c r="E1815" s="27" t="s">
        <v>3699</v>
      </c>
      <c r="G1815" s="27" t="s">
        <v>122</v>
      </c>
      <c r="I1815" s="27" t="s">
        <v>121</v>
      </c>
      <c r="J1815" s="28">
        <v>29010</v>
      </c>
      <c r="K1815" s="27" t="s">
        <v>229</v>
      </c>
    </row>
    <row r="1816" spans="1:11">
      <c r="A1816">
        <v>1799</v>
      </c>
      <c r="D1816" s="28" t="s">
        <v>1539</v>
      </c>
      <c r="E1816" s="27" t="s">
        <v>1540</v>
      </c>
      <c r="G1816" s="27" t="s">
        <v>122</v>
      </c>
      <c r="I1816" s="27" t="s">
        <v>226</v>
      </c>
      <c r="J1816" s="28">
        <v>29164</v>
      </c>
      <c r="K1816" s="27" t="s">
        <v>229</v>
      </c>
    </row>
    <row r="1817" spans="1:11">
      <c r="A1817">
        <v>1800</v>
      </c>
      <c r="D1817" s="28" t="s">
        <v>1541</v>
      </c>
      <c r="E1817" s="27" t="s">
        <v>1542</v>
      </c>
      <c r="G1817" s="27" t="s">
        <v>122</v>
      </c>
      <c r="I1817" s="27" t="s">
        <v>226</v>
      </c>
      <c r="J1817" s="28">
        <v>29164</v>
      </c>
      <c r="K1817" s="27" t="s">
        <v>229</v>
      </c>
    </row>
    <row r="1818" spans="1:11">
      <c r="A1818">
        <v>1801</v>
      </c>
      <c r="D1818" s="28" t="s">
        <v>1543</v>
      </c>
      <c r="E1818" s="27" t="s">
        <v>1544</v>
      </c>
      <c r="G1818" s="27" t="s">
        <v>122</v>
      </c>
      <c r="I1818" s="27" t="s">
        <v>226</v>
      </c>
      <c r="J1818" s="28">
        <v>29164</v>
      </c>
      <c r="K1818" s="27" t="s">
        <v>229</v>
      </c>
    </row>
    <row r="1819" spans="1:11">
      <c r="A1819">
        <v>1802</v>
      </c>
      <c r="D1819" s="28" t="s">
        <v>1549</v>
      </c>
      <c r="E1819" s="27" t="s">
        <v>1550</v>
      </c>
      <c r="G1819" s="27" t="s">
        <v>122</v>
      </c>
      <c r="I1819" s="27" t="s">
        <v>121</v>
      </c>
      <c r="J1819" s="28">
        <v>21205</v>
      </c>
      <c r="K1819" s="27" t="s">
        <v>395</v>
      </c>
    </row>
    <row r="1820" spans="1:11">
      <c r="A1820">
        <v>1803</v>
      </c>
      <c r="D1820" s="28" t="s">
        <v>1551</v>
      </c>
      <c r="E1820" s="27" t="s">
        <v>1552</v>
      </c>
      <c r="G1820" s="27" t="s">
        <v>122</v>
      </c>
      <c r="I1820" s="27" t="s">
        <v>121</v>
      </c>
      <c r="J1820" s="28">
        <v>21205</v>
      </c>
      <c r="K1820" s="27" t="s">
        <v>395</v>
      </c>
    </row>
    <row r="1821" spans="1:11">
      <c r="A1821">
        <v>1804</v>
      </c>
      <c r="D1821" s="28" t="s">
        <v>1553</v>
      </c>
      <c r="E1821" s="27" t="s">
        <v>1554</v>
      </c>
      <c r="G1821" s="27" t="s">
        <v>122</v>
      </c>
      <c r="I1821" s="27" t="s">
        <v>226</v>
      </c>
      <c r="J1821" s="28">
        <v>29164</v>
      </c>
      <c r="K1821" s="27" t="s">
        <v>229</v>
      </c>
    </row>
    <row r="1822" spans="1:11">
      <c r="A1822">
        <v>1805</v>
      </c>
      <c r="D1822" s="28" t="s">
        <v>1555</v>
      </c>
      <c r="E1822" s="27" t="s">
        <v>176</v>
      </c>
      <c r="G1822" s="27" t="s">
        <v>122</v>
      </c>
      <c r="I1822" s="27" t="s">
        <v>226</v>
      </c>
      <c r="J1822" s="28">
        <v>29164</v>
      </c>
      <c r="K1822" s="27" t="s">
        <v>229</v>
      </c>
    </row>
    <row r="1823" spans="1:11">
      <c r="A1823">
        <v>1806</v>
      </c>
      <c r="D1823" s="28" t="s">
        <v>3700</v>
      </c>
      <c r="E1823" s="27" t="s">
        <v>3701</v>
      </c>
      <c r="G1823" s="27" t="s">
        <v>122</v>
      </c>
      <c r="I1823" s="27" t="s">
        <v>121</v>
      </c>
      <c r="J1823" s="28">
        <v>21205</v>
      </c>
      <c r="K1823" s="27" t="s">
        <v>395</v>
      </c>
    </row>
    <row r="1824" spans="1:11">
      <c r="A1824">
        <v>1807</v>
      </c>
      <c r="D1824" s="28" t="s">
        <v>3700</v>
      </c>
      <c r="E1824" s="27" t="s">
        <v>3701</v>
      </c>
      <c r="G1824" s="27" t="s">
        <v>122</v>
      </c>
      <c r="I1824" s="27" t="s">
        <v>226</v>
      </c>
      <c r="J1824" s="28">
        <v>21557</v>
      </c>
      <c r="K1824" s="27" t="s">
        <v>396</v>
      </c>
    </row>
    <row r="1825" spans="1:11">
      <c r="A1825">
        <v>1808</v>
      </c>
      <c r="D1825" s="28" t="s">
        <v>3702</v>
      </c>
      <c r="E1825" s="27" t="s">
        <v>3477</v>
      </c>
      <c r="G1825" s="27" t="s">
        <v>122</v>
      </c>
      <c r="I1825" s="27" t="s">
        <v>121</v>
      </c>
      <c r="J1825" s="28">
        <v>21205</v>
      </c>
      <c r="K1825" s="27" t="s">
        <v>395</v>
      </c>
    </row>
    <row r="1826" spans="1:11">
      <c r="A1826">
        <v>1809</v>
      </c>
      <c r="D1826" s="28" t="s">
        <v>3702</v>
      </c>
      <c r="E1826" s="27" t="s">
        <v>3477</v>
      </c>
      <c r="G1826" s="27" t="s">
        <v>122</v>
      </c>
      <c r="I1826" s="27" t="s">
        <v>226</v>
      </c>
      <c r="J1826" s="28">
        <v>21557</v>
      </c>
      <c r="K1826" s="27" t="s">
        <v>396</v>
      </c>
    </row>
    <row r="1827" spans="1:11">
      <c r="A1827">
        <v>1810</v>
      </c>
      <c r="D1827" s="28" t="s">
        <v>3702</v>
      </c>
      <c r="E1827" s="27" t="s">
        <v>3477</v>
      </c>
      <c r="G1827" s="27" t="s">
        <v>122</v>
      </c>
      <c r="I1827" s="27" t="s">
        <v>226</v>
      </c>
      <c r="J1827" s="28">
        <v>21628</v>
      </c>
      <c r="K1827" s="27" t="s">
        <v>4502</v>
      </c>
    </row>
    <row r="1828" spans="1:11">
      <c r="A1828">
        <v>1811</v>
      </c>
      <c r="D1828" s="28" t="s">
        <v>3703</v>
      </c>
      <c r="E1828" s="27" t="s">
        <v>176</v>
      </c>
      <c r="G1828" s="27" t="s">
        <v>122</v>
      </c>
      <c r="I1828" s="27" t="s">
        <v>121</v>
      </c>
      <c r="J1828" s="28">
        <v>29010</v>
      </c>
      <c r="K1828" s="27" t="s">
        <v>229</v>
      </c>
    </row>
    <row r="1829" spans="1:11">
      <c r="A1829">
        <v>1812</v>
      </c>
      <c r="D1829" s="28" t="s">
        <v>3704</v>
      </c>
      <c r="E1829" s="27" t="s">
        <v>3705</v>
      </c>
      <c r="G1829" s="27" t="s">
        <v>122</v>
      </c>
      <c r="I1829" s="27" t="s">
        <v>121</v>
      </c>
      <c r="J1829" s="28">
        <v>29010</v>
      </c>
      <c r="K1829" s="27" t="s">
        <v>229</v>
      </c>
    </row>
    <row r="1830" spans="1:11">
      <c r="A1830">
        <v>1813</v>
      </c>
      <c r="D1830" s="28" t="s">
        <v>3706</v>
      </c>
      <c r="E1830" s="27" t="s">
        <v>3707</v>
      </c>
      <c r="G1830" s="27" t="s">
        <v>122</v>
      </c>
      <c r="I1830" s="27" t="s">
        <v>121</v>
      </c>
      <c r="J1830" s="28">
        <v>29010</v>
      </c>
      <c r="K1830" s="27" t="s">
        <v>229</v>
      </c>
    </row>
    <row r="1831" spans="1:11">
      <c r="A1831">
        <v>1814</v>
      </c>
      <c r="D1831" s="28" t="s">
        <v>3708</v>
      </c>
      <c r="E1831" s="27" t="s">
        <v>2991</v>
      </c>
      <c r="G1831" s="27" t="s">
        <v>122</v>
      </c>
      <c r="I1831" s="27" t="s">
        <v>121</v>
      </c>
      <c r="J1831" s="28">
        <v>21589</v>
      </c>
      <c r="K1831" s="27" t="s">
        <v>405</v>
      </c>
    </row>
    <row r="1832" spans="1:11">
      <c r="A1832">
        <v>1815</v>
      </c>
      <c r="D1832" s="28" t="s">
        <v>3709</v>
      </c>
      <c r="E1832" s="27" t="s">
        <v>3710</v>
      </c>
      <c r="G1832" s="27" t="s">
        <v>122</v>
      </c>
      <c r="I1832" s="27" t="s">
        <v>226</v>
      </c>
      <c r="J1832" s="28">
        <v>21595</v>
      </c>
      <c r="K1832" s="27" t="s">
        <v>403</v>
      </c>
    </row>
    <row r="1833" spans="1:11">
      <c r="A1833">
        <v>1816</v>
      </c>
      <c r="D1833" s="28" t="s">
        <v>3711</v>
      </c>
      <c r="E1833" s="27" t="s">
        <v>3712</v>
      </c>
      <c r="G1833" s="27" t="s">
        <v>122</v>
      </c>
      <c r="I1833" s="27" t="s">
        <v>4501</v>
      </c>
      <c r="J1833" s="28">
        <v>21545</v>
      </c>
      <c r="K1833" s="27" t="s">
        <v>4507</v>
      </c>
    </row>
    <row r="1834" spans="1:11">
      <c r="A1834">
        <v>1817</v>
      </c>
      <c r="D1834" s="28" t="s">
        <v>3713</v>
      </c>
      <c r="E1834" s="27" t="s">
        <v>3714</v>
      </c>
      <c r="G1834" s="27" t="s">
        <v>122</v>
      </c>
      <c r="I1834" s="27" t="s">
        <v>226</v>
      </c>
      <c r="J1834" s="28">
        <v>21595</v>
      </c>
      <c r="K1834" s="27" t="s">
        <v>403</v>
      </c>
    </row>
    <row r="1835" spans="1:11">
      <c r="A1835">
        <v>1818</v>
      </c>
      <c r="D1835" s="28" t="s">
        <v>3715</v>
      </c>
      <c r="E1835" s="27" t="s">
        <v>3034</v>
      </c>
      <c r="G1835" s="27" t="s">
        <v>122</v>
      </c>
      <c r="I1835" s="27" t="s">
        <v>94</v>
      </c>
      <c r="J1835" s="28">
        <v>21190</v>
      </c>
      <c r="K1835" s="27" t="s">
        <v>4506</v>
      </c>
    </row>
    <row r="1836" spans="1:11">
      <c r="A1836">
        <v>1819</v>
      </c>
      <c r="D1836" s="28" t="s">
        <v>3715</v>
      </c>
      <c r="E1836" s="27" t="s">
        <v>3034</v>
      </c>
      <c r="G1836" s="27" t="s">
        <v>122</v>
      </c>
      <c r="I1836" s="27" t="s">
        <v>226</v>
      </c>
      <c r="J1836" s="28">
        <v>21545</v>
      </c>
      <c r="K1836" s="27" t="s">
        <v>4507</v>
      </c>
    </row>
    <row r="1837" spans="1:11">
      <c r="A1837">
        <v>1820</v>
      </c>
      <c r="D1837" s="28" t="s">
        <v>3716</v>
      </c>
      <c r="E1837" s="27" t="s">
        <v>1512</v>
      </c>
      <c r="G1837" s="27" t="s">
        <v>122</v>
      </c>
      <c r="I1837" s="27" t="s">
        <v>226</v>
      </c>
      <c r="J1837" s="28">
        <v>21545</v>
      </c>
      <c r="K1837" s="27" t="s">
        <v>4507</v>
      </c>
    </row>
    <row r="1838" spans="1:11">
      <c r="A1838">
        <v>1821</v>
      </c>
      <c r="D1838" s="28" t="s">
        <v>3717</v>
      </c>
      <c r="E1838" s="27" t="s">
        <v>3066</v>
      </c>
      <c r="G1838" s="27" t="s">
        <v>122</v>
      </c>
      <c r="I1838" s="27" t="s">
        <v>121</v>
      </c>
      <c r="J1838" s="28">
        <v>21545</v>
      </c>
      <c r="K1838" s="27" t="s">
        <v>4507</v>
      </c>
    </row>
    <row r="1839" spans="1:11">
      <c r="A1839">
        <v>1822</v>
      </c>
      <c r="D1839" s="28" t="s">
        <v>3717</v>
      </c>
      <c r="E1839" s="27" t="s">
        <v>3066</v>
      </c>
      <c r="G1839" s="27" t="s">
        <v>122</v>
      </c>
      <c r="I1839" s="27" t="s">
        <v>226</v>
      </c>
      <c r="J1839" s="28">
        <v>21545</v>
      </c>
      <c r="K1839" s="27" t="s">
        <v>4507</v>
      </c>
    </row>
    <row r="1840" spans="1:11">
      <c r="A1840">
        <v>1823</v>
      </c>
      <c r="D1840" s="28" t="s">
        <v>380</v>
      </c>
      <c r="E1840" s="27" t="s">
        <v>381</v>
      </c>
      <c r="G1840" s="27" t="s">
        <v>122</v>
      </c>
      <c r="I1840" s="27" t="s">
        <v>121</v>
      </c>
      <c r="J1840" s="28">
        <v>21231</v>
      </c>
      <c r="K1840" s="27" t="s">
        <v>413</v>
      </c>
    </row>
    <row r="1841" spans="1:11">
      <c r="A1841">
        <v>1824</v>
      </c>
      <c r="D1841" s="28" t="s">
        <v>3718</v>
      </c>
      <c r="E1841" s="27" t="s">
        <v>3719</v>
      </c>
      <c r="G1841" s="27" t="s">
        <v>122</v>
      </c>
      <c r="I1841" s="27" t="s">
        <v>121</v>
      </c>
      <c r="J1841" s="28">
        <v>21545</v>
      </c>
      <c r="K1841" s="27" t="s">
        <v>4507</v>
      </c>
    </row>
    <row r="1842" spans="1:11">
      <c r="A1842">
        <v>1825</v>
      </c>
      <c r="D1842" s="28" t="s">
        <v>3718</v>
      </c>
      <c r="E1842" s="27" t="s">
        <v>3719</v>
      </c>
      <c r="G1842" s="27" t="s">
        <v>122</v>
      </c>
      <c r="I1842" s="27" t="s">
        <v>94</v>
      </c>
      <c r="J1842" s="28">
        <v>21190</v>
      </c>
      <c r="K1842" s="27" t="s">
        <v>4506</v>
      </c>
    </row>
    <row r="1843" spans="1:11">
      <c r="A1843">
        <v>1826</v>
      </c>
      <c r="D1843" s="28" t="s">
        <v>3718</v>
      </c>
      <c r="E1843" s="27" t="s">
        <v>3719</v>
      </c>
      <c r="G1843" s="27" t="s">
        <v>122</v>
      </c>
      <c r="I1843" s="27" t="s">
        <v>226</v>
      </c>
      <c r="J1843" s="28">
        <v>21545</v>
      </c>
      <c r="K1843" s="27" t="s">
        <v>4507</v>
      </c>
    </row>
    <row r="1844" spans="1:11">
      <c r="A1844">
        <v>1827</v>
      </c>
      <c r="D1844" s="28" t="s">
        <v>3720</v>
      </c>
      <c r="E1844" s="27" t="s">
        <v>3721</v>
      </c>
      <c r="G1844" s="27" t="s">
        <v>122</v>
      </c>
      <c r="I1844" s="27" t="s">
        <v>121</v>
      </c>
      <c r="J1844" s="28">
        <v>21545</v>
      </c>
      <c r="K1844" s="27" t="s">
        <v>4507</v>
      </c>
    </row>
    <row r="1845" spans="1:11">
      <c r="A1845">
        <v>1828</v>
      </c>
      <c r="D1845" s="28" t="s">
        <v>3720</v>
      </c>
      <c r="E1845" s="27" t="s">
        <v>3721</v>
      </c>
      <c r="G1845" s="27" t="s">
        <v>122</v>
      </c>
      <c r="I1845" s="27" t="s">
        <v>94</v>
      </c>
      <c r="J1845" s="28">
        <v>21190</v>
      </c>
      <c r="K1845" s="27" t="s">
        <v>4506</v>
      </c>
    </row>
    <row r="1846" spans="1:11">
      <c r="A1846">
        <v>1829</v>
      </c>
      <c r="D1846" s="28" t="s">
        <v>3720</v>
      </c>
      <c r="E1846" s="27" t="s">
        <v>3721</v>
      </c>
      <c r="G1846" s="27" t="s">
        <v>122</v>
      </c>
      <c r="I1846" s="27" t="s">
        <v>226</v>
      </c>
      <c r="J1846" s="28">
        <v>21545</v>
      </c>
      <c r="K1846" s="27" t="s">
        <v>4507</v>
      </c>
    </row>
    <row r="1847" spans="1:11">
      <c r="A1847">
        <v>1830</v>
      </c>
      <c r="D1847" s="28" t="s">
        <v>3722</v>
      </c>
      <c r="E1847" s="27" t="s">
        <v>150</v>
      </c>
      <c r="G1847" s="27" t="s">
        <v>122</v>
      </c>
      <c r="I1847" s="27" t="s">
        <v>121</v>
      </c>
      <c r="J1847" s="28">
        <v>29010</v>
      </c>
      <c r="K1847" s="27" t="s">
        <v>229</v>
      </c>
    </row>
    <row r="1848" spans="1:11">
      <c r="A1848">
        <v>1831</v>
      </c>
      <c r="D1848" s="28" t="s">
        <v>3722</v>
      </c>
      <c r="E1848" s="27" t="s">
        <v>150</v>
      </c>
      <c r="G1848" s="27" t="s">
        <v>122</v>
      </c>
      <c r="I1848" s="27" t="s">
        <v>121</v>
      </c>
      <c r="J1848" s="28">
        <v>20895</v>
      </c>
      <c r="K1848" s="27" t="s">
        <v>1242</v>
      </c>
    </row>
    <row r="1849" spans="1:11">
      <c r="A1849">
        <v>1832</v>
      </c>
      <c r="D1849" s="28" t="s">
        <v>3723</v>
      </c>
      <c r="E1849" s="27" t="s">
        <v>3724</v>
      </c>
      <c r="G1849" s="27" t="s">
        <v>122</v>
      </c>
      <c r="I1849" s="27" t="s">
        <v>121</v>
      </c>
      <c r="J1849" s="28">
        <v>29010</v>
      </c>
      <c r="K1849" s="27" t="s">
        <v>229</v>
      </c>
    </row>
    <row r="1850" spans="1:11">
      <c r="A1850">
        <v>1833</v>
      </c>
      <c r="D1850" s="28" t="s">
        <v>3723</v>
      </c>
      <c r="E1850" s="27" t="s">
        <v>3725</v>
      </c>
      <c r="G1850" s="27" t="s">
        <v>122</v>
      </c>
      <c r="I1850" s="27" t="s">
        <v>121</v>
      </c>
      <c r="J1850" s="28">
        <v>20895</v>
      </c>
      <c r="K1850" s="27" t="s">
        <v>1242</v>
      </c>
    </row>
    <row r="1851" spans="1:11">
      <c r="A1851">
        <v>1834</v>
      </c>
      <c r="D1851" s="28" t="s">
        <v>3726</v>
      </c>
      <c r="E1851" s="27" t="s">
        <v>3727</v>
      </c>
      <c r="G1851" s="27" t="s">
        <v>122</v>
      </c>
      <c r="I1851" s="27" t="s">
        <v>121</v>
      </c>
      <c r="J1851" s="28">
        <v>20205</v>
      </c>
      <c r="K1851" s="27" t="s">
        <v>1245</v>
      </c>
    </row>
    <row r="1852" spans="1:11">
      <c r="A1852">
        <v>1835</v>
      </c>
      <c r="D1852" s="28" t="s">
        <v>3728</v>
      </c>
      <c r="E1852" s="27" t="s">
        <v>3729</v>
      </c>
      <c r="G1852" s="27" t="s">
        <v>122</v>
      </c>
      <c r="I1852" s="27" t="s">
        <v>121</v>
      </c>
      <c r="J1852" s="28">
        <v>29010</v>
      </c>
      <c r="K1852" s="27" t="s">
        <v>229</v>
      </c>
    </row>
    <row r="1853" spans="1:11">
      <c r="A1853">
        <v>1836</v>
      </c>
      <c r="D1853" s="28" t="s">
        <v>3730</v>
      </c>
      <c r="E1853" s="27" t="s">
        <v>3731</v>
      </c>
      <c r="G1853" s="27" t="s">
        <v>122</v>
      </c>
      <c r="I1853" s="27" t="s">
        <v>121</v>
      </c>
      <c r="J1853" s="28">
        <v>29010</v>
      </c>
      <c r="K1853" s="27" t="s">
        <v>229</v>
      </c>
    </row>
    <row r="1854" spans="1:11">
      <c r="A1854">
        <v>1837</v>
      </c>
      <c r="D1854" s="28" t="s">
        <v>3732</v>
      </c>
      <c r="E1854" s="27" t="s">
        <v>3161</v>
      </c>
      <c r="G1854" s="27" t="s">
        <v>122</v>
      </c>
      <c r="I1854" s="27" t="s">
        <v>121</v>
      </c>
      <c r="J1854" s="28">
        <v>21592</v>
      </c>
      <c r="K1854" s="27" t="s">
        <v>410</v>
      </c>
    </row>
    <row r="1855" spans="1:11">
      <c r="A1855">
        <v>1838</v>
      </c>
      <c r="D1855" s="28" t="s">
        <v>3733</v>
      </c>
      <c r="E1855" s="27" t="s">
        <v>3734</v>
      </c>
      <c r="G1855" s="27" t="s">
        <v>122</v>
      </c>
      <c r="I1855" s="27" t="s">
        <v>121</v>
      </c>
      <c r="J1855" s="28">
        <v>29010</v>
      </c>
      <c r="K1855" s="27" t="s">
        <v>229</v>
      </c>
    </row>
    <row r="1856" spans="1:11">
      <c r="A1856">
        <v>1839</v>
      </c>
      <c r="D1856" s="28" t="s">
        <v>3735</v>
      </c>
      <c r="E1856" s="27" t="s">
        <v>3736</v>
      </c>
      <c r="G1856" s="27" t="s">
        <v>122</v>
      </c>
      <c r="I1856" s="27" t="s">
        <v>121</v>
      </c>
      <c r="J1856" s="28">
        <v>29010</v>
      </c>
      <c r="K1856" s="27" t="s">
        <v>229</v>
      </c>
    </row>
    <row r="1857" spans="1:11">
      <c r="A1857">
        <v>1840</v>
      </c>
      <c r="D1857" s="28" t="s">
        <v>3737</v>
      </c>
      <c r="E1857" s="27" t="s">
        <v>3738</v>
      </c>
      <c r="G1857" s="27" t="s">
        <v>122</v>
      </c>
      <c r="I1857" s="27" t="s">
        <v>121</v>
      </c>
      <c r="J1857" s="28">
        <v>21205</v>
      </c>
      <c r="K1857" s="27" t="s">
        <v>395</v>
      </c>
    </row>
    <row r="1858" spans="1:11">
      <c r="A1858">
        <v>1841</v>
      </c>
      <c r="D1858" s="28" t="s">
        <v>3737</v>
      </c>
      <c r="E1858" s="27" t="s">
        <v>3738</v>
      </c>
      <c r="G1858" s="27" t="s">
        <v>122</v>
      </c>
      <c r="I1858" s="27" t="s">
        <v>94</v>
      </c>
      <c r="J1858" s="28">
        <v>21205</v>
      </c>
      <c r="K1858" s="27" t="s">
        <v>395</v>
      </c>
    </row>
    <row r="1859" spans="1:11">
      <c r="A1859">
        <v>1842</v>
      </c>
      <c r="D1859" s="28" t="s">
        <v>3739</v>
      </c>
      <c r="E1859" s="27" t="s">
        <v>323</v>
      </c>
      <c r="G1859" s="27" t="s">
        <v>122</v>
      </c>
      <c r="I1859" s="27" t="s">
        <v>121</v>
      </c>
      <c r="J1859" s="28">
        <v>29010</v>
      </c>
      <c r="K1859" s="27" t="s">
        <v>229</v>
      </c>
    </row>
    <row r="1860" spans="1:11">
      <c r="A1860">
        <v>1843</v>
      </c>
      <c r="D1860" s="28" t="s">
        <v>3740</v>
      </c>
      <c r="E1860" s="27" t="s">
        <v>3741</v>
      </c>
      <c r="G1860" s="27" t="s">
        <v>122</v>
      </c>
      <c r="I1860" s="27" t="s">
        <v>121</v>
      </c>
      <c r="J1860" s="28">
        <v>29010</v>
      </c>
      <c r="K1860" s="27" t="s">
        <v>229</v>
      </c>
    </row>
    <row r="1861" spans="1:11">
      <c r="A1861">
        <v>1844</v>
      </c>
      <c r="D1861" s="28" t="s">
        <v>3740</v>
      </c>
      <c r="E1861" s="27" t="s">
        <v>3741</v>
      </c>
      <c r="G1861" s="27" t="s">
        <v>122</v>
      </c>
      <c r="I1861" s="27" t="s">
        <v>94</v>
      </c>
      <c r="J1861" s="28">
        <v>29268</v>
      </c>
      <c r="K1861" s="27" t="s">
        <v>229</v>
      </c>
    </row>
    <row r="1862" spans="1:11">
      <c r="A1862">
        <v>1845</v>
      </c>
      <c r="D1862" s="28" t="s">
        <v>3742</v>
      </c>
      <c r="E1862" s="27" t="s">
        <v>3743</v>
      </c>
      <c r="G1862" s="27" t="s">
        <v>122</v>
      </c>
      <c r="I1862" s="27" t="s">
        <v>226</v>
      </c>
      <c r="J1862" s="28">
        <v>21557</v>
      </c>
      <c r="K1862" s="27" t="s">
        <v>396</v>
      </c>
    </row>
    <row r="1863" spans="1:11">
      <c r="A1863">
        <v>1846</v>
      </c>
      <c r="D1863" s="28" t="s">
        <v>3744</v>
      </c>
      <c r="E1863" s="27" t="s">
        <v>769</v>
      </c>
      <c r="G1863" s="27" t="s">
        <v>122</v>
      </c>
      <c r="I1863" s="27" t="s">
        <v>121</v>
      </c>
      <c r="J1863" s="28">
        <v>29010</v>
      </c>
      <c r="K1863" s="27" t="s">
        <v>229</v>
      </c>
    </row>
    <row r="1864" spans="1:11">
      <c r="A1864">
        <v>1847</v>
      </c>
      <c r="D1864" s="28" t="s">
        <v>3744</v>
      </c>
      <c r="E1864" s="27" t="s">
        <v>769</v>
      </c>
      <c r="G1864" s="27" t="s">
        <v>122</v>
      </c>
      <c r="I1864" s="27" t="s">
        <v>94</v>
      </c>
      <c r="J1864" s="28">
        <v>29268</v>
      </c>
      <c r="K1864" s="27" t="s">
        <v>229</v>
      </c>
    </row>
    <row r="1865" spans="1:11">
      <c r="A1865">
        <v>1848</v>
      </c>
      <c r="D1865" s="28" t="s">
        <v>3745</v>
      </c>
      <c r="E1865" s="27" t="s">
        <v>771</v>
      </c>
      <c r="G1865" s="27" t="s">
        <v>122</v>
      </c>
      <c r="I1865" s="27" t="s">
        <v>121</v>
      </c>
      <c r="J1865" s="28">
        <v>29010</v>
      </c>
      <c r="K1865" s="27" t="s">
        <v>229</v>
      </c>
    </row>
    <row r="1866" spans="1:11">
      <c r="A1866">
        <v>1849</v>
      </c>
      <c r="D1866" s="28" t="s">
        <v>3745</v>
      </c>
      <c r="E1866" s="27" t="s">
        <v>771</v>
      </c>
      <c r="G1866" s="27" t="s">
        <v>122</v>
      </c>
      <c r="I1866" s="27" t="s">
        <v>94</v>
      </c>
      <c r="J1866" s="28">
        <v>29268</v>
      </c>
      <c r="K1866" s="27" t="s">
        <v>229</v>
      </c>
    </row>
    <row r="1867" spans="1:11">
      <c r="A1867">
        <v>1850</v>
      </c>
      <c r="D1867" s="28" t="s">
        <v>3746</v>
      </c>
      <c r="E1867" s="27" t="s">
        <v>3747</v>
      </c>
      <c r="G1867" s="27" t="s">
        <v>122</v>
      </c>
      <c r="I1867" s="27" t="s">
        <v>121</v>
      </c>
      <c r="J1867" s="28">
        <v>21743</v>
      </c>
      <c r="K1867" s="27" t="s">
        <v>4503</v>
      </c>
    </row>
    <row r="1868" spans="1:11">
      <c r="A1868">
        <v>1851</v>
      </c>
      <c r="D1868" s="28" t="s">
        <v>3748</v>
      </c>
      <c r="E1868" s="27" t="s">
        <v>3749</v>
      </c>
      <c r="G1868" s="27" t="s">
        <v>122</v>
      </c>
      <c r="I1868" s="27" t="s">
        <v>121</v>
      </c>
      <c r="J1868" s="28">
        <v>21743</v>
      </c>
      <c r="K1868" s="27" t="s">
        <v>4503</v>
      </c>
    </row>
    <row r="1869" spans="1:11">
      <c r="A1869">
        <v>1852</v>
      </c>
      <c r="D1869" s="28" t="s">
        <v>3750</v>
      </c>
      <c r="E1869" s="27" t="s">
        <v>3751</v>
      </c>
      <c r="G1869" s="27" t="s">
        <v>122</v>
      </c>
      <c r="I1869" s="27" t="s">
        <v>121</v>
      </c>
      <c r="J1869" s="28">
        <v>21743</v>
      </c>
      <c r="K1869" s="27" t="s">
        <v>4503</v>
      </c>
    </row>
    <row r="1870" spans="1:11">
      <c r="A1870">
        <v>1853</v>
      </c>
      <c r="D1870" s="28" t="s">
        <v>3752</v>
      </c>
      <c r="E1870" s="27" t="s">
        <v>3753</v>
      </c>
      <c r="G1870" s="27" t="s">
        <v>122</v>
      </c>
      <c r="I1870" s="27" t="s">
        <v>121</v>
      </c>
      <c r="J1870" s="28">
        <v>21205</v>
      </c>
      <c r="K1870" s="27" t="s">
        <v>395</v>
      </c>
    </row>
    <row r="1871" spans="1:11">
      <c r="A1871">
        <v>1854</v>
      </c>
      <c r="D1871" s="28" t="s">
        <v>3754</v>
      </c>
      <c r="E1871" s="27" t="s">
        <v>3755</v>
      </c>
      <c r="G1871" s="27" t="s">
        <v>122</v>
      </c>
      <c r="I1871" s="27" t="s">
        <v>121</v>
      </c>
      <c r="J1871" s="28">
        <v>21743</v>
      </c>
      <c r="K1871" s="27" t="s">
        <v>4503</v>
      </c>
    </row>
    <row r="1872" spans="1:11">
      <c r="A1872">
        <v>1855</v>
      </c>
      <c r="D1872" s="28" t="s">
        <v>3756</v>
      </c>
      <c r="E1872" s="27" t="s">
        <v>773</v>
      </c>
      <c r="G1872" s="27" t="s">
        <v>122</v>
      </c>
      <c r="I1872" s="27" t="s">
        <v>121</v>
      </c>
      <c r="J1872" s="28">
        <v>29010</v>
      </c>
      <c r="K1872" s="27" t="s">
        <v>229</v>
      </c>
    </row>
    <row r="1873" spans="1:11">
      <c r="A1873">
        <v>1856</v>
      </c>
      <c r="D1873" s="28" t="s">
        <v>3757</v>
      </c>
      <c r="E1873" s="27" t="s">
        <v>3758</v>
      </c>
      <c r="G1873" s="27" t="s">
        <v>122</v>
      </c>
      <c r="I1873" s="27" t="s">
        <v>226</v>
      </c>
      <c r="J1873" s="28">
        <v>21556</v>
      </c>
      <c r="K1873" s="27" t="s">
        <v>4508</v>
      </c>
    </row>
    <row r="1874" spans="1:11">
      <c r="A1874">
        <v>1857</v>
      </c>
      <c r="D1874" s="28" t="s">
        <v>3759</v>
      </c>
      <c r="E1874" s="27" t="s">
        <v>773</v>
      </c>
      <c r="G1874" s="27" t="s">
        <v>122</v>
      </c>
      <c r="I1874" s="27" t="s">
        <v>121</v>
      </c>
      <c r="J1874" s="28">
        <v>29010</v>
      </c>
      <c r="K1874" s="27" t="s">
        <v>229</v>
      </c>
    </row>
    <row r="1875" spans="1:11">
      <c r="A1875">
        <v>1858</v>
      </c>
      <c r="D1875" s="28" t="s">
        <v>3760</v>
      </c>
      <c r="E1875" s="27" t="s">
        <v>3761</v>
      </c>
      <c r="G1875" s="27" t="s">
        <v>122</v>
      </c>
      <c r="I1875" s="27" t="s">
        <v>121</v>
      </c>
      <c r="J1875" s="28">
        <v>21819</v>
      </c>
      <c r="K1875" s="27" t="s">
        <v>408</v>
      </c>
    </row>
    <row r="1876" spans="1:11">
      <c r="A1876">
        <v>1859</v>
      </c>
      <c r="D1876" s="28" t="s">
        <v>3760</v>
      </c>
      <c r="E1876" s="27" t="s">
        <v>3761</v>
      </c>
      <c r="G1876" s="27" t="s">
        <v>122</v>
      </c>
      <c r="I1876" s="27" t="s">
        <v>226</v>
      </c>
      <c r="J1876" s="28">
        <v>21820</v>
      </c>
      <c r="K1876" s="27" t="s">
        <v>408</v>
      </c>
    </row>
    <row r="1877" spans="1:11">
      <c r="A1877">
        <v>1860</v>
      </c>
      <c r="D1877" s="28" t="s">
        <v>3762</v>
      </c>
      <c r="E1877" s="27" t="s">
        <v>3763</v>
      </c>
      <c r="G1877" s="27" t="s">
        <v>122</v>
      </c>
      <c r="I1877" s="27" t="s">
        <v>121</v>
      </c>
      <c r="J1877" s="28">
        <v>21819</v>
      </c>
      <c r="K1877" s="27" t="s">
        <v>408</v>
      </c>
    </row>
    <row r="1878" spans="1:11">
      <c r="A1878">
        <v>1861</v>
      </c>
      <c r="D1878" s="28" t="s">
        <v>3764</v>
      </c>
      <c r="E1878" s="27" t="s">
        <v>3765</v>
      </c>
      <c r="G1878" s="27" t="s">
        <v>122</v>
      </c>
      <c r="I1878" s="27" t="s">
        <v>121</v>
      </c>
      <c r="J1878" s="28">
        <v>21819</v>
      </c>
      <c r="K1878" s="27" t="s">
        <v>408</v>
      </c>
    </row>
    <row r="1879" spans="1:11">
      <c r="A1879">
        <v>1862</v>
      </c>
      <c r="D1879" s="28" t="s">
        <v>3766</v>
      </c>
      <c r="E1879" s="27" t="s">
        <v>3767</v>
      </c>
      <c r="G1879" s="27" t="s">
        <v>122</v>
      </c>
      <c r="I1879" s="27" t="s">
        <v>121</v>
      </c>
      <c r="J1879" s="28">
        <v>21819</v>
      </c>
      <c r="K1879" s="27" t="s">
        <v>408</v>
      </c>
    </row>
    <row r="1880" spans="1:11">
      <c r="A1880">
        <v>1863</v>
      </c>
      <c r="D1880" s="28" t="s">
        <v>3768</v>
      </c>
      <c r="E1880" s="27" t="s">
        <v>3769</v>
      </c>
      <c r="G1880" s="27" t="s">
        <v>122</v>
      </c>
      <c r="I1880" s="27" t="s">
        <v>121</v>
      </c>
      <c r="J1880" s="28">
        <v>20900</v>
      </c>
      <c r="K1880" s="27" t="s">
        <v>1246</v>
      </c>
    </row>
    <row r="1881" spans="1:11">
      <c r="A1881">
        <v>1864</v>
      </c>
      <c r="D1881" s="28" t="s">
        <v>3768</v>
      </c>
      <c r="E1881" s="27" t="s">
        <v>3769</v>
      </c>
      <c r="G1881" s="27" t="s">
        <v>122</v>
      </c>
      <c r="I1881" s="27" t="s">
        <v>94</v>
      </c>
      <c r="J1881" s="28">
        <v>20900</v>
      </c>
      <c r="K1881" s="27" t="s">
        <v>1246</v>
      </c>
    </row>
    <row r="1882" spans="1:11">
      <c r="A1882">
        <v>1865</v>
      </c>
      <c r="D1882" s="28" t="s">
        <v>3770</v>
      </c>
      <c r="E1882" s="27" t="s">
        <v>3771</v>
      </c>
      <c r="G1882" s="27" t="s">
        <v>122</v>
      </c>
      <c r="I1882" s="27" t="s">
        <v>121</v>
      </c>
      <c r="J1882" s="28">
        <v>20900</v>
      </c>
      <c r="K1882" s="27" t="s">
        <v>1246</v>
      </c>
    </row>
    <row r="1883" spans="1:11">
      <c r="A1883">
        <v>1866</v>
      </c>
      <c r="D1883" s="28" t="s">
        <v>3770</v>
      </c>
      <c r="E1883" s="27" t="s">
        <v>3771</v>
      </c>
      <c r="G1883" s="27" t="s">
        <v>122</v>
      </c>
      <c r="I1883" s="27" t="s">
        <v>94</v>
      </c>
      <c r="J1883" s="28">
        <v>20900</v>
      </c>
      <c r="K1883" s="27" t="s">
        <v>1246</v>
      </c>
    </row>
    <row r="1884" spans="1:11">
      <c r="A1884">
        <v>1867</v>
      </c>
      <c r="D1884" s="28" t="s">
        <v>3772</v>
      </c>
      <c r="E1884" s="27" t="s">
        <v>3773</v>
      </c>
      <c r="G1884" s="27" t="s">
        <v>122</v>
      </c>
      <c r="I1884" s="27" t="s">
        <v>121</v>
      </c>
      <c r="J1884" s="28">
        <v>20900</v>
      </c>
      <c r="K1884" s="27" t="s">
        <v>1246</v>
      </c>
    </row>
    <row r="1885" spans="1:11">
      <c r="A1885">
        <v>1868</v>
      </c>
      <c r="D1885" s="28" t="s">
        <v>3772</v>
      </c>
      <c r="E1885" s="27" t="s">
        <v>3773</v>
      </c>
      <c r="G1885" s="27" t="s">
        <v>122</v>
      </c>
      <c r="I1885" s="27" t="s">
        <v>94</v>
      </c>
      <c r="J1885" s="28">
        <v>20900</v>
      </c>
      <c r="K1885" s="27" t="s">
        <v>1246</v>
      </c>
    </row>
    <row r="1886" spans="1:11">
      <c r="A1886">
        <v>1869</v>
      </c>
      <c r="D1886" s="28" t="s">
        <v>3774</v>
      </c>
      <c r="E1886" s="27" t="s">
        <v>3775</v>
      </c>
      <c r="G1886" s="27" t="s">
        <v>122</v>
      </c>
      <c r="I1886" s="27" t="s">
        <v>121</v>
      </c>
      <c r="J1886" s="28">
        <v>21205</v>
      </c>
      <c r="K1886" s="27" t="s">
        <v>395</v>
      </c>
    </row>
    <row r="1887" spans="1:11">
      <c r="A1887">
        <v>1870</v>
      </c>
      <c r="D1887" s="28" t="s">
        <v>3774</v>
      </c>
      <c r="E1887" s="27" t="s">
        <v>3775</v>
      </c>
      <c r="G1887" s="27" t="s">
        <v>122</v>
      </c>
      <c r="I1887" s="27" t="s">
        <v>94</v>
      </c>
      <c r="J1887" s="28">
        <v>21205</v>
      </c>
      <c r="K1887" s="27" t="s">
        <v>395</v>
      </c>
    </row>
    <row r="1888" spans="1:11">
      <c r="A1888">
        <v>1871</v>
      </c>
      <c r="D1888" s="28" t="s">
        <v>3774</v>
      </c>
      <c r="E1888" s="27" t="s">
        <v>3775</v>
      </c>
      <c r="G1888" s="27" t="s">
        <v>122</v>
      </c>
      <c r="I1888" s="27" t="s">
        <v>226</v>
      </c>
      <c r="J1888" s="28">
        <v>21557</v>
      </c>
      <c r="K1888" s="27" t="s">
        <v>396</v>
      </c>
    </row>
    <row r="1889" spans="1:11">
      <c r="A1889">
        <v>1872</v>
      </c>
      <c r="D1889" s="28" t="s">
        <v>1567</v>
      </c>
      <c r="E1889" s="27" t="s">
        <v>1568</v>
      </c>
      <c r="G1889" s="27" t="s">
        <v>122</v>
      </c>
      <c r="I1889" s="27" t="s">
        <v>94</v>
      </c>
      <c r="J1889" s="28">
        <v>29268</v>
      </c>
      <c r="K1889" s="27" t="s">
        <v>229</v>
      </c>
    </row>
    <row r="1890" spans="1:11">
      <c r="A1890">
        <v>1873</v>
      </c>
      <c r="D1890" s="28" t="s">
        <v>382</v>
      </c>
      <c r="E1890" s="27" t="s">
        <v>357</v>
      </c>
      <c r="G1890" s="27" t="s">
        <v>122</v>
      </c>
      <c r="I1890" s="27" t="s">
        <v>121</v>
      </c>
      <c r="J1890" s="28">
        <v>21160</v>
      </c>
      <c r="K1890" s="27" t="s">
        <v>401</v>
      </c>
    </row>
    <row r="1891" spans="1:11">
      <c r="A1891">
        <v>1874</v>
      </c>
      <c r="D1891" s="28" t="s">
        <v>382</v>
      </c>
      <c r="E1891" s="27" t="s">
        <v>357</v>
      </c>
      <c r="G1891" s="27" t="s">
        <v>122</v>
      </c>
      <c r="I1891" s="27" t="s">
        <v>121</v>
      </c>
      <c r="J1891" s="28">
        <v>21205</v>
      </c>
      <c r="K1891" s="27" t="s">
        <v>395</v>
      </c>
    </row>
    <row r="1892" spans="1:11">
      <c r="A1892">
        <v>1875</v>
      </c>
      <c r="D1892" s="28" t="s">
        <v>382</v>
      </c>
      <c r="E1892" s="27" t="s">
        <v>357</v>
      </c>
      <c r="G1892" s="27" t="s">
        <v>122</v>
      </c>
      <c r="I1892" s="27" t="s">
        <v>94</v>
      </c>
      <c r="J1892" s="28">
        <v>21205</v>
      </c>
      <c r="K1892" s="27" t="s">
        <v>395</v>
      </c>
    </row>
    <row r="1893" spans="1:11">
      <c r="A1893">
        <v>1876</v>
      </c>
      <c r="D1893" s="28" t="s">
        <v>382</v>
      </c>
      <c r="E1893" s="27" t="s">
        <v>357</v>
      </c>
      <c r="G1893" s="27" t="s">
        <v>122</v>
      </c>
      <c r="I1893" s="27" t="s">
        <v>226</v>
      </c>
      <c r="J1893" s="28">
        <v>21557</v>
      </c>
      <c r="K1893" s="27" t="s">
        <v>396</v>
      </c>
    </row>
    <row r="1894" spans="1:11">
      <c r="A1894">
        <v>1877</v>
      </c>
      <c r="D1894" s="28" t="s">
        <v>3776</v>
      </c>
      <c r="E1894" s="27" t="s">
        <v>3777</v>
      </c>
      <c r="G1894" s="27" t="s">
        <v>122</v>
      </c>
      <c r="I1894" s="27" t="s">
        <v>121</v>
      </c>
      <c r="J1894" s="28">
        <v>21205</v>
      </c>
      <c r="K1894" s="27" t="s">
        <v>395</v>
      </c>
    </row>
    <row r="1895" spans="1:11">
      <c r="A1895">
        <v>1878</v>
      </c>
      <c r="D1895" s="28" t="s">
        <v>3776</v>
      </c>
      <c r="E1895" s="27" t="s">
        <v>3777</v>
      </c>
      <c r="G1895" s="27" t="s">
        <v>122</v>
      </c>
      <c r="I1895" s="27" t="s">
        <v>94</v>
      </c>
      <c r="J1895" s="28">
        <v>21205</v>
      </c>
      <c r="K1895" s="27" t="s">
        <v>395</v>
      </c>
    </row>
    <row r="1896" spans="1:11">
      <c r="A1896">
        <v>1879</v>
      </c>
      <c r="D1896" s="28" t="s">
        <v>3778</v>
      </c>
      <c r="E1896" s="27" t="s">
        <v>3779</v>
      </c>
      <c r="G1896" s="27" t="s">
        <v>122</v>
      </c>
      <c r="I1896" s="27" t="s">
        <v>121</v>
      </c>
      <c r="J1896" s="28">
        <v>21205</v>
      </c>
      <c r="K1896" s="27" t="s">
        <v>395</v>
      </c>
    </row>
    <row r="1897" spans="1:11">
      <c r="A1897">
        <v>1880</v>
      </c>
      <c r="D1897" s="28" t="s">
        <v>3780</v>
      </c>
      <c r="E1897" s="27" t="s">
        <v>3781</v>
      </c>
      <c r="G1897" s="27" t="s">
        <v>122</v>
      </c>
      <c r="I1897" s="27" t="s">
        <v>121</v>
      </c>
      <c r="J1897" s="28">
        <v>29010</v>
      </c>
      <c r="K1897" s="27" t="s">
        <v>229</v>
      </c>
    </row>
    <row r="1898" spans="1:11">
      <c r="A1898">
        <v>1881</v>
      </c>
      <c r="D1898" s="28" t="s">
        <v>3780</v>
      </c>
      <c r="E1898" s="27" t="s">
        <v>3781</v>
      </c>
      <c r="G1898" s="27" t="s">
        <v>122</v>
      </c>
      <c r="I1898" s="27" t="s">
        <v>94</v>
      </c>
      <c r="J1898" s="28">
        <v>29268</v>
      </c>
      <c r="K1898" s="27" t="s">
        <v>229</v>
      </c>
    </row>
    <row r="1899" spans="1:11">
      <c r="A1899">
        <v>1882</v>
      </c>
      <c r="D1899" s="28" t="s">
        <v>3782</v>
      </c>
      <c r="E1899" s="27" t="s">
        <v>3783</v>
      </c>
      <c r="G1899" s="27" t="s">
        <v>122</v>
      </c>
      <c r="I1899" s="27" t="s">
        <v>121</v>
      </c>
      <c r="J1899" s="28">
        <v>29010</v>
      </c>
      <c r="K1899" s="27" t="s">
        <v>229</v>
      </c>
    </row>
    <row r="1900" spans="1:11">
      <c r="A1900">
        <v>1883</v>
      </c>
      <c r="D1900" s="28" t="s">
        <v>3784</v>
      </c>
      <c r="E1900" s="27" t="s">
        <v>3785</v>
      </c>
      <c r="G1900" s="27" t="s">
        <v>122</v>
      </c>
      <c r="I1900" s="27" t="s">
        <v>121</v>
      </c>
      <c r="J1900" s="28">
        <v>29010</v>
      </c>
      <c r="K1900" s="27" t="s">
        <v>229</v>
      </c>
    </row>
    <row r="1901" spans="1:11">
      <c r="A1901">
        <v>1884</v>
      </c>
      <c r="D1901" s="28" t="s">
        <v>3784</v>
      </c>
      <c r="E1901" s="27" t="s">
        <v>3785</v>
      </c>
      <c r="G1901" s="27" t="s">
        <v>122</v>
      </c>
      <c r="I1901" s="27" t="s">
        <v>94</v>
      </c>
      <c r="J1901" s="28">
        <v>29268</v>
      </c>
      <c r="K1901" s="27" t="s">
        <v>229</v>
      </c>
    </row>
    <row r="1902" spans="1:11">
      <c r="A1902">
        <v>1885</v>
      </c>
      <c r="D1902" s="28" t="s">
        <v>3786</v>
      </c>
      <c r="E1902" s="27" t="s">
        <v>3787</v>
      </c>
      <c r="G1902" s="27" t="s">
        <v>122</v>
      </c>
      <c r="I1902" s="27" t="s">
        <v>121</v>
      </c>
      <c r="J1902" s="28">
        <v>29010</v>
      </c>
      <c r="K1902" s="27" t="s">
        <v>229</v>
      </c>
    </row>
    <row r="1903" spans="1:11">
      <c r="A1903">
        <v>1886</v>
      </c>
      <c r="D1903" s="28" t="s">
        <v>3788</v>
      </c>
      <c r="E1903" s="27" t="s">
        <v>3789</v>
      </c>
      <c r="G1903" s="27" t="s">
        <v>122</v>
      </c>
      <c r="I1903" s="27" t="s">
        <v>121</v>
      </c>
      <c r="J1903" s="28">
        <v>29010</v>
      </c>
      <c r="K1903" s="27" t="s">
        <v>229</v>
      </c>
    </row>
    <row r="1904" spans="1:11">
      <c r="A1904">
        <v>1887</v>
      </c>
      <c r="D1904" s="28" t="s">
        <v>3788</v>
      </c>
      <c r="E1904" s="27" t="s">
        <v>3789</v>
      </c>
      <c r="G1904" s="27" t="s">
        <v>122</v>
      </c>
      <c r="I1904" s="27" t="s">
        <v>94</v>
      </c>
      <c r="J1904" s="28">
        <v>29268</v>
      </c>
      <c r="K1904" s="27" t="s">
        <v>229</v>
      </c>
    </row>
    <row r="1905" spans="1:11">
      <c r="A1905">
        <v>1888</v>
      </c>
      <c r="D1905" s="28" t="s">
        <v>3790</v>
      </c>
      <c r="E1905" s="27" t="s">
        <v>3791</v>
      </c>
      <c r="G1905" s="27" t="s">
        <v>122</v>
      </c>
      <c r="I1905" s="27" t="s">
        <v>121</v>
      </c>
      <c r="J1905" s="28">
        <v>29010</v>
      </c>
      <c r="K1905" s="27" t="s">
        <v>229</v>
      </c>
    </row>
    <row r="1906" spans="1:11">
      <c r="A1906">
        <v>1889</v>
      </c>
      <c r="D1906" s="28" t="s">
        <v>3792</v>
      </c>
      <c r="E1906" s="27" t="s">
        <v>170</v>
      </c>
      <c r="G1906" s="27" t="s">
        <v>122</v>
      </c>
      <c r="I1906" s="27" t="s">
        <v>121</v>
      </c>
      <c r="J1906" s="28">
        <v>20895</v>
      </c>
      <c r="K1906" s="27" t="s">
        <v>1242</v>
      </c>
    </row>
    <row r="1907" spans="1:11">
      <c r="A1907">
        <v>1890</v>
      </c>
      <c r="D1907" s="28" t="s">
        <v>3793</v>
      </c>
      <c r="E1907" s="27" t="s">
        <v>3794</v>
      </c>
      <c r="G1907" s="27" t="s">
        <v>122</v>
      </c>
      <c r="I1907" s="27" t="s">
        <v>226</v>
      </c>
      <c r="J1907" s="28">
        <v>29164</v>
      </c>
      <c r="K1907" s="27" t="s">
        <v>229</v>
      </c>
    </row>
    <row r="1908" spans="1:11">
      <c r="A1908">
        <v>1891</v>
      </c>
      <c r="D1908" s="28" t="s">
        <v>3793</v>
      </c>
      <c r="E1908" s="27" t="s">
        <v>3794</v>
      </c>
      <c r="G1908" s="27" t="s">
        <v>122</v>
      </c>
      <c r="I1908" s="27" t="s">
        <v>226</v>
      </c>
      <c r="J1908" s="28">
        <v>20205</v>
      </c>
      <c r="K1908" s="27" t="s">
        <v>1245</v>
      </c>
    </row>
    <row r="1909" spans="1:11">
      <c r="A1909">
        <v>1892</v>
      </c>
      <c r="D1909" s="28" t="s">
        <v>3795</v>
      </c>
      <c r="E1909" s="27" t="s">
        <v>3796</v>
      </c>
      <c r="G1909" s="27" t="s">
        <v>122</v>
      </c>
      <c r="I1909" s="27" t="s">
        <v>226</v>
      </c>
      <c r="J1909" s="28">
        <v>29164</v>
      </c>
      <c r="K1909" s="27" t="s">
        <v>229</v>
      </c>
    </row>
    <row r="1910" spans="1:11">
      <c r="A1910">
        <v>1893</v>
      </c>
      <c r="D1910" s="28" t="s">
        <v>3795</v>
      </c>
      <c r="E1910" s="27" t="s">
        <v>3796</v>
      </c>
      <c r="G1910" s="27" t="s">
        <v>122</v>
      </c>
      <c r="I1910" s="27" t="s">
        <v>226</v>
      </c>
      <c r="J1910" s="28">
        <v>20205</v>
      </c>
      <c r="K1910" s="27" t="s">
        <v>1245</v>
      </c>
    </row>
    <row r="1911" spans="1:11">
      <c r="A1911">
        <v>1894</v>
      </c>
      <c r="D1911" s="28" t="s">
        <v>3797</v>
      </c>
      <c r="E1911" s="27" t="s">
        <v>3116</v>
      </c>
      <c r="G1911" s="27" t="s">
        <v>122</v>
      </c>
      <c r="I1911" s="27" t="s">
        <v>121</v>
      </c>
      <c r="J1911" s="28">
        <v>21592</v>
      </c>
      <c r="K1911" s="27" t="s">
        <v>410</v>
      </c>
    </row>
    <row r="1912" spans="1:11">
      <c r="A1912">
        <v>1895</v>
      </c>
      <c r="D1912" s="28" t="s">
        <v>3798</v>
      </c>
      <c r="E1912" s="27" t="s">
        <v>2999</v>
      </c>
      <c r="G1912" s="27" t="s">
        <v>122</v>
      </c>
      <c r="I1912" s="27" t="s">
        <v>121</v>
      </c>
      <c r="J1912" s="28">
        <v>21592</v>
      </c>
      <c r="K1912" s="27" t="s">
        <v>410</v>
      </c>
    </row>
    <row r="1913" spans="1:11">
      <c r="A1913">
        <v>1896</v>
      </c>
      <c r="D1913" s="28" t="s">
        <v>3798</v>
      </c>
      <c r="E1913" s="27" t="s">
        <v>2999</v>
      </c>
      <c r="G1913" s="27" t="s">
        <v>122</v>
      </c>
      <c r="I1913" s="27" t="s">
        <v>226</v>
      </c>
      <c r="J1913" s="28">
        <v>21516</v>
      </c>
      <c r="K1913" s="27" t="s">
        <v>410</v>
      </c>
    </row>
    <row r="1914" spans="1:11">
      <c r="A1914">
        <v>1897</v>
      </c>
      <c r="D1914" s="28" t="s">
        <v>3799</v>
      </c>
      <c r="E1914" s="27" t="s">
        <v>3116</v>
      </c>
      <c r="G1914" s="27" t="s">
        <v>122</v>
      </c>
      <c r="I1914" s="27" t="s">
        <v>226</v>
      </c>
      <c r="J1914" s="28">
        <v>21425</v>
      </c>
      <c r="K1914" s="27" t="s">
        <v>406</v>
      </c>
    </row>
    <row r="1915" spans="1:11">
      <c r="A1915">
        <v>1898</v>
      </c>
      <c r="D1915" s="28" t="s">
        <v>3800</v>
      </c>
      <c r="E1915" s="27" t="s">
        <v>3801</v>
      </c>
      <c r="G1915" s="27" t="s">
        <v>122</v>
      </c>
      <c r="I1915" s="27" t="s">
        <v>121</v>
      </c>
      <c r="J1915" s="28">
        <v>20900</v>
      </c>
      <c r="K1915" s="27" t="s">
        <v>1246</v>
      </c>
    </row>
    <row r="1916" spans="1:11">
      <c r="A1916">
        <v>1899</v>
      </c>
      <c r="D1916" s="28" t="s">
        <v>3800</v>
      </c>
      <c r="E1916" s="27" t="s">
        <v>3801</v>
      </c>
      <c r="G1916" s="27" t="s">
        <v>122</v>
      </c>
      <c r="I1916" s="27" t="s">
        <v>226</v>
      </c>
      <c r="J1916" s="28">
        <v>21556</v>
      </c>
      <c r="K1916" s="27" t="s">
        <v>4508</v>
      </c>
    </row>
    <row r="1917" spans="1:11">
      <c r="A1917">
        <v>1900</v>
      </c>
      <c r="D1917" s="28" t="s">
        <v>3802</v>
      </c>
      <c r="E1917" s="27" t="s">
        <v>154</v>
      </c>
      <c r="G1917" s="27" t="s">
        <v>122</v>
      </c>
      <c r="I1917" s="27" t="s">
        <v>226</v>
      </c>
      <c r="J1917" s="28">
        <v>21556</v>
      </c>
      <c r="K1917" s="27" t="s">
        <v>4508</v>
      </c>
    </row>
    <row r="1918" spans="1:11">
      <c r="A1918">
        <v>1901</v>
      </c>
      <c r="D1918" s="28" t="s">
        <v>3803</v>
      </c>
      <c r="E1918" s="27" t="s">
        <v>1598</v>
      </c>
      <c r="G1918" s="27" t="s">
        <v>122</v>
      </c>
      <c r="I1918" s="27" t="s">
        <v>226</v>
      </c>
      <c r="J1918" s="28">
        <v>21425</v>
      </c>
      <c r="K1918" s="27" t="s">
        <v>406</v>
      </c>
    </row>
    <row r="1919" spans="1:11">
      <c r="A1919">
        <v>1902</v>
      </c>
      <c r="D1919" s="28" t="s">
        <v>3804</v>
      </c>
      <c r="E1919" s="27" t="s">
        <v>3805</v>
      </c>
      <c r="G1919" s="27" t="s">
        <v>122</v>
      </c>
      <c r="I1919" s="27" t="s">
        <v>226</v>
      </c>
      <c r="J1919" s="28">
        <v>21425</v>
      </c>
      <c r="K1919" s="27" t="s">
        <v>406</v>
      </c>
    </row>
    <row r="1920" spans="1:11">
      <c r="A1920">
        <v>1903</v>
      </c>
      <c r="D1920" s="28" t="s">
        <v>3804</v>
      </c>
      <c r="E1920" s="27" t="s">
        <v>3805</v>
      </c>
      <c r="G1920" s="27" t="s">
        <v>122</v>
      </c>
      <c r="I1920" s="27" t="s">
        <v>226</v>
      </c>
      <c r="J1920" s="28">
        <v>21595</v>
      </c>
      <c r="K1920" s="27" t="s">
        <v>403</v>
      </c>
    </row>
    <row r="1921" spans="1:11">
      <c r="A1921">
        <v>1904</v>
      </c>
      <c r="D1921" s="28" t="s">
        <v>3806</v>
      </c>
      <c r="E1921" s="27" t="s">
        <v>2997</v>
      </c>
      <c r="G1921" s="27" t="s">
        <v>122</v>
      </c>
      <c r="I1921" s="27" t="s">
        <v>226</v>
      </c>
      <c r="J1921" s="28">
        <v>21425</v>
      </c>
      <c r="K1921" s="27" t="s">
        <v>406</v>
      </c>
    </row>
    <row r="1922" spans="1:11">
      <c r="A1922">
        <v>1905</v>
      </c>
      <c r="D1922" s="28" t="s">
        <v>3806</v>
      </c>
      <c r="E1922" s="27" t="s">
        <v>2997</v>
      </c>
      <c r="G1922" s="27" t="s">
        <v>122</v>
      </c>
      <c r="I1922" s="27" t="s">
        <v>226</v>
      </c>
      <c r="J1922" s="28">
        <v>21020</v>
      </c>
      <c r="K1922" s="27" t="s">
        <v>403</v>
      </c>
    </row>
    <row r="1923" spans="1:11">
      <c r="A1923">
        <v>1906</v>
      </c>
      <c r="D1923" s="28" t="s">
        <v>3807</v>
      </c>
      <c r="E1923" s="27" t="s">
        <v>3082</v>
      </c>
      <c r="G1923" s="27" t="s">
        <v>122</v>
      </c>
      <c r="I1923" s="27" t="s">
        <v>226</v>
      </c>
      <c r="J1923" s="28">
        <v>21425</v>
      </c>
      <c r="K1923" s="27" t="s">
        <v>406</v>
      </c>
    </row>
    <row r="1924" spans="1:11">
      <c r="A1924">
        <v>1907</v>
      </c>
      <c r="D1924" s="28" t="s">
        <v>3808</v>
      </c>
      <c r="E1924" s="27" t="s">
        <v>2999</v>
      </c>
      <c r="G1924" s="27" t="s">
        <v>122</v>
      </c>
      <c r="I1924" s="27" t="s">
        <v>226</v>
      </c>
      <c r="J1924" s="28">
        <v>21425</v>
      </c>
      <c r="K1924" s="27" t="s">
        <v>406</v>
      </c>
    </row>
    <row r="1925" spans="1:11">
      <c r="A1925">
        <v>1908</v>
      </c>
      <c r="D1925" s="28" t="s">
        <v>3808</v>
      </c>
      <c r="E1925" s="27" t="s">
        <v>2999</v>
      </c>
      <c r="G1925" s="27" t="s">
        <v>122</v>
      </c>
      <c r="I1925" s="27" t="s">
        <v>226</v>
      </c>
      <c r="J1925" s="28">
        <v>21020</v>
      </c>
      <c r="K1925" s="27" t="s">
        <v>403</v>
      </c>
    </row>
    <row r="1926" spans="1:11">
      <c r="A1926">
        <v>1909</v>
      </c>
      <c r="D1926" s="28" t="s">
        <v>3809</v>
      </c>
      <c r="E1926" s="27" t="s">
        <v>3810</v>
      </c>
      <c r="G1926" s="27" t="s">
        <v>122</v>
      </c>
      <c r="I1926" s="27" t="s">
        <v>4501</v>
      </c>
      <c r="J1926" s="28">
        <v>21589</v>
      </c>
      <c r="K1926" s="27" t="s">
        <v>405</v>
      </c>
    </row>
    <row r="1927" spans="1:11">
      <c r="A1927">
        <v>1910</v>
      </c>
      <c r="D1927" s="28" t="s">
        <v>3809</v>
      </c>
      <c r="E1927" s="27" t="s">
        <v>3810</v>
      </c>
      <c r="G1927" s="27" t="s">
        <v>122</v>
      </c>
      <c r="I1927" s="27" t="s">
        <v>226</v>
      </c>
      <c r="J1927" s="28">
        <v>21425</v>
      </c>
      <c r="K1927" s="27" t="s">
        <v>406</v>
      </c>
    </row>
    <row r="1928" spans="1:11">
      <c r="A1928">
        <v>1911</v>
      </c>
      <c r="D1928" s="28" t="s">
        <v>3809</v>
      </c>
      <c r="E1928" s="27" t="s">
        <v>3810</v>
      </c>
      <c r="G1928" s="27" t="s">
        <v>122</v>
      </c>
      <c r="I1928" s="27" t="s">
        <v>226</v>
      </c>
      <c r="J1928" s="28">
        <v>21020</v>
      </c>
      <c r="K1928" s="27" t="s">
        <v>403</v>
      </c>
    </row>
    <row r="1929" spans="1:11">
      <c r="A1929">
        <v>1912</v>
      </c>
      <c r="D1929" s="28" t="s">
        <v>3811</v>
      </c>
      <c r="E1929" s="27" t="s">
        <v>3812</v>
      </c>
      <c r="G1929" s="27" t="s">
        <v>122</v>
      </c>
      <c r="I1929" s="27" t="s">
        <v>226</v>
      </c>
      <c r="J1929" s="28">
        <v>20205</v>
      </c>
      <c r="K1929" s="27" t="s">
        <v>1245</v>
      </c>
    </row>
    <row r="1930" spans="1:11">
      <c r="A1930">
        <v>1913</v>
      </c>
      <c r="D1930" s="28" t="s">
        <v>3813</v>
      </c>
      <c r="E1930" s="27" t="s">
        <v>1598</v>
      </c>
      <c r="G1930" s="27" t="s">
        <v>122</v>
      </c>
      <c r="I1930" s="27" t="s">
        <v>226</v>
      </c>
      <c r="J1930" s="28">
        <v>21425</v>
      </c>
      <c r="K1930" s="27" t="s">
        <v>406</v>
      </c>
    </row>
    <row r="1931" spans="1:11">
      <c r="A1931">
        <v>1914</v>
      </c>
      <c r="D1931" s="28" t="s">
        <v>3814</v>
      </c>
      <c r="E1931" s="27" t="s">
        <v>154</v>
      </c>
      <c r="G1931" s="27" t="s">
        <v>122</v>
      </c>
      <c r="I1931" s="27" t="s">
        <v>226</v>
      </c>
      <c r="J1931" s="28">
        <v>21556</v>
      </c>
      <c r="K1931" s="27" t="s">
        <v>4508</v>
      </c>
    </row>
    <row r="1932" spans="1:11">
      <c r="A1932">
        <v>1915</v>
      </c>
      <c r="D1932" s="28" t="s">
        <v>3815</v>
      </c>
      <c r="E1932" s="27" t="s">
        <v>3816</v>
      </c>
      <c r="G1932" s="27" t="s">
        <v>122</v>
      </c>
      <c r="I1932" s="27" t="s">
        <v>121</v>
      </c>
      <c r="J1932" s="28">
        <v>20205</v>
      </c>
      <c r="K1932" s="27" t="s">
        <v>1245</v>
      </c>
    </row>
    <row r="1933" spans="1:11">
      <c r="A1933">
        <v>1916</v>
      </c>
      <c r="D1933" s="28" t="s">
        <v>3817</v>
      </c>
      <c r="E1933" s="27" t="s">
        <v>3818</v>
      </c>
      <c r="G1933" s="27" t="s">
        <v>122</v>
      </c>
      <c r="I1933" s="27" t="s">
        <v>226</v>
      </c>
      <c r="J1933" s="28">
        <v>21105</v>
      </c>
      <c r="K1933" s="27" t="s">
        <v>4512</v>
      </c>
    </row>
    <row r="1934" spans="1:11">
      <c r="A1934">
        <v>1917</v>
      </c>
      <c r="D1934" s="28" t="s">
        <v>3817</v>
      </c>
      <c r="E1934" s="27" t="s">
        <v>3818</v>
      </c>
      <c r="G1934" s="27" t="s">
        <v>122</v>
      </c>
      <c r="I1934" s="27" t="s">
        <v>226</v>
      </c>
      <c r="J1934" s="28">
        <v>21085</v>
      </c>
      <c r="K1934" s="27" t="s">
        <v>399</v>
      </c>
    </row>
    <row r="1935" spans="1:11">
      <c r="A1935">
        <v>1918</v>
      </c>
      <c r="D1935" s="28" t="s">
        <v>3819</v>
      </c>
      <c r="E1935" s="27" t="s">
        <v>761</v>
      </c>
      <c r="G1935" s="27" t="s">
        <v>122</v>
      </c>
      <c r="I1935" s="27" t="s">
        <v>226</v>
      </c>
      <c r="J1935" s="28">
        <v>29164</v>
      </c>
      <c r="K1935" s="27" t="s">
        <v>229</v>
      </c>
    </row>
    <row r="1936" spans="1:11">
      <c r="A1936">
        <v>1919</v>
      </c>
      <c r="D1936" s="28" t="s">
        <v>3820</v>
      </c>
      <c r="E1936" s="27" t="s">
        <v>3821</v>
      </c>
      <c r="G1936" s="27" t="s">
        <v>122</v>
      </c>
      <c r="I1936" s="27" t="s">
        <v>226</v>
      </c>
      <c r="J1936" s="28">
        <v>29164</v>
      </c>
      <c r="K1936" s="27" t="s">
        <v>229</v>
      </c>
    </row>
    <row r="1937" spans="1:11">
      <c r="A1937">
        <v>1920</v>
      </c>
      <c r="D1937" s="28" t="s">
        <v>3822</v>
      </c>
      <c r="E1937" s="27" t="s">
        <v>3823</v>
      </c>
      <c r="G1937" s="27" t="s">
        <v>122</v>
      </c>
      <c r="I1937" s="27" t="s">
        <v>226</v>
      </c>
      <c r="J1937" s="28">
        <v>29164</v>
      </c>
      <c r="K1937" s="27" t="s">
        <v>229</v>
      </c>
    </row>
    <row r="1938" spans="1:11">
      <c r="A1938">
        <v>1921</v>
      </c>
      <c r="D1938" s="28" t="s">
        <v>3824</v>
      </c>
      <c r="E1938" s="27" t="s">
        <v>3825</v>
      </c>
      <c r="G1938" s="27" t="s">
        <v>122</v>
      </c>
      <c r="I1938" s="27" t="s">
        <v>226</v>
      </c>
      <c r="J1938" s="28">
        <v>29164</v>
      </c>
      <c r="K1938" s="27" t="s">
        <v>229</v>
      </c>
    </row>
    <row r="1939" spans="1:11">
      <c r="A1939">
        <v>1922</v>
      </c>
      <c r="D1939" s="28" t="s">
        <v>3826</v>
      </c>
      <c r="E1939" s="27" t="s">
        <v>3827</v>
      </c>
      <c r="G1939" s="27" t="s">
        <v>122</v>
      </c>
      <c r="I1939" s="27" t="s">
        <v>226</v>
      </c>
      <c r="J1939" s="28">
        <v>29164</v>
      </c>
      <c r="K1939" s="27" t="s">
        <v>229</v>
      </c>
    </row>
    <row r="1940" spans="1:11">
      <c r="A1940">
        <v>1923</v>
      </c>
      <c r="D1940" s="28" t="s">
        <v>3828</v>
      </c>
      <c r="E1940" s="27" t="s">
        <v>3827</v>
      </c>
      <c r="G1940" s="27" t="s">
        <v>122</v>
      </c>
      <c r="I1940" s="27" t="s">
        <v>226</v>
      </c>
      <c r="J1940" s="28">
        <v>29164</v>
      </c>
      <c r="K1940" s="27" t="s">
        <v>229</v>
      </c>
    </row>
    <row r="1941" spans="1:11">
      <c r="A1941">
        <v>1924</v>
      </c>
      <c r="D1941" s="28" t="s">
        <v>3829</v>
      </c>
      <c r="E1941" s="27" t="s">
        <v>3830</v>
      </c>
      <c r="G1941" s="27" t="s">
        <v>122</v>
      </c>
      <c r="I1941" s="27" t="s">
        <v>121</v>
      </c>
      <c r="J1941" s="28">
        <v>29010</v>
      </c>
      <c r="K1941" s="27" t="s">
        <v>229</v>
      </c>
    </row>
    <row r="1942" spans="1:11">
      <c r="A1942">
        <v>1925</v>
      </c>
      <c r="D1942" s="28" t="s">
        <v>3829</v>
      </c>
      <c r="E1942" s="27" t="s">
        <v>3830</v>
      </c>
      <c r="G1942" s="27" t="s">
        <v>122</v>
      </c>
      <c r="I1942" s="27" t="s">
        <v>94</v>
      </c>
      <c r="J1942" s="28">
        <v>29268</v>
      </c>
      <c r="K1942" s="27" t="s">
        <v>229</v>
      </c>
    </row>
    <row r="1943" spans="1:11">
      <c r="A1943">
        <v>1926</v>
      </c>
      <c r="D1943" s="28" t="s">
        <v>3829</v>
      </c>
      <c r="E1943" s="27" t="s">
        <v>3830</v>
      </c>
      <c r="G1943" s="27" t="s">
        <v>122</v>
      </c>
      <c r="I1943" s="27" t="s">
        <v>226</v>
      </c>
      <c r="J1943" s="28">
        <v>29164</v>
      </c>
      <c r="K1943" s="27" t="s">
        <v>229</v>
      </c>
    </row>
    <row r="1944" spans="1:11">
      <c r="A1944">
        <v>1927</v>
      </c>
      <c r="D1944" s="28" t="s">
        <v>3831</v>
      </c>
      <c r="E1944" s="27" t="s">
        <v>99</v>
      </c>
      <c r="G1944" s="27" t="s">
        <v>122</v>
      </c>
      <c r="I1944" s="27" t="s">
        <v>226</v>
      </c>
      <c r="J1944" s="28">
        <v>21085</v>
      </c>
      <c r="K1944" s="27" t="s">
        <v>399</v>
      </c>
    </row>
    <row r="1945" spans="1:11">
      <c r="A1945">
        <v>1928</v>
      </c>
      <c r="D1945" s="28" t="s">
        <v>3832</v>
      </c>
      <c r="E1945" s="27" t="s">
        <v>3833</v>
      </c>
      <c r="G1945" s="27" t="s">
        <v>122</v>
      </c>
      <c r="I1945" s="27" t="s">
        <v>121</v>
      </c>
      <c r="J1945" s="28">
        <v>21205</v>
      </c>
      <c r="K1945" s="27" t="s">
        <v>395</v>
      </c>
    </row>
    <row r="1946" spans="1:11">
      <c r="A1946">
        <v>1929</v>
      </c>
      <c r="D1946" s="28" t="s">
        <v>3832</v>
      </c>
      <c r="E1946" s="27" t="s">
        <v>3833</v>
      </c>
      <c r="G1946" s="27" t="s">
        <v>122</v>
      </c>
      <c r="I1946" s="27" t="s">
        <v>94</v>
      </c>
      <c r="J1946" s="28">
        <v>21205</v>
      </c>
      <c r="K1946" s="27" t="s">
        <v>395</v>
      </c>
    </row>
    <row r="1947" spans="1:11">
      <c r="A1947">
        <v>1930</v>
      </c>
      <c r="D1947" s="28" t="s">
        <v>3832</v>
      </c>
      <c r="E1947" s="27" t="s">
        <v>3833</v>
      </c>
      <c r="G1947" s="27" t="s">
        <v>122</v>
      </c>
      <c r="I1947" s="27" t="s">
        <v>226</v>
      </c>
      <c r="J1947" s="28">
        <v>21557</v>
      </c>
      <c r="K1947" s="27" t="s">
        <v>396</v>
      </c>
    </row>
    <row r="1948" spans="1:11">
      <c r="A1948">
        <v>1931</v>
      </c>
      <c r="D1948" s="28" t="s">
        <v>3834</v>
      </c>
      <c r="E1948" s="27" t="s">
        <v>3835</v>
      </c>
      <c r="G1948" s="27" t="s">
        <v>122</v>
      </c>
      <c r="I1948" s="27" t="s">
        <v>226</v>
      </c>
      <c r="J1948" s="28">
        <v>29164</v>
      </c>
      <c r="K1948" s="27" t="s">
        <v>229</v>
      </c>
    </row>
    <row r="1949" spans="1:11">
      <c r="A1949">
        <v>1932</v>
      </c>
      <c r="D1949" s="28" t="s">
        <v>3836</v>
      </c>
      <c r="E1949" s="27" t="s">
        <v>3837</v>
      </c>
      <c r="G1949" s="27" t="s">
        <v>122</v>
      </c>
      <c r="I1949" s="27" t="s">
        <v>121</v>
      </c>
      <c r="J1949" s="28">
        <v>21743</v>
      </c>
      <c r="K1949" s="27" t="s">
        <v>4503</v>
      </c>
    </row>
    <row r="1950" spans="1:11">
      <c r="A1950">
        <v>1933</v>
      </c>
      <c r="D1950" s="28" t="s">
        <v>3838</v>
      </c>
      <c r="E1950" s="27" t="s">
        <v>3839</v>
      </c>
      <c r="G1950" s="27" t="s">
        <v>122</v>
      </c>
      <c r="I1950" s="27" t="s">
        <v>121</v>
      </c>
      <c r="J1950" s="28">
        <v>21743</v>
      </c>
      <c r="K1950" s="27" t="s">
        <v>4503</v>
      </c>
    </row>
    <row r="1951" spans="1:11">
      <c r="A1951">
        <v>1934</v>
      </c>
      <c r="D1951" s="28" t="s">
        <v>3840</v>
      </c>
      <c r="E1951" s="27" t="s">
        <v>3841</v>
      </c>
      <c r="G1951" s="27" t="s">
        <v>122</v>
      </c>
      <c r="I1951" s="27" t="s">
        <v>121</v>
      </c>
      <c r="J1951" s="28">
        <v>21160</v>
      </c>
      <c r="K1951" s="27" t="s">
        <v>401</v>
      </c>
    </row>
    <row r="1952" spans="1:11">
      <c r="A1952">
        <v>1935</v>
      </c>
      <c r="D1952" s="28" t="s">
        <v>3842</v>
      </c>
      <c r="E1952" s="27" t="s">
        <v>3843</v>
      </c>
      <c r="G1952" s="27" t="s">
        <v>122</v>
      </c>
      <c r="I1952" s="27" t="s">
        <v>121</v>
      </c>
      <c r="J1952" s="28">
        <v>21743</v>
      </c>
      <c r="K1952" s="27" t="s">
        <v>4503</v>
      </c>
    </row>
    <row r="1953" spans="1:11">
      <c r="A1953">
        <v>1936</v>
      </c>
      <c r="D1953" s="28" t="s">
        <v>3844</v>
      </c>
      <c r="E1953" s="27" t="s">
        <v>3845</v>
      </c>
      <c r="G1953" s="27" t="s">
        <v>122</v>
      </c>
      <c r="I1953" s="27" t="s">
        <v>226</v>
      </c>
      <c r="J1953" s="28">
        <v>21405</v>
      </c>
      <c r="K1953" s="27" t="s">
        <v>1239</v>
      </c>
    </row>
    <row r="1954" spans="1:11">
      <c r="A1954">
        <v>1937</v>
      </c>
      <c r="D1954" s="28" t="s">
        <v>3846</v>
      </c>
      <c r="E1954" s="27" t="s">
        <v>3847</v>
      </c>
      <c r="G1954" s="27" t="s">
        <v>122</v>
      </c>
      <c r="I1954" s="27" t="s">
        <v>226</v>
      </c>
      <c r="J1954" s="28">
        <v>21355</v>
      </c>
      <c r="K1954" s="27" t="s">
        <v>4504</v>
      </c>
    </row>
    <row r="1955" spans="1:11">
      <c r="A1955">
        <v>1938</v>
      </c>
      <c r="D1955" s="28" t="s">
        <v>3846</v>
      </c>
      <c r="E1955" s="27" t="s">
        <v>3847</v>
      </c>
      <c r="G1955" s="27" t="s">
        <v>122</v>
      </c>
      <c r="I1955" s="27" t="s">
        <v>226</v>
      </c>
      <c r="J1955" s="28">
        <v>21708</v>
      </c>
      <c r="K1955" s="27" t="s">
        <v>4509</v>
      </c>
    </row>
    <row r="1956" spans="1:11">
      <c r="A1956">
        <v>1939</v>
      </c>
      <c r="D1956" s="28" t="s">
        <v>3848</v>
      </c>
      <c r="E1956" s="27" t="s">
        <v>3849</v>
      </c>
      <c r="G1956" s="27" t="s">
        <v>122</v>
      </c>
      <c r="I1956" s="27" t="s">
        <v>226</v>
      </c>
      <c r="J1956" s="28">
        <v>21355</v>
      </c>
      <c r="K1956" s="27" t="s">
        <v>4504</v>
      </c>
    </row>
    <row r="1957" spans="1:11">
      <c r="A1957">
        <v>1940</v>
      </c>
      <c r="D1957" s="28" t="s">
        <v>3848</v>
      </c>
      <c r="E1957" s="27" t="s">
        <v>3849</v>
      </c>
      <c r="G1957" s="27" t="s">
        <v>122</v>
      </c>
      <c r="I1957" s="27" t="s">
        <v>226</v>
      </c>
      <c r="J1957" s="28">
        <v>21708</v>
      </c>
      <c r="K1957" s="27" t="s">
        <v>4509</v>
      </c>
    </row>
    <row r="1958" spans="1:11">
      <c r="A1958">
        <v>1941</v>
      </c>
      <c r="D1958" s="28" t="s">
        <v>3850</v>
      </c>
      <c r="E1958" s="27" t="s">
        <v>3851</v>
      </c>
      <c r="G1958" s="27" t="s">
        <v>122</v>
      </c>
      <c r="I1958" s="27" t="s">
        <v>226</v>
      </c>
      <c r="J1958" s="28">
        <v>21355</v>
      </c>
      <c r="K1958" s="27" t="s">
        <v>4504</v>
      </c>
    </row>
    <row r="1959" spans="1:11">
      <c r="A1959">
        <v>1942</v>
      </c>
      <c r="D1959" s="28" t="s">
        <v>3852</v>
      </c>
      <c r="E1959" s="27" t="s">
        <v>3853</v>
      </c>
      <c r="G1959" s="27" t="s">
        <v>122</v>
      </c>
      <c r="I1959" s="27" t="s">
        <v>226</v>
      </c>
      <c r="J1959" s="28">
        <v>21595</v>
      </c>
      <c r="K1959" s="27" t="s">
        <v>403</v>
      </c>
    </row>
    <row r="1960" spans="1:11">
      <c r="A1960">
        <v>1943</v>
      </c>
      <c r="D1960" s="28" t="s">
        <v>3854</v>
      </c>
      <c r="E1960" s="27" t="s">
        <v>3855</v>
      </c>
      <c r="G1960" s="27" t="s">
        <v>122</v>
      </c>
      <c r="I1960" s="27" t="s">
        <v>226</v>
      </c>
      <c r="J1960" s="28">
        <v>21541</v>
      </c>
      <c r="K1960" s="27" t="s">
        <v>411</v>
      </c>
    </row>
    <row r="1961" spans="1:11">
      <c r="A1961">
        <v>1944</v>
      </c>
      <c r="D1961" s="28" t="s">
        <v>3856</v>
      </c>
      <c r="E1961" s="27" t="s">
        <v>3857</v>
      </c>
      <c r="G1961" s="27" t="s">
        <v>122</v>
      </c>
      <c r="I1961" s="27" t="s">
        <v>226</v>
      </c>
      <c r="J1961" s="28">
        <v>21541</v>
      </c>
      <c r="K1961" s="27" t="s">
        <v>411</v>
      </c>
    </row>
    <row r="1962" spans="1:11">
      <c r="A1962">
        <v>1945</v>
      </c>
      <c r="D1962" s="28" t="s">
        <v>3858</v>
      </c>
      <c r="E1962" s="27" t="s">
        <v>3859</v>
      </c>
      <c r="G1962" s="27" t="s">
        <v>122</v>
      </c>
      <c r="I1962" s="27" t="s">
        <v>226</v>
      </c>
      <c r="J1962" s="28">
        <v>21541</v>
      </c>
      <c r="K1962" s="27" t="s">
        <v>411</v>
      </c>
    </row>
    <row r="1963" spans="1:11">
      <c r="A1963">
        <v>1946</v>
      </c>
      <c r="D1963" s="28" t="s">
        <v>3860</v>
      </c>
      <c r="E1963" s="27" t="s">
        <v>3861</v>
      </c>
      <c r="G1963" s="27" t="s">
        <v>122</v>
      </c>
      <c r="I1963" s="27" t="s">
        <v>226</v>
      </c>
      <c r="J1963" s="28">
        <v>21541</v>
      </c>
      <c r="K1963" s="27" t="s">
        <v>411</v>
      </c>
    </row>
    <row r="1964" spans="1:11">
      <c r="A1964">
        <v>1947</v>
      </c>
      <c r="D1964" s="28" t="s">
        <v>3862</v>
      </c>
      <c r="E1964" s="27" t="s">
        <v>3863</v>
      </c>
      <c r="G1964" s="27" t="s">
        <v>122</v>
      </c>
      <c r="I1964" s="27" t="s">
        <v>226</v>
      </c>
      <c r="J1964" s="28">
        <v>21541</v>
      </c>
      <c r="K1964" s="27" t="s">
        <v>411</v>
      </c>
    </row>
    <row r="1965" spans="1:11">
      <c r="A1965">
        <v>1948</v>
      </c>
      <c r="D1965" s="28" t="s">
        <v>3862</v>
      </c>
      <c r="E1965" s="27" t="s">
        <v>3863</v>
      </c>
      <c r="G1965" s="27" t="s">
        <v>122</v>
      </c>
      <c r="I1965" s="27" t="s">
        <v>226</v>
      </c>
      <c r="J1965" s="28">
        <v>21472</v>
      </c>
      <c r="K1965" s="27" t="s">
        <v>4513</v>
      </c>
    </row>
    <row r="1966" spans="1:11">
      <c r="A1966">
        <v>1949</v>
      </c>
      <c r="D1966" s="28" t="s">
        <v>3864</v>
      </c>
      <c r="E1966" s="27" t="s">
        <v>3865</v>
      </c>
      <c r="G1966" s="27" t="s">
        <v>122</v>
      </c>
      <c r="I1966" s="27" t="s">
        <v>226</v>
      </c>
      <c r="J1966" s="28">
        <v>21541</v>
      </c>
      <c r="K1966" s="27" t="s">
        <v>411</v>
      </c>
    </row>
    <row r="1967" spans="1:11">
      <c r="A1967">
        <v>1950</v>
      </c>
      <c r="D1967" s="28" t="s">
        <v>3864</v>
      </c>
      <c r="E1967" s="27" t="s">
        <v>3865</v>
      </c>
      <c r="G1967" s="27" t="s">
        <v>122</v>
      </c>
      <c r="I1967" s="27" t="s">
        <v>226</v>
      </c>
      <c r="J1967" s="28">
        <v>21472</v>
      </c>
      <c r="K1967" s="27" t="s">
        <v>4513</v>
      </c>
    </row>
    <row r="1968" spans="1:11">
      <c r="A1968">
        <v>1951</v>
      </c>
      <c r="D1968" s="28" t="s">
        <v>3866</v>
      </c>
      <c r="E1968" s="27" t="s">
        <v>3867</v>
      </c>
      <c r="G1968" s="27" t="s">
        <v>122</v>
      </c>
      <c r="I1968" s="27" t="s">
        <v>121</v>
      </c>
      <c r="J1968" s="28">
        <v>29010</v>
      </c>
      <c r="K1968" s="27" t="s">
        <v>229</v>
      </c>
    </row>
    <row r="1969" spans="1:11">
      <c r="A1969">
        <v>1952</v>
      </c>
      <c r="D1969" s="28" t="s">
        <v>3868</v>
      </c>
      <c r="E1969" s="27" t="s">
        <v>3869</v>
      </c>
      <c r="G1969" s="27" t="s">
        <v>122</v>
      </c>
      <c r="I1969" s="27" t="s">
        <v>121</v>
      </c>
      <c r="J1969" s="28">
        <v>29010</v>
      </c>
      <c r="K1969" s="27" t="s">
        <v>229</v>
      </c>
    </row>
    <row r="1970" spans="1:11">
      <c r="A1970">
        <v>1953</v>
      </c>
      <c r="D1970" s="28" t="s">
        <v>3870</v>
      </c>
      <c r="E1970" s="27" t="s">
        <v>773</v>
      </c>
      <c r="G1970" s="27" t="s">
        <v>122</v>
      </c>
      <c r="I1970" s="27" t="s">
        <v>121</v>
      </c>
      <c r="J1970" s="28">
        <v>29010</v>
      </c>
      <c r="K1970" s="27" t="s">
        <v>229</v>
      </c>
    </row>
    <row r="1971" spans="1:11">
      <c r="A1971">
        <v>1954</v>
      </c>
      <c r="D1971" s="28" t="s">
        <v>3871</v>
      </c>
      <c r="E1971" s="27" t="s">
        <v>3872</v>
      </c>
      <c r="G1971" s="27" t="s">
        <v>122</v>
      </c>
      <c r="I1971" s="27" t="s">
        <v>121</v>
      </c>
      <c r="J1971" s="28">
        <v>29010</v>
      </c>
      <c r="K1971" s="27" t="s">
        <v>229</v>
      </c>
    </row>
    <row r="1972" spans="1:11">
      <c r="A1972">
        <v>1955</v>
      </c>
      <c r="D1972" s="28" t="s">
        <v>3873</v>
      </c>
      <c r="E1972" s="27" t="s">
        <v>3874</v>
      </c>
      <c r="G1972" s="27" t="s">
        <v>122</v>
      </c>
      <c r="I1972" s="27" t="s">
        <v>121</v>
      </c>
      <c r="J1972" s="28">
        <v>29010</v>
      </c>
      <c r="K1972" s="27" t="s">
        <v>229</v>
      </c>
    </row>
    <row r="1973" spans="1:11">
      <c r="A1973">
        <v>1956</v>
      </c>
      <c r="D1973" s="28" t="s">
        <v>3875</v>
      </c>
      <c r="E1973" s="27" t="s">
        <v>3876</v>
      </c>
      <c r="G1973" s="27" t="s">
        <v>122</v>
      </c>
      <c r="I1973" s="27" t="s">
        <v>121</v>
      </c>
      <c r="J1973" s="28">
        <v>21205</v>
      </c>
      <c r="K1973" s="27" t="s">
        <v>395</v>
      </c>
    </row>
    <row r="1974" spans="1:11">
      <c r="A1974">
        <v>1957</v>
      </c>
      <c r="D1974" s="28" t="s">
        <v>3877</v>
      </c>
      <c r="E1974" s="27" t="s">
        <v>3878</v>
      </c>
      <c r="G1974" s="27" t="s">
        <v>122</v>
      </c>
      <c r="I1974" s="27" t="s">
        <v>121</v>
      </c>
      <c r="J1974" s="28">
        <v>21205</v>
      </c>
      <c r="K1974" s="27" t="s">
        <v>395</v>
      </c>
    </row>
    <row r="1975" spans="1:11">
      <c r="A1975">
        <v>1958</v>
      </c>
      <c r="D1975" s="28" t="s">
        <v>3877</v>
      </c>
      <c r="E1975" s="27" t="s">
        <v>3878</v>
      </c>
      <c r="G1975" s="27" t="s">
        <v>122</v>
      </c>
      <c r="I1975" s="27" t="s">
        <v>226</v>
      </c>
      <c r="J1975" s="28">
        <v>21557</v>
      </c>
      <c r="K1975" s="27" t="s">
        <v>396</v>
      </c>
    </row>
    <row r="1976" spans="1:11">
      <c r="A1976">
        <v>1959</v>
      </c>
      <c r="D1976" s="28" t="s">
        <v>3879</v>
      </c>
      <c r="E1976" s="27" t="s">
        <v>773</v>
      </c>
      <c r="G1976" s="27" t="s">
        <v>122</v>
      </c>
      <c r="I1976" s="27" t="s">
        <v>226</v>
      </c>
      <c r="J1976" s="28">
        <v>21405</v>
      </c>
      <c r="K1976" s="27" t="s">
        <v>1239</v>
      </c>
    </row>
    <row r="1977" spans="1:11">
      <c r="A1977">
        <v>1960</v>
      </c>
      <c r="D1977" s="28" t="s">
        <v>3880</v>
      </c>
      <c r="E1977" s="27" t="s">
        <v>3878</v>
      </c>
      <c r="G1977" s="27" t="s">
        <v>122</v>
      </c>
      <c r="I1977" s="27" t="s">
        <v>121</v>
      </c>
      <c r="J1977" s="28">
        <v>21205</v>
      </c>
      <c r="K1977" s="27" t="s">
        <v>395</v>
      </c>
    </row>
    <row r="1978" spans="1:11">
      <c r="A1978">
        <v>1961</v>
      </c>
      <c r="D1978" s="28" t="s">
        <v>3880</v>
      </c>
      <c r="E1978" s="27" t="s">
        <v>3878</v>
      </c>
      <c r="G1978" s="27" t="s">
        <v>122</v>
      </c>
      <c r="I1978" s="27" t="s">
        <v>226</v>
      </c>
      <c r="J1978" s="28">
        <v>21557</v>
      </c>
      <c r="K1978" s="27" t="s">
        <v>396</v>
      </c>
    </row>
    <row r="1979" spans="1:11">
      <c r="A1979">
        <v>1962</v>
      </c>
      <c r="D1979" s="28" t="s">
        <v>3881</v>
      </c>
      <c r="E1979" s="27" t="s">
        <v>3882</v>
      </c>
      <c r="G1979" s="27" t="s">
        <v>122</v>
      </c>
      <c r="I1979" s="27" t="s">
        <v>226</v>
      </c>
      <c r="J1979" s="28">
        <v>21425</v>
      </c>
      <c r="K1979" s="27" t="s">
        <v>406</v>
      </c>
    </row>
    <row r="1980" spans="1:11">
      <c r="A1980">
        <v>1963</v>
      </c>
      <c r="D1980" s="28" t="s">
        <v>3881</v>
      </c>
      <c r="E1980" s="27" t="s">
        <v>3882</v>
      </c>
      <c r="G1980" s="27" t="s">
        <v>122</v>
      </c>
      <c r="I1980" s="27" t="s">
        <v>226</v>
      </c>
      <c r="J1980" s="28">
        <v>21020</v>
      </c>
      <c r="K1980" s="27" t="s">
        <v>403</v>
      </c>
    </row>
    <row r="1981" spans="1:11">
      <c r="A1981">
        <v>1964</v>
      </c>
      <c r="D1981" s="28" t="s">
        <v>3883</v>
      </c>
      <c r="E1981" s="27" t="s">
        <v>3884</v>
      </c>
      <c r="G1981" s="27" t="s">
        <v>122</v>
      </c>
      <c r="I1981" s="27" t="s">
        <v>226</v>
      </c>
      <c r="J1981" s="28">
        <v>29164</v>
      </c>
      <c r="K1981" s="27" t="s">
        <v>229</v>
      </c>
    </row>
    <row r="1982" spans="1:11">
      <c r="A1982">
        <v>1965</v>
      </c>
      <c r="D1982" s="28" t="s">
        <v>3885</v>
      </c>
      <c r="E1982" s="27" t="s">
        <v>3886</v>
      </c>
      <c r="G1982" s="27" t="s">
        <v>122</v>
      </c>
      <c r="I1982" s="27" t="s">
        <v>226</v>
      </c>
      <c r="J1982" s="28">
        <v>20205</v>
      </c>
      <c r="K1982" s="27" t="s">
        <v>1245</v>
      </c>
    </row>
    <row r="1983" spans="1:11">
      <c r="A1983">
        <v>1966</v>
      </c>
      <c r="D1983" s="28" t="s">
        <v>3887</v>
      </c>
      <c r="E1983" s="27" t="s">
        <v>158</v>
      </c>
      <c r="G1983" s="27" t="s">
        <v>122</v>
      </c>
      <c r="I1983" s="27" t="s">
        <v>226</v>
      </c>
      <c r="J1983" s="28">
        <v>29164</v>
      </c>
      <c r="K1983" s="27" t="s">
        <v>229</v>
      </c>
    </row>
    <row r="1984" spans="1:11">
      <c r="A1984">
        <v>1967</v>
      </c>
      <c r="D1984" s="28" t="s">
        <v>3888</v>
      </c>
      <c r="E1984" s="27" t="s">
        <v>3889</v>
      </c>
      <c r="G1984" s="27" t="s">
        <v>122</v>
      </c>
      <c r="I1984" s="27" t="s">
        <v>226</v>
      </c>
      <c r="J1984" s="28">
        <v>21820</v>
      </c>
      <c r="K1984" s="27" t="s">
        <v>408</v>
      </c>
    </row>
    <row r="1985" spans="1:11">
      <c r="A1985">
        <v>1968</v>
      </c>
      <c r="D1985" s="28" t="s">
        <v>3890</v>
      </c>
      <c r="E1985" s="27" t="s">
        <v>3891</v>
      </c>
      <c r="G1985" s="27" t="s">
        <v>122</v>
      </c>
      <c r="I1985" s="27" t="s">
        <v>226</v>
      </c>
      <c r="J1985" s="28">
        <v>21820</v>
      </c>
      <c r="K1985" s="27" t="s">
        <v>408</v>
      </c>
    </row>
    <row r="1986" spans="1:11">
      <c r="A1986">
        <v>1969</v>
      </c>
      <c r="D1986" s="28" t="s">
        <v>3892</v>
      </c>
      <c r="E1986" s="27" t="s">
        <v>3893</v>
      </c>
      <c r="G1986" s="27" t="s">
        <v>122</v>
      </c>
      <c r="I1986" s="27" t="s">
        <v>226</v>
      </c>
      <c r="J1986" s="28">
        <v>21820</v>
      </c>
      <c r="K1986" s="27" t="s">
        <v>408</v>
      </c>
    </row>
    <row r="1987" spans="1:11">
      <c r="A1987">
        <v>1970</v>
      </c>
      <c r="D1987" s="28" t="s">
        <v>3894</v>
      </c>
      <c r="E1987" s="27" t="s">
        <v>3895</v>
      </c>
      <c r="G1987" s="27" t="s">
        <v>122</v>
      </c>
      <c r="I1987" s="27" t="s">
        <v>226</v>
      </c>
      <c r="J1987" s="28">
        <v>21820</v>
      </c>
      <c r="K1987" s="27" t="s">
        <v>408</v>
      </c>
    </row>
    <row r="1988" spans="1:11">
      <c r="A1988">
        <v>1971</v>
      </c>
      <c r="D1988" s="28" t="s">
        <v>3896</v>
      </c>
      <c r="E1988" s="27" t="s">
        <v>3897</v>
      </c>
      <c r="G1988" s="27" t="s">
        <v>122</v>
      </c>
      <c r="I1988" s="27" t="s">
        <v>226</v>
      </c>
      <c r="J1988" s="28">
        <v>21820</v>
      </c>
      <c r="K1988" s="27" t="s">
        <v>408</v>
      </c>
    </row>
    <row r="1989" spans="1:11">
      <c r="A1989">
        <v>1972</v>
      </c>
      <c r="D1989" s="28" t="s">
        <v>3898</v>
      </c>
      <c r="E1989" s="27" t="s">
        <v>3899</v>
      </c>
      <c r="G1989" s="27" t="s">
        <v>122</v>
      </c>
      <c r="I1989" s="27" t="s">
        <v>226</v>
      </c>
      <c r="J1989" s="28">
        <v>21820</v>
      </c>
      <c r="K1989" s="27" t="s">
        <v>408</v>
      </c>
    </row>
    <row r="1990" spans="1:11">
      <c r="A1990">
        <v>1973</v>
      </c>
      <c r="D1990" s="28" t="s">
        <v>3900</v>
      </c>
      <c r="E1990" s="27" t="s">
        <v>3901</v>
      </c>
      <c r="G1990" s="27" t="s">
        <v>122</v>
      </c>
      <c r="I1990" s="27" t="s">
        <v>226</v>
      </c>
      <c r="J1990" s="28">
        <v>21820</v>
      </c>
      <c r="K1990" s="27" t="s">
        <v>408</v>
      </c>
    </row>
    <row r="1991" spans="1:11">
      <c r="A1991">
        <v>1974</v>
      </c>
      <c r="D1991" s="28" t="s">
        <v>3902</v>
      </c>
      <c r="E1991" s="27" t="s">
        <v>3903</v>
      </c>
      <c r="G1991" s="27" t="s">
        <v>122</v>
      </c>
      <c r="I1991" s="27" t="s">
        <v>226</v>
      </c>
      <c r="J1991" s="28">
        <v>21820</v>
      </c>
      <c r="K1991" s="27" t="s">
        <v>408</v>
      </c>
    </row>
    <row r="1992" spans="1:11">
      <c r="A1992">
        <v>1975</v>
      </c>
      <c r="D1992" s="28" t="s">
        <v>3904</v>
      </c>
      <c r="E1992" s="27" t="s">
        <v>3905</v>
      </c>
      <c r="G1992" s="27" t="s">
        <v>122</v>
      </c>
      <c r="I1992" s="27" t="s">
        <v>226</v>
      </c>
      <c r="J1992" s="28">
        <v>21820</v>
      </c>
      <c r="K1992" s="27" t="s">
        <v>408</v>
      </c>
    </row>
    <row r="1993" spans="1:11">
      <c r="A1993">
        <v>1976</v>
      </c>
      <c r="D1993" s="28" t="s">
        <v>3906</v>
      </c>
      <c r="E1993" s="27" t="s">
        <v>3907</v>
      </c>
      <c r="G1993" s="27" t="s">
        <v>122</v>
      </c>
      <c r="I1993" s="27" t="s">
        <v>121</v>
      </c>
      <c r="J1993" s="28">
        <v>21205</v>
      </c>
      <c r="K1993" s="27" t="s">
        <v>395</v>
      </c>
    </row>
    <row r="1994" spans="1:11">
      <c r="A1994">
        <v>1977</v>
      </c>
      <c r="D1994" s="28" t="s">
        <v>3906</v>
      </c>
      <c r="E1994" s="27" t="s">
        <v>3907</v>
      </c>
      <c r="G1994" s="27" t="s">
        <v>122</v>
      </c>
      <c r="I1994" s="27" t="s">
        <v>94</v>
      </c>
      <c r="J1994" s="28">
        <v>21205</v>
      </c>
      <c r="K1994" s="27" t="s">
        <v>395</v>
      </c>
    </row>
    <row r="1995" spans="1:11">
      <c r="A1995">
        <v>1978</v>
      </c>
      <c r="D1995" s="28" t="s">
        <v>3908</v>
      </c>
      <c r="E1995" s="27" t="s">
        <v>361</v>
      </c>
      <c r="G1995" s="27" t="s">
        <v>122</v>
      </c>
      <c r="I1995" s="27" t="s">
        <v>226</v>
      </c>
      <c r="J1995" s="28">
        <v>21425</v>
      </c>
      <c r="K1995" s="27" t="s">
        <v>406</v>
      </c>
    </row>
    <row r="1996" spans="1:11">
      <c r="A1996">
        <v>1979</v>
      </c>
      <c r="D1996" s="28" t="s">
        <v>383</v>
      </c>
      <c r="E1996" s="27" t="s">
        <v>384</v>
      </c>
      <c r="G1996" s="27" t="s">
        <v>122</v>
      </c>
      <c r="I1996" s="27" t="s">
        <v>121</v>
      </c>
      <c r="J1996" s="28">
        <v>21205</v>
      </c>
      <c r="K1996" s="27" t="s">
        <v>395</v>
      </c>
    </row>
    <row r="1997" spans="1:11">
      <c r="A1997">
        <v>1980</v>
      </c>
      <c r="D1997" s="28" t="s">
        <v>383</v>
      </c>
      <c r="E1997" s="27" t="s">
        <v>384</v>
      </c>
      <c r="G1997" s="27" t="s">
        <v>122</v>
      </c>
      <c r="I1997" s="27" t="s">
        <v>94</v>
      </c>
      <c r="J1997" s="28">
        <v>21205</v>
      </c>
      <c r="K1997" s="27" t="s">
        <v>395</v>
      </c>
    </row>
    <row r="1998" spans="1:11">
      <c r="A1998">
        <v>1981</v>
      </c>
      <c r="D1998" s="28" t="s">
        <v>383</v>
      </c>
      <c r="E1998" s="27" t="s">
        <v>384</v>
      </c>
      <c r="G1998" s="27" t="s">
        <v>122</v>
      </c>
      <c r="I1998" s="27" t="s">
        <v>226</v>
      </c>
      <c r="J1998" s="28">
        <v>21557</v>
      </c>
      <c r="K1998" s="27" t="s">
        <v>396</v>
      </c>
    </row>
    <row r="1999" spans="1:11">
      <c r="A1999">
        <v>1982</v>
      </c>
      <c r="D1999" s="28" t="s">
        <v>3909</v>
      </c>
      <c r="E1999" s="27" t="s">
        <v>3393</v>
      </c>
      <c r="G1999" s="27" t="s">
        <v>122</v>
      </c>
      <c r="I1999" s="27" t="s">
        <v>226</v>
      </c>
      <c r="J1999" s="28">
        <v>21085</v>
      </c>
      <c r="K1999" s="27" t="s">
        <v>399</v>
      </c>
    </row>
    <row r="2000" spans="1:11">
      <c r="A2000">
        <v>1983</v>
      </c>
      <c r="D2000" s="28" t="s">
        <v>3910</v>
      </c>
      <c r="E2000" s="27" t="s">
        <v>3911</v>
      </c>
      <c r="G2000" s="27" t="s">
        <v>122</v>
      </c>
      <c r="I2000" s="27" t="s">
        <v>226</v>
      </c>
      <c r="J2000" s="28">
        <v>21516</v>
      </c>
      <c r="K2000" s="27" t="s">
        <v>410</v>
      </c>
    </row>
    <row r="2001" spans="1:11">
      <c r="A2001">
        <v>1984</v>
      </c>
      <c r="D2001" s="28" t="s">
        <v>3912</v>
      </c>
      <c r="E2001" s="27" t="s">
        <v>3913</v>
      </c>
      <c r="G2001" s="27" t="s">
        <v>122</v>
      </c>
      <c r="I2001" s="27" t="s">
        <v>226</v>
      </c>
      <c r="J2001" s="28">
        <v>21516</v>
      </c>
      <c r="K2001" s="27" t="s">
        <v>410</v>
      </c>
    </row>
    <row r="2002" spans="1:11">
      <c r="A2002">
        <v>1985</v>
      </c>
      <c r="D2002" s="28" t="s">
        <v>3914</v>
      </c>
      <c r="E2002" s="27" t="s">
        <v>3032</v>
      </c>
      <c r="G2002" s="27" t="s">
        <v>122</v>
      </c>
      <c r="I2002" s="27" t="s">
        <v>226</v>
      </c>
      <c r="J2002" s="28">
        <v>21425</v>
      </c>
      <c r="K2002" s="27" t="s">
        <v>406</v>
      </c>
    </row>
    <row r="2003" spans="1:11">
      <c r="A2003">
        <v>1986</v>
      </c>
      <c r="D2003" s="28" t="s">
        <v>3915</v>
      </c>
      <c r="E2003" s="27" t="s">
        <v>3907</v>
      </c>
      <c r="G2003" s="27" t="s">
        <v>122</v>
      </c>
      <c r="I2003" s="27" t="s">
        <v>226</v>
      </c>
      <c r="J2003" s="28">
        <v>21557</v>
      </c>
      <c r="K2003" s="27" t="s">
        <v>396</v>
      </c>
    </row>
    <row r="2004" spans="1:11">
      <c r="A2004">
        <v>1987</v>
      </c>
      <c r="D2004" s="28" t="s">
        <v>3916</v>
      </c>
      <c r="E2004" s="27" t="s">
        <v>3917</v>
      </c>
      <c r="G2004" s="27" t="s">
        <v>122</v>
      </c>
      <c r="I2004" s="27" t="s">
        <v>121</v>
      </c>
      <c r="J2004" s="28">
        <v>21160</v>
      </c>
      <c r="K2004" s="27" t="s">
        <v>401</v>
      </c>
    </row>
    <row r="2005" spans="1:11">
      <c r="A2005">
        <v>1988</v>
      </c>
      <c r="D2005" s="28" t="s">
        <v>3918</v>
      </c>
      <c r="E2005" s="27" t="s">
        <v>3919</v>
      </c>
      <c r="G2005" s="27" t="s">
        <v>122</v>
      </c>
      <c r="I2005" s="27" t="s">
        <v>226</v>
      </c>
      <c r="J2005" s="28">
        <v>21425</v>
      </c>
      <c r="K2005" s="27" t="s">
        <v>406</v>
      </c>
    </row>
    <row r="2006" spans="1:11">
      <c r="A2006">
        <v>1989</v>
      </c>
      <c r="D2006" s="28" t="s">
        <v>3920</v>
      </c>
      <c r="E2006" s="27" t="s">
        <v>3029</v>
      </c>
      <c r="G2006" s="27" t="s">
        <v>122</v>
      </c>
      <c r="I2006" s="27" t="s">
        <v>226</v>
      </c>
      <c r="J2006" s="28">
        <v>21425</v>
      </c>
      <c r="K2006" s="27" t="s">
        <v>406</v>
      </c>
    </row>
    <row r="2007" spans="1:11">
      <c r="A2007">
        <v>1990</v>
      </c>
      <c r="D2007" s="28" t="s">
        <v>3921</v>
      </c>
      <c r="E2007" s="27" t="s">
        <v>3922</v>
      </c>
      <c r="G2007" s="27" t="s">
        <v>122</v>
      </c>
      <c r="I2007" s="27" t="s">
        <v>121</v>
      </c>
      <c r="J2007" s="28">
        <v>21589</v>
      </c>
      <c r="K2007" s="27" t="s">
        <v>405</v>
      </c>
    </row>
    <row r="2008" spans="1:11">
      <c r="A2008">
        <v>1991</v>
      </c>
      <c r="D2008" s="28" t="s">
        <v>3921</v>
      </c>
      <c r="E2008" s="27" t="s">
        <v>3922</v>
      </c>
      <c r="G2008" s="27" t="s">
        <v>122</v>
      </c>
      <c r="I2008" s="27" t="s">
        <v>121</v>
      </c>
      <c r="J2008" s="28">
        <v>21160</v>
      </c>
      <c r="K2008" s="27" t="s">
        <v>401</v>
      </c>
    </row>
    <row r="2009" spans="1:11">
      <c r="A2009">
        <v>1992</v>
      </c>
      <c r="D2009" s="28" t="s">
        <v>3921</v>
      </c>
      <c r="E2009" s="27" t="s">
        <v>3922</v>
      </c>
      <c r="G2009" s="27" t="s">
        <v>122</v>
      </c>
      <c r="I2009" s="27" t="s">
        <v>94</v>
      </c>
      <c r="J2009" s="28">
        <v>21160</v>
      </c>
      <c r="K2009" s="27" t="s">
        <v>401</v>
      </c>
    </row>
    <row r="2010" spans="1:11">
      <c r="A2010">
        <v>1993</v>
      </c>
      <c r="D2010" s="28" t="s">
        <v>3921</v>
      </c>
      <c r="E2010" s="27" t="s">
        <v>3922</v>
      </c>
      <c r="G2010" s="27" t="s">
        <v>122</v>
      </c>
      <c r="I2010" s="27" t="s">
        <v>226</v>
      </c>
      <c r="J2010" s="28">
        <v>21628</v>
      </c>
      <c r="K2010" s="27" t="s">
        <v>4502</v>
      </c>
    </row>
    <row r="2011" spans="1:11">
      <c r="A2011">
        <v>1994</v>
      </c>
      <c r="D2011" s="28" t="s">
        <v>3921</v>
      </c>
      <c r="E2011" s="27" t="s">
        <v>3922</v>
      </c>
      <c r="G2011" s="27" t="s">
        <v>122</v>
      </c>
      <c r="I2011" s="27" t="s">
        <v>226</v>
      </c>
      <c r="J2011" s="28">
        <v>21425</v>
      </c>
      <c r="K2011" s="27" t="s">
        <v>406</v>
      </c>
    </row>
    <row r="2012" spans="1:11">
      <c r="A2012">
        <v>1995</v>
      </c>
      <c r="D2012" s="28" t="s">
        <v>3923</v>
      </c>
      <c r="E2012" s="27" t="s">
        <v>3917</v>
      </c>
      <c r="G2012" s="27" t="s">
        <v>122</v>
      </c>
      <c r="I2012" s="27" t="s">
        <v>226</v>
      </c>
      <c r="J2012" s="28">
        <v>21425</v>
      </c>
      <c r="K2012" s="27" t="s">
        <v>406</v>
      </c>
    </row>
    <row r="2013" spans="1:11">
      <c r="A2013">
        <v>1996</v>
      </c>
      <c r="D2013" s="28" t="s">
        <v>3924</v>
      </c>
      <c r="E2013" s="27" t="s">
        <v>3925</v>
      </c>
      <c r="G2013" s="27" t="s">
        <v>122</v>
      </c>
      <c r="I2013" s="27" t="s">
        <v>226</v>
      </c>
      <c r="J2013" s="28">
        <v>21425</v>
      </c>
      <c r="K2013" s="27" t="s">
        <v>406</v>
      </c>
    </row>
    <row r="2014" spans="1:11">
      <c r="A2014">
        <v>1997</v>
      </c>
      <c r="D2014" s="28" t="s">
        <v>3926</v>
      </c>
      <c r="E2014" s="27" t="s">
        <v>355</v>
      </c>
      <c r="G2014" s="27" t="s">
        <v>122</v>
      </c>
      <c r="I2014" s="27" t="s">
        <v>121</v>
      </c>
      <c r="J2014" s="28">
        <v>21160</v>
      </c>
      <c r="K2014" s="27" t="s">
        <v>401</v>
      </c>
    </row>
    <row r="2015" spans="1:11">
      <c r="A2015">
        <v>1998</v>
      </c>
      <c r="D2015" s="28" t="s">
        <v>3927</v>
      </c>
      <c r="E2015" s="27" t="s">
        <v>3928</v>
      </c>
      <c r="G2015" s="27" t="s">
        <v>122</v>
      </c>
      <c r="I2015" s="27" t="s">
        <v>226</v>
      </c>
      <c r="J2015" s="28">
        <v>21556</v>
      </c>
      <c r="K2015" s="27" t="s">
        <v>4508</v>
      </c>
    </row>
    <row r="2016" spans="1:11">
      <c r="A2016">
        <v>1999</v>
      </c>
      <c r="D2016" s="28" t="s">
        <v>3929</v>
      </c>
      <c r="E2016" s="27" t="s">
        <v>3930</v>
      </c>
      <c r="G2016" s="27" t="s">
        <v>122</v>
      </c>
      <c r="I2016" s="27" t="s">
        <v>226</v>
      </c>
      <c r="J2016" s="28">
        <v>21516</v>
      </c>
      <c r="K2016" s="27" t="s">
        <v>410</v>
      </c>
    </row>
    <row r="2017" spans="1:11">
      <c r="A2017">
        <v>2000</v>
      </c>
      <c r="D2017" s="28" t="s">
        <v>3931</v>
      </c>
      <c r="E2017" s="27" t="s">
        <v>3932</v>
      </c>
      <c r="G2017" s="27" t="s">
        <v>122</v>
      </c>
      <c r="I2017" s="27" t="s">
        <v>121</v>
      </c>
      <c r="J2017" s="28">
        <v>21160</v>
      </c>
      <c r="K2017" s="27" t="s">
        <v>401</v>
      </c>
    </row>
    <row r="2018" spans="1:11">
      <c r="A2018">
        <v>2001</v>
      </c>
      <c r="D2018" s="28" t="s">
        <v>3931</v>
      </c>
      <c r="E2018" s="27" t="s">
        <v>3932</v>
      </c>
      <c r="G2018" s="27" t="s">
        <v>122</v>
      </c>
      <c r="I2018" s="27" t="s">
        <v>226</v>
      </c>
      <c r="J2018" s="28">
        <v>21425</v>
      </c>
      <c r="K2018" s="27" t="s">
        <v>406</v>
      </c>
    </row>
    <row r="2019" spans="1:11">
      <c r="A2019">
        <v>2002</v>
      </c>
      <c r="D2019" s="28" t="s">
        <v>3933</v>
      </c>
      <c r="E2019" s="27" t="s">
        <v>3917</v>
      </c>
      <c r="G2019" s="27" t="s">
        <v>122</v>
      </c>
      <c r="I2019" s="27" t="s">
        <v>226</v>
      </c>
      <c r="J2019" s="28">
        <v>21425</v>
      </c>
      <c r="K2019" s="27" t="s">
        <v>406</v>
      </c>
    </row>
    <row r="2020" spans="1:11">
      <c r="A2020">
        <v>2003</v>
      </c>
      <c r="D2020" s="28" t="s">
        <v>3934</v>
      </c>
      <c r="E2020" s="27" t="s">
        <v>3029</v>
      </c>
      <c r="G2020" s="27" t="s">
        <v>122</v>
      </c>
      <c r="I2020" s="27" t="s">
        <v>226</v>
      </c>
      <c r="J2020" s="28">
        <v>21425</v>
      </c>
      <c r="K2020" s="27" t="s">
        <v>406</v>
      </c>
    </row>
    <row r="2021" spans="1:11">
      <c r="A2021">
        <v>2004</v>
      </c>
      <c r="D2021" s="28" t="s">
        <v>3935</v>
      </c>
      <c r="E2021" s="27" t="s">
        <v>3936</v>
      </c>
      <c r="G2021" s="27" t="s">
        <v>122</v>
      </c>
      <c r="I2021" s="27" t="s">
        <v>121</v>
      </c>
      <c r="J2021" s="28">
        <v>21205</v>
      </c>
      <c r="K2021" s="27" t="s">
        <v>395</v>
      </c>
    </row>
    <row r="2022" spans="1:11">
      <c r="A2022">
        <v>2005</v>
      </c>
      <c r="D2022" s="28" t="s">
        <v>3937</v>
      </c>
      <c r="E2022" s="27" t="s">
        <v>3938</v>
      </c>
      <c r="G2022" s="27" t="s">
        <v>122</v>
      </c>
      <c r="I2022" s="27" t="s">
        <v>226</v>
      </c>
      <c r="J2022" s="28">
        <v>29164</v>
      </c>
      <c r="K2022" s="27" t="s">
        <v>229</v>
      </c>
    </row>
    <row r="2023" spans="1:11">
      <c r="A2023">
        <v>2006</v>
      </c>
      <c r="D2023" s="28" t="s">
        <v>3939</v>
      </c>
      <c r="E2023" s="27" t="s">
        <v>3940</v>
      </c>
      <c r="G2023" s="27" t="s">
        <v>122</v>
      </c>
      <c r="I2023" s="27" t="s">
        <v>226</v>
      </c>
      <c r="J2023" s="28">
        <v>29164</v>
      </c>
      <c r="K2023" s="27" t="s">
        <v>229</v>
      </c>
    </row>
    <row r="2024" spans="1:11">
      <c r="A2024">
        <v>2007</v>
      </c>
      <c r="D2024" s="28" t="s">
        <v>3941</v>
      </c>
      <c r="E2024" s="27" t="s">
        <v>3942</v>
      </c>
      <c r="G2024" s="27" t="s">
        <v>122</v>
      </c>
      <c r="I2024" s="27" t="s">
        <v>121</v>
      </c>
      <c r="J2024" s="28">
        <v>21205</v>
      </c>
      <c r="K2024" s="27" t="s">
        <v>395</v>
      </c>
    </row>
    <row r="2025" spans="1:11">
      <c r="A2025">
        <v>2008</v>
      </c>
      <c r="D2025" s="28" t="s">
        <v>3943</v>
      </c>
      <c r="E2025" s="27" t="s">
        <v>3036</v>
      </c>
      <c r="G2025" s="27" t="s">
        <v>122</v>
      </c>
      <c r="I2025" s="27" t="s">
        <v>226</v>
      </c>
      <c r="J2025" s="28">
        <v>21557</v>
      </c>
      <c r="K2025" s="27" t="s">
        <v>396</v>
      </c>
    </row>
    <row r="2026" spans="1:11">
      <c r="A2026">
        <v>2009</v>
      </c>
      <c r="D2026" s="28" t="s">
        <v>3944</v>
      </c>
      <c r="E2026" s="27" t="s">
        <v>3945</v>
      </c>
      <c r="G2026" s="27" t="s">
        <v>122</v>
      </c>
      <c r="I2026" s="27" t="s">
        <v>121</v>
      </c>
      <c r="J2026" s="28">
        <v>29010</v>
      </c>
      <c r="K2026" s="27" t="s">
        <v>229</v>
      </c>
    </row>
    <row r="2027" spans="1:11">
      <c r="A2027">
        <v>2010</v>
      </c>
      <c r="D2027" s="28" t="s">
        <v>3946</v>
      </c>
      <c r="E2027" s="27" t="s">
        <v>3947</v>
      </c>
      <c r="G2027" s="27" t="s">
        <v>122</v>
      </c>
      <c r="I2027" s="27" t="s">
        <v>226</v>
      </c>
      <c r="J2027" s="28">
        <v>21541</v>
      </c>
      <c r="K2027" s="27" t="s">
        <v>411</v>
      </c>
    </row>
    <row r="2028" spans="1:11">
      <c r="A2028">
        <v>2011</v>
      </c>
      <c r="D2028" s="28" t="s">
        <v>3948</v>
      </c>
      <c r="E2028" s="27" t="s">
        <v>3949</v>
      </c>
      <c r="G2028" s="27" t="s">
        <v>122</v>
      </c>
      <c r="I2028" s="27" t="s">
        <v>226</v>
      </c>
      <c r="J2028" s="28">
        <v>21541</v>
      </c>
      <c r="K2028" s="27" t="s">
        <v>411</v>
      </c>
    </row>
    <row r="2029" spans="1:11">
      <c r="A2029">
        <v>2012</v>
      </c>
      <c r="D2029" s="28" t="s">
        <v>3950</v>
      </c>
      <c r="E2029" s="27" t="s">
        <v>146</v>
      </c>
      <c r="G2029" s="27" t="s">
        <v>122</v>
      </c>
      <c r="I2029" s="27" t="s">
        <v>226</v>
      </c>
      <c r="J2029" s="28">
        <v>29164</v>
      </c>
      <c r="K2029" s="27" t="s">
        <v>229</v>
      </c>
    </row>
    <row r="2030" spans="1:11">
      <c r="A2030">
        <v>2013</v>
      </c>
      <c r="D2030" s="28" t="s">
        <v>3951</v>
      </c>
      <c r="E2030" s="27" t="s">
        <v>3952</v>
      </c>
      <c r="G2030" s="27" t="s">
        <v>122</v>
      </c>
      <c r="I2030" s="27" t="s">
        <v>121</v>
      </c>
      <c r="J2030" s="28">
        <v>21205</v>
      </c>
      <c r="K2030" s="27" t="s">
        <v>395</v>
      </c>
    </row>
    <row r="2031" spans="1:11">
      <c r="A2031">
        <v>2014</v>
      </c>
      <c r="D2031" s="28" t="s">
        <v>3951</v>
      </c>
      <c r="E2031" s="27" t="s">
        <v>3952</v>
      </c>
      <c r="G2031" s="27" t="s">
        <v>122</v>
      </c>
      <c r="I2031" s="27" t="s">
        <v>226</v>
      </c>
      <c r="J2031" s="28">
        <v>21557</v>
      </c>
      <c r="K2031" s="27" t="s">
        <v>396</v>
      </c>
    </row>
    <row r="2032" spans="1:11">
      <c r="A2032">
        <v>2015</v>
      </c>
      <c r="D2032" s="28" t="s">
        <v>3953</v>
      </c>
      <c r="E2032" s="27" t="s">
        <v>3954</v>
      </c>
      <c r="G2032" s="27" t="s">
        <v>122</v>
      </c>
      <c r="I2032" s="27" t="s">
        <v>121</v>
      </c>
      <c r="J2032" s="28">
        <v>21160</v>
      </c>
      <c r="K2032" s="27" t="s">
        <v>401</v>
      </c>
    </row>
    <row r="2033" spans="1:11">
      <c r="A2033">
        <v>2016</v>
      </c>
      <c r="D2033" s="28" t="s">
        <v>3953</v>
      </c>
      <c r="E2033" s="27" t="s">
        <v>3954</v>
      </c>
      <c r="G2033" s="27" t="s">
        <v>122</v>
      </c>
      <c r="I2033" s="27" t="s">
        <v>226</v>
      </c>
      <c r="J2033" s="28">
        <v>21020</v>
      </c>
      <c r="K2033" s="27" t="s">
        <v>403</v>
      </c>
    </row>
    <row r="2034" spans="1:11">
      <c r="A2034">
        <v>2017</v>
      </c>
      <c r="D2034" s="28" t="s">
        <v>3955</v>
      </c>
      <c r="E2034" s="27" t="s">
        <v>3775</v>
      </c>
      <c r="G2034" s="27" t="s">
        <v>122</v>
      </c>
      <c r="I2034" s="27" t="s">
        <v>121</v>
      </c>
      <c r="J2034" s="28">
        <v>21205</v>
      </c>
      <c r="K2034" s="27" t="s">
        <v>395</v>
      </c>
    </row>
    <row r="2035" spans="1:11">
      <c r="A2035">
        <v>2018</v>
      </c>
      <c r="D2035" s="28" t="s">
        <v>3956</v>
      </c>
      <c r="E2035" s="27" t="s">
        <v>3781</v>
      </c>
      <c r="G2035" s="27" t="s">
        <v>122</v>
      </c>
      <c r="I2035" s="27" t="s">
        <v>226</v>
      </c>
      <c r="J2035" s="28">
        <v>29164</v>
      </c>
      <c r="K2035" s="27" t="s">
        <v>229</v>
      </c>
    </row>
    <row r="2036" spans="1:11">
      <c r="A2036">
        <v>2019</v>
      </c>
      <c r="D2036" s="28" t="s">
        <v>3957</v>
      </c>
      <c r="E2036" s="27" t="s">
        <v>3785</v>
      </c>
      <c r="G2036" s="27" t="s">
        <v>122</v>
      </c>
      <c r="I2036" s="27" t="s">
        <v>226</v>
      </c>
      <c r="J2036" s="28">
        <v>29164</v>
      </c>
      <c r="K2036" s="27" t="s">
        <v>229</v>
      </c>
    </row>
    <row r="2037" spans="1:11">
      <c r="A2037">
        <v>2020</v>
      </c>
      <c r="D2037" s="28" t="s">
        <v>3958</v>
      </c>
      <c r="E2037" s="27" t="s">
        <v>3959</v>
      </c>
      <c r="G2037" s="27" t="s">
        <v>122</v>
      </c>
      <c r="I2037" s="27" t="s">
        <v>226</v>
      </c>
      <c r="J2037" s="28">
        <v>29164</v>
      </c>
      <c r="K2037" s="27" t="s">
        <v>229</v>
      </c>
    </row>
    <row r="2038" spans="1:11">
      <c r="A2038">
        <v>2021</v>
      </c>
      <c r="D2038" s="28" t="s">
        <v>3960</v>
      </c>
      <c r="E2038" s="27" t="s">
        <v>788</v>
      </c>
      <c r="G2038" s="27" t="s">
        <v>122</v>
      </c>
      <c r="I2038" s="27" t="s">
        <v>121</v>
      </c>
      <c r="J2038" s="28">
        <v>29010</v>
      </c>
      <c r="K2038" s="27" t="s">
        <v>229</v>
      </c>
    </row>
    <row r="2039" spans="1:11">
      <c r="A2039">
        <v>2022</v>
      </c>
      <c r="D2039" s="28" t="s">
        <v>3960</v>
      </c>
      <c r="E2039" s="27" t="s">
        <v>788</v>
      </c>
      <c r="G2039" s="27" t="s">
        <v>122</v>
      </c>
      <c r="I2039" s="27" t="s">
        <v>226</v>
      </c>
      <c r="J2039" s="28">
        <v>29164</v>
      </c>
      <c r="K2039" s="27" t="s">
        <v>229</v>
      </c>
    </row>
    <row r="2040" spans="1:11">
      <c r="A2040">
        <v>2023</v>
      </c>
      <c r="D2040" s="28" t="s">
        <v>3961</v>
      </c>
      <c r="E2040" s="27" t="s">
        <v>3962</v>
      </c>
      <c r="G2040" s="27" t="s">
        <v>122</v>
      </c>
      <c r="I2040" s="27" t="s">
        <v>226</v>
      </c>
      <c r="J2040" s="28">
        <v>29164</v>
      </c>
      <c r="K2040" s="27" t="s">
        <v>229</v>
      </c>
    </row>
    <row r="2041" spans="1:11">
      <c r="A2041">
        <v>2024</v>
      </c>
      <c r="D2041" s="28" t="s">
        <v>3963</v>
      </c>
      <c r="E2041" s="27" t="s">
        <v>3964</v>
      </c>
      <c r="G2041" s="27" t="s">
        <v>122</v>
      </c>
      <c r="I2041" s="27" t="s">
        <v>226</v>
      </c>
      <c r="J2041" s="28">
        <v>29164</v>
      </c>
      <c r="K2041" s="27" t="s">
        <v>229</v>
      </c>
    </row>
    <row r="2042" spans="1:11">
      <c r="A2042">
        <v>2025</v>
      </c>
      <c r="D2042" s="28" t="s">
        <v>3965</v>
      </c>
      <c r="E2042" s="27" t="s">
        <v>3487</v>
      </c>
      <c r="G2042" s="27" t="s">
        <v>122</v>
      </c>
      <c r="I2042" s="27" t="s">
        <v>226</v>
      </c>
      <c r="J2042" s="28">
        <v>21557</v>
      </c>
      <c r="K2042" s="27" t="s">
        <v>396</v>
      </c>
    </row>
    <row r="2043" spans="1:11">
      <c r="A2043">
        <v>2026</v>
      </c>
      <c r="D2043" s="28" t="s">
        <v>3966</v>
      </c>
      <c r="E2043" s="27" t="s">
        <v>3967</v>
      </c>
      <c r="G2043" s="27" t="s">
        <v>122</v>
      </c>
      <c r="I2043" s="27" t="s">
        <v>226</v>
      </c>
      <c r="J2043" s="28">
        <v>21556</v>
      </c>
      <c r="K2043" s="27" t="s">
        <v>4508</v>
      </c>
    </row>
    <row r="2044" spans="1:11">
      <c r="A2044">
        <v>2027</v>
      </c>
      <c r="D2044" s="28" t="s">
        <v>3968</v>
      </c>
      <c r="E2044" s="27" t="s">
        <v>3969</v>
      </c>
      <c r="G2044" s="27" t="s">
        <v>122</v>
      </c>
      <c r="I2044" s="27" t="s">
        <v>121</v>
      </c>
      <c r="J2044" s="28">
        <v>21205</v>
      </c>
      <c r="K2044" s="27" t="s">
        <v>395</v>
      </c>
    </row>
    <row r="2045" spans="1:11">
      <c r="A2045">
        <v>2028</v>
      </c>
      <c r="D2045" s="28" t="s">
        <v>3968</v>
      </c>
      <c r="E2045" s="27" t="s">
        <v>3136</v>
      </c>
      <c r="G2045" s="27" t="s">
        <v>122</v>
      </c>
      <c r="I2045" s="27" t="s">
        <v>94</v>
      </c>
      <c r="J2045" s="28">
        <v>21205</v>
      </c>
      <c r="K2045" s="27" t="s">
        <v>395</v>
      </c>
    </row>
    <row r="2046" spans="1:11">
      <c r="A2046">
        <v>2029</v>
      </c>
      <c r="D2046" s="28" t="s">
        <v>3968</v>
      </c>
      <c r="E2046" s="27" t="s">
        <v>3136</v>
      </c>
      <c r="G2046" s="27" t="s">
        <v>122</v>
      </c>
      <c r="I2046" s="27" t="s">
        <v>226</v>
      </c>
      <c r="J2046" s="28">
        <v>21557</v>
      </c>
      <c r="K2046" s="27" t="s">
        <v>396</v>
      </c>
    </row>
    <row r="2047" spans="1:11">
      <c r="A2047">
        <v>2030</v>
      </c>
      <c r="D2047" s="28" t="s">
        <v>385</v>
      </c>
      <c r="E2047" s="27" t="s">
        <v>386</v>
      </c>
      <c r="G2047" s="27" t="s">
        <v>122</v>
      </c>
      <c r="I2047" s="27" t="s">
        <v>121</v>
      </c>
      <c r="J2047" s="28">
        <v>21697</v>
      </c>
      <c r="K2047" s="27" t="s">
        <v>227</v>
      </c>
    </row>
    <row r="2048" spans="1:11">
      <c r="A2048">
        <v>2031</v>
      </c>
      <c r="D2048" s="28" t="s">
        <v>385</v>
      </c>
      <c r="E2048" s="27" t="s">
        <v>386</v>
      </c>
      <c r="G2048" s="27" t="s">
        <v>122</v>
      </c>
      <c r="I2048" s="27" t="s">
        <v>121</v>
      </c>
      <c r="J2048" s="28">
        <v>21025</v>
      </c>
      <c r="K2048" s="27" t="s">
        <v>408</v>
      </c>
    </row>
    <row r="2049" spans="1:11">
      <c r="A2049">
        <v>2032</v>
      </c>
      <c r="D2049" s="28" t="s">
        <v>385</v>
      </c>
      <c r="E2049" s="27" t="s">
        <v>386</v>
      </c>
      <c r="G2049" s="27" t="s">
        <v>122</v>
      </c>
      <c r="I2049" s="27" t="s">
        <v>226</v>
      </c>
      <c r="J2049" s="28">
        <v>21590</v>
      </c>
      <c r="K2049" s="27" t="s">
        <v>397</v>
      </c>
    </row>
    <row r="2050" spans="1:11">
      <c r="A2050">
        <v>2033</v>
      </c>
      <c r="D2050" s="28" t="s">
        <v>3970</v>
      </c>
      <c r="E2050" s="27" t="s">
        <v>3971</v>
      </c>
      <c r="G2050" s="27" t="s">
        <v>122</v>
      </c>
      <c r="I2050" s="27" t="s">
        <v>226</v>
      </c>
      <c r="J2050" s="28">
        <v>21405</v>
      </c>
      <c r="K2050" s="27" t="s">
        <v>1239</v>
      </c>
    </row>
    <row r="2051" spans="1:11">
      <c r="A2051">
        <v>2034</v>
      </c>
      <c r="D2051" s="28" t="s">
        <v>3972</v>
      </c>
      <c r="E2051" s="27" t="s">
        <v>1662</v>
      </c>
      <c r="G2051" s="27" t="s">
        <v>122</v>
      </c>
      <c r="I2051" s="27" t="s">
        <v>226</v>
      </c>
      <c r="J2051" s="28">
        <v>21405</v>
      </c>
      <c r="K2051" s="27" t="s">
        <v>1239</v>
      </c>
    </row>
    <row r="2052" spans="1:11">
      <c r="A2052">
        <v>2035</v>
      </c>
      <c r="D2052" s="28" t="s">
        <v>3973</v>
      </c>
      <c r="E2052" s="27" t="s">
        <v>3974</v>
      </c>
      <c r="G2052" s="27" t="s">
        <v>122</v>
      </c>
      <c r="I2052" s="27" t="s">
        <v>226</v>
      </c>
      <c r="J2052" s="28">
        <v>21405</v>
      </c>
      <c r="K2052" s="27" t="s">
        <v>1239</v>
      </c>
    </row>
    <row r="2053" spans="1:11">
      <c r="A2053">
        <v>2036</v>
      </c>
      <c r="D2053" s="28" t="s">
        <v>3975</v>
      </c>
      <c r="E2053" s="27" t="s">
        <v>3976</v>
      </c>
      <c r="G2053" s="27" t="s">
        <v>122</v>
      </c>
      <c r="I2053" s="27" t="s">
        <v>226</v>
      </c>
      <c r="J2053" s="28">
        <v>29164</v>
      </c>
      <c r="K2053" s="27" t="s">
        <v>229</v>
      </c>
    </row>
    <row r="2054" spans="1:11">
      <c r="A2054">
        <v>2037</v>
      </c>
      <c r="D2054" s="28" t="s">
        <v>3977</v>
      </c>
      <c r="E2054" s="27" t="s">
        <v>3978</v>
      </c>
      <c r="G2054" s="27" t="s">
        <v>122</v>
      </c>
      <c r="I2054" s="27" t="s">
        <v>226</v>
      </c>
      <c r="J2054" s="28">
        <v>29164</v>
      </c>
      <c r="K2054" s="27" t="s">
        <v>229</v>
      </c>
    </row>
    <row r="2055" spans="1:11">
      <c r="A2055">
        <v>2038</v>
      </c>
      <c r="D2055" s="28" t="s">
        <v>3979</v>
      </c>
      <c r="E2055" s="27" t="s">
        <v>836</v>
      </c>
      <c r="G2055" s="27" t="s">
        <v>122</v>
      </c>
      <c r="I2055" s="27" t="s">
        <v>226</v>
      </c>
      <c r="J2055" s="28">
        <v>29164</v>
      </c>
      <c r="K2055" s="27" t="s">
        <v>229</v>
      </c>
    </row>
    <row r="2056" spans="1:11">
      <c r="A2056">
        <v>2039</v>
      </c>
      <c r="D2056" s="28" t="s">
        <v>3980</v>
      </c>
      <c r="E2056" s="27" t="s">
        <v>838</v>
      </c>
      <c r="G2056" s="27" t="s">
        <v>122</v>
      </c>
      <c r="I2056" s="27" t="s">
        <v>226</v>
      </c>
      <c r="J2056" s="28">
        <v>29164</v>
      </c>
      <c r="K2056" s="27" t="s">
        <v>229</v>
      </c>
    </row>
    <row r="2057" spans="1:11">
      <c r="A2057">
        <v>2040</v>
      </c>
      <c r="D2057" s="28" t="s">
        <v>3981</v>
      </c>
      <c r="E2057" s="27" t="s">
        <v>176</v>
      </c>
      <c r="G2057" s="27" t="s">
        <v>122</v>
      </c>
      <c r="I2057" s="27" t="s">
        <v>226</v>
      </c>
      <c r="J2057" s="28">
        <v>29164</v>
      </c>
      <c r="K2057" s="27" t="s">
        <v>229</v>
      </c>
    </row>
    <row r="2058" spans="1:11">
      <c r="A2058">
        <v>2041</v>
      </c>
      <c r="D2058" s="28" t="s">
        <v>3982</v>
      </c>
      <c r="E2058" s="27" t="s">
        <v>3983</v>
      </c>
      <c r="G2058" s="27" t="s">
        <v>122</v>
      </c>
      <c r="I2058" s="27" t="s">
        <v>226</v>
      </c>
      <c r="J2058" s="28">
        <v>29164</v>
      </c>
      <c r="K2058" s="27" t="s">
        <v>229</v>
      </c>
    </row>
    <row r="2059" spans="1:11">
      <c r="A2059">
        <v>2042</v>
      </c>
      <c r="D2059" s="28" t="s">
        <v>3984</v>
      </c>
      <c r="E2059" s="27" t="s">
        <v>3971</v>
      </c>
      <c r="G2059" s="27" t="s">
        <v>122</v>
      </c>
      <c r="I2059" s="27" t="s">
        <v>226</v>
      </c>
      <c r="J2059" s="28">
        <v>21405</v>
      </c>
      <c r="K2059" s="27" t="s">
        <v>1239</v>
      </c>
    </row>
    <row r="2060" spans="1:11">
      <c r="A2060">
        <v>2043</v>
      </c>
      <c r="D2060" s="28" t="s">
        <v>3985</v>
      </c>
      <c r="E2060" s="27" t="s">
        <v>3974</v>
      </c>
      <c r="G2060" s="27" t="s">
        <v>122</v>
      </c>
      <c r="I2060" s="27" t="s">
        <v>226</v>
      </c>
      <c r="J2060" s="28">
        <v>21405</v>
      </c>
      <c r="K2060" s="27" t="s">
        <v>1239</v>
      </c>
    </row>
    <row r="2061" spans="1:11">
      <c r="A2061">
        <v>2044</v>
      </c>
      <c r="D2061" s="28" t="s">
        <v>3986</v>
      </c>
      <c r="E2061" s="27" t="s">
        <v>3987</v>
      </c>
      <c r="G2061" s="27" t="s">
        <v>122</v>
      </c>
      <c r="I2061" s="27" t="s">
        <v>226</v>
      </c>
      <c r="J2061" s="28">
        <v>21405</v>
      </c>
      <c r="K2061" s="27" t="s">
        <v>1239</v>
      </c>
    </row>
    <row r="2062" spans="1:11">
      <c r="A2062">
        <v>2045</v>
      </c>
      <c r="D2062" s="28" t="s">
        <v>3988</v>
      </c>
      <c r="E2062" s="27" t="s">
        <v>1677</v>
      </c>
      <c r="G2062" s="27" t="s">
        <v>122</v>
      </c>
      <c r="I2062" s="27" t="s">
        <v>226</v>
      </c>
      <c r="J2062" s="28">
        <v>29164</v>
      </c>
      <c r="K2062" s="27" t="s">
        <v>229</v>
      </c>
    </row>
    <row r="2063" spans="1:11">
      <c r="A2063">
        <v>2046</v>
      </c>
      <c r="D2063" s="28" t="s">
        <v>3989</v>
      </c>
      <c r="E2063" s="27" t="s">
        <v>792</v>
      </c>
      <c r="G2063" s="27" t="s">
        <v>122</v>
      </c>
      <c r="I2063" s="27" t="s">
        <v>226</v>
      </c>
      <c r="J2063" s="28">
        <v>29164</v>
      </c>
      <c r="K2063" s="27" t="s">
        <v>229</v>
      </c>
    </row>
    <row r="2064" spans="1:11">
      <c r="A2064">
        <v>2047</v>
      </c>
      <c r="D2064" s="28" t="s">
        <v>3990</v>
      </c>
      <c r="E2064" s="27" t="s">
        <v>3683</v>
      </c>
      <c r="G2064" s="27" t="s">
        <v>122</v>
      </c>
      <c r="I2064" s="27" t="s">
        <v>226</v>
      </c>
      <c r="J2064" s="28">
        <v>29164</v>
      </c>
      <c r="K2064" s="27" t="s">
        <v>229</v>
      </c>
    </row>
    <row r="2065" spans="1:11">
      <c r="A2065">
        <v>2048</v>
      </c>
      <c r="D2065" s="28" t="s">
        <v>3991</v>
      </c>
      <c r="E2065" s="27" t="s">
        <v>3992</v>
      </c>
      <c r="G2065" s="27" t="s">
        <v>122</v>
      </c>
      <c r="I2065" s="27" t="s">
        <v>226</v>
      </c>
      <c r="J2065" s="28">
        <v>29164</v>
      </c>
      <c r="K2065" s="27" t="s">
        <v>229</v>
      </c>
    </row>
    <row r="2066" spans="1:11">
      <c r="A2066">
        <v>2049</v>
      </c>
      <c r="D2066" s="28" t="s">
        <v>3993</v>
      </c>
      <c r="E2066" s="27" t="s">
        <v>3685</v>
      </c>
      <c r="G2066" s="27" t="s">
        <v>122</v>
      </c>
      <c r="I2066" s="27" t="s">
        <v>226</v>
      </c>
      <c r="J2066" s="28">
        <v>29164</v>
      </c>
      <c r="K2066" s="27" t="s">
        <v>229</v>
      </c>
    </row>
    <row r="2067" spans="1:11">
      <c r="A2067">
        <v>2050</v>
      </c>
      <c r="D2067" s="28" t="s">
        <v>3994</v>
      </c>
      <c r="E2067" s="27" t="s">
        <v>3995</v>
      </c>
      <c r="G2067" s="27" t="s">
        <v>122</v>
      </c>
      <c r="I2067" s="27" t="s">
        <v>226</v>
      </c>
      <c r="J2067" s="28">
        <v>29164</v>
      </c>
      <c r="K2067" s="27" t="s">
        <v>229</v>
      </c>
    </row>
    <row r="2068" spans="1:11">
      <c r="A2068">
        <v>2051</v>
      </c>
      <c r="D2068" s="28" t="s">
        <v>3996</v>
      </c>
      <c r="E2068" s="27" t="s">
        <v>3997</v>
      </c>
      <c r="G2068" s="27" t="s">
        <v>122</v>
      </c>
      <c r="I2068" s="27" t="s">
        <v>226</v>
      </c>
      <c r="J2068" s="28">
        <v>29164</v>
      </c>
      <c r="K2068" s="27" t="s">
        <v>229</v>
      </c>
    </row>
    <row r="2069" spans="1:11">
      <c r="A2069">
        <v>2052</v>
      </c>
      <c r="D2069" s="28" t="s">
        <v>3998</v>
      </c>
      <c r="E2069" s="27" t="s">
        <v>3999</v>
      </c>
      <c r="G2069" s="27" t="s">
        <v>122</v>
      </c>
      <c r="I2069" s="27" t="s">
        <v>226</v>
      </c>
      <c r="J2069" s="28">
        <v>29164</v>
      </c>
      <c r="K2069" s="27" t="s">
        <v>229</v>
      </c>
    </row>
    <row r="2070" spans="1:11">
      <c r="A2070">
        <v>2053</v>
      </c>
      <c r="D2070" s="28" t="s">
        <v>4000</v>
      </c>
      <c r="E2070" s="27" t="s">
        <v>4001</v>
      </c>
      <c r="G2070" s="27" t="s">
        <v>122</v>
      </c>
      <c r="I2070" s="27" t="s">
        <v>226</v>
      </c>
      <c r="J2070" s="28">
        <v>29164</v>
      </c>
      <c r="K2070" s="27" t="s">
        <v>229</v>
      </c>
    </row>
    <row r="2071" spans="1:11">
      <c r="A2071">
        <v>2054</v>
      </c>
      <c r="D2071" s="28" t="s">
        <v>4002</v>
      </c>
      <c r="E2071" s="27" t="s">
        <v>4003</v>
      </c>
      <c r="G2071" s="27" t="s">
        <v>122</v>
      </c>
      <c r="I2071" s="27" t="s">
        <v>226</v>
      </c>
      <c r="J2071" s="28">
        <v>21628</v>
      </c>
      <c r="K2071" s="27" t="s">
        <v>4502</v>
      </c>
    </row>
    <row r="2072" spans="1:11">
      <c r="A2072">
        <v>2055</v>
      </c>
      <c r="D2072" s="28" t="s">
        <v>4002</v>
      </c>
      <c r="E2072" s="27" t="s">
        <v>4003</v>
      </c>
      <c r="G2072" s="27" t="s">
        <v>122</v>
      </c>
      <c r="I2072" s="27" t="s">
        <v>226</v>
      </c>
      <c r="J2072" s="28">
        <v>21595</v>
      </c>
      <c r="K2072" s="27" t="s">
        <v>403</v>
      </c>
    </row>
    <row r="2073" spans="1:11">
      <c r="A2073">
        <v>2056</v>
      </c>
      <c r="D2073" s="28" t="s">
        <v>4004</v>
      </c>
      <c r="E2073" s="27" t="s">
        <v>4005</v>
      </c>
      <c r="G2073" s="27" t="s">
        <v>122</v>
      </c>
      <c r="I2073" s="27" t="s">
        <v>226</v>
      </c>
      <c r="J2073" s="28">
        <v>29164</v>
      </c>
      <c r="K2073" s="27" t="s">
        <v>229</v>
      </c>
    </row>
    <row r="2074" spans="1:11">
      <c r="A2074">
        <v>2057</v>
      </c>
      <c r="D2074" s="28" t="s">
        <v>4006</v>
      </c>
      <c r="E2074" s="27" t="s">
        <v>4007</v>
      </c>
      <c r="G2074" s="27" t="s">
        <v>122</v>
      </c>
      <c r="I2074" s="27" t="s">
        <v>226</v>
      </c>
      <c r="J2074" s="28">
        <v>29164</v>
      </c>
      <c r="K2074" s="27" t="s">
        <v>229</v>
      </c>
    </row>
    <row r="2075" spans="1:11">
      <c r="A2075">
        <v>2058</v>
      </c>
      <c r="D2075" s="28" t="s">
        <v>4008</v>
      </c>
      <c r="E2075" s="27" t="s">
        <v>4009</v>
      </c>
      <c r="G2075" s="27" t="s">
        <v>122</v>
      </c>
      <c r="I2075" s="27" t="s">
        <v>121</v>
      </c>
      <c r="J2075" s="28">
        <v>29010</v>
      </c>
      <c r="K2075" s="27" t="s">
        <v>229</v>
      </c>
    </row>
    <row r="2076" spans="1:11">
      <c r="A2076">
        <v>2059</v>
      </c>
      <c r="D2076" s="28" t="s">
        <v>4010</v>
      </c>
      <c r="E2076" s="27" t="s">
        <v>4011</v>
      </c>
      <c r="G2076" s="27" t="s">
        <v>122</v>
      </c>
      <c r="I2076" s="27" t="s">
        <v>226</v>
      </c>
      <c r="J2076" s="28">
        <v>29164</v>
      </c>
      <c r="K2076" s="27" t="s">
        <v>229</v>
      </c>
    </row>
    <row r="2077" spans="1:11">
      <c r="A2077">
        <v>2060</v>
      </c>
      <c r="D2077" s="28" t="s">
        <v>4012</v>
      </c>
      <c r="E2077" s="27" t="s">
        <v>4013</v>
      </c>
      <c r="G2077" s="27" t="s">
        <v>122</v>
      </c>
      <c r="I2077" s="27" t="s">
        <v>226</v>
      </c>
      <c r="J2077" s="28">
        <v>21628</v>
      </c>
      <c r="K2077" s="27" t="s">
        <v>4502</v>
      </c>
    </row>
    <row r="2078" spans="1:11">
      <c r="A2078">
        <v>2061</v>
      </c>
      <c r="D2078" s="28" t="s">
        <v>4012</v>
      </c>
      <c r="E2078" s="27" t="s">
        <v>4013</v>
      </c>
      <c r="G2078" s="27" t="s">
        <v>122</v>
      </c>
      <c r="I2078" s="27" t="s">
        <v>226</v>
      </c>
      <c r="J2078" s="28">
        <v>21020</v>
      </c>
      <c r="K2078" s="27" t="s">
        <v>403</v>
      </c>
    </row>
    <row r="2079" spans="1:11">
      <c r="A2079">
        <v>2062</v>
      </c>
      <c r="D2079" s="28" t="s">
        <v>4014</v>
      </c>
      <c r="E2079" s="27" t="s">
        <v>4015</v>
      </c>
      <c r="G2079" s="27" t="s">
        <v>122</v>
      </c>
      <c r="I2079" s="27" t="s">
        <v>226</v>
      </c>
      <c r="J2079" s="28">
        <v>29164</v>
      </c>
      <c r="K2079" s="27" t="s">
        <v>229</v>
      </c>
    </row>
    <row r="2080" spans="1:11">
      <c r="A2080">
        <v>2063</v>
      </c>
      <c r="D2080" s="28" t="s">
        <v>4016</v>
      </c>
      <c r="E2080" s="27" t="s">
        <v>3501</v>
      </c>
      <c r="G2080" s="27" t="s">
        <v>122</v>
      </c>
      <c r="I2080" s="27" t="s">
        <v>226</v>
      </c>
      <c r="J2080" s="28">
        <v>29164</v>
      </c>
      <c r="K2080" s="27" t="s">
        <v>229</v>
      </c>
    </row>
    <row r="2081" spans="1:11">
      <c r="A2081">
        <v>2064</v>
      </c>
      <c r="D2081" s="28" t="s">
        <v>4017</v>
      </c>
      <c r="E2081" s="27" t="s">
        <v>792</v>
      </c>
      <c r="G2081" s="27" t="s">
        <v>122</v>
      </c>
      <c r="I2081" s="27" t="s">
        <v>226</v>
      </c>
      <c r="J2081" s="28">
        <v>29164</v>
      </c>
      <c r="K2081" s="27" t="s">
        <v>229</v>
      </c>
    </row>
    <row r="2082" spans="1:11">
      <c r="A2082">
        <v>2065</v>
      </c>
      <c r="D2082" s="28" t="s">
        <v>4018</v>
      </c>
      <c r="E2082" s="27" t="s">
        <v>794</v>
      </c>
      <c r="G2082" s="27" t="s">
        <v>122</v>
      </c>
      <c r="I2082" s="27" t="s">
        <v>226</v>
      </c>
      <c r="J2082" s="28">
        <v>29164</v>
      </c>
      <c r="K2082" s="27" t="s">
        <v>229</v>
      </c>
    </row>
    <row r="2083" spans="1:11">
      <c r="A2083">
        <v>2066</v>
      </c>
      <c r="D2083" s="28" t="s">
        <v>4019</v>
      </c>
      <c r="E2083" s="27" t="s">
        <v>174</v>
      </c>
      <c r="G2083" s="27" t="s">
        <v>122</v>
      </c>
      <c r="I2083" s="27" t="s">
        <v>226</v>
      </c>
      <c r="J2083" s="28">
        <v>29164</v>
      </c>
      <c r="K2083" s="27" t="s">
        <v>229</v>
      </c>
    </row>
    <row r="2084" spans="1:11">
      <c r="A2084">
        <v>2067</v>
      </c>
      <c r="D2084" s="28" t="s">
        <v>4020</v>
      </c>
      <c r="E2084" s="27" t="s">
        <v>1662</v>
      </c>
      <c r="G2084" s="27" t="s">
        <v>122</v>
      </c>
      <c r="I2084" s="27" t="s">
        <v>226</v>
      </c>
      <c r="J2084" s="28">
        <v>29164</v>
      </c>
      <c r="K2084" s="27" t="s">
        <v>229</v>
      </c>
    </row>
    <row r="2085" spans="1:11">
      <c r="A2085">
        <v>2068</v>
      </c>
      <c r="D2085" s="28" t="s">
        <v>4021</v>
      </c>
      <c r="E2085" s="27" t="s">
        <v>836</v>
      </c>
      <c r="G2085" s="27" t="s">
        <v>122</v>
      </c>
      <c r="I2085" s="27" t="s">
        <v>226</v>
      </c>
      <c r="J2085" s="28">
        <v>29164</v>
      </c>
      <c r="K2085" s="27" t="s">
        <v>229</v>
      </c>
    </row>
    <row r="2086" spans="1:11">
      <c r="A2086">
        <v>2069</v>
      </c>
      <c r="D2086" s="28" t="s">
        <v>4022</v>
      </c>
      <c r="E2086" s="27" t="s">
        <v>838</v>
      </c>
      <c r="G2086" s="27" t="s">
        <v>122</v>
      </c>
      <c r="I2086" s="27" t="s">
        <v>226</v>
      </c>
      <c r="J2086" s="28">
        <v>29164</v>
      </c>
      <c r="K2086" s="27" t="s">
        <v>229</v>
      </c>
    </row>
    <row r="2087" spans="1:11">
      <c r="A2087">
        <v>2070</v>
      </c>
      <c r="D2087" s="28" t="s">
        <v>4023</v>
      </c>
      <c r="E2087" s="27" t="s">
        <v>176</v>
      </c>
      <c r="G2087" s="27" t="s">
        <v>122</v>
      </c>
      <c r="I2087" s="27" t="s">
        <v>226</v>
      </c>
      <c r="J2087" s="28">
        <v>29164</v>
      </c>
      <c r="K2087" s="27" t="s">
        <v>229</v>
      </c>
    </row>
    <row r="2088" spans="1:11">
      <c r="A2088">
        <v>2071</v>
      </c>
      <c r="D2088" s="28" t="s">
        <v>4024</v>
      </c>
      <c r="E2088" s="27" t="s">
        <v>4025</v>
      </c>
      <c r="G2088" s="27" t="s">
        <v>122</v>
      </c>
      <c r="I2088" s="27" t="s">
        <v>226</v>
      </c>
      <c r="J2088" s="28">
        <v>29164</v>
      </c>
      <c r="K2088" s="27" t="s">
        <v>229</v>
      </c>
    </row>
    <row r="2089" spans="1:11">
      <c r="A2089">
        <v>2072</v>
      </c>
      <c r="D2089" s="28" t="s">
        <v>4026</v>
      </c>
      <c r="E2089" s="27" t="s">
        <v>4027</v>
      </c>
      <c r="G2089" s="27" t="s">
        <v>122</v>
      </c>
      <c r="I2089" s="27" t="s">
        <v>226</v>
      </c>
      <c r="J2089" s="28">
        <v>29164</v>
      </c>
      <c r="K2089" s="27" t="s">
        <v>229</v>
      </c>
    </row>
    <row r="2090" spans="1:11">
      <c r="A2090">
        <v>2073</v>
      </c>
      <c r="D2090" s="28" t="s">
        <v>4028</v>
      </c>
      <c r="E2090" s="27" t="s">
        <v>4029</v>
      </c>
      <c r="G2090" s="27" t="s">
        <v>122</v>
      </c>
      <c r="I2090" s="27" t="s">
        <v>226</v>
      </c>
      <c r="J2090" s="28">
        <v>29164</v>
      </c>
      <c r="K2090" s="27" t="s">
        <v>229</v>
      </c>
    </row>
    <row r="2091" spans="1:11">
      <c r="A2091">
        <v>2074</v>
      </c>
      <c r="D2091" s="28" t="s">
        <v>4030</v>
      </c>
      <c r="E2091" s="27" t="s">
        <v>3683</v>
      </c>
      <c r="G2091" s="27" t="s">
        <v>122</v>
      </c>
      <c r="I2091" s="27" t="s">
        <v>226</v>
      </c>
      <c r="J2091" s="28">
        <v>29164</v>
      </c>
      <c r="K2091" s="27" t="s">
        <v>229</v>
      </c>
    </row>
    <row r="2092" spans="1:11">
      <c r="A2092">
        <v>2075</v>
      </c>
      <c r="D2092" s="28" t="s">
        <v>4031</v>
      </c>
      <c r="E2092" s="27" t="s">
        <v>3685</v>
      </c>
      <c r="G2092" s="27" t="s">
        <v>122</v>
      </c>
      <c r="I2092" s="27" t="s">
        <v>226</v>
      </c>
      <c r="J2092" s="28">
        <v>29164</v>
      </c>
      <c r="K2092" s="27" t="s">
        <v>229</v>
      </c>
    </row>
    <row r="2093" spans="1:11">
      <c r="A2093">
        <v>2076</v>
      </c>
      <c r="D2093" s="28" t="s">
        <v>4032</v>
      </c>
      <c r="E2093" s="27" t="s">
        <v>1536</v>
      </c>
      <c r="G2093" s="27" t="s">
        <v>122</v>
      </c>
      <c r="I2093" s="27" t="s">
        <v>226</v>
      </c>
      <c r="J2093" s="28">
        <v>29164</v>
      </c>
      <c r="K2093" s="27" t="s">
        <v>229</v>
      </c>
    </row>
    <row r="2094" spans="1:11">
      <c r="A2094">
        <v>2077</v>
      </c>
      <c r="D2094" s="28" t="s">
        <v>4033</v>
      </c>
      <c r="E2094" s="27" t="s">
        <v>1538</v>
      </c>
      <c r="G2094" s="27" t="s">
        <v>122</v>
      </c>
      <c r="I2094" s="27" t="s">
        <v>226</v>
      </c>
      <c r="J2094" s="28">
        <v>29164</v>
      </c>
      <c r="K2094" s="27" t="s">
        <v>229</v>
      </c>
    </row>
    <row r="2095" spans="1:11">
      <c r="A2095">
        <v>2078</v>
      </c>
      <c r="D2095" s="28" t="s">
        <v>4034</v>
      </c>
      <c r="E2095" s="27" t="s">
        <v>3567</v>
      </c>
      <c r="G2095" s="27" t="s">
        <v>122</v>
      </c>
      <c r="I2095" s="27" t="s">
        <v>226</v>
      </c>
      <c r="J2095" s="28">
        <v>29164</v>
      </c>
      <c r="K2095" s="27" t="s">
        <v>229</v>
      </c>
    </row>
    <row r="2096" spans="1:11">
      <c r="A2096">
        <v>2079</v>
      </c>
      <c r="D2096" s="28" t="s">
        <v>4035</v>
      </c>
      <c r="E2096" s="27" t="s">
        <v>3569</v>
      </c>
      <c r="G2096" s="27" t="s">
        <v>122</v>
      </c>
      <c r="I2096" s="27" t="s">
        <v>226</v>
      </c>
      <c r="J2096" s="28">
        <v>29164</v>
      </c>
      <c r="K2096" s="27" t="s">
        <v>229</v>
      </c>
    </row>
    <row r="2097" spans="1:11">
      <c r="A2097">
        <v>2080</v>
      </c>
      <c r="D2097" s="28" t="s">
        <v>4036</v>
      </c>
      <c r="E2097" s="27" t="s">
        <v>4037</v>
      </c>
      <c r="G2097" s="27" t="s">
        <v>122</v>
      </c>
      <c r="I2097" s="27" t="s">
        <v>226</v>
      </c>
      <c r="J2097" s="28">
        <v>29164</v>
      </c>
      <c r="K2097" s="27" t="s">
        <v>229</v>
      </c>
    </row>
    <row r="2098" spans="1:11">
      <c r="A2098">
        <v>2081</v>
      </c>
      <c r="D2098" s="28" t="s">
        <v>4038</v>
      </c>
      <c r="E2098" s="27" t="s">
        <v>4039</v>
      </c>
      <c r="G2098" s="27" t="s">
        <v>122</v>
      </c>
      <c r="I2098" s="27" t="s">
        <v>226</v>
      </c>
      <c r="J2098" s="28">
        <v>29164</v>
      </c>
      <c r="K2098" s="27" t="s">
        <v>229</v>
      </c>
    </row>
    <row r="2099" spans="1:11">
      <c r="A2099">
        <v>2082</v>
      </c>
      <c r="D2099" s="28" t="s">
        <v>4040</v>
      </c>
      <c r="E2099" s="27" t="s">
        <v>3588</v>
      </c>
      <c r="G2099" s="27" t="s">
        <v>122</v>
      </c>
      <c r="I2099" s="27" t="s">
        <v>226</v>
      </c>
      <c r="J2099" s="28">
        <v>29164</v>
      </c>
      <c r="K2099" s="27" t="s">
        <v>229</v>
      </c>
    </row>
    <row r="2100" spans="1:11">
      <c r="A2100">
        <v>2083</v>
      </c>
      <c r="D2100" s="28" t="s">
        <v>4041</v>
      </c>
      <c r="E2100" s="27" t="s">
        <v>4042</v>
      </c>
      <c r="G2100" s="27" t="s">
        <v>122</v>
      </c>
      <c r="I2100" s="27" t="s">
        <v>226</v>
      </c>
      <c r="J2100" s="28">
        <v>29164</v>
      </c>
      <c r="K2100" s="27" t="s">
        <v>229</v>
      </c>
    </row>
    <row r="2101" spans="1:11">
      <c r="A2101">
        <v>2084</v>
      </c>
      <c r="D2101" s="28" t="s">
        <v>4043</v>
      </c>
      <c r="E2101" s="27" t="s">
        <v>4044</v>
      </c>
      <c r="G2101" s="27" t="s">
        <v>122</v>
      </c>
      <c r="I2101" s="27" t="s">
        <v>226</v>
      </c>
      <c r="J2101" s="28">
        <v>29164</v>
      </c>
      <c r="K2101" s="27" t="s">
        <v>229</v>
      </c>
    </row>
    <row r="2102" spans="1:11">
      <c r="A2102">
        <v>2085</v>
      </c>
      <c r="D2102" s="28" t="s">
        <v>4045</v>
      </c>
      <c r="E2102" s="27" t="s">
        <v>4046</v>
      </c>
      <c r="G2102" s="27" t="s">
        <v>122</v>
      </c>
      <c r="I2102" s="27" t="s">
        <v>226</v>
      </c>
      <c r="J2102" s="28">
        <v>29164</v>
      </c>
      <c r="K2102" s="27" t="s">
        <v>229</v>
      </c>
    </row>
    <row r="2103" spans="1:11">
      <c r="A2103">
        <v>2086</v>
      </c>
      <c r="D2103" s="28" t="s">
        <v>4047</v>
      </c>
      <c r="E2103" s="27" t="s">
        <v>4048</v>
      </c>
      <c r="G2103" s="27" t="s">
        <v>122</v>
      </c>
      <c r="I2103" s="27" t="s">
        <v>226</v>
      </c>
      <c r="J2103" s="28">
        <v>29164</v>
      </c>
      <c r="K2103" s="27" t="s">
        <v>229</v>
      </c>
    </row>
    <row r="2104" spans="1:11">
      <c r="A2104">
        <v>2087</v>
      </c>
      <c r="D2104" s="28" t="s">
        <v>4049</v>
      </c>
      <c r="E2104" s="27" t="s">
        <v>4050</v>
      </c>
      <c r="G2104" s="27" t="s">
        <v>122</v>
      </c>
      <c r="I2104" s="27" t="s">
        <v>226</v>
      </c>
      <c r="J2104" s="28">
        <v>29164</v>
      </c>
      <c r="K2104" s="27" t="s">
        <v>229</v>
      </c>
    </row>
    <row r="2105" spans="1:11">
      <c r="A2105">
        <v>2088</v>
      </c>
      <c r="D2105" s="28" t="s">
        <v>4051</v>
      </c>
      <c r="E2105" s="27" t="s">
        <v>782</v>
      </c>
      <c r="G2105" s="27" t="s">
        <v>122</v>
      </c>
      <c r="I2105" s="27" t="s">
        <v>226</v>
      </c>
      <c r="J2105" s="28">
        <v>29164</v>
      </c>
      <c r="K2105" s="27" t="s">
        <v>229</v>
      </c>
    </row>
    <row r="2106" spans="1:11">
      <c r="A2106">
        <v>2089</v>
      </c>
      <c r="D2106" s="28" t="s">
        <v>4052</v>
      </c>
      <c r="E2106" s="27" t="s">
        <v>784</v>
      </c>
      <c r="G2106" s="27" t="s">
        <v>122</v>
      </c>
      <c r="I2106" s="27" t="s">
        <v>226</v>
      </c>
      <c r="J2106" s="28">
        <v>29164</v>
      </c>
      <c r="K2106" s="27" t="s">
        <v>229</v>
      </c>
    </row>
    <row r="2107" spans="1:11">
      <c r="A2107">
        <v>2090</v>
      </c>
      <c r="D2107" s="28" t="s">
        <v>4053</v>
      </c>
      <c r="E2107" s="27" t="s">
        <v>4054</v>
      </c>
      <c r="G2107" s="27" t="s">
        <v>122</v>
      </c>
      <c r="I2107" s="27" t="s">
        <v>226</v>
      </c>
      <c r="J2107" s="28">
        <v>29164</v>
      </c>
      <c r="K2107" s="27" t="s">
        <v>229</v>
      </c>
    </row>
    <row r="2108" spans="1:11">
      <c r="A2108">
        <v>2091</v>
      </c>
      <c r="D2108" s="28" t="s">
        <v>4055</v>
      </c>
      <c r="E2108" s="27" t="s">
        <v>4056</v>
      </c>
      <c r="G2108" s="27" t="s">
        <v>122</v>
      </c>
      <c r="I2108" s="27" t="s">
        <v>226</v>
      </c>
      <c r="J2108" s="28">
        <v>29164</v>
      </c>
      <c r="K2108" s="27" t="s">
        <v>229</v>
      </c>
    </row>
    <row r="2109" spans="1:11">
      <c r="A2109">
        <v>2092</v>
      </c>
      <c r="D2109" s="28" t="s">
        <v>4057</v>
      </c>
      <c r="E2109" s="27" t="s">
        <v>4058</v>
      </c>
      <c r="G2109" s="27" t="s">
        <v>122</v>
      </c>
      <c r="I2109" s="27" t="s">
        <v>226</v>
      </c>
      <c r="J2109" s="28">
        <v>29164</v>
      </c>
      <c r="K2109" s="27" t="s">
        <v>229</v>
      </c>
    </row>
    <row r="2110" spans="1:11">
      <c r="A2110">
        <v>2093</v>
      </c>
      <c r="D2110" s="28" t="s">
        <v>4059</v>
      </c>
      <c r="E2110" s="27" t="s">
        <v>799</v>
      </c>
      <c r="G2110" s="27" t="s">
        <v>122</v>
      </c>
      <c r="I2110" s="27" t="s">
        <v>226</v>
      </c>
      <c r="J2110" s="28">
        <v>29164</v>
      </c>
      <c r="K2110" s="27" t="s">
        <v>229</v>
      </c>
    </row>
    <row r="2111" spans="1:11">
      <c r="A2111">
        <v>2094</v>
      </c>
      <c r="D2111" s="28" t="s">
        <v>4060</v>
      </c>
      <c r="E2111" s="27" t="s">
        <v>4061</v>
      </c>
      <c r="G2111" s="27" t="s">
        <v>122</v>
      </c>
      <c r="I2111" s="27" t="s">
        <v>121</v>
      </c>
      <c r="J2111" s="28">
        <v>20900</v>
      </c>
      <c r="K2111" s="27" t="s">
        <v>1246</v>
      </c>
    </row>
    <row r="2112" spans="1:11">
      <c r="A2112">
        <v>2095</v>
      </c>
      <c r="D2112" s="28" t="s">
        <v>4060</v>
      </c>
      <c r="E2112" s="27" t="s">
        <v>4061</v>
      </c>
      <c r="G2112" s="27" t="s">
        <v>122</v>
      </c>
      <c r="I2112" s="27" t="s">
        <v>226</v>
      </c>
      <c r="J2112" s="28">
        <v>21556</v>
      </c>
      <c r="K2112" s="27" t="s">
        <v>4508</v>
      </c>
    </row>
    <row r="2113" spans="1:11">
      <c r="A2113">
        <v>2096</v>
      </c>
      <c r="D2113" s="28" t="s">
        <v>4062</v>
      </c>
      <c r="E2113" s="27" t="s">
        <v>1660</v>
      </c>
      <c r="G2113" s="27" t="s">
        <v>122</v>
      </c>
      <c r="I2113" s="27" t="s">
        <v>226</v>
      </c>
      <c r="J2113" s="28">
        <v>21405</v>
      </c>
      <c r="K2113" s="27" t="s">
        <v>1239</v>
      </c>
    </row>
    <row r="2114" spans="1:11">
      <c r="A2114">
        <v>2097</v>
      </c>
      <c r="D2114" s="28" t="s">
        <v>4063</v>
      </c>
      <c r="E2114" s="27" t="s">
        <v>3599</v>
      </c>
      <c r="G2114" s="27" t="s">
        <v>122</v>
      </c>
      <c r="I2114" s="27" t="s">
        <v>121</v>
      </c>
      <c r="J2114" s="28">
        <v>21205</v>
      </c>
      <c r="K2114" s="27" t="s">
        <v>395</v>
      </c>
    </row>
    <row r="2115" spans="1:11">
      <c r="A2115">
        <v>2098</v>
      </c>
      <c r="D2115" s="28" t="s">
        <v>4064</v>
      </c>
      <c r="E2115" s="27" t="s">
        <v>1540</v>
      </c>
      <c r="G2115" s="27" t="s">
        <v>122</v>
      </c>
      <c r="I2115" s="27" t="s">
        <v>226</v>
      </c>
      <c r="J2115" s="28">
        <v>29164</v>
      </c>
      <c r="K2115" s="27" t="s">
        <v>229</v>
      </c>
    </row>
    <row r="2116" spans="1:11">
      <c r="A2116">
        <v>2099</v>
      </c>
      <c r="D2116" s="28" t="s">
        <v>4065</v>
      </c>
      <c r="E2116" s="27" t="s">
        <v>838</v>
      </c>
      <c r="G2116" s="27" t="s">
        <v>122</v>
      </c>
      <c r="I2116" s="27" t="s">
        <v>226</v>
      </c>
      <c r="J2116" s="28">
        <v>29164</v>
      </c>
      <c r="K2116" s="27" t="s">
        <v>229</v>
      </c>
    </row>
    <row r="2117" spans="1:11">
      <c r="A2117">
        <v>2100</v>
      </c>
      <c r="D2117" s="28" t="s">
        <v>4066</v>
      </c>
      <c r="E2117" s="27" t="s">
        <v>176</v>
      </c>
      <c r="G2117" s="27" t="s">
        <v>122</v>
      </c>
      <c r="I2117" s="27" t="s">
        <v>226</v>
      </c>
      <c r="J2117" s="28">
        <v>29164</v>
      </c>
      <c r="K2117" s="27" t="s">
        <v>229</v>
      </c>
    </row>
    <row r="2118" spans="1:11">
      <c r="A2118">
        <v>2101</v>
      </c>
      <c r="D2118" s="28" t="s">
        <v>4067</v>
      </c>
      <c r="E2118" s="27" t="s">
        <v>1544</v>
      </c>
      <c r="G2118" s="27" t="s">
        <v>122</v>
      </c>
      <c r="I2118" s="27" t="s">
        <v>226</v>
      </c>
      <c r="J2118" s="28">
        <v>29164</v>
      </c>
      <c r="K2118" s="27" t="s">
        <v>229</v>
      </c>
    </row>
    <row r="2119" spans="1:11">
      <c r="A2119">
        <v>2102</v>
      </c>
      <c r="D2119" s="28" t="s">
        <v>4068</v>
      </c>
      <c r="E2119" s="27" t="s">
        <v>841</v>
      </c>
      <c r="G2119" s="27" t="s">
        <v>122</v>
      </c>
      <c r="I2119" s="27" t="s">
        <v>226</v>
      </c>
      <c r="J2119" s="28">
        <v>29164</v>
      </c>
      <c r="K2119" s="27" t="s">
        <v>229</v>
      </c>
    </row>
    <row r="2120" spans="1:11">
      <c r="A2120">
        <v>2103</v>
      </c>
      <c r="D2120" s="28" t="s">
        <v>4069</v>
      </c>
      <c r="E2120" s="27" t="s">
        <v>4070</v>
      </c>
      <c r="G2120" s="27" t="s">
        <v>122</v>
      </c>
      <c r="I2120" s="27" t="s">
        <v>226</v>
      </c>
      <c r="J2120" s="28">
        <v>29164</v>
      </c>
      <c r="K2120" s="27" t="s">
        <v>229</v>
      </c>
    </row>
    <row r="2121" spans="1:11">
      <c r="A2121">
        <v>2104</v>
      </c>
      <c r="D2121" s="28" t="s">
        <v>4071</v>
      </c>
      <c r="E2121" s="27" t="s">
        <v>832</v>
      </c>
      <c r="G2121" s="27" t="s">
        <v>122</v>
      </c>
      <c r="I2121" s="27" t="s">
        <v>226</v>
      </c>
      <c r="J2121" s="28">
        <v>29164</v>
      </c>
      <c r="K2121" s="27" t="s">
        <v>229</v>
      </c>
    </row>
    <row r="2122" spans="1:11">
      <c r="A2122">
        <v>2105</v>
      </c>
      <c r="D2122" s="28" t="s">
        <v>4072</v>
      </c>
      <c r="E2122" s="27" t="s">
        <v>4073</v>
      </c>
      <c r="G2122" s="27" t="s">
        <v>122</v>
      </c>
      <c r="I2122" s="27" t="s">
        <v>226</v>
      </c>
      <c r="J2122" s="28">
        <v>29164</v>
      </c>
      <c r="K2122" s="27" t="s">
        <v>229</v>
      </c>
    </row>
    <row r="2123" spans="1:11">
      <c r="A2123">
        <v>2106</v>
      </c>
      <c r="D2123" s="28" t="s">
        <v>4074</v>
      </c>
      <c r="E2123" s="27" t="s">
        <v>4075</v>
      </c>
      <c r="G2123" s="27" t="s">
        <v>122</v>
      </c>
      <c r="I2123" s="27" t="s">
        <v>226</v>
      </c>
      <c r="J2123" s="28">
        <v>29164</v>
      </c>
      <c r="K2123" s="27" t="s">
        <v>229</v>
      </c>
    </row>
    <row r="2124" spans="1:11">
      <c r="A2124">
        <v>2107</v>
      </c>
      <c r="D2124" s="28" t="s">
        <v>4076</v>
      </c>
      <c r="E2124" s="27" t="s">
        <v>152</v>
      </c>
      <c r="G2124" s="27" t="s">
        <v>122</v>
      </c>
      <c r="I2124" s="27" t="s">
        <v>121</v>
      </c>
      <c r="J2124" s="28">
        <v>29010</v>
      </c>
      <c r="K2124" s="27" t="s">
        <v>229</v>
      </c>
    </row>
    <row r="2125" spans="1:11">
      <c r="A2125">
        <v>2108</v>
      </c>
      <c r="D2125" s="28" t="s">
        <v>4076</v>
      </c>
      <c r="E2125" s="27" t="s">
        <v>152</v>
      </c>
      <c r="G2125" s="27" t="s">
        <v>122</v>
      </c>
      <c r="I2125" s="27" t="s">
        <v>94</v>
      </c>
      <c r="J2125" s="28">
        <v>29268</v>
      </c>
      <c r="K2125" s="27" t="s">
        <v>229</v>
      </c>
    </row>
    <row r="2126" spans="1:11">
      <c r="A2126">
        <v>2109</v>
      </c>
      <c r="D2126" s="28" t="s">
        <v>4077</v>
      </c>
      <c r="E2126" s="27" t="s">
        <v>3387</v>
      </c>
      <c r="G2126" s="27" t="s">
        <v>122</v>
      </c>
      <c r="I2126" s="27" t="s">
        <v>121</v>
      </c>
      <c r="J2126" s="28">
        <v>29010</v>
      </c>
      <c r="K2126" s="27" t="s">
        <v>229</v>
      </c>
    </row>
    <row r="2127" spans="1:11">
      <c r="A2127">
        <v>2110</v>
      </c>
      <c r="D2127" s="28" t="s">
        <v>4077</v>
      </c>
      <c r="E2127" s="27" t="s">
        <v>3387</v>
      </c>
      <c r="G2127" s="27" t="s">
        <v>122</v>
      </c>
      <c r="I2127" s="27" t="s">
        <v>94</v>
      </c>
      <c r="J2127" s="28">
        <v>29268</v>
      </c>
      <c r="K2127" s="27" t="s">
        <v>229</v>
      </c>
    </row>
    <row r="2128" spans="1:11">
      <c r="A2128">
        <v>2111</v>
      </c>
      <c r="D2128" s="28" t="s">
        <v>1590</v>
      </c>
      <c r="E2128" s="27" t="s">
        <v>140</v>
      </c>
      <c r="G2128" s="27" t="s">
        <v>122</v>
      </c>
      <c r="I2128" s="27" t="s">
        <v>94</v>
      </c>
      <c r="J2128" s="28">
        <v>21085</v>
      </c>
      <c r="K2128" s="27" t="s">
        <v>399</v>
      </c>
    </row>
    <row r="2129" spans="1:11">
      <c r="A2129">
        <v>2112</v>
      </c>
      <c r="D2129" s="28" t="s">
        <v>4078</v>
      </c>
      <c r="E2129" s="27" t="s">
        <v>3003</v>
      </c>
      <c r="G2129" s="27" t="s">
        <v>122</v>
      </c>
      <c r="I2129" s="27" t="s">
        <v>121</v>
      </c>
      <c r="J2129" s="28">
        <v>21545</v>
      </c>
      <c r="K2129" s="27" t="s">
        <v>4507</v>
      </c>
    </row>
    <row r="2130" spans="1:11">
      <c r="A2130">
        <v>2113</v>
      </c>
      <c r="D2130" s="28" t="s">
        <v>4078</v>
      </c>
      <c r="E2130" s="27" t="s">
        <v>3003</v>
      </c>
      <c r="G2130" s="27" t="s">
        <v>122</v>
      </c>
      <c r="I2130" s="27" t="s">
        <v>94</v>
      </c>
      <c r="J2130" s="28">
        <v>21190</v>
      </c>
      <c r="K2130" s="27" t="s">
        <v>4506</v>
      </c>
    </row>
    <row r="2131" spans="1:11">
      <c r="A2131">
        <v>2114</v>
      </c>
      <c r="D2131" s="28" t="s">
        <v>1591</v>
      </c>
      <c r="E2131" s="27" t="s">
        <v>1592</v>
      </c>
      <c r="G2131" s="27" t="s">
        <v>122</v>
      </c>
      <c r="I2131" s="27" t="s">
        <v>94</v>
      </c>
      <c r="J2131" s="28">
        <v>29268</v>
      </c>
      <c r="K2131" s="27" t="s">
        <v>229</v>
      </c>
    </row>
    <row r="2132" spans="1:11">
      <c r="A2132">
        <v>2115</v>
      </c>
      <c r="D2132" s="28" t="s">
        <v>819</v>
      </c>
      <c r="E2132" s="27" t="s">
        <v>820</v>
      </c>
      <c r="G2132" s="27" t="s">
        <v>122</v>
      </c>
      <c r="I2132" s="27" t="s">
        <v>121</v>
      </c>
      <c r="J2132" s="28">
        <v>21205</v>
      </c>
      <c r="K2132" s="27" t="s">
        <v>395</v>
      </c>
    </row>
    <row r="2133" spans="1:11">
      <c r="A2133">
        <v>2116</v>
      </c>
      <c r="D2133" s="28" t="s">
        <v>4079</v>
      </c>
      <c r="E2133" s="27" t="s">
        <v>4080</v>
      </c>
      <c r="G2133" s="27" t="s">
        <v>122</v>
      </c>
      <c r="I2133" s="27" t="s">
        <v>121</v>
      </c>
      <c r="J2133" s="28">
        <v>21743</v>
      </c>
      <c r="K2133" s="27" t="s">
        <v>4503</v>
      </c>
    </row>
    <row r="2134" spans="1:11">
      <c r="A2134">
        <v>2117</v>
      </c>
      <c r="D2134" s="28" t="s">
        <v>4081</v>
      </c>
      <c r="E2134" s="27" t="s">
        <v>773</v>
      </c>
      <c r="G2134" s="27" t="s">
        <v>122</v>
      </c>
      <c r="I2134" s="27" t="s">
        <v>121</v>
      </c>
      <c r="J2134" s="28">
        <v>29010</v>
      </c>
      <c r="K2134" s="27" t="s">
        <v>229</v>
      </c>
    </row>
    <row r="2135" spans="1:11">
      <c r="A2135">
        <v>2118</v>
      </c>
      <c r="D2135" s="28" t="s">
        <v>4081</v>
      </c>
      <c r="E2135" s="27" t="s">
        <v>773</v>
      </c>
      <c r="G2135" s="27" t="s">
        <v>122</v>
      </c>
      <c r="I2135" s="27" t="s">
        <v>94</v>
      </c>
      <c r="J2135" s="28">
        <v>29268</v>
      </c>
      <c r="K2135" s="27" t="s">
        <v>229</v>
      </c>
    </row>
    <row r="2136" spans="1:11">
      <c r="A2136">
        <v>2119</v>
      </c>
      <c r="D2136" s="28" t="s">
        <v>4082</v>
      </c>
      <c r="E2136" s="27" t="s">
        <v>823</v>
      </c>
      <c r="G2136" s="27" t="s">
        <v>122</v>
      </c>
      <c r="I2136" s="27" t="s">
        <v>121</v>
      </c>
      <c r="J2136" s="28">
        <v>29010</v>
      </c>
      <c r="K2136" s="27" t="s">
        <v>229</v>
      </c>
    </row>
    <row r="2137" spans="1:11">
      <c r="A2137">
        <v>2120</v>
      </c>
      <c r="D2137" s="28" t="s">
        <v>4082</v>
      </c>
      <c r="E2137" s="27" t="s">
        <v>823</v>
      </c>
      <c r="G2137" s="27" t="s">
        <v>122</v>
      </c>
      <c r="I2137" s="27" t="s">
        <v>94</v>
      </c>
      <c r="J2137" s="28">
        <v>29268</v>
      </c>
      <c r="K2137" s="27" t="s">
        <v>229</v>
      </c>
    </row>
    <row r="2138" spans="1:11">
      <c r="A2138">
        <v>2121</v>
      </c>
      <c r="D2138" s="28" t="s">
        <v>4083</v>
      </c>
      <c r="E2138" s="27" t="s">
        <v>353</v>
      </c>
      <c r="G2138" s="27" t="s">
        <v>122</v>
      </c>
      <c r="I2138" s="27" t="s">
        <v>121</v>
      </c>
      <c r="J2138" s="28">
        <v>21819</v>
      </c>
      <c r="K2138" s="27" t="s">
        <v>408</v>
      </c>
    </row>
    <row r="2139" spans="1:11">
      <c r="A2139">
        <v>2122</v>
      </c>
      <c r="D2139" s="28" t="s">
        <v>4083</v>
      </c>
      <c r="E2139" s="27" t="s">
        <v>353</v>
      </c>
      <c r="G2139" s="27" t="s">
        <v>122</v>
      </c>
      <c r="I2139" s="27" t="s">
        <v>94</v>
      </c>
      <c r="J2139" s="28">
        <v>29148</v>
      </c>
      <c r="K2139" s="27" t="s">
        <v>4510</v>
      </c>
    </row>
    <row r="2140" spans="1:11">
      <c r="A2140">
        <v>2123</v>
      </c>
      <c r="D2140" s="28" t="s">
        <v>4084</v>
      </c>
      <c r="E2140" s="27" t="s">
        <v>353</v>
      </c>
      <c r="G2140" s="27" t="s">
        <v>122</v>
      </c>
      <c r="I2140" s="27" t="s">
        <v>121</v>
      </c>
      <c r="J2140" s="28">
        <v>21819</v>
      </c>
      <c r="K2140" s="27" t="s">
        <v>408</v>
      </c>
    </row>
    <row r="2141" spans="1:11">
      <c r="A2141">
        <v>2124</v>
      </c>
      <c r="D2141" s="28" t="s">
        <v>4085</v>
      </c>
      <c r="E2141" s="27" t="s">
        <v>4086</v>
      </c>
      <c r="G2141" s="27" t="s">
        <v>122</v>
      </c>
      <c r="I2141" s="27" t="s">
        <v>121</v>
      </c>
      <c r="J2141" s="28">
        <v>21819</v>
      </c>
      <c r="K2141" s="27" t="s">
        <v>408</v>
      </c>
    </row>
    <row r="2142" spans="1:11">
      <c r="A2142">
        <v>2125</v>
      </c>
      <c r="D2142" s="28" t="s">
        <v>4085</v>
      </c>
      <c r="E2142" s="27" t="s">
        <v>4086</v>
      </c>
      <c r="G2142" s="27" t="s">
        <v>122</v>
      </c>
      <c r="I2142" s="27" t="s">
        <v>94</v>
      </c>
      <c r="J2142" s="28">
        <v>29148</v>
      </c>
      <c r="K2142" s="27" t="s">
        <v>4510</v>
      </c>
    </row>
    <row r="2143" spans="1:11">
      <c r="A2143">
        <v>2126</v>
      </c>
      <c r="D2143" s="28" t="s">
        <v>4087</v>
      </c>
      <c r="E2143" s="27" t="s">
        <v>4088</v>
      </c>
      <c r="G2143" s="27" t="s">
        <v>122</v>
      </c>
      <c r="I2143" s="27" t="s">
        <v>121</v>
      </c>
      <c r="J2143" s="28">
        <v>21592</v>
      </c>
      <c r="K2143" s="27" t="s">
        <v>410</v>
      </c>
    </row>
    <row r="2144" spans="1:11">
      <c r="A2144">
        <v>2127</v>
      </c>
      <c r="D2144" s="28" t="s">
        <v>4087</v>
      </c>
      <c r="E2144" s="27" t="s">
        <v>4088</v>
      </c>
      <c r="G2144" s="27" t="s">
        <v>122</v>
      </c>
      <c r="I2144" s="27" t="s">
        <v>121</v>
      </c>
      <c r="J2144" s="28">
        <v>21523</v>
      </c>
      <c r="K2144" s="27" t="s">
        <v>411</v>
      </c>
    </row>
    <row r="2145" spans="1:11">
      <c r="A2145">
        <v>2128</v>
      </c>
      <c r="D2145" s="28" t="s">
        <v>4087</v>
      </c>
      <c r="E2145" s="27" t="s">
        <v>4088</v>
      </c>
      <c r="G2145" s="27" t="s">
        <v>122</v>
      </c>
      <c r="I2145" s="27" t="s">
        <v>94</v>
      </c>
      <c r="J2145" s="28">
        <v>21523</v>
      </c>
      <c r="K2145" s="27" t="s">
        <v>411</v>
      </c>
    </row>
    <row r="2146" spans="1:11">
      <c r="A2146">
        <v>2129</v>
      </c>
      <c r="D2146" s="28" t="s">
        <v>4087</v>
      </c>
      <c r="E2146" s="27" t="s">
        <v>4088</v>
      </c>
      <c r="G2146" s="27" t="s">
        <v>122</v>
      </c>
      <c r="I2146" s="27" t="s">
        <v>94</v>
      </c>
      <c r="J2146" s="28">
        <v>21746</v>
      </c>
      <c r="K2146" s="27" t="s">
        <v>410</v>
      </c>
    </row>
    <row r="2147" spans="1:11">
      <c r="A2147">
        <v>2130</v>
      </c>
      <c r="D2147" s="28" t="s">
        <v>4089</v>
      </c>
      <c r="E2147" s="27" t="s">
        <v>3671</v>
      </c>
      <c r="G2147" s="27" t="s">
        <v>122</v>
      </c>
      <c r="I2147" s="27" t="s">
        <v>94</v>
      </c>
      <c r="J2147" s="28">
        <v>21160</v>
      </c>
      <c r="K2147" s="27" t="s">
        <v>401</v>
      </c>
    </row>
    <row r="2148" spans="1:11">
      <c r="A2148">
        <v>2131</v>
      </c>
      <c r="D2148" s="28" t="s">
        <v>4089</v>
      </c>
      <c r="E2148" s="27" t="s">
        <v>3671</v>
      </c>
      <c r="G2148" s="27" t="s">
        <v>122</v>
      </c>
      <c r="I2148" s="27" t="s">
        <v>94</v>
      </c>
      <c r="J2148" s="28">
        <v>21746</v>
      </c>
      <c r="K2148" s="27" t="s">
        <v>410</v>
      </c>
    </row>
    <row r="2149" spans="1:11">
      <c r="A2149">
        <v>2132</v>
      </c>
      <c r="D2149" s="28" t="s">
        <v>4090</v>
      </c>
      <c r="E2149" s="27" t="s">
        <v>836</v>
      </c>
      <c r="G2149" s="27" t="s">
        <v>122</v>
      </c>
      <c r="I2149" s="27" t="s">
        <v>121</v>
      </c>
      <c r="J2149" s="28">
        <v>29010</v>
      </c>
      <c r="K2149" s="27" t="s">
        <v>229</v>
      </c>
    </row>
    <row r="2150" spans="1:11">
      <c r="A2150">
        <v>2133</v>
      </c>
      <c r="D2150" s="28" t="s">
        <v>4090</v>
      </c>
      <c r="E2150" s="27" t="s">
        <v>836</v>
      </c>
      <c r="G2150" s="27" t="s">
        <v>122</v>
      </c>
      <c r="I2150" s="27" t="s">
        <v>94</v>
      </c>
      <c r="J2150" s="28">
        <v>29268</v>
      </c>
      <c r="K2150" s="27" t="s">
        <v>229</v>
      </c>
    </row>
    <row r="2151" spans="1:11">
      <c r="A2151">
        <v>2134</v>
      </c>
      <c r="D2151" s="28" t="s">
        <v>4091</v>
      </c>
      <c r="E2151" s="27" t="s">
        <v>4092</v>
      </c>
      <c r="G2151" s="27" t="s">
        <v>122</v>
      </c>
      <c r="I2151" s="27" t="s">
        <v>121</v>
      </c>
      <c r="J2151" s="28">
        <v>29010</v>
      </c>
      <c r="K2151" s="27" t="s">
        <v>229</v>
      </c>
    </row>
    <row r="2152" spans="1:11">
      <c r="A2152">
        <v>2135</v>
      </c>
      <c r="D2152" s="28" t="s">
        <v>4093</v>
      </c>
      <c r="E2152" s="27" t="s">
        <v>838</v>
      </c>
      <c r="G2152" s="27" t="s">
        <v>122</v>
      </c>
      <c r="I2152" s="27" t="s">
        <v>121</v>
      </c>
      <c r="J2152" s="28">
        <v>29010</v>
      </c>
      <c r="K2152" s="27" t="s">
        <v>229</v>
      </c>
    </row>
    <row r="2153" spans="1:11">
      <c r="A2153">
        <v>2136</v>
      </c>
      <c r="D2153" s="28" t="s">
        <v>4093</v>
      </c>
      <c r="E2153" s="27" t="s">
        <v>838</v>
      </c>
      <c r="G2153" s="27" t="s">
        <v>122</v>
      </c>
      <c r="I2153" s="27" t="s">
        <v>94</v>
      </c>
      <c r="J2153" s="28">
        <v>29268</v>
      </c>
      <c r="K2153" s="27" t="s">
        <v>229</v>
      </c>
    </row>
    <row r="2154" spans="1:11">
      <c r="A2154">
        <v>2137</v>
      </c>
      <c r="D2154" s="28" t="s">
        <v>4094</v>
      </c>
      <c r="E2154" s="27" t="s">
        <v>4095</v>
      </c>
      <c r="G2154" s="27" t="s">
        <v>122</v>
      </c>
      <c r="I2154" s="27" t="s">
        <v>121</v>
      </c>
      <c r="J2154" s="28">
        <v>29010</v>
      </c>
      <c r="K2154" s="27" t="s">
        <v>229</v>
      </c>
    </row>
    <row r="2155" spans="1:11">
      <c r="A2155">
        <v>2138</v>
      </c>
      <c r="D2155" s="28" t="s">
        <v>4096</v>
      </c>
      <c r="E2155" s="27" t="s">
        <v>176</v>
      </c>
      <c r="G2155" s="27" t="s">
        <v>122</v>
      </c>
      <c r="I2155" s="27" t="s">
        <v>121</v>
      </c>
      <c r="J2155" s="28">
        <v>29010</v>
      </c>
      <c r="K2155" s="27" t="s">
        <v>229</v>
      </c>
    </row>
    <row r="2156" spans="1:11">
      <c r="A2156">
        <v>2139</v>
      </c>
      <c r="D2156" s="28" t="s">
        <v>4096</v>
      </c>
      <c r="E2156" s="27" t="s">
        <v>176</v>
      </c>
      <c r="G2156" s="27" t="s">
        <v>122</v>
      </c>
      <c r="I2156" s="27" t="s">
        <v>94</v>
      </c>
      <c r="J2156" s="28">
        <v>29268</v>
      </c>
      <c r="K2156" s="27" t="s">
        <v>229</v>
      </c>
    </row>
    <row r="2157" spans="1:11">
      <c r="A2157">
        <v>2140</v>
      </c>
      <c r="D2157" s="28" t="s">
        <v>4097</v>
      </c>
      <c r="E2157" s="27" t="s">
        <v>4098</v>
      </c>
      <c r="G2157" s="27" t="s">
        <v>122</v>
      </c>
      <c r="I2157" s="27" t="s">
        <v>121</v>
      </c>
      <c r="J2157" s="28">
        <v>29010</v>
      </c>
      <c r="K2157" s="27" t="s">
        <v>229</v>
      </c>
    </row>
    <row r="2158" spans="1:11">
      <c r="A2158">
        <v>2141</v>
      </c>
      <c r="D2158" s="28" t="s">
        <v>4099</v>
      </c>
      <c r="E2158" s="27" t="s">
        <v>4100</v>
      </c>
      <c r="G2158" s="27" t="s">
        <v>122</v>
      </c>
      <c r="I2158" s="27" t="s">
        <v>121</v>
      </c>
      <c r="J2158" s="28">
        <v>29010</v>
      </c>
      <c r="K2158" s="27" t="s">
        <v>229</v>
      </c>
    </row>
    <row r="2159" spans="1:11">
      <c r="A2159">
        <v>2142</v>
      </c>
      <c r="D2159" s="28" t="s">
        <v>4101</v>
      </c>
      <c r="E2159" s="27" t="s">
        <v>4102</v>
      </c>
      <c r="G2159" s="27" t="s">
        <v>122</v>
      </c>
      <c r="I2159" s="27" t="s">
        <v>121</v>
      </c>
      <c r="J2159" s="28">
        <v>29010</v>
      </c>
      <c r="K2159" s="27" t="s">
        <v>229</v>
      </c>
    </row>
    <row r="2160" spans="1:11">
      <c r="A2160">
        <v>2143</v>
      </c>
      <c r="D2160" s="28" t="s">
        <v>4103</v>
      </c>
      <c r="E2160" s="27" t="s">
        <v>832</v>
      </c>
      <c r="G2160" s="27" t="s">
        <v>122</v>
      </c>
      <c r="I2160" s="27" t="s">
        <v>121</v>
      </c>
      <c r="J2160" s="28">
        <v>29010</v>
      </c>
      <c r="K2160" s="27" t="s">
        <v>229</v>
      </c>
    </row>
    <row r="2161" spans="1:11">
      <c r="A2161">
        <v>2144</v>
      </c>
      <c r="D2161" s="28" t="s">
        <v>4103</v>
      </c>
      <c r="E2161" s="27" t="s">
        <v>832</v>
      </c>
      <c r="G2161" s="27" t="s">
        <v>122</v>
      </c>
      <c r="I2161" s="27" t="s">
        <v>94</v>
      </c>
      <c r="J2161" s="28">
        <v>29268</v>
      </c>
      <c r="K2161" s="27" t="s">
        <v>229</v>
      </c>
    </row>
    <row r="2162" spans="1:11">
      <c r="A2162">
        <v>2145</v>
      </c>
      <c r="D2162" s="28" t="s">
        <v>4104</v>
      </c>
      <c r="E2162" s="27" t="s">
        <v>834</v>
      </c>
      <c r="G2162" s="27" t="s">
        <v>122</v>
      </c>
      <c r="I2162" s="27" t="s">
        <v>121</v>
      </c>
      <c r="J2162" s="28">
        <v>29010</v>
      </c>
      <c r="K2162" s="27" t="s">
        <v>229</v>
      </c>
    </row>
    <row r="2163" spans="1:11">
      <c r="A2163">
        <v>2146</v>
      </c>
      <c r="D2163" s="28" t="s">
        <v>4104</v>
      </c>
      <c r="E2163" s="27" t="s">
        <v>834</v>
      </c>
      <c r="G2163" s="27" t="s">
        <v>122</v>
      </c>
      <c r="I2163" s="27" t="s">
        <v>94</v>
      </c>
      <c r="J2163" s="28">
        <v>29268</v>
      </c>
      <c r="K2163" s="27" t="s">
        <v>229</v>
      </c>
    </row>
    <row r="2164" spans="1:11">
      <c r="A2164">
        <v>2147</v>
      </c>
      <c r="D2164" s="28" t="s">
        <v>4105</v>
      </c>
      <c r="E2164" s="27" t="s">
        <v>170</v>
      </c>
      <c r="G2164" s="27" t="s">
        <v>122</v>
      </c>
      <c r="I2164" s="27" t="s">
        <v>121</v>
      </c>
      <c r="J2164" s="28">
        <v>29010</v>
      </c>
      <c r="K2164" s="27" t="s">
        <v>229</v>
      </c>
    </row>
    <row r="2165" spans="1:11">
      <c r="A2165">
        <v>2148</v>
      </c>
      <c r="D2165" s="28" t="s">
        <v>4106</v>
      </c>
      <c r="E2165" s="27" t="s">
        <v>174</v>
      </c>
      <c r="G2165" s="27" t="s">
        <v>122</v>
      </c>
      <c r="I2165" s="27" t="s">
        <v>121</v>
      </c>
      <c r="J2165" s="28">
        <v>29010</v>
      </c>
      <c r="K2165" s="27" t="s">
        <v>229</v>
      </c>
    </row>
    <row r="2166" spans="1:11">
      <c r="A2166">
        <v>2149</v>
      </c>
      <c r="D2166" s="28" t="s">
        <v>4107</v>
      </c>
      <c r="E2166" s="27" t="s">
        <v>841</v>
      </c>
      <c r="G2166" s="27" t="s">
        <v>122</v>
      </c>
      <c r="I2166" s="27" t="s">
        <v>121</v>
      </c>
      <c r="J2166" s="28">
        <v>29010</v>
      </c>
      <c r="K2166" s="27" t="s">
        <v>229</v>
      </c>
    </row>
    <row r="2167" spans="1:11">
      <c r="A2167">
        <v>2150</v>
      </c>
      <c r="D2167" s="28" t="s">
        <v>4107</v>
      </c>
      <c r="E2167" s="27" t="s">
        <v>841</v>
      </c>
      <c r="G2167" s="27" t="s">
        <v>122</v>
      </c>
      <c r="I2167" s="27" t="s">
        <v>94</v>
      </c>
      <c r="J2167" s="28">
        <v>29268</v>
      </c>
      <c r="K2167" s="27" t="s">
        <v>229</v>
      </c>
    </row>
    <row r="2168" spans="1:11">
      <c r="A2168">
        <v>2151</v>
      </c>
      <c r="D2168" s="28" t="s">
        <v>4108</v>
      </c>
      <c r="E2168" s="27" t="s">
        <v>1627</v>
      </c>
      <c r="G2168" s="27" t="s">
        <v>122</v>
      </c>
      <c r="I2168" s="27" t="s">
        <v>121</v>
      </c>
      <c r="J2168" s="28">
        <v>29010</v>
      </c>
      <c r="K2168" s="27" t="s">
        <v>229</v>
      </c>
    </row>
    <row r="2169" spans="1:11">
      <c r="A2169">
        <v>2152</v>
      </c>
      <c r="D2169" s="28" t="s">
        <v>4108</v>
      </c>
      <c r="E2169" s="27" t="s">
        <v>1627</v>
      </c>
      <c r="G2169" s="27" t="s">
        <v>122</v>
      </c>
      <c r="I2169" s="27" t="s">
        <v>94</v>
      </c>
      <c r="J2169" s="28">
        <v>29268</v>
      </c>
      <c r="K2169" s="27" t="s">
        <v>229</v>
      </c>
    </row>
    <row r="2170" spans="1:11">
      <c r="A2170">
        <v>2153</v>
      </c>
      <c r="D2170" s="28" t="s">
        <v>4109</v>
      </c>
      <c r="E2170" s="27" t="s">
        <v>1629</v>
      </c>
      <c r="G2170" s="27" t="s">
        <v>102</v>
      </c>
      <c r="I2170" s="27" t="s">
        <v>121</v>
      </c>
      <c r="J2170" s="28">
        <v>29010</v>
      </c>
      <c r="K2170" s="27" t="s">
        <v>229</v>
      </c>
    </row>
    <row r="2171" spans="1:11">
      <c r="A2171">
        <v>2154</v>
      </c>
      <c r="D2171" s="28" t="s">
        <v>4109</v>
      </c>
      <c r="E2171" s="27" t="s">
        <v>1629</v>
      </c>
      <c r="G2171" s="27" t="s">
        <v>102</v>
      </c>
      <c r="I2171" s="27" t="s">
        <v>94</v>
      </c>
      <c r="J2171" s="28">
        <v>29268</v>
      </c>
      <c r="K2171" s="27" t="s">
        <v>229</v>
      </c>
    </row>
    <row r="2172" spans="1:11">
      <c r="A2172">
        <v>2155</v>
      </c>
      <c r="D2172" s="28" t="s">
        <v>4110</v>
      </c>
      <c r="E2172" s="27" t="s">
        <v>4111</v>
      </c>
      <c r="G2172" s="27" t="s">
        <v>102</v>
      </c>
      <c r="I2172" s="27" t="s">
        <v>121</v>
      </c>
      <c r="J2172" s="28">
        <v>29010</v>
      </c>
      <c r="K2172" s="27" t="s">
        <v>229</v>
      </c>
    </row>
    <row r="2173" spans="1:11">
      <c r="A2173">
        <v>2156</v>
      </c>
      <c r="D2173" s="28" t="s">
        <v>4112</v>
      </c>
      <c r="E2173" s="27" t="s">
        <v>844</v>
      </c>
      <c r="G2173" s="27" t="s">
        <v>102</v>
      </c>
      <c r="I2173" s="27" t="s">
        <v>121</v>
      </c>
      <c r="J2173" s="28">
        <v>29010</v>
      </c>
      <c r="K2173" s="27" t="s">
        <v>229</v>
      </c>
    </row>
    <row r="2174" spans="1:11">
      <c r="A2174">
        <v>2157</v>
      </c>
      <c r="D2174" s="28" t="s">
        <v>4112</v>
      </c>
      <c r="E2174" s="27" t="s">
        <v>844</v>
      </c>
      <c r="G2174" s="27" t="s">
        <v>102</v>
      </c>
      <c r="I2174" s="27" t="s">
        <v>94</v>
      </c>
      <c r="J2174" s="28">
        <v>29268</v>
      </c>
      <c r="K2174" s="27" t="s">
        <v>229</v>
      </c>
    </row>
    <row r="2175" spans="1:11">
      <c r="A2175">
        <v>2158</v>
      </c>
      <c r="D2175" s="28" t="s">
        <v>4113</v>
      </c>
      <c r="E2175" s="27" t="s">
        <v>4114</v>
      </c>
      <c r="G2175" s="27" t="s">
        <v>102</v>
      </c>
      <c r="I2175" s="27" t="s">
        <v>121</v>
      </c>
      <c r="J2175" s="28">
        <v>29010</v>
      </c>
      <c r="K2175" s="27" t="s">
        <v>229</v>
      </c>
    </row>
    <row r="2176" spans="1:11">
      <c r="A2176">
        <v>2159</v>
      </c>
      <c r="D2176" s="28" t="s">
        <v>4113</v>
      </c>
      <c r="E2176" s="27" t="s">
        <v>4114</v>
      </c>
      <c r="G2176" s="27" t="s">
        <v>102</v>
      </c>
      <c r="I2176" s="27" t="s">
        <v>94</v>
      </c>
      <c r="J2176" s="28">
        <v>29268</v>
      </c>
      <c r="K2176" s="27" t="s">
        <v>229</v>
      </c>
    </row>
    <row r="2177" spans="1:11">
      <c r="A2177">
        <v>2160</v>
      </c>
      <c r="D2177" s="28" t="s">
        <v>4115</v>
      </c>
      <c r="E2177" s="27" t="s">
        <v>4116</v>
      </c>
      <c r="G2177" s="27" t="s">
        <v>102</v>
      </c>
      <c r="I2177" s="27" t="s">
        <v>121</v>
      </c>
      <c r="J2177" s="28">
        <v>29010</v>
      </c>
      <c r="K2177" s="27" t="s">
        <v>229</v>
      </c>
    </row>
    <row r="2178" spans="1:11">
      <c r="A2178">
        <v>2161</v>
      </c>
      <c r="D2178" s="28" t="s">
        <v>4115</v>
      </c>
      <c r="E2178" s="27" t="s">
        <v>4116</v>
      </c>
      <c r="G2178" s="27" t="s">
        <v>102</v>
      </c>
      <c r="I2178" s="27" t="s">
        <v>94</v>
      </c>
      <c r="J2178" s="28">
        <v>29268</v>
      </c>
      <c r="K2178" s="27" t="s">
        <v>229</v>
      </c>
    </row>
    <row r="2179" spans="1:11">
      <c r="A2179">
        <v>2162</v>
      </c>
      <c r="D2179" s="28" t="s">
        <v>4117</v>
      </c>
      <c r="E2179" s="27" t="s">
        <v>4118</v>
      </c>
      <c r="G2179" s="27" t="s">
        <v>102</v>
      </c>
      <c r="I2179" s="27" t="s">
        <v>121</v>
      </c>
      <c r="J2179" s="28">
        <v>29010</v>
      </c>
      <c r="K2179" s="27" t="s">
        <v>229</v>
      </c>
    </row>
    <row r="2180" spans="1:11">
      <c r="A2180">
        <v>2163</v>
      </c>
      <c r="D2180" s="28" t="s">
        <v>4117</v>
      </c>
      <c r="E2180" s="27" t="s">
        <v>4118</v>
      </c>
      <c r="G2180" s="27" t="s">
        <v>102</v>
      </c>
      <c r="I2180" s="27" t="s">
        <v>94</v>
      </c>
      <c r="J2180" s="28">
        <v>29268</v>
      </c>
      <c r="K2180" s="27" t="s">
        <v>229</v>
      </c>
    </row>
    <row r="2181" spans="1:11">
      <c r="A2181">
        <v>2164</v>
      </c>
      <c r="D2181" s="28" t="s">
        <v>4119</v>
      </c>
      <c r="E2181" s="27" t="s">
        <v>4120</v>
      </c>
      <c r="G2181" s="27" t="s">
        <v>102</v>
      </c>
      <c r="I2181" s="27" t="s">
        <v>121</v>
      </c>
      <c r="J2181" s="28">
        <v>29010</v>
      </c>
      <c r="K2181" s="27" t="s">
        <v>229</v>
      </c>
    </row>
    <row r="2182" spans="1:11">
      <c r="A2182">
        <v>2165</v>
      </c>
      <c r="D2182" s="28" t="s">
        <v>4121</v>
      </c>
      <c r="E2182" s="27" t="s">
        <v>4122</v>
      </c>
      <c r="G2182" s="27" t="s">
        <v>102</v>
      </c>
      <c r="I2182" s="27" t="s">
        <v>121</v>
      </c>
      <c r="J2182" s="28">
        <v>29010</v>
      </c>
      <c r="K2182" s="27" t="s">
        <v>229</v>
      </c>
    </row>
    <row r="2183" spans="1:11">
      <c r="A2183">
        <v>2166</v>
      </c>
      <c r="D2183" s="28" t="s">
        <v>4123</v>
      </c>
      <c r="E2183" s="27" t="s">
        <v>170</v>
      </c>
      <c r="G2183" s="27" t="s">
        <v>102</v>
      </c>
      <c r="I2183" s="27" t="s">
        <v>121</v>
      </c>
      <c r="J2183" s="28">
        <v>29010</v>
      </c>
      <c r="K2183" s="27" t="s">
        <v>229</v>
      </c>
    </row>
    <row r="2184" spans="1:11">
      <c r="A2184">
        <v>2167</v>
      </c>
      <c r="D2184" s="28" t="s">
        <v>4123</v>
      </c>
      <c r="E2184" s="27" t="s">
        <v>170</v>
      </c>
      <c r="G2184" s="27" t="s">
        <v>102</v>
      </c>
      <c r="I2184" s="27" t="s">
        <v>94</v>
      </c>
      <c r="J2184" s="28">
        <v>29268</v>
      </c>
      <c r="K2184" s="27" t="s">
        <v>229</v>
      </c>
    </row>
    <row r="2185" spans="1:11">
      <c r="A2185">
        <v>2168</v>
      </c>
      <c r="D2185" s="28" t="s">
        <v>4124</v>
      </c>
      <c r="E2185" s="27" t="s">
        <v>4125</v>
      </c>
      <c r="G2185" s="27" t="s">
        <v>102</v>
      </c>
      <c r="I2185" s="27" t="s">
        <v>121</v>
      </c>
      <c r="J2185" s="28">
        <v>29010</v>
      </c>
      <c r="K2185" s="27" t="s">
        <v>229</v>
      </c>
    </row>
    <row r="2186" spans="1:11">
      <c r="A2186">
        <v>2169</v>
      </c>
      <c r="D2186" s="28" t="s">
        <v>4126</v>
      </c>
      <c r="E2186" s="27" t="s">
        <v>174</v>
      </c>
      <c r="G2186" s="27" t="s">
        <v>102</v>
      </c>
      <c r="I2186" s="27" t="s">
        <v>94</v>
      </c>
      <c r="J2186" s="28">
        <v>29268</v>
      </c>
      <c r="K2186" s="27" t="s">
        <v>229</v>
      </c>
    </row>
    <row r="2187" spans="1:11">
      <c r="A2187">
        <v>2170</v>
      </c>
      <c r="D2187" s="28" t="s">
        <v>4127</v>
      </c>
      <c r="E2187" s="27" t="s">
        <v>1641</v>
      </c>
      <c r="G2187" s="27" t="s">
        <v>102</v>
      </c>
      <c r="I2187" s="27" t="s">
        <v>121</v>
      </c>
      <c r="J2187" s="28">
        <v>29010</v>
      </c>
      <c r="K2187" s="27" t="s">
        <v>229</v>
      </c>
    </row>
    <row r="2188" spans="1:11">
      <c r="A2188">
        <v>2171</v>
      </c>
      <c r="D2188" s="28" t="s">
        <v>4127</v>
      </c>
      <c r="E2188" s="27" t="s">
        <v>1641</v>
      </c>
      <c r="G2188" s="27" t="s">
        <v>102</v>
      </c>
      <c r="I2188" s="27" t="s">
        <v>94</v>
      </c>
      <c r="J2188" s="28">
        <v>29268</v>
      </c>
      <c r="K2188" s="27" t="s">
        <v>229</v>
      </c>
    </row>
    <row r="2189" spans="1:11">
      <c r="A2189">
        <v>2172</v>
      </c>
      <c r="D2189" s="28" t="s">
        <v>4128</v>
      </c>
      <c r="E2189" s="27" t="s">
        <v>4111</v>
      </c>
      <c r="G2189" s="27" t="s">
        <v>102</v>
      </c>
      <c r="I2189" s="27" t="s">
        <v>121</v>
      </c>
      <c r="J2189" s="28">
        <v>29010</v>
      </c>
      <c r="K2189" s="27" t="s">
        <v>229</v>
      </c>
    </row>
    <row r="2190" spans="1:11">
      <c r="A2190">
        <v>2173</v>
      </c>
      <c r="D2190" s="28" t="s">
        <v>4128</v>
      </c>
      <c r="E2190" s="27" t="s">
        <v>4111</v>
      </c>
      <c r="G2190" s="27" t="s">
        <v>102</v>
      </c>
      <c r="I2190" s="27" t="s">
        <v>94</v>
      </c>
      <c r="J2190" s="28">
        <v>29268</v>
      </c>
      <c r="K2190" s="27" t="s">
        <v>229</v>
      </c>
    </row>
    <row r="2191" spans="1:11">
      <c r="A2191">
        <v>2174</v>
      </c>
      <c r="D2191" s="28" t="s">
        <v>4129</v>
      </c>
      <c r="E2191" s="27" t="s">
        <v>373</v>
      </c>
      <c r="G2191" s="27" t="s">
        <v>102</v>
      </c>
      <c r="I2191" s="27" t="s">
        <v>121</v>
      </c>
      <c r="J2191" s="28">
        <v>29010</v>
      </c>
      <c r="K2191" s="27" t="s">
        <v>229</v>
      </c>
    </row>
    <row r="2192" spans="1:11">
      <c r="A2192">
        <v>2175</v>
      </c>
      <c r="D2192" s="28" t="s">
        <v>4129</v>
      </c>
      <c r="E2192" s="27" t="s">
        <v>373</v>
      </c>
      <c r="G2192" s="27" t="s">
        <v>102</v>
      </c>
      <c r="I2192" s="27" t="s">
        <v>94</v>
      </c>
      <c r="J2192" s="28">
        <v>29268</v>
      </c>
      <c r="K2192" s="27" t="s">
        <v>229</v>
      </c>
    </row>
    <row r="2193" spans="1:23">
      <c r="A2193">
        <v>2176</v>
      </c>
      <c r="D2193" s="28" t="s">
        <v>4130</v>
      </c>
      <c r="E2193" s="27" t="s">
        <v>118</v>
      </c>
      <c r="G2193" s="27" t="s">
        <v>102</v>
      </c>
      <c r="I2193" s="27" t="s">
        <v>226</v>
      </c>
      <c r="J2193" s="28">
        <v>21545</v>
      </c>
      <c r="K2193" s="27" t="s">
        <v>4507</v>
      </c>
    </row>
    <row r="2194" spans="1:23">
      <c r="A2194">
        <v>2177</v>
      </c>
      <c r="D2194" s="28" t="s">
        <v>4131</v>
      </c>
      <c r="E2194" s="27" t="s">
        <v>4132</v>
      </c>
      <c r="G2194" s="27" t="s">
        <v>102</v>
      </c>
      <c r="I2194" s="27" t="s">
        <v>226</v>
      </c>
      <c r="J2194" s="28">
        <v>21516</v>
      </c>
      <c r="K2194" s="27" t="s">
        <v>410</v>
      </c>
    </row>
    <row r="2195" spans="1:23">
      <c r="A2195">
        <v>2178</v>
      </c>
      <c r="D2195" s="28" t="s">
        <v>4131</v>
      </c>
      <c r="E2195" s="27" t="s">
        <v>4132</v>
      </c>
      <c r="G2195" s="27" t="s">
        <v>102</v>
      </c>
      <c r="I2195" s="27" t="s">
        <v>226</v>
      </c>
      <c r="J2195" s="28">
        <v>21231</v>
      </c>
      <c r="K2195" s="27" t="s">
        <v>413</v>
      </c>
    </row>
    <row r="2196" spans="1:23">
      <c r="A2196">
        <v>2179</v>
      </c>
      <c r="D2196" s="28" t="s">
        <v>4133</v>
      </c>
      <c r="E2196" s="27" t="s">
        <v>363</v>
      </c>
      <c r="G2196" s="27" t="s">
        <v>102</v>
      </c>
      <c r="I2196" s="27" t="s">
        <v>121</v>
      </c>
      <c r="J2196" s="28">
        <v>20945</v>
      </c>
      <c r="K2196" s="27" t="s">
        <v>402</v>
      </c>
    </row>
    <row r="2197" spans="1:23">
      <c r="A2197">
        <v>2180</v>
      </c>
      <c r="C2197" s="370" t="s">
        <v>4987</v>
      </c>
      <c r="D2197" s="28" t="s">
        <v>4134</v>
      </c>
      <c r="E2197" s="27" t="s">
        <v>1592</v>
      </c>
      <c r="F2197" t="s">
        <v>2444</v>
      </c>
      <c r="G2197" s="27" t="s">
        <v>90</v>
      </c>
      <c r="I2197" s="27" t="s">
        <v>121</v>
      </c>
      <c r="J2197" s="28">
        <v>20900</v>
      </c>
      <c r="K2197" s="27" t="s">
        <v>1246</v>
      </c>
      <c r="L2197" s="28"/>
      <c r="M2197" s="28"/>
      <c r="N2197" s="28"/>
      <c r="O2197" s="28"/>
      <c r="P2197" s="442"/>
      <c r="Q2197" s="370" t="s">
        <v>4941</v>
      </c>
      <c r="R2197" s="370" t="s">
        <v>1769</v>
      </c>
      <c r="S2197" s="370">
        <v>43626</v>
      </c>
      <c r="T2197" s="443" t="s">
        <v>4555</v>
      </c>
      <c r="U2197" s="370">
        <v>43700</v>
      </c>
      <c r="V2197" s="369"/>
      <c r="W2197" s="27" t="s">
        <v>4840</v>
      </c>
    </row>
    <row r="2198" spans="1:23">
      <c r="A2198">
        <v>2181</v>
      </c>
      <c r="B2198" s="259" t="s">
        <v>468</v>
      </c>
      <c r="C2198" s="464" t="s">
        <v>4989</v>
      </c>
      <c r="D2198" s="28" t="s">
        <v>4134</v>
      </c>
      <c r="E2198" s="27" t="s">
        <v>1592</v>
      </c>
      <c r="F2198" t="s">
        <v>4935</v>
      </c>
      <c r="G2198" s="27" t="s">
        <v>90</v>
      </c>
      <c r="H2198" t="s">
        <v>4988</v>
      </c>
      <c r="I2198" s="27" t="s">
        <v>94</v>
      </c>
      <c r="J2198" s="28">
        <v>29268</v>
      </c>
      <c r="K2198" s="27" t="s">
        <v>229</v>
      </c>
    </row>
    <row r="2199" spans="1:23">
      <c r="A2199">
        <v>2182</v>
      </c>
      <c r="C2199" s="370" t="s">
        <v>5005</v>
      </c>
      <c r="D2199" s="28" t="s">
        <v>4135</v>
      </c>
      <c r="E2199" s="27" t="s">
        <v>4136</v>
      </c>
      <c r="F2199" t="s">
        <v>2444</v>
      </c>
      <c r="G2199" s="27" t="s">
        <v>90</v>
      </c>
      <c r="I2199" s="27" t="s">
        <v>121</v>
      </c>
      <c r="J2199" s="28">
        <v>20900</v>
      </c>
      <c r="K2199" s="27" t="s">
        <v>1246</v>
      </c>
      <c r="L2199" s="28"/>
      <c r="M2199" s="28"/>
      <c r="N2199" s="28"/>
      <c r="O2199" s="28"/>
      <c r="P2199" s="442"/>
      <c r="Q2199" s="370" t="s">
        <v>1777</v>
      </c>
      <c r="R2199" s="370" t="s">
        <v>1194</v>
      </c>
      <c r="S2199" s="370">
        <v>44567</v>
      </c>
      <c r="T2199" s="443" t="s">
        <v>4555</v>
      </c>
      <c r="U2199" s="406">
        <v>44567</v>
      </c>
      <c r="V2199" s="369"/>
      <c r="W2199" s="27" t="s">
        <v>4840</v>
      </c>
    </row>
    <row r="2200" spans="1:23">
      <c r="A2200">
        <v>2183</v>
      </c>
      <c r="D2200" s="28" t="s">
        <v>821</v>
      </c>
      <c r="E2200" s="27" t="s">
        <v>761</v>
      </c>
      <c r="G2200" s="27" t="s">
        <v>102</v>
      </c>
      <c r="I2200" s="27" t="s">
        <v>121</v>
      </c>
      <c r="J2200" s="28">
        <v>20895</v>
      </c>
      <c r="K2200" s="27" t="s">
        <v>1242</v>
      </c>
    </row>
    <row r="2201" spans="1:23">
      <c r="A2201">
        <v>2184</v>
      </c>
      <c r="D2201" s="28" t="s">
        <v>4137</v>
      </c>
      <c r="E2201" s="27" t="s">
        <v>4138</v>
      </c>
      <c r="G2201" s="27" t="s">
        <v>102</v>
      </c>
      <c r="I2201" s="27" t="s">
        <v>121</v>
      </c>
      <c r="J2201" s="28">
        <v>21743</v>
      </c>
      <c r="K2201" s="27" t="s">
        <v>4503</v>
      </c>
    </row>
    <row r="2202" spans="1:23">
      <c r="A2202">
        <v>2185</v>
      </c>
      <c r="D2202" s="28" t="s">
        <v>4139</v>
      </c>
      <c r="E2202" s="27" t="s">
        <v>4140</v>
      </c>
      <c r="G2202" s="27" t="s">
        <v>102</v>
      </c>
      <c r="I2202" s="27" t="s">
        <v>121</v>
      </c>
      <c r="J2202" s="28">
        <v>21743</v>
      </c>
      <c r="K2202" s="27" t="s">
        <v>4503</v>
      </c>
    </row>
    <row r="2203" spans="1:23">
      <c r="A2203">
        <v>2186</v>
      </c>
      <c r="D2203" s="28" t="s">
        <v>822</v>
      </c>
      <c r="E2203" s="27" t="s">
        <v>823</v>
      </c>
      <c r="G2203" s="27" t="s">
        <v>102</v>
      </c>
      <c r="I2203" s="27" t="s">
        <v>121</v>
      </c>
      <c r="J2203" s="28">
        <v>20895</v>
      </c>
      <c r="K2203" s="27" t="s">
        <v>1242</v>
      </c>
    </row>
    <row r="2204" spans="1:23">
      <c r="A2204">
        <v>2187</v>
      </c>
      <c r="D2204" s="28" t="s">
        <v>829</v>
      </c>
      <c r="E2204" s="27" t="s">
        <v>825</v>
      </c>
      <c r="G2204" s="27" t="s">
        <v>102</v>
      </c>
      <c r="I2204" s="27" t="s">
        <v>94</v>
      </c>
      <c r="J2204" s="28">
        <v>29268</v>
      </c>
      <c r="K2204" s="27" t="s">
        <v>229</v>
      </c>
    </row>
    <row r="2205" spans="1:23">
      <c r="A2205">
        <v>2188</v>
      </c>
      <c r="B2205" t="s">
        <v>468</v>
      </c>
      <c r="C2205" s="370" t="s">
        <v>5039</v>
      </c>
      <c r="D2205" s="28" t="s">
        <v>4141</v>
      </c>
      <c r="E2205" s="27" t="s">
        <v>3647</v>
      </c>
      <c r="F2205" t="s">
        <v>4834</v>
      </c>
      <c r="G2205" s="27" t="s">
        <v>90</v>
      </c>
      <c r="H2205" t="s">
        <v>5042</v>
      </c>
      <c r="I2205" s="27" t="s">
        <v>121</v>
      </c>
      <c r="J2205" s="28">
        <v>21819</v>
      </c>
      <c r="K2205" s="27" t="s">
        <v>408</v>
      </c>
    </row>
    <row r="2206" spans="1:23">
      <c r="A2206">
        <v>2189</v>
      </c>
      <c r="C2206" s="370" t="s">
        <v>5040</v>
      </c>
      <c r="D2206" s="28" t="s">
        <v>4141</v>
      </c>
      <c r="E2206" s="27" t="s">
        <v>3647</v>
      </c>
      <c r="F2206" t="s">
        <v>2444</v>
      </c>
      <c r="G2206" s="27" t="s">
        <v>90</v>
      </c>
      <c r="I2206" s="27" t="s">
        <v>94</v>
      </c>
      <c r="J2206" s="28">
        <v>29148</v>
      </c>
      <c r="K2206" s="27" t="s">
        <v>4510</v>
      </c>
      <c r="M2206" s="28"/>
      <c r="N2206" s="28" t="s">
        <v>4999</v>
      </c>
      <c r="O2206" s="28" t="s">
        <v>1791</v>
      </c>
      <c r="P2206" s="370">
        <v>43591</v>
      </c>
      <c r="Q2206" s="370">
        <v>43577</v>
      </c>
      <c r="R2206" s="370" t="s">
        <v>4555</v>
      </c>
      <c r="S2206" s="370">
        <v>43591</v>
      </c>
      <c r="T2206" s="370" t="s">
        <v>5041</v>
      </c>
      <c r="U2206" s="28" t="s">
        <v>4832</v>
      </c>
      <c r="V2206"/>
      <c r="W2206" s="370" t="s">
        <v>4685</v>
      </c>
    </row>
    <row r="2207" spans="1:23">
      <c r="A2207">
        <v>2190</v>
      </c>
      <c r="D2207" s="28" t="s">
        <v>4142</v>
      </c>
      <c r="E2207" s="27" t="s">
        <v>353</v>
      </c>
      <c r="G2207" s="27" t="s">
        <v>102</v>
      </c>
      <c r="I2207" s="27" t="s">
        <v>121</v>
      </c>
      <c r="J2207" s="28">
        <v>21819</v>
      </c>
      <c r="K2207" s="27" t="s">
        <v>408</v>
      </c>
    </row>
    <row r="2208" spans="1:23">
      <c r="A2208">
        <v>2191</v>
      </c>
      <c r="D2208" s="28" t="s">
        <v>4142</v>
      </c>
      <c r="E2208" s="27" t="s">
        <v>353</v>
      </c>
      <c r="G2208" s="27" t="s">
        <v>102</v>
      </c>
      <c r="I2208" s="27" t="s">
        <v>94</v>
      </c>
      <c r="J2208" s="28">
        <v>29148</v>
      </c>
      <c r="K2208" s="27" t="s">
        <v>4510</v>
      </c>
    </row>
    <row r="2209" spans="1:11">
      <c r="A2209">
        <v>2192</v>
      </c>
      <c r="D2209" s="28" t="s">
        <v>4143</v>
      </c>
      <c r="E2209" s="27" t="s">
        <v>353</v>
      </c>
      <c r="G2209" s="27" t="s">
        <v>102</v>
      </c>
      <c r="I2209" s="27" t="s">
        <v>121</v>
      </c>
      <c r="J2209" s="28">
        <v>21819</v>
      </c>
      <c r="K2209" s="27" t="s">
        <v>408</v>
      </c>
    </row>
    <row r="2210" spans="1:11">
      <c r="A2210">
        <v>2193</v>
      </c>
      <c r="D2210" s="28" t="s">
        <v>4143</v>
      </c>
      <c r="E2210" s="27" t="s">
        <v>353</v>
      </c>
      <c r="G2210" s="27" t="s">
        <v>102</v>
      </c>
      <c r="I2210" s="27" t="s">
        <v>94</v>
      </c>
      <c r="J2210" s="28">
        <v>29148</v>
      </c>
      <c r="K2210" s="27" t="s">
        <v>4510</v>
      </c>
    </row>
    <row r="2211" spans="1:11">
      <c r="A2211">
        <v>2194</v>
      </c>
      <c r="D2211" s="28" t="s">
        <v>4144</v>
      </c>
      <c r="E2211" s="27" t="s">
        <v>4088</v>
      </c>
      <c r="G2211" s="27" t="s">
        <v>102</v>
      </c>
      <c r="I2211" s="27" t="s">
        <v>121</v>
      </c>
      <c r="J2211" s="28">
        <v>21592</v>
      </c>
      <c r="K2211" s="27" t="s">
        <v>410</v>
      </c>
    </row>
    <row r="2212" spans="1:11">
      <c r="A2212">
        <v>2195</v>
      </c>
      <c r="D2212" s="28" t="s">
        <v>4144</v>
      </c>
      <c r="E2212" s="27" t="s">
        <v>4088</v>
      </c>
      <c r="G2212" s="27" t="s">
        <v>102</v>
      </c>
      <c r="I2212" s="27" t="s">
        <v>121</v>
      </c>
      <c r="J2212" s="28">
        <v>21523</v>
      </c>
      <c r="K2212" s="27" t="s">
        <v>411</v>
      </c>
    </row>
    <row r="2213" spans="1:11">
      <c r="A2213">
        <v>2196</v>
      </c>
      <c r="D2213" s="28" t="s">
        <v>4144</v>
      </c>
      <c r="E2213" s="27" t="s">
        <v>4088</v>
      </c>
      <c r="G2213" s="27" t="s">
        <v>102</v>
      </c>
      <c r="I2213" s="27" t="s">
        <v>94</v>
      </c>
      <c r="J2213" s="28">
        <v>21523</v>
      </c>
      <c r="K2213" s="27" t="s">
        <v>411</v>
      </c>
    </row>
    <row r="2214" spans="1:11">
      <c r="A2214">
        <v>2197</v>
      </c>
      <c r="D2214" s="28" t="s">
        <v>4144</v>
      </c>
      <c r="E2214" s="27" t="s">
        <v>4088</v>
      </c>
      <c r="G2214" s="27" t="s">
        <v>102</v>
      </c>
      <c r="I2214" s="27" t="s">
        <v>94</v>
      </c>
      <c r="J2214" s="28">
        <v>21746</v>
      </c>
      <c r="K2214" s="27" t="s">
        <v>410</v>
      </c>
    </row>
    <row r="2215" spans="1:11">
      <c r="A2215">
        <v>2198</v>
      </c>
      <c r="D2215" s="28" t="s">
        <v>4145</v>
      </c>
      <c r="E2215" s="27" t="s">
        <v>3671</v>
      </c>
      <c r="G2215" s="27" t="s">
        <v>102</v>
      </c>
      <c r="I2215" s="27" t="s">
        <v>121</v>
      </c>
      <c r="J2215" s="28">
        <v>21160</v>
      </c>
      <c r="K2215" s="27" t="s">
        <v>401</v>
      </c>
    </row>
    <row r="2216" spans="1:11">
      <c r="A2216">
        <v>2199</v>
      </c>
      <c r="D2216" s="28" t="s">
        <v>4145</v>
      </c>
      <c r="E2216" s="27" t="s">
        <v>3671</v>
      </c>
      <c r="G2216" s="27" t="s">
        <v>102</v>
      </c>
      <c r="I2216" s="27" t="s">
        <v>121</v>
      </c>
      <c r="J2216" s="28">
        <v>21592</v>
      </c>
      <c r="K2216" s="27" t="s">
        <v>410</v>
      </c>
    </row>
    <row r="2217" spans="1:11">
      <c r="A2217">
        <v>2200</v>
      </c>
      <c r="D2217" s="28" t="s">
        <v>4145</v>
      </c>
      <c r="E2217" s="27" t="s">
        <v>3671</v>
      </c>
      <c r="G2217" s="27" t="s">
        <v>102</v>
      </c>
      <c r="I2217" s="27" t="s">
        <v>94</v>
      </c>
      <c r="J2217" s="28">
        <v>21160</v>
      </c>
      <c r="K2217" s="27" t="s">
        <v>401</v>
      </c>
    </row>
    <row r="2218" spans="1:11">
      <c r="A2218">
        <v>2201</v>
      </c>
      <c r="D2218" s="28" t="s">
        <v>4145</v>
      </c>
      <c r="E2218" s="27" t="s">
        <v>3671</v>
      </c>
      <c r="G2218" s="27" t="s">
        <v>102</v>
      </c>
      <c r="I2218" s="27" t="s">
        <v>94</v>
      </c>
      <c r="J2218" s="28">
        <v>21746</v>
      </c>
      <c r="K2218" s="27" t="s">
        <v>410</v>
      </c>
    </row>
    <row r="2219" spans="1:11">
      <c r="A2219">
        <v>2202</v>
      </c>
      <c r="D2219" s="28" t="s">
        <v>4146</v>
      </c>
      <c r="E2219" s="27" t="s">
        <v>4147</v>
      </c>
      <c r="G2219" s="27" t="s">
        <v>102</v>
      </c>
      <c r="I2219" s="27" t="s">
        <v>121</v>
      </c>
      <c r="J2219" s="28">
        <v>21160</v>
      </c>
      <c r="K2219" s="27" t="s">
        <v>401</v>
      </c>
    </row>
    <row r="2220" spans="1:11">
      <c r="A2220">
        <v>2203</v>
      </c>
      <c r="D2220" s="28" t="s">
        <v>4146</v>
      </c>
      <c r="E2220" s="27" t="s">
        <v>4147</v>
      </c>
      <c r="G2220" s="27" t="s">
        <v>102</v>
      </c>
      <c r="I2220" s="27" t="s">
        <v>121</v>
      </c>
      <c r="J2220" s="28">
        <v>21592</v>
      </c>
      <c r="K2220" s="27" t="s">
        <v>410</v>
      </c>
    </row>
    <row r="2221" spans="1:11">
      <c r="A2221">
        <v>2204</v>
      </c>
      <c r="D2221" s="28" t="s">
        <v>4146</v>
      </c>
      <c r="E2221" s="27" t="s">
        <v>4147</v>
      </c>
      <c r="G2221" s="27" t="s">
        <v>102</v>
      </c>
      <c r="I2221" s="27" t="s">
        <v>94</v>
      </c>
      <c r="J2221" s="28">
        <v>21160</v>
      </c>
      <c r="K2221" s="27" t="s">
        <v>401</v>
      </c>
    </row>
    <row r="2222" spans="1:11">
      <c r="A2222">
        <v>2205</v>
      </c>
      <c r="D2222" s="28" t="s">
        <v>4146</v>
      </c>
      <c r="E2222" s="27" t="s">
        <v>4147</v>
      </c>
      <c r="G2222" s="27" t="s">
        <v>102</v>
      </c>
      <c r="I2222" s="27" t="s">
        <v>94</v>
      </c>
      <c r="J2222" s="28">
        <v>21746</v>
      </c>
      <c r="K2222" s="27" t="s">
        <v>410</v>
      </c>
    </row>
    <row r="2223" spans="1:11">
      <c r="A2223">
        <v>2206</v>
      </c>
      <c r="D2223" s="28" t="s">
        <v>4148</v>
      </c>
      <c r="E2223" s="27" t="s">
        <v>3671</v>
      </c>
      <c r="G2223" s="27" t="s">
        <v>102</v>
      </c>
      <c r="I2223" s="27" t="s">
        <v>121</v>
      </c>
      <c r="J2223" s="28">
        <v>21592</v>
      </c>
      <c r="K2223" s="27" t="s">
        <v>410</v>
      </c>
    </row>
    <row r="2224" spans="1:11">
      <c r="A2224">
        <v>2207</v>
      </c>
      <c r="D2224" s="28" t="s">
        <v>4149</v>
      </c>
      <c r="E2224" s="27" t="s">
        <v>3110</v>
      </c>
      <c r="G2224" s="27" t="s">
        <v>102</v>
      </c>
      <c r="I2224" s="27" t="s">
        <v>121</v>
      </c>
      <c r="J2224" s="28">
        <v>21592</v>
      </c>
      <c r="K2224" s="27" t="s">
        <v>410</v>
      </c>
    </row>
    <row r="2225" spans="1:11">
      <c r="A2225">
        <v>2208</v>
      </c>
      <c r="D2225" s="28" t="s">
        <v>4150</v>
      </c>
      <c r="E2225" s="27" t="s">
        <v>371</v>
      </c>
      <c r="G2225" s="27" t="s">
        <v>102</v>
      </c>
      <c r="I2225" s="27" t="s">
        <v>121</v>
      </c>
      <c r="J2225" s="28">
        <v>20205</v>
      </c>
      <c r="K2225" s="27" t="s">
        <v>1245</v>
      </c>
    </row>
    <row r="2226" spans="1:11">
      <c r="A2226">
        <v>2209</v>
      </c>
      <c r="D2226" s="28" t="s">
        <v>4150</v>
      </c>
      <c r="E2226" s="27" t="s">
        <v>371</v>
      </c>
      <c r="G2226" s="27" t="s">
        <v>102</v>
      </c>
      <c r="I2226" s="27" t="s">
        <v>94</v>
      </c>
      <c r="J2226" s="28">
        <v>20205</v>
      </c>
      <c r="K2226" s="27" t="s">
        <v>1245</v>
      </c>
    </row>
    <row r="2227" spans="1:11">
      <c r="A2227">
        <v>2210</v>
      </c>
      <c r="D2227" s="28" t="s">
        <v>4151</v>
      </c>
      <c r="E2227" s="27" t="s">
        <v>3036</v>
      </c>
      <c r="G2227" s="27" t="s">
        <v>102</v>
      </c>
      <c r="I2227" s="27" t="s">
        <v>121</v>
      </c>
      <c r="J2227" s="28">
        <v>21160</v>
      </c>
      <c r="K2227" s="27" t="s">
        <v>401</v>
      </c>
    </row>
    <row r="2228" spans="1:11">
      <c r="A2228">
        <v>2211</v>
      </c>
      <c r="D2228" s="28" t="s">
        <v>4151</v>
      </c>
      <c r="E2228" s="27" t="s">
        <v>3036</v>
      </c>
      <c r="G2228" s="27" t="s">
        <v>102</v>
      </c>
      <c r="I2228" s="27" t="s">
        <v>121</v>
      </c>
      <c r="J2228" s="28">
        <v>21205</v>
      </c>
      <c r="K2228" s="27" t="s">
        <v>395</v>
      </c>
    </row>
    <row r="2229" spans="1:11">
      <c r="A2229">
        <v>2212</v>
      </c>
      <c r="D2229" s="28" t="s">
        <v>4151</v>
      </c>
      <c r="E2229" s="27" t="s">
        <v>3036</v>
      </c>
      <c r="G2229" s="27" t="s">
        <v>102</v>
      </c>
      <c r="I2229" s="27" t="s">
        <v>94</v>
      </c>
      <c r="J2229" s="28">
        <v>21160</v>
      </c>
      <c r="K2229" s="27" t="s">
        <v>401</v>
      </c>
    </row>
    <row r="2230" spans="1:11">
      <c r="A2230">
        <v>2213</v>
      </c>
      <c r="D2230" s="28" t="s">
        <v>4151</v>
      </c>
      <c r="E2230" s="27" t="s">
        <v>3036</v>
      </c>
      <c r="G2230" s="27" t="s">
        <v>102</v>
      </c>
      <c r="I2230" s="27" t="s">
        <v>94</v>
      </c>
      <c r="J2230" s="28">
        <v>21205</v>
      </c>
      <c r="K2230" s="27" t="s">
        <v>395</v>
      </c>
    </row>
    <row r="2231" spans="1:11">
      <c r="A2231">
        <v>2214</v>
      </c>
      <c r="D2231" s="28" t="s">
        <v>4152</v>
      </c>
      <c r="E2231" s="27" t="s">
        <v>4153</v>
      </c>
      <c r="G2231" s="27" t="s">
        <v>102</v>
      </c>
      <c r="I2231" s="27" t="s">
        <v>121</v>
      </c>
      <c r="J2231" s="28">
        <v>29010</v>
      </c>
      <c r="K2231" s="27" t="s">
        <v>229</v>
      </c>
    </row>
    <row r="2232" spans="1:11">
      <c r="A2232">
        <v>2215</v>
      </c>
      <c r="D2232" s="28" t="s">
        <v>4154</v>
      </c>
      <c r="E2232" s="27" t="s">
        <v>3036</v>
      </c>
      <c r="G2232" s="27" t="s">
        <v>102</v>
      </c>
      <c r="I2232" s="27" t="s">
        <v>121</v>
      </c>
      <c r="J2232" s="28">
        <v>21589</v>
      </c>
      <c r="K2232" s="27" t="s">
        <v>405</v>
      </c>
    </row>
    <row r="2233" spans="1:11">
      <c r="A2233">
        <v>2216</v>
      </c>
      <c r="D2233" s="28" t="s">
        <v>4154</v>
      </c>
      <c r="E2233" s="27" t="s">
        <v>3036</v>
      </c>
      <c r="G2233" s="27" t="s">
        <v>102</v>
      </c>
      <c r="I2233" s="27" t="s">
        <v>94</v>
      </c>
      <c r="J2233" s="28">
        <v>21589</v>
      </c>
      <c r="K2233" s="27" t="s">
        <v>405</v>
      </c>
    </row>
    <row r="2234" spans="1:11">
      <c r="A2234">
        <v>2217</v>
      </c>
      <c r="D2234" s="28" t="s">
        <v>830</v>
      </c>
      <c r="E2234" s="27" t="s">
        <v>170</v>
      </c>
      <c r="G2234" s="27" t="s">
        <v>102</v>
      </c>
      <c r="I2234" s="27" t="s">
        <v>121</v>
      </c>
      <c r="J2234" s="28">
        <v>20895</v>
      </c>
      <c r="K2234" s="27" t="s">
        <v>1242</v>
      </c>
    </row>
    <row r="2235" spans="1:11">
      <c r="A2235">
        <v>2218</v>
      </c>
      <c r="D2235" s="28" t="s">
        <v>831</v>
      </c>
      <c r="E2235" s="27" t="s">
        <v>832</v>
      </c>
      <c r="G2235" s="27" t="s">
        <v>102</v>
      </c>
      <c r="I2235" s="27" t="s">
        <v>121</v>
      </c>
      <c r="J2235" s="28">
        <v>20895</v>
      </c>
      <c r="K2235" s="27" t="s">
        <v>1242</v>
      </c>
    </row>
    <row r="2236" spans="1:11">
      <c r="A2236">
        <v>2219</v>
      </c>
      <c r="D2236" s="28" t="s">
        <v>833</v>
      </c>
      <c r="E2236" s="27" t="s">
        <v>834</v>
      </c>
      <c r="G2236" s="27" t="s">
        <v>102</v>
      </c>
      <c r="I2236" s="27" t="s">
        <v>121</v>
      </c>
      <c r="J2236" s="28">
        <v>20895</v>
      </c>
      <c r="K2236" s="27" t="s">
        <v>1242</v>
      </c>
    </row>
    <row r="2237" spans="1:11">
      <c r="A2237">
        <v>2220</v>
      </c>
      <c r="D2237" s="28" t="s">
        <v>835</v>
      </c>
      <c r="E2237" s="27" t="s">
        <v>836</v>
      </c>
      <c r="G2237" s="27" t="s">
        <v>102</v>
      </c>
      <c r="I2237" s="27" t="s">
        <v>121</v>
      </c>
      <c r="J2237" s="28">
        <v>20895</v>
      </c>
      <c r="K2237" s="27" t="s">
        <v>1242</v>
      </c>
    </row>
    <row r="2238" spans="1:11">
      <c r="A2238">
        <v>2221</v>
      </c>
      <c r="D2238" s="28" t="s">
        <v>837</v>
      </c>
      <c r="E2238" s="27" t="s">
        <v>838</v>
      </c>
      <c r="G2238" s="27" t="s">
        <v>102</v>
      </c>
      <c r="I2238" s="27" t="s">
        <v>121</v>
      </c>
      <c r="J2238" s="28">
        <v>20895</v>
      </c>
      <c r="K2238" s="27" t="s">
        <v>1242</v>
      </c>
    </row>
    <row r="2239" spans="1:11">
      <c r="A2239">
        <v>2222</v>
      </c>
      <c r="D2239" s="28" t="s">
        <v>839</v>
      </c>
      <c r="E2239" s="27" t="s">
        <v>176</v>
      </c>
      <c r="G2239" s="27" t="s">
        <v>102</v>
      </c>
      <c r="I2239" s="27" t="s">
        <v>121</v>
      </c>
      <c r="J2239" s="28">
        <v>20895</v>
      </c>
      <c r="K2239" s="27" t="s">
        <v>1242</v>
      </c>
    </row>
    <row r="2240" spans="1:11">
      <c r="A2240">
        <v>2223</v>
      </c>
      <c r="D2240" s="28" t="s">
        <v>840</v>
      </c>
      <c r="E2240" s="27" t="s">
        <v>841</v>
      </c>
      <c r="G2240" s="27" t="s">
        <v>102</v>
      </c>
      <c r="I2240" s="27" t="s">
        <v>121</v>
      </c>
      <c r="J2240" s="28">
        <v>20895</v>
      </c>
      <c r="K2240" s="27" t="s">
        <v>1242</v>
      </c>
    </row>
    <row r="2241" spans="1:11">
      <c r="A2241">
        <v>2224</v>
      </c>
      <c r="D2241" s="28" t="s">
        <v>842</v>
      </c>
      <c r="E2241" s="27" t="s">
        <v>788</v>
      </c>
      <c r="G2241" s="27" t="s">
        <v>102</v>
      </c>
      <c r="I2241" s="27" t="s">
        <v>121</v>
      </c>
      <c r="J2241" s="28">
        <v>20895</v>
      </c>
      <c r="K2241" s="27" t="s">
        <v>1242</v>
      </c>
    </row>
    <row r="2242" spans="1:11">
      <c r="A2242">
        <v>2225</v>
      </c>
      <c r="D2242" s="28" t="s">
        <v>4155</v>
      </c>
      <c r="E2242" s="27" t="s">
        <v>4156</v>
      </c>
      <c r="G2242" s="27" t="s">
        <v>102</v>
      </c>
      <c r="I2242" s="27" t="s">
        <v>121</v>
      </c>
      <c r="J2242" s="28">
        <v>29010</v>
      </c>
      <c r="K2242" s="27" t="s">
        <v>229</v>
      </c>
    </row>
    <row r="2243" spans="1:11">
      <c r="A2243">
        <v>2226</v>
      </c>
      <c r="D2243" s="28" t="s">
        <v>4155</v>
      </c>
      <c r="E2243" s="27" t="s">
        <v>4156</v>
      </c>
      <c r="G2243" s="27" t="s">
        <v>102</v>
      </c>
      <c r="I2243" s="27" t="s">
        <v>94</v>
      </c>
      <c r="J2243" s="28">
        <v>29268</v>
      </c>
      <c r="K2243" s="27" t="s">
        <v>229</v>
      </c>
    </row>
    <row r="2244" spans="1:11">
      <c r="A2244">
        <v>2227</v>
      </c>
      <c r="D2244" s="28" t="s">
        <v>4157</v>
      </c>
      <c r="E2244" s="27" t="s">
        <v>373</v>
      </c>
      <c r="G2244" s="27" t="s">
        <v>102</v>
      </c>
      <c r="I2244" s="27" t="s">
        <v>121</v>
      </c>
      <c r="J2244" s="28">
        <v>21710</v>
      </c>
      <c r="K2244" s="27" t="s">
        <v>407</v>
      </c>
    </row>
    <row r="2245" spans="1:11">
      <c r="A2245">
        <v>2228</v>
      </c>
      <c r="D2245" s="28" t="s">
        <v>4157</v>
      </c>
      <c r="E2245" s="27" t="s">
        <v>373</v>
      </c>
      <c r="G2245" s="27" t="s">
        <v>102</v>
      </c>
      <c r="I2245" s="27" t="s">
        <v>94</v>
      </c>
      <c r="J2245" s="28">
        <v>21614</v>
      </c>
      <c r="K2245" s="27" t="s">
        <v>407</v>
      </c>
    </row>
    <row r="2246" spans="1:11">
      <c r="A2246">
        <v>2229</v>
      </c>
      <c r="D2246" s="28" t="s">
        <v>843</v>
      </c>
      <c r="E2246" s="27" t="s">
        <v>844</v>
      </c>
      <c r="G2246" s="27" t="s">
        <v>102</v>
      </c>
      <c r="I2246" s="27" t="s">
        <v>121</v>
      </c>
      <c r="J2246" s="28">
        <v>29010</v>
      </c>
      <c r="K2246" s="27" t="s">
        <v>229</v>
      </c>
    </row>
    <row r="2247" spans="1:11">
      <c r="A2247">
        <v>2230</v>
      </c>
      <c r="D2247" s="28" t="s">
        <v>845</v>
      </c>
      <c r="E2247" s="27" t="s">
        <v>846</v>
      </c>
      <c r="G2247" s="27" t="s">
        <v>102</v>
      </c>
      <c r="I2247" s="27" t="s">
        <v>121</v>
      </c>
      <c r="J2247" s="28">
        <v>20895</v>
      </c>
      <c r="K2247" s="27" t="s">
        <v>1242</v>
      </c>
    </row>
    <row r="2248" spans="1:11">
      <c r="A2248">
        <v>2231</v>
      </c>
      <c r="D2248" s="28" t="s">
        <v>847</v>
      </c>
      <c r="E2248" s="27" t="s">
        <v>848</v>
      </c>
      <c r="G2248" s="27" t="s">
        <v>102</v>
      </c>
      <c r="I2248" s="27" t="s">
        <v>121</v>
      </c>
      <c r="J2248" s="28">
        <v>20895</v>
      </c>
      <c r="K2248" s="27" t="s">
        <v>1242</v>
      </c>
    </row>
    <row r="2249" spans="1:11">
      <c r="A2249">
        <v>2232</v>
      </c>
      <c r="D2249" s="28" t="s">
        <v>853</v>
      </c>
      <c r="E2249" s="27" t="s">
        <v>854</v>
      </c>
      <c r="G2249" s="27" t="s">
        <v>102</v>
      </c>
      <c r="I2249" s="27" t="s">
        <v>121</v>
      </c>
      <c r="J2249" s="28">
        <v>29010</v>
      </c>
      <c r="K2249" s="27" t="s">
        <v>229</v>
      </c>
    </row>
    <row r="2250" spans="1:11">
      <c r="A2250">
        <v>2233</v>
      </c>
      <c r="D2250" s="28" t="s">
        <v>1218</v>
      </c>
      <c r="E2250" s="27" t="s">
        <v>855</v>
      </c>
      <c r="G2250" s="27" t="s">
        <v>102</v>
      </c>
      <c r="I2250" s="27" t="s">
        <v>121</v>
      </c>
      <c r="J2250" s="28">
        <v>29010</v>
      </c>
      <c r="K2250" s="27" t="s">
        <v>229</v>
      </c>
    </row>
    <row r="2251" spans="1:11">
      <c r="A2251">
        <v>2234</v>
      </c>
      <c r="D2251" s="28" t="s">
        <v>4158</v>
      </c>
      <c r="E2251" s="27" t="s">
        <v>4159</v>
      </c>
      <c r="G2251" s="27" t="s">
        <v>102</v>
      </c>
      <c r="I2251" s="27" t="s">
        <v>121</v>
      </c>
      <c r="J2251" s="28">
        <v>21710</v>
      </c>
      <c r="K2251" s="27" t="s">
        <v>407</v>
      </c>
    </row>
    <row r="2252" spans="1:11">
      <c r="A2252">
        <v>2235</v>
      </c>
      <c r="D2252" s="28" t="s">
        <v>4158</v>
      </c>
      <c r="E2252" s="27" t="s">
        <v>4159</v>
      </c>
      <c r="G2252" s="27" t="s">
        <v>102</v>
      </c>
      <c r="I2252" s="27" t="s">
        <v>94</v>
      </c>
      <c r="J2252" s="28">
        <v>21614</v>
      </c>
      <c r="K2252" s="27" t="s">
        <v>407</v>
      </c>
    </row>
    <row r="2253" spans="1:11">
      <c r="A2253">
        <v>2236</v>
      </c>
      <c r="D2253" s="28" t="s">
        <v>4160</v>
      </c>
      <c r="E2253" s="27" t="s">
        <v>329</v>
      </c>
      <c r="G2253" s="27" t="s">
        <v>102</v>
      </c>
      <c r="I2253" s="27" t="s">
        <v>226</v>
      </c>
      <c r="J2253" s="28">
        <v>21425</v>
      </c>
      <c r="K2253" s="27" t="s">
        <v>406</v>
      </c>
    </row>
    <row r="2254" spans="1:11">
      <c r="A2254">
        <v>2237</v>
      </c>
      <c r="D2254" s="28" t="s">
        <v>4161</v>
      </c>
      <c r="E2254" s="27" t="s">
        <v>4162</v>
      </c>
      <c r="G2254" s="27" t="s">
        <v>102</v>
      </c>
      <c r="I2254" s="27" t="s">
        <v>226</v>
      </c>
      <c r="J2254" s="28">
        <v>21557</v>
      </c>
      <c r="K2254" s="27" t="s">
        <v>396</v>
      </c>
    </row>
    <row r="2255" spans="1:11">
      <c r="A2255">
        <v>2238</v>
      </c>
      <c r="D2255" s="28" t="s">
        <v>4163</v>
      </c>
      <c r="E2255" s="27" t="s">
        <v>3307</v>
      </c>
      <c r="G2255" s="27" t="s">
        <v>102</v>
      </c>
      <c r="I2255" s="27" t="s">
        <v>226</v>
      </c>
      <c r="J2255" s="28">
        <v>21556</v>
      </c>
      <c r="K2255" s="27" t="s">
        <v>4508</v>
      </c>
    </row>
    <row r="2256" spans="1:11">
      <c r="A2256">
        <v>2239</v>
      </c>
      <c r="D2256" s="28" t="s">
        <v>4164</v>
      </c>
      <c r="E2256" s="27" t="s">
        <v>1592</v>
      </c>
      <c r="G2256" s="27" t="s">
        <v>102</v>
      </c>
      <c r="I2256" s="27" t="s">
        <v>226</v>
      </c>
      <c r="J2256" s="28">
        <v>29164</v>
      </c>
      <c r="K2256" s="27" t="s">
        <v>229</v>
      </c>
    </row>
    <row r="2257" spans="1:11">
      <c r="A2257">
        <v>2240</v>
      </c>
      <c r="D2257" s="28" t="s">
        <v>4165</v>
      </c>
      <c r="E2257" s="27" t="s">
        <v>154</v>
      </c>
      <c r="G2257" s="27" t="s">
        <v>102</v>
      </c>
      <c r="I2257" s="27" t="s">
        <v>226</v>
      </c>
      <c r="J2257" s="28">
        <v>29164</v>
      </c>
      <c r="K2257" s="27" t="s">
        <v>229</v>
      </c>
    </row>
    <row r="2258" spans="1:11">
      <c r="A2258">
        <v>2241</v>
      </c>
      <c r="D2258" s="28" t="s">
        <v>4166</v>
      </c>
      <c r="E2258" s="27" t="s">
        <v>4167</v>
      </c>
      <c r="G2258" s="27" t="s">
        <v>102</v>
      </c>
      <c r="I2258" s="27" t="s">
        <v>226</v>
      </c>
      <c r="J2258" s="28">
        <v>21557</v>
      </c>
      <c r="K2258" s="27" t="s">
        <v>396</v>
      </c>
    </row>
    <row r="2259" spans="1:11">
      <c r="A2259">
        <v>2242</v>
      </c>
      <c r="D2259" s="28" t="s">
        <v>4168</v>
      </c>
      <c r="E2259" s="27" t="s">
        <v>3307</v>
      </c>
      <c r="G2259" s="27" t="s">
        <v>102</v>
      </c>
      <c r="I2259" s="27" t="s">
        <v>226</v>
      </c>
      <c r="J2259" s="28">
        <v>21556</v>
      </c>
      <c r="K2259" s="27" t="s">
        <v>4508</v>
      </c>
    </row>
    <row r="2260" spans="1:11">
      <c r="A2260">
        <v>2243</v>
      </c>
      <c r="D2260" s="28" t="s">
        <v>4169</v>
      </c>
      <c r="E2260" s="27" t="s">
        <v>1598</v>
      </c>
      <c r="G2260" s="27" t="s">
        <v>102</v>
      </c>
      <c r="I2260" s="27" t="s">
        <v>226</v>
      </c>
      <c r="J2260" s="28">
        <v>21557</v>
      </c>
      <c r="K2260" s="27" t="s">
        <v>396</v>
      </c>
    </row>
    <row r="2261" spans="1:11">
      <c r="A2261">
        <v>2244</v>
      </c>
      <c r="D2261" s="28" t="s">
        <v>4170</v>
      </c>
      <c r="E2261" s="27" t="s">
        <v>154</v>
      </c>
      <c r="G2261" s="27" t="s">
        <v>102</v>
      </c>
      <c r="I2261" s="27" t="s">
        <v>226</v>
      </c>
      <c r="J2261" s="28">
        <v>21556</v>
      </c>
      <c r="K2261" s="27" t="s">
        <v>4508</v>
      </c>
    </row>
    <row r="2262" spans="1:11">
      <c r="A2262">
        <v>2245</v>
      </c>
      <c r="D2262" s="28" t="s">
        <v>4171</v>
      </c>
      <c r="E2262" s="27" t="s">
        <v>154</v>
      </c>
      <c r="G2262" s="27" t="s">
        <v>102</v>
      </c>
      <c r="I2262" s="27" t="s">
        <v>226</v>
      </c>
      <c r="J2262" s="28">
        <v>21556</v>
      </c>
      <c r="K2262" s="27" t="s">
        <v>4508</v>
      </c>
    </row>
    <row r="2263" spans="1:11">
      <c r="A2263">
        <v>2246</v>
      </c>
      <c r="D2263" s="28" t="s">
        <v>4172</v>
      </c>
      <c r="E2263" s="27" t="s">
        <v>4173</v>
      </c>
      <c r="G2263" s="27" t="s">
        <v>102</v>
      </c>
      <c r="I2263" s="27" t="s">
        <v>226</v>
      </c>
      <c r="J2263" s="28">
        <v>21541</v>
      </c>
      <c r="K2263" s="27" t="s">
        <v>411</v>
      </c>
    </row>
    <row r="2264" spans="1:11">
      <c r="A2264">
        <v>2247</v>
      </c>
      <c r="D2264" s="28" t="s">
        <v>4172</v>
      </c>
      <c r="E2264" s="27" t="s">
        <v>4173</v>
      </c>
      <c r="G2264" s="27" t="s">
        <v>102</v>
      </c>
      <c r="I2264" s="27" t="s">
        <v>226</v>
      </c>
      <c r="J2264" s="28">
        <v>21472</v>
      </c>
      <c r="K2264" s="27" t="s">
        <v>4513</v>
      </c>
    </row>
    <row r="2265" spans="1:11">
      <c r="A2265">
        <v>2248</v>
      </c>
      <c r="D2265" s="28" t="s">
        <v>4174</v>
      </c>
      <c r="E2265" s="27" t="s">
        <v>4175</v>
      </c>
      <c r="G2265" s="27" t="s">
        <v>102</v>
      </c>
      <c r="I2265" s="27" t="s">
        <v>226</v>
      </c>
      <c r="J2265" s="28">
        <v>21541</v>
      </c>
      <c r="K2265" s="27" t="s">
        <v>411</v>
      </c>
    </row>
    <row r="2266" spans="1:11">
      <c r="A2266">
        <v>2249</v>
      </c>
      <c r="D2266" s="28" t="s">
        <v>4176</v>
      </c>
      <c r="E2266" s="27" t="s">
        <v>4177</v>
      </c>
      <c r="G2266" s="27" t="s">
        <v>102</v>
      </c>
      <c r="I2266" s="27" t="s">
        <v>226</v>
      </c>
      <c r="J2266" s="28">
        <v>21541</v>
      </c>
      <c r="K2266" s="27" t="s">
        <v>411</v>
      </c>
    </row>
    <row r="2267" spans="1:11">
      <c r="A2267">
        <v>2250</v>
      </c>
      <c r="D2267" s="28" t="s">
        <v>4178</v>
      </c>
      <c r="E2267" s="27" t="s">
        <v>4179</v>
      </c>
      <c r="G2267" s="27" t="s">
        <v>102</v>
      </c>
      <c r="I2267" s="27" t="s">
        <v>226</v>
      </c>
      <c r="J2267" s="28">
        <v>21355</v>
      </c>
      <c r="K2267" s="27" t="s">
        <v>4504</v>
      </c>
    </row>
    <row r="2268" spans="1:11">
      <c r="A2268">
        <v>2251</v>
      </c>
      <c r="D2268" s="28" t="s">
        <v>4180</v>
      </c>
      <c r="E2268" s="27" t="s">
        <v>4181</v>
      </c>
      <c r="G2268" s="27" t="s">
        <v>102</v>
      </c>
      <c r="I2268" s="27" t="s">
        <v>226</v>
      </c>
      <c r="J2268" s="28">
        <v>21355</v>
      </c>
      <c r="K2268" s="27" t="s">
        <v>4504</v>
      </c>
    </row>
    <row r="2269" spans="1:11">
      <c r="A2269">
        <v>2252</v>
      </c>
      <c r="D2269" s="28" t="s">
        <v>4182</v>
      </c>
      <c r="E2269" s="27" t="s">
        <v>3851</v>
      </c>
      <c r="G2269" s="27" t="s">
        <v>102</v>
      </c>
      <c r="I2269" s="27" t="s">
        <v>226</v>
      </c>
      <c r="J2269" s="28">
        <v>21355</v>
      </c>
      <c r="K2269" s="27" t="s">
        <v>4504</v>
      </c>
    </row>
    <row r="2270" spans="1:11">
      <c r="A2270">
        <v>2253</v>
      </c>
      <c r="D2270" s="28" t="s">
        <v>4183</v>
      </c>
      <c r="E2270" s="27" t="s">
        <v>4184</v>
      </c>
      <c r="G2270" s="27" t="s">
        <v>102</v>
      </c>
      <c r="I2270" s="27" t="s">
        <v>226</v>
      </c>
      <c r="J2270" s="28">
        <v>21541</v>
      </c>
      <c r="K2270" s="27" t="s">
        <v>411</v>
      </c>
    </row>
    <row r="2271" spans="1:11">
      <c r="A2271">
        <v>2254</v>
      </c>
      <c r="D2271" s="28" t="s">
        <v>4185</v>
      </c>
      <c r="E2271" s="27" t="s">
        <v>4186</v>
      </c>
      <c r="G2271" s="27" t="s">
        <v>102</v>
      </c>
      <c r="I2271" s="27" t="s">
        <v>226</v>
      </c>
      <c r="J2271" s="28">
        <v>21541</v>
      </c>
      <c r="K2271" s="27" t="s">
        <v>411</v>
      </c>
    </row>
    <row r="2272" spans="1:11">
      <c r="A2272">
        <v>2255</v>
      </c>
      <c r="B2272" s="259" t="s">
        <v>468</v>
      </c>
      <c r="C2272" s="28" t="s">
        <v>4990</v>
      </c>
      <c r="D2272" s="28" t="s">
        <v>4187</v>
      </c>
      <c r="E2272" s="27" t="s">
        <v>4188</v>
      </c>
      <c r="F2272" t="s">
        <v>2221</v>
      </c>
      <c r="G2272" s="27" t="s">
        <v>90</v>
      </c>
      <c r="H2272" t="s">
        <v>4993</v>
      </c>
      <c r="I2272" s="27" t="s">
        <v>226</v>
      </c>
      <c r="J2272" s="28">
        <v>21541</v>
      </c>
      <c r="K2272" s="27" t="s">
        <v>411</v>
      </c>
    </row>
    <row r="2273" spans="1:11">
      <c r="A2273">
        <v>2256</v>
      </c>
      <c r="D2273" s="28" t="s">
        <v>4189</v>
      </c>
      <c r="E2273" s="27" t="s">
        <v>3853</v>
      </c>
      <c r="G2273" s="27" t="s">
        <v>102</v>
      </c>
      <c r="I2273" s="27" t="s">
        <v>226</v>
      </c>
      <c r="J2273" s="28">
        <v>21628</v>
      </c>
      <c r="K2273" s="27" t="s">
        <v>4502</v>
      </c>
    </row>
    <row r="2274" spans="1:11">
      <c r="A2274">
        <v>2257</v>
      </c>
      <c r="B2274" s="259" t="s">
        <v>468</v>
      </c>
      <c r="C2274" s="28" t="s">
        <v>4991</v>
      </c>
      <c r="D2274" s="28" t="s">
        <v>4190</v>
      </c>
      <c r="E2274" s="27" t="s">
        <v>4191</v>
      </c>
      <c r="F2274" t="s">
        <v>2221</v>
      </c>
      <c r="G2274" s="27" t="s">
        <v>90</v>
      </c>
      <c r="H2274" t="s">
        <v>4994</v>
      </c>
      <c r="I2274" s="27" t="s">
        <v>226</v>
      </c>
      <c r="J2274" s="28">
        <v>21541</v>
      </c>
      <c r="K2274" s="27" t="s">
        <v>411</v>
      </c>
    </row>
    <row r="2275" spans="1:11">
      <c r="A2275">
        <v>2258</v>
      </c>
      <c r="B2275" s="259" t="s">
        <v>468</v>
      </c>
      <c r="C2275" s="28" t="s">
        <v>4992</v>
      </c>
      <c r="D2275" s="28" t="s">
        <v>4192</v>
      </c>
      <c r="E2275" s="27" t="s">
        <v>4193</v>
      </c>
      <c r="F2275" t="s">
        <v>2221</v>
      </c>
      <c r="G2275" s="27" t="s">
        <v>90</v>
      </c>
      <c r="H2275" t="s">
        <v>4995</v>
      </c>
      <c r="I2275" s="27" t="s">
        <v>226</v>
      </c>
      <c r="J2275" s="28">
        <v>21541</v>
      </c>
      <c r="K2275" s="27" t="s">
        <v>411</v>
      </c>
    </row>
    <row r="2276" spans="1:11">
      <c r="A2276">
        <v>2259</v>
      </c>
      <c r="D2276" s="28" t="s">
        <v>4194</v>
      </c>
      <c r="E2276" s="27" t="s">
        <v>4195</v>
      </c>
      <c r="G2276" s="27" t="s">
        <v>102</v>
      </c>
      <c r="I2276" s="27" t="s">
        <v>226</v>
      </c>
      <c r="J2276" s="28">
        <v>21355</v>
      </c>
      <c r="K2276" s="27" t="s">
        <v>4504</v>
      </c>
    </row>
    <row r="2277" spans="1:11">
      <c r="A2277">
        <v>2260</v>
      </c>
      <c r="D2277" s="28" t="s">
        <v>4196</v>
      </c>
      <c r="E2277" s="27" t="s">
        <v>4197</v>
      </c>
      <c r="G2277" s="27" t="s">
        <v>102</v>
      </c>
      <c r="I2277" s="27" t="s">
        <v>226</v>
      </c>
      <c r="J2277" s="28">
        <v>21557</v>
      </c>
      <c r="K2277" s="27" t="s">
        <v>396</v>
      </c>
    </row>
    <row r="2278" spans="1:11">
      <c r="A2278">
        <v>2261</v>
      </c>
      <c r="D2278" s="28" t="s">
        <v>4198</v>
      </c>
      <c r="E2278" s="27" t="s">
        <v>4199</v>
      </c>
      <c r="G2278" s="27" t="s">
        <v>102</v>
      </c>
      <c r="I2278" s="27" t="s">
        <v>226</v>
      </c>
      <c r="J2278" s="28">
        <v>29164</v>
      </c>
      <c r="K2278" s="27" t="s">
        <v>229</v>
      </c>
    </row>
    <row r="2279" spans="1:11">
      <c r="A2279">
        <v>2262</v>
      </c>
      <c r="D2279" s="28" t="s">
        <v>4200</v>
      </c>
      <c r="E2279" s="27" t="s">
        <v>4201</v>
      </c>
      <c r="G2279" s="27" t="s">
        <v>102</v>
      </c>
      <c r="I2279" s="27" t="s">
        <v>226</v>
      </c>
      <c r="J2279" s="28">
        <v>29164</v>
      </c>
      <c r="K2279" s="27" t="s">
        <v>229</v>
      </c>
    </row>
    <row r="2280" spans="1:11">
      <c r="A2280">
        <v>2263</v>
      </c>
      <c r="D2280" s="28" t="s">
        <v>4202</v>
      </c>
      <c r="E2280" s="27" t="s">
        <v>4203</v>
      </c>
      <c r="G2280" s="27" t="s">
        <v>102</v>
      </c>
      <c r="I2280" s="27" t="s">
        <v>226</v>
      </c>
      <c r="J2280" s="28">
        <v>21820</v>
      </c>
      <c r="K2280" s="27" t="s">
        <v>408</v>
      </c>
    </row>
    <row r="2281" spans="1:11">
      <c r="A2281">
        <v>2264</v>
      </c>
      <c r="D2281" s="28" t="s">
        <v>4204</v>
      </c>
      <c r="E2281" s="27" t="s">
        <v>4205</v>
      </c>
      <c r="G2281" s="27" t="s">
        <v>102</v>
      </c>
      <c r="I2281" s="27" t="s">
        <v>226</v>
      </c>
      <c r="J2281" s="28">
        <v>21820</v>
      </c>
      <c r="K2281" s="27" t="s">
        <v>408</v>
      </c>
    </row>
    <row r="2282" spans="1:11">
      <c r="A2282">
        <v>2265</v>
      </c>
      <c r="D2282" s="28" t="s">
        <v>4206</v>
      </c>
      <c r="E2282" s="27" t="s">
        <v>4207</v>
      </c>
      <c r="G2282" s="27" t="s">
        <v>102</v>
      </c>
      <c r="I2282" s="27" t="s">
        <v>226</v>
      </c>
      <c r="J2282" s="28">
        <v>21820</v>
      </c>
      <c r="K2282" s="27" t="s">
        <v>408</v>
      </c>
    </row>
    <row r="2283" spans="1:11">
      <c r="A2283">
        <v>2266</v>
      </c>
      <c r="D2283" s="28" t="s">
        <v>4208</v>
      </c>
      <c r="E2283" s="27" t="s">
        <v>353</v>
      </c>
      <c r="G2283" s="27" t="s">
        <v>102</v>
      </c>
      <c r="I2283" s="27" t="s">
        <v>226</v>
      </c>
      <c r="J2283" s="28">
        <v>21820</v>
      </c>
      <c r="K2283" s="27" t="s">
        <v>408</v>
      </c>
    </row>
    <row r="2284" spans="1:11">
      <c r="A2284">
        <v>2267</v>
      </c>
      <c r="D2284" s="28" t="s">
        <v>4209</v>
      </c>
      <c r="E2284" s="27" t="s">
        <v>3032</v>
      </c>
      <c r="G2284" s="27" t="s">
        <v>102</v>
      </c>
      <c r="I2284" s="27" t="s">
        <v>226</v>
      </c>
      <c r="J2284" s="28">
        <v>21425</v>
      </c>
      <c r="K2284" s="27" t="s">
        <v>406</v>
      </c>
    </row>
    <row r="2285" spans="1:11">
      <c r="A2285">
        <v>2268</v>
      </c>
      <c r="D2285" s="28" t="s">
        <v>4210</v>
      </c>
      <c r="E2285" s="27" t="s">
        <v>3919</v>
      </c>
      <c r="G2285" s="27" t="s">
        <v>102</v>
      </c>
      <c r="I2285" s="27" t="s">
        <v>226</v>
      </c>
      <c r="J2285" s="28">
        <v>21425</v>
      </c>
      <c r="K2285" s="27" t="s">
        <v>406</v>
      </c>
    </row>
    <row r="2286" spans="1:11">
      <c r="A2286">
        <v>2269</v>
      </c>
      <c r="D2286" s="28" t="s">
        <v>4211</v>
      </c>
      <c r="E2286" s="27" t="s">
        <v>3029</v>
      </c>
      <c r="G2286" s="27" t="s">
        <v>102</v>
      </c>
      <c r="I2286" s="27" t="s">
        <v>226</v>
      </c>
      <c r="J2286" s="28">
        <v>21425</v>
      </c>
      <c r="K2286" s="27" t="s">
        <v>406</v>
      </c>
    </row>
    <row r="2287" spans="1:11">
      <c r="A2287">
        <v>2270</v>
      </c>
      <c r="D2287" s="28" t="s">
        <v>4212</v>
      </c>
      <c r="E2287" s="27" t="s">
        <v>4088</v>
      </c>
      <c r="G2287" s="27" t="s">
        <v>102</v>
      </c>
      <c r="I2287" s="27" t="s">
        <v>226</v>
      </c>
      <c r="J2287" s="28">
        <v>21425</v>
      </c>
      <c r="K2287" s="27" t="s">
        <v>406</v>
      </c>
    </row>
    <row r="2288" spans="1:11">
      <c r="A2288">
        <v>2271</v>
      </c>
      <c r="D2288" s="28" t="s">
        <v>4212</v>
      </c>
      <c r="E2288" s="27" t="s">
        <v>4088</v>
      </c>
      <c r="G2288" s="27" t="s">
        <v>102</v>
      </c>
      <c r="I2288" s="27" t="s">
        <v>226</v>
      </c>
      <c r="J2288" s="28">
        <v>21516</v>
      </c>
      <c r="K2288" s="27" t="s">
        <v>410</v>
      </c>
    </row>
    <row r="2289" spans="1:11">
      <c r="A2289">
        <v>2272</v>
      </c>
      <c r="D2289" s="28" t="s">
        <v>4213</v>
      </c>
      <c r="E2289" s="27" t="s">
        <v>3671</v>
      </c>
      <c r="G2289" s="27" t="s">
        <v>102</v>
      </c>
      <c r="I2289" s="27" t="s">
        <v>226</v>
      </c>
      <c r="J2289" s="28">
        <v>21425</v>
      </c>
      <c r="K2289" s="27" t="s">
        <v>406</v>
      </c>
    </row>
    <row r="2290" spans="1:11">
      <c r="A2290">
        <v>2273</v>
      </c>
      <c r="D2290" s="28" t="s">
        <v>4213</v>
      </c>
      <c r="E2290" s="27" t="s">
        <v>3671</v>
      </c>
      <c r="G2290" s="27" t="s">
        <v>102</v>
      </c>
      <c r="I2290" s="27" t="s">
        <v>226</v>
      </c>
      <c r="J2290" s="28">
        <v>21516</v>
      </c>
      <c r="K2290" s="27" t="s">
        <v>410</v>
      </c>
    </row>
    <row r="2291" spans="1:11">
      <c r="A2291">
        <v>2274</v>
      </c>
      <c r="D2291" s="28" t="s">
        <v>4214</v>
      </c>
      <c r="E2291" s="27" t="s">
        <v>3911</v>
      </c>
      <c r="G2291" s="27" t="s">
        <v>102</v>
      </c>
      <c r="I2291" s="27" t="s">
        <v>226</v>
      </c>
      <c r="J2291" s="28">
        <v>21516</v>
      </c>
      <c r="K2291" s="27" t="s">
        <v>410</v>
      </c>
    </row>
    <row r="2292" spans="1:11">
      <c r="A2292">
        <v>2275</v>
      </c>
      <c r="D2292" s="28" t="s">
        <v>4215</v>
      </c>
      <c r="E2292" s="27" t="s">
        <v>3913</v>
      </c>
      <c r="G2292" s="27" t="s">
        <v>102</v>
      </c>
      <c r="I2292" s="27" t="s">
        <v>226</v>
      </c>
      <c r="J2292" s="28">
        <v>21516</v>
      </c>
      <c r="K2292" s="27" t="s">
        <v>410</v>
      </c>
    </row>
    <row r="2293" spans="1:11">
      <c r="A2293">
        <v>2276</v>
      </c>
      <c r="D2293" s="28" t="s">
        <v>4216</v>
      </c>
      <c r="E2293" s="27" t="s">
        <v>4217</v>
      </c>
      <c r="G2293" s="27" t="s">
        <v>102</v>
      </c>
      <c r="I2293" s="27" t="s">
        <v>226</v>
      </c>
      <c r="J2293" s="28">
        <v>21516</v>
      </c>
      <c r="K2293" s="27" t="s">
        <v>410</v>
      </c>
    </row>
    <row r="2294" spans="1:11">
      <c r="A2294">
        <v>2277</v>
      </c>
      <c r="D2294" s="28" t="s">
        <v>4218</v>
      </c>
      <c r="E2294" s="27" t="s">
        <v>4219</v>
      </c>
      <c r="G2294" s="27" t="s">
        <v>102</v>
      </c>
      <c r="I2294" s="27" t="s">
        <v>226</v>
      </c>
      <c r="J2294" s="28">
        <v>21541</v>
      </c>
      <c r="K2294" s="27" t="s">
        <v>411</v>
      </c>
    </row>
    <row r="2295" spans="1:11">
      <c r="A2295">
        <v>2278</v>
      </c>
      <c r="D2295" s="28" t="s">
        <v>4218</v>
      </c>
      <c r="E2295" s="27" t="s">
        <v>4219</v>
      </c>
      <c r="G2295" s="27" t="s">
        <v>102</v>
      </c>
      <c r="I2295" s="27" t="s">
        <v>226</v>
      </c>
      <c r="J2295" s="28">
        <v>21516</v>
      </c>
      <c r="K2295" s="27" t="s">
        <v>410</v>
      </c>
    </row>
    <row r="2296" spans="1:11">
      <c r="A2296">
        <v>2279</v>
      </c>
      <c r="D2296" s="28" t="s">
        <v>4220</v>
      </c>
      <c r="E2296" s="27" t="s">
        <v>4221</v>
      </c>
      <c r="G2296" s="27" t="s">
        <v>102</v>
      </c>
      <c r="I2296" s="27" t="s">
        <v>226</v>
      </c>
      <c r="J2296" s="28">
        <v>21425</v>
      </c>
      <c r="K2296" s="27" t="s">
        <v>406</v>
      </c>
    </row>
    <row r="2297" spans="1:11">
      <c r="A2297">
        <v>2280</v>
      </c>
      <c r="D2297" s="28" t="s">
        <v>4222</v>
      </c>
      <c r="E2297" s="27" t="s">
        <v>158</v>
      </c>
      <c r="G2297" s="27" t="s">
        <v>102</v>
      </c>
      <c r="I2297" s="27" t="s">
        <v>226</v>
      </c>
      <c r="J2297" s="28">
        <v>29164</v>
      </c>
      <c r="K2297" s="27" t="s">
        <v>229</v>
      </c>
    </row>
    <row r="2298" spans="1:11">
      <c r="A2298">
        <v>2281</v>
      </c>
      <c r="D2298" s="28" t="s">
        <v>4223</v>
      </c>
      <c r="E2298" s="27" t="s">
        <v>4224</v>
      </c>
      <c r="G2298" s="27" t="s">
        <v>102</v>
      </c>
      <c r="I2298" s="27" t="s">
        <v>226</v>
      </c>
      <c r="J2298" s="28">
        <v>21425</v>
      </c>
      <c r="K2298" s="27" t="s">
        <v>406</v>
      </c>
    </row>
    <row r="2299" spans="1:11">
      <c r="A2299">
        <v>2282</v>
      </c>
      <c r="D2299" s="28" t="s">
        <v>4223</v>
      </c>
      <c r="E2299" s="27" t="s">
        <v>4224</v>
      </c>
      <c r="G2299" s="27" t="s">
        <v>102</v>
      </c>
      <c r="I2299" s="27" t="s">
        <v>226</v>
      </c>
      <c r="J2299" s="28">
        <v>21557</v>
      </c>
      <c r="K2299" s="27" t="s">
        <v>396</v>
      </c>
    </row>
    <row r="2300" spans="1:11">
      <c r="A2300">
        <v>2283</v>
      </c>
      <c r="D2300" s="28" t="s">
        <v>4225</v>
      </c>
      <c r="E2300" s="27" t="s">
        <v>3036</v>
      </c>
      <c r="G2300" s="27" t="s">
        <v>102</v>
      </c>
      <c r="I2300" s="27" t="s">
        <v>226</v>
      </c>
      <c r="J2300" s="28">
        <v>21425</v>
      </c>
      <c r="K2300" s="27" t="s">
        <v>406</v>
      </c>
    </row>
    <row r="2301" spans="1:11">
      <c r="A2301">
        <v>2284</v>
      </c>
      <c r="D2301" s="28" t="s">
        <v>4225</v>
      </c>
      <c r="E2301" s="27" t="s">
        <v>3036</v>
      </c>
      <c r="G2301" s="27" t="s">
        <v>102</v>
      </c>
      <c r="I2301" s="27" t="s">
        <v>226</v>
      </c>
      <c r="J2301" s="28">
        <v>21557</v>
      </c>
      <c r="K2301" s="27" t="s">
        <v>396</v>
      </c>
    </row>
    <row r="2302" spans="1:11">
      <c r="A2302">
        <v>2285</v>
      </c>
      <c r="D2302" s="28" t="s">
        <v>4226</v>
      </c>
      <c r="E2302" s="27" t="s">
        <v>3947</v>
      </c>
      <c r="G2302" s="27" t="s">
        <v>102</v>
      </c>
      <c r="I2302" s="27" t="s">
        <v>226</v>
      </c>
      <c r="J2302" s="28">
        <v>21541</v>
      </c>
      <c r="K2302" s="27" t="s">
        <v>411</v>
      </c>
    </row>
    <row r="2303" spans="1:11">
      <c r="A2303">
        <v>2286</v>
      </c>
      <c r="D2303" s="28" t="s">
        <v>4227</v>
      </c>
      <c r="E2303" s="27" t="s">
        <v>3949</v>
      </c>
      <c r="G2303" s="27" t="s">
        <v>102</v>
      </c>
      <c r="I2303" s="27" t="s">
        <v>226</v>
      </c>
      <c r="J2303" s="28">
        <v>21541</v>
      </c>
      <c r="K2303" s="27" t="s">
        <v>411</v>
      </c>
    </row>
    <row r="2304" spans="1:11">
      <c r="A2304">
        <v>2287</v>
      </c>
      <c r="D2304" s="28" t="s">
        <v>4228</v>
      </c>
      <c r="E2304" s="27" t="s">
        <v>3947</v>
      </c>
      <c r="G2304" s="27" t="s">
        <v>102</v>
      </c>
      <c r="I2304" s="27" t="s">
        <v>226</v>
      </c>
      <c r="J2304" s="28">
        <v>21541</v>
      </c>
      <c r="K2304" s="27" t="s">
        <v>411</v>
      </c>
    </row>
    <row r="2305" spans="1:11">
      <c r="A2305">
        <v>2288</v>
      </c>
      <c r="D2305" s="28" t="s">
        <v>4229</v>
      </c>
      <c r="E2305" s="27" t="s">
        <v>3949</v>
      </c>
      <c r="G2305" s="27" t="s">
        <v>102</v>
      </c>
      <c r="I2305" s="27" t="s">
        <v>226</v>
      </c>
      <c r="J2305" s="28">
        <v>21541</v>
      </c>
      <c r="K2305" s="27" t="s">
        <v>411</v>
      </c>
    </row>
    <row r="2306" spans="1:11">
      <c r="A2306">
        <v>2289</v>
      </c>
      <c r="D2306" s="28" t="s">
        <v>856</v>
      </c>
      <c r="E2306" s="27" t="s">
        <v>857</v>
      </c>
      <c r="G2306" s="27" t="s">
        <v>102</v>
      </c>
      <c r="I2306" s="27" t="s">
        <v>226</v>
      </c>
      <c r="J2306" s="28">
        <v>29164</v>
      </c>
      <c r="K2306" s="27" t="s">
        <v>229</v>
      </c>
    </row>
    <row r="2307" spans="1:11">
      <c r="A2307">
        <v>2290</v>
      </c>
      <c r="D2307" s="28" t="s">
        <v>4230</v>
      </c>
      <c r="E2307" s="27" t="s">
        <v>809</v>
      </c>
      <c r="G2307" s="27" t="s">
        <v>102</v>
      </c>
      <c r="I2307" s="27" t="s">
        <v>226</v>
      </c>
      <c r="J2307" s="28">
        <v>29164</v>
      </c>
      <c r="K2307" s="27" t="s">
        <v>229</v>
      </c>
    </row>
    <row r="2308" spans="1:11">
      <c r="A2308">
        <v>2291</v>
      </c>
      <c r="D2308" s="28" t="s">
        <v>4231</v>
      </c>
      <c r="E2308" s="27" t="s">
        <v>4232</v>
      </c>
      <c r="G2308" s="27" t="s">
        <v>102</v>
      </c>
      <c r="I2308" s="27" t="s">
        <v>226</v>
      </c>
      <c r="J2308" s="28">
        <v>29164</v>
      </c>
      <c r="K2308" s="27" t="s">
        <v>229</v>
      </c>
    </row>
    <row r="2309" spans="1:11">
      <c r="A2309">
        <v>2292</v>
      </c>
      <c r="D2309" s="28" t="s">
        <v>4233</v>
      </c>
      <c r="E2309" s="27" t="s">
        <v>4234</v>
      </c>
      <c r="G2309" s="27" t="s">
        <v>102</v>
      </c>
      <c r="I2309" s="27" t="s">
        <v>226</v>
      </c>
      <c r="J2309" s="28">
        <v>29164</v>
      </c>
      <c r="K2309" s="27" t="s">
        <v>229</v>
      </c>
    </row>
    <row r="2310" spans="1:11">
      <c r="A2310">
        <v>2293</v>
      </c>
      <c r="D2310" s="28" t="s">
        <v>4235</v>
      </c>
      <c r="E2310" s="27" t="s">
        <v>4236</v>
      </c>
      <c r="G2310" s="27" t="s">
        <v>102</v>
      </c>
      <c r="I2310" s="27" t="s">
        <v>226</v>
      </c>
      <c r="J2310" s="28">
        <v>29164</v>
      </c>
      <c r="K2310" s="27" t="s">
        <v>229</v>
      </c>
    </row>
    <row r="2311" spans="1:11">
      <c r="A2311">
        <v>2294</v>
      </c>
      <c r="D2311" s="28" t="s">
        <v>4237</v>
      </c>
      <c r="E2311" s="27" t="s">
        <v>4238</v>
      </c>
      <c r="G2311" s="27" t="s">
        <v>102</v>
      </c>
      <c r="I2311" s="27" t="s">
        <v>226</v>
      </c>
      <c r="J2311" s="28">
        <v>29164</v>
      </c>
      <c r="K2311" s="27" t="s">
        <v>229</v>
      </c>
    </row>
    <row r="2312" spans="1:11">
      <c r="A2312">
        <v>2295</v>
      </c>
      <c r="D2312" s="28" t="s">
        <v>4239</v>
      </c>
      <c r="E2312" s="27" t="s">
        <v>3501</v>
      </c>
      <c r="G2312" s="27" t="s">
        <v>102</v>
      </c>
      <c r="I2312" s="27" t="s">
        <v>226</v>
      </c>
      <c r="J2312" s="28">
        <v>29164</v>
      </c>
      <c r="K2312" s="27" t="s">
        <v>229</v>
      </c>
    </row>
    <row r="2313" spans="1:11">
      <c r="A2313">
        <v>2296</v>
      </c>
      <c r="D2313" s="28" t="s">
        <v>4240</v>
      </c>
      <c r="E2313" s="27" t="s">
        <v>4058</v>
      </c>
      <c r="G2313" s="27" t="s">
        <v>102</v>
      </c>
      <c r="I2313" s="27" t="s">
        <v>226</v>
      </c>
      <c r="J2313" s="28">
        <v>29164</v>
      </c>
      <c r="K2313" s="27" t="s">
        <v>229</v>
      </c>
    </row>
    <row r="2314" spans="1:11">
      <c r="A2314">
        <v>2297</v>
      </c>
      <c r="D2314" s="28" t="s">
        <v>4241</v>
      </c>
      <c r="E2314" s="27" t="s">
        <v>799</v>
      </c>
      <c r="G2314" s="27" t="s">
        <v>102</v>
      </c>
      <c r="I2314" s="27" t="s">
        <v>226</v>
      </c>
      <c r="J2314" s="28">
        <v>29164</v>
      </c>
      <c r="K2314" s="27" t="s">
        <v>229</v>
      </c>
    </row>
    <row r="2315" spans="1:11">
      <c r="A2315">
        <v>2298</v>
      </c>
      <c r="D2315" s="28" t="s">
        <v>4242</v>
      </c>
      <c r="E2315" s="27" t="s">
        <v>4243</v>
      </c>
      <c r="G2315" s="27" t="s">
        <v>102</v>
      </c>
      <c r="I2315" s="27" t="s">
        <v>226</v>
      </c>
      <c r="J2315" s="28">
        <v>29164</v>
      </c>
      <c r="K2315" s="27" t="s">
        <v>229</v>
      </c>
    </row>
    <row r="2316" spans="1:11">
      <c r="A2316">
        <v>2299</v>
      </c>
      <c r="D2316" s="28" t="s">
        <v>4244</v>
      </c>
      <c r="E2316" s="27" t="s">
        <v>4245</v>
      </c>
      <c r="G2316" s="27" t="s">
        <v>102</v>
      </c>
      <c r="I2316" s="27" t="s">
        <v>226</v>
      </c>
      <c r="J2316" s="28">
        <v>29164</v>
      </c>
      <c r="K2316" s="27" t="s">
        <v>229</v>
      </c>
    </row>
    <row r="2317" spans="1:11">
      <c r="A2317">
        <v>2300</v>
      </c>
      <c r="D2317" s="28" t="s">
        <v>4246</v>
      </c>
      <c r="E2317" s="27" t="s">
        <v>4247</v>
      </c>
      <c r="G2317" s="27" t="s">
        <v>102</v>
      </c>
      <c r="I2317" s="27" t="s">
        <v>226</v>
      </c>
      <c r="J2317" s="28">
        <v>29164</v>
      </c>
      <c r="K2317" s="27" t="s">
        <v>229</v>
      </c>
    </row>
    <row r="2318" spans="1:11">
      <c r="A2318">
        <v>2301</v>
      </c>
      <c r="D2318" s="28" t="s">
        <v>4248</v>
      </c>
      <c r="E2318" s="27" t="s">
        <v>1660</v>
      </c>
      <c r="G2318" s="27" t="s">
        <v>102</v>
      </c>
      <c r="I2318" s="27" t="s">
        <v>226</v>
      </c>
      <c r="J2318" s="28">
        <v>21405</v>
      </c>
      <c r="K2318" s="27" t="s">
        <v>1239</v>
      </c>
    </row>
    <row r="2319" spans="1:11">
      <c r="A2319">
        <v>2302</v>
      </c>
      <c r="D2319" s="28" t="s">
        <v>4249</v>
      </c>
      <c r="E2319" s="27" t="s">
        <v>850</v>
      </c>
      <c r="G2319" s="27" t="s">
        <v>102</v>
      </c>
      <c r="I2319" s="27" t="s">
        <v>226</v>
      </c>
      <c r="J2319" s="28">
        <v>29164</v>
      </c>
      <c r="K2319" s="27" t="s">
        <v>229</v>
      </c>
    </row>
    <row r="2320" spans="1:11">
      <c r="A2320">
        <v>2303</v>
      </c>
      <c r="D2320" s="28" t="s">
        <v>4250</v>
      </c>
      <c r="E2320" s="27" t="s">
        <v>852</v>
      </c>
      <c r="G2320" s="27" t="s">
        <v>102</v>
      </c>
      <c r="I2320" s="27" t="s">
        <v>226</v>
      </c>
      <c r="J2320" s="28">
        <v>29164</v>
      </c>
      <c r="K2320" s="27" t="s">
        <v>229</v>
      </c>
    </row>
    <row r="2321" spans="1:11">
      <c r="A2321">
        <v>2304</v>
      </c>
      <c r="D2321" s="28" t="s">
        <v>4251</v>
      </c>
      <c r="E2321" s="27" t="s">
        <v>3571</v>
      </c>
      <c r="G2321" s="27" t="s">
        <v>102</v>
      </c>
      <c r="I2321" s="27" t="s">
        <v>226</v>
      </c>
      <c r="J2321" s="28">
        <v>29164</v>
      </c>
      <c r="K2321" s="27" t="s">
        <v>229</v>
      </c>
    </row>
    <row r="2322" spans="1:11">
      <c r="A2322">
        <v>2305</v>
      </c>
      <c r="D2322" s="28" t="s">
        <v>4252</v>
      </c>
      <c r="E2322" s="27" t="s">
        <v>4253</v>
      </c>
      <c r="G2322" s="27" t="s">
        <v>102</v>
      </c>
      <c r="I2322" s="27" t="s">
        <v>226</v>
      </c>
      <c r="J2322" s="28">
        <v>29164</v>
      </c>
      <c r="K2322" s="27" t="s">
        <v>229</v>
      </c>
    </row>
    <row r="2323" spans="1:11">
      <c r="A2323">
        <v>2306</v>
      </c>
      <c r="D2323" s="28" t="s">
        <v>4254</v>
      </c>
      <c r="E2323" s="27" t="s">
        <v>3586</v>
      </c>
      <c r="G2323" s="27" t="s">
        <v>102</v>
      </c>
      <c r="I2323" s="27" t="s">
        <v>226</v>
      </c>
      <c r="J2323" s="28">
        <v>21614</v>
      </c>
      <c r="K2323" s="27" t="s">
        <v>407</v>
      </c>
    </row>
    <row r="2324" spans="1:11">
      <c r="A2324">
        <v>2307</v>
      </c>
      <c r="D2324" s="28" t="s">
        <v>4255</v>
      </c>
      <c r="E2324" s="27" t="s">
        <v>3588</v>
      </c>
      <c r="G2324" s="27" t="s">
        <v>102</v>
      </c>
      <c r="I2324" s="27" t="s">
        <v>226</v>
      </c>
      <c r="J2324" s="28">
        <v>21614</v>
      </c>
      <c r="K2324" s="27" t="s">
        <v>407</v>
      </c>
    </row>
    <row r="2325" spans="1:11">
      <c r="A2325">
        <v>2308</v>
      </c>
      <c r="D2325" s="28" t="s">
        <v>4256</v>
      </c>
      <c r="E2325" s="27" t="s">
        <v>816</v>
      </c>
      <c r="G2325" s="27" t="s">
        <v>102</v>
      </c>
      <c r="I2325" s="27" t="s">
        <v>226</v>
      </c>
      <c r="J2325" s="28">
        <v>29164</v>
      </c>
      <c r="K2325" s="27" t="s">
        <v>229</v>
      </c>
    </row>
    <row r="2326" spans="1:11">
      <c r="A2326">
        <v>2309</v>
      </c>
      <c r="D2326" s="28" t="s">
        <v>4257</v>
      </c>
      <c r="E2326" s="27" t="s">
        <v>818</v>
      </c>
      <c r="G2326" s="27" t="s">
        <v>102</v>
      </c>
      <c r="I2326" s="27" t="s">
        <v>226</v>
      </c>
      <c r="J2326" s="28">
        <v>29164</v>
      </c>
      <c r="K2326" s="27" t="s">
        <v>229</v>
      </c>
    </row>
    <row r="2327" spans="1:11">
      <c r="A2327">
        <v>2310</v>
      </c>
      <c r="D2327" s="28" t="s">
        <v>4258</v>
      </c>
      <c r="E2327" s="27" t="s">
        <v>4259</v>
      </c>
      <c r="G2327" s="27" t="s">
        <v>102</v>
      </c>
      <c r="I2327" s="27" t="s">
        <v>121</v>
      </c>
      <c r="J2327" s="28">
        <v>21710</v>
      </c>
      <c r="K2327" s="27" t="s">
        <v>407</v>
      </c>
    </row>
    <row r="2328" spans="1:11">
      <c r="A2328">
        <v>2311</v>
      </c>
      <c r="D2328" s="28" t="s">
        <v>4258</v>
      </c>
      <c r="E2328" s="27" t="s">
        <v>4259</v>
      </c>
      <c r="G2328" s="27" t="s">
        <v>102</v>
      </c>
      <c r="I2328" s="27" t="s">
        <v>226</v>
      </c>
      <c r="J2328" s="28">
        <v>21614</v>
      </c>
      <c r="K2328" s="27" t="s">
        <v>407</v>
      </c>
    </row>
    <row r="2329" spans="1:11">
      <c r="A2329">
        <v>2312</v>
      </c>
      <c r="D2329" s="28" t="s">
        <v>4260</v>
      </c>
      <c r="E2329" s="27" t="s">
        <v>4261</v>
      </c>
      <c r="G2329" s="27" t="s">
        <v>102</v>
      </c>
      <c r="I2329" s="27" t="s">
        <v>121</v>
      </c>
      <c r="J2329" s="28">
        <v>21710</v>
      </c>
      <c r="K2329" s="27" t="s">
        <v>407</v>
      </c>
    </row>
    <row r="2330" spans="1:11">
      <c r="A2330">
        <v>2313</v>
      </c>
      <c r="D2330" s="28" t="s">
        <v>4260</v>
      </c>
      <c r="E2330" s="27" t="s">
        <v>4261</v>
      </c>
      <c r="G2330" s="27" t="s">
        <v>102</v>
      </c>
      <c r="I2330" s="27" t="s">
        <v>226</v>
      </c>
      <c r="J2330" s="28">
        <v>21614</v>
      </c>
      <c r="K2330" s="27" t="s">
        <v>407</v>
      </c>
    </row>
    <row r="2331" spans="1:11">
      <c r="A2331">
        <v>2314</v>
      </c>
      <c r="D2331" s="28" t="s">
        <v>4262</v>
      </c>
      <c r="E2331" s="27" t="s">
        <v>3458</v>
      </c>
      <c r="G2331" s="27" t="s">
        <v>102</v>
      </c>
      <c r="I2331" s="27" t="s">
        <v>226</v>
      </c>
      <c r="J2331" s="28">
        <v>21557</v>
      </c>
      <c r="K2331" s="27" t="s">
        <v>396</v>
      </c>
    </row>
    <row r="2332" spans="1:11">
      <c r="A2332">
        <v>2315</v>
      </c>
      <c r="D2332" s="28" t="s">
        <v>4263</v>
      </c>
      <c r="E2332" s="27" t="s">
        <v>154</v>
      </c>
      <c r="G2332" s="27" t="s">
        <v>102</v>
      </c>
      <c r="I2332" s="27" t="s">
        <v>226</v>
      </c>
      <c r="J2332" s="28">
        <v>21556</v>
      </c>
      <c r="K2332" s="27" t="s">
        <v>4508</v>
      </c>
    </row>
    <row r="2333" spans="1:11">
      <c r="A2333">
        <v>2316</v>
      </c>
      <c r="D2333" s="28" t="s">
        <v>4264</v>
      </c>
      <c r="E2333" s="27" t="s">
        <v>4265</v>
      </c>
      <c r="G2333" s="27" t="s">
        <v>102</v>
      </c>
      <c r="I2333" s="27" t="s">
        <v>226</v>
      </c>
      <c r="J2333" s="28">
        <v>21425</v>
      </c>
      <c r="K2333" s="27" t="s">
        <v>406</v>
      </c>
    </row>
    <row r="2334" spans="1:11">
      <c r="A2334">
        <v>2317</v>
      </c>
      <c r="D2334" s="28" t="s">
        <v>4266</v>
      </c>
      <c r="E2334" s="27" t="s">
        <v>4267</v>
      </c>
      <c r="G2334" s="27" t="s">
        <v>102</v>
      </c>
      <c r="I2334" s="27" t="s">
        <v>226</v>
      </c>
      <c r="J2334" s="28">
        <v>21425</v>
      </c>
      <c r="K2334" s="27" t="s">
        <v>406</v>
      </c>
    </row>
    <row r="2335" spans="1:11">
      <c r="A2335">
        <v>2318</v>
      </c>
      <c r="D2335" s="28" t="s">
        <v>4268</v>
      </c>
      <c r="E2335" s="27" t="s">
        <v>3007</v>
      </c>
      <c r="G2335" s="27" t="s">
        <v>102</v>
      </c>
      <c r="I2335" s="27" t="s">
        <v>226</v>
      </c>
      <c r="J2335" s="28">
        <v>21545</v>
      </c>
      <c r="K2335" s="27" t="s">
        <v>4507</v>
      </c>
    </row>
    <row r="2336" spans="1:11">
      <c r="A2336">
        <v>2319</v>
      </c>
      <c r="D2336" s="28" t="s">
        <v>4269</v>
      </c>
      <c r="E2336" s="27" t="s">
        <v>140</v>
      </c>
      <c r="G2336" s="27" t="s">
        <v>102</v>
      </c>
      <c r="I2336" s="27" t="s">
        <v>226</v>
      </c>
      <c r="J2336" s="28">
        <v>21085</v>
      </c>
      <c r="K2336" s="27" t="s">
        <v>399</v>
      </c>
    </row>
    <row r="2337" spans="1:11">
      <c r="A2337">
        <v>2320</v>
      </c>
      <c r="D2337" s="28" t="s">
        <v>4270</v>
      </c>
      <c r="E2337" s="27" t="s">
        <v>1353</v>
      </c>
      <c r="G2337" s="27" t="s">
        <v>102</v>
      </c>
      <c r="I2337" s="27" t="s">
        <v>226</v>
      </c>
      <c r="J2337" s="28">
        <v>21556</v>
      </c>
      <c r="K2337" s="27" t="s">
        <v>4508</v>
      </c>
    </row>
    <row r="2338" spans="1:11">
      <c r="A2338">
        <v>2321</v>
      </c>
      <c r="D2338" s="28" t="s">
        <v>4271</v>
      </c>
      <c r="E2338" s="27" t="s">
        <v>4184</v>
      </c>
      <c r="G2338" s="27" t="s">
        <v>102</v>
      </c>
      <c r="I2338" s="27" t="s">
        <v>226</v>
      </c>
      <c r="J2338" s="28">
        <v>21541</v>
      </c>
      <c r="K2338" s="27" t="s">
        <v>411</v>
      </c>
    </row>
    <row r="2339" spans="1:11">
      <c r="A2339">
        <v>2322</v>
      </c>
      <c r="D2339" s="28" t="s">
        <v>4271</v>
      </c>
      <c r="E2339" s="27" t="s">
        <v>4184</v>
      </c>
      <c r="G2339" s="27" t="s">
        <v>102</v>
      </c>
      <c r="I2339" s="27" t="s">
        <v>226</v>
      </c>
      <c r="J2339" s="28">
        <v>21472</v>
      </c>
      <c r="K2339" s="27" t="s">
        <v>4513</v>
      </c>
    </row>
    <row r="2340" spans="1:11">
      <c r="A2340">
        <v>2323</v>
      </c>
      <c r="D2340" s="28" t="s">
        <v>4272</v>
      </c>
      <c r="E2340" s="27" t="s">
        <v>4273</v>
      </c>
      <c r="G2340" s="27" t="s">
        <v>102</v>
      </c>
      <c r="I2340" s="27" t="s">
        <v>226</v>
      </c>
      <c r="J2340" s="28">
        <v>21541</v>
      </c>
      <c r="K2340" s="27" t="s">
        <v>411</v>
      </c>
    </row>
    <row r="2341" spans="1:11">
      <c r="A2341">
        <v>2324</v>
      </c>
      <c r="D2341" s="28" t="s">
        <v>4274</v>
      </c>
      <c r="E2341" s="27" t="s">
        <v>4275</v>
      </c>
      <c r="G2341" s="27" t="s">
        <v>102</v>
      </c>
      <c r="I2341" s="27" t="s">
        <v>226</v>
      </c>
      <c r="J2341" s="28">
        <v>21425</v>
      </c>
      <c r="K2341" s="27" t="s">
        <v>406</v>
      </c>
    </row>
    <row r="2342" spans="1:11">
      <c r="A2342">
        <v>2325</v>
      </c>
      <c r="D2342" s="28" t="s">
        <v>4276</v>
      </c>
      <c r="E2342" s="27" t="s">
        <v>4277</v>
      </c>
      <c r="G2342" s="27" t="s">
        <v>102</v>
      </c>
      <c r="I2342" s="27" t="s">
        <v>226</v>
      </c>
      <c r="J2342" s="28">
        <v>21820</v>
      </c>
      <c r="K2342" s="27" t="s">
        <v>408</v>
      </c>
    </row>
    <row r="2343" spans="1:11">
      <c r="A2343">
        <v>2326</v>
      </c>
      <c r="D2343" s="28" t="s">
        <v>4278</v>
      </c>
      <c r="E2343" s="27" t="s">
        <v>4279</v>
      </c>
      <c r="G2343" s="27" t="s">
        <v>102</v>
      </c>
      <c r="I2343" s="27" t="s">
        <v>226</v>
      </c>
      <c r="J2343" s="28">
        <v>21820</v>
      </c>
      <c r="K2343" s="27" t="s">
        <v>408</v>
      </c>
    </row>
    <row r="2344" spans="1:11">
      <c r="A2344">
        <v>2327</v>
      </c>
      <c r="D2344" s="28" t="s">
        <v>4280</v>
      </c>
      <c r="E2344" s="27" t="s">
        <v>3196</v>
      </c>
      <c r="G2344" s="27" t="s">
        <v>102</v>
      </c>
      <c r="I2344" s="27" t="s">
        <v>226</v>
      </c>
      <c r="J2344" s="28">
        <v>21820</v>
      </c>
      <c r="K2344" s="27" t="s">
        <v>408</v>
      </c>
    </row>
    <row r="2345" spans="1:11">
      <c r="A2345">
        <v>2328</v>
      </c>
      <c r="D2345" s="28" t="s">
        <v>4281</v>
      </c>
      <c r="E2345" s="27" t="s">
        <v>4282</v>
      </c>
      <c r="G2345" s="27" t="s">
        <v>102</v>
      </c>
      <c r="I2345" s="27" t="s">
        <v>226</v>
      </c>
      <c r="J2345" s="28">
        <v>21557</v>
      </c>
      <c r="K2345" s="27" t="s">
        <v>396</v>
      </c>
    </row>
    <row r="2346" spans="1:11">
      <c r="A2346">
        <v>2329</v>
      </c>
      <c r="D2346" s="28" t="s">
        <v>4283</v>
      </c>
      <c r="E2346" s="27" t="s">
        <v>170</v>
      </c>
      <c r="G2346" s="27" t="s">
        <v>102</v>
      </c>
      <c r="I2346" s="27" t="s">
        <v>226</v>
      </c>
      <c r="J2346" s="28">
        <v>29164</v>
      </c>
      <c r="K2346" s="27" t="s">
        <v>229</v>
      </c>
    </row>
    <row r="2347" spans="1:11">
      <c r="A2347">
        <v>2330</v>
      </c>
      <c r="D2347" s="28" t="s">
        <v>4284</v>
      </c>
      <c r="E2347" s="27" t="s">
        <v>4285</v>
      </c>
      <c r="G2347" s="27" t="s">
        <v>102</v>
      </c>
      <c r="I2347" s="27" t="s">
        <v>226</v>
      </c>
      <c r="J2347" s="28">
        <v>29164</v>
      </c>
      <c r="K2347" s="27" t="s">
        <v>229</v>
      </c>
    </row>
    <row r="2348" spans="1:11">
      <c r="A2348">
        <v>2331</v>
      </c>
      <c r="D2348" s="28" t="s">
        <v>4286</v>
      </c>
      <c r="E2348" s="27" t="s">
        <v>4287</v>
      </c>
      <c r="G2348" s="27" t="s">
        <v>102</v>
      </c>
      <c r="I2348" s="27" t="s">
        <v>226</v>
      </c>
      <c r="J2348" s="28">
        <v>29164</v>
      </c>
      <c r="K2348" s="27" t="s">
        <v>229</v>
      </c>
    </row>
    <row r="2349" spans="1:11">
      <c r="A2349">
        <v>2332</v>
      </c>
      <c r="D2349" s="28" t="s">
        <v>4288</v>
      </c>
      <c r="E2349" s="27" t="s">
        <v>4289</v>
      </c>
      <c r="G2349" s="27" t="s">
        <v>102</v>
      </c>
      <c r="I2349" s="27" t="s">
        <v>226</v>
      </c>
      <c r="J2349" s="28">
        <v>21557</v>
      </c>
      <c r="K2349" s="27" t="s">
        <v>396</v>
      </c>
    </row>
    <row r="2350" spans="1:11">
      <c r="A2350">
        <v>2333</v>
      </c>
      <c r="D2350" s="28" t="s">
        <v>4290</v>
      </c>
      <c r="E2350" s="27" t="s">
        <v>3272</v>
      </c>
      <c r="G2350" s="27" t="s">
        <v>102</v>
      </c>
      <c r="I2350" s="27" t="s">
        <v>226</v>
      </c>
      <c r="J2350" s="28">
        <v>21614</v>
      </c>
      <c r="K2350" s="27" t="s">
        <v>407</v>
      </c>
    </row>
    <row r="2351" spans="1:11">
      <c r="A2351">
        <v>2334</v>
      </c>
      <c r="D2351" s="28" t="s">
        <v>4291</v>
      </c>
      <c r="E2351" s="27" t="s">
        <v>3274</v>
      </c>
      <c r="G2351" s="27" t="s">
        <v>102</v>
      </c>
      <c r="I2351" s="27" t="s">
        <v>226</v>
      </c>
      <c r="J2351" s="28">
        <v>21614</v>
      </c>
      <c r="K2351" s="27" t="s">
        <v>407</v>
      </c>
    </row>
    <row r="2352" spans="1:11">
      <c r="A2352">
        <v>2335</v>
      </c>
      <c r="D2352" s="28" t="s">
        <v>4292</v>
      </c>
      <c r="E2352" s="27" t="s">
        <v>4293</v>
      </c>
      <c r="G2352" s="27" t="s">
        <v>102</v>
      </c>
      <c r="I2352" s="27" t="s">
        <v>226</v>
      </c>
      <c r="J2352" s="28">
        <v>29164</v>
      </c>
      <c r="K2352" s="27" t="s">
        <v>229</v>
      </c>
    </row>
    <row r="2353" spans="1:11">
      <c r="A2353">
        <v>2336</v>
      </c>
      <c r="D2353" s="28" t="s">
        <v>4294</v>
      </c>
      <c r="E2353" s="27" t="s">
        <v>4295</v>
      </c>
      <c r="G2353" s="27" t="s">
        <v>102</v>
      </c>
      <c r="I2353" s="27" t="s">
        <v>226</v>
      </c>
      <c r="J2353" s="28">
        <v>29164</v>
      </c>
      <c r="K2353" s="27" t="s">
        <v>229</v>
      </c>
    </row>
    <row r="2354" spans="1:11">
      <c r="A2354">
        <v>2337</v>
      </c>
      <c r="D2354" s="28" t="s">
        <v>4296</v>
      </c>
      <c r="E2354" s="27" t="s">
        <v>1532</v>
      </c>
      <c r="G2354" s="27" t="s">
        <v>102</v>
      </c>
      <c r="I2354" s="27" t="s">
        <v>226</v>
      </c>
      <c r="J2354" s="28">
        <v>29164</v>
      </c>
      <c r="K2354" s="27" t="s">
        <v>229</v>
      </c>
    </row>
    <row r="2355" spans="1:11">
      <c r="A2355">
        <v>2338</v>
      </c>
      <c r="D2355" s="28" t="s">
        <v>4297</v>
      </c>
      <c r="E2355" s="27" t="s">
        <v>1534</v>
      </c>
      <c r="G2355" s="27" t="s">
        <v>102</v>
      </c>
      <c r="I2355" s="27" t="s">
        <v>226</v>
      </c>
      <c r="J2355" s="28">
        <v>29164</v>
      </c>
      <c r="K2355" s="27" t="s">
        <v>229</v>
      </c>
    </row>
    <row r="2356" spans="1:11">
      <c r="A2356">
        <v>2339</v>
      </c>
      <c r="D2356" s="28" t="s">
        <v>4298</v>
      </c>
      <c r="E2356" s="27" t="s">
        <v>4299</v>
      </c>
      <c r="G2356" s="27" t="s">
        <v>102</v>
      </c>
      <c r="I2356" s="27" t="s">
        <v>226</v>
      </c>
      <c r="J2356" s="28">
        <v>29164</v>
      </c>
      <c r="K2356" s="27" t="s">
        <v>229</v>
      </c>
    </row>
    <row r="2357" spans="1:11">
      <c r="A2357">
        <v>2340</v>
      </c>
      <c r="D2357" s="28" t="s">
        <v>4300</v>
      </c>
      <c r="E2357" s="27" t="s">
        <v>172</v>
      </c>
      <c r="G2357" s="27" t="s">
        <v>102</v>
      </c>
      <c r="I2357" s="27" t="s">
        <v>226</v>
      </c>
      <c r="J2357" s="28">
        <v>29164</v>
      </c>
      <c r="K2357" s="27" t="s">
        <v>229</v>
      </c>
    </row>
    <row r="2358" spans="1:11">
      <c r="A2358">
        <v>2341</v>
      </c>
      <c r="D2358" s="28" t="s">
        <v>4301</v>
      </c>
      <c r="E2358" s="27" t="s">
        <v>1540</v>
      </c>
      <c r="G2358" s="27" t="s">
        <v>102</v>
      </c>
      <c r="I2358" s="27" t="s">
        <v>226</v>
      </c>
      <c r="J2358" s="28">
        <v>29164</v>
      </c>
      <c r="K2358" s="27" t="s">
        <v>229</v>
      </c>
    </row>
    <row r="2359" spans="1:11">
      <c r="A2359">
        <v>2342</v>
      </c>
      <c r="D2359" s="28" t="s">
        <v>4302</v>
      </c>
      <c r="E2359" s="27" t="s">
        <v>1542</v>
      </c>
      <c r="G2359" s="27" t="s">
        <v>102</v>
      </c>
      <c r="I2359" s="27" t="s">
        <v>226</v>
      </c>
      <c r="J2359" s="28">
        <v>29164</v>
      </c>
      <c r="K2359" s="27" t="s">
        <v>229</v>
      </c>
    </row>
    <row r="2360" spans="1:11">
      <c r="A2360">
        <v>2343</v>
      </c>
      <c r="D2360" s="28" t="s">
        <v>4303</v>
      </c>
      <c r="E2360" s="27" t="s">
        <v>4025</v>
      </c>
      <c r="G2360" s="27" t="s">
        <v>102</v>
      </c>
      <c r="I2360" s="27" t="s">
        <v>226</v>
      </c>
      <c r="J2360" s="28">
        <v>29164</v>
      </c>
      <c r="K2360" s="27" t="s">
        <v>229</v>
      </c>
    </row>
    <row r="2361" spans="1:11">
      <c r="A2361">
        <v>2344</v>
      </c>
      <c r="D2361" s="28" t="s">
        <v>4304</v>
      </c>
      <c r="E2361" s="27" t="s">
        <v>4305</v>
      </c>
      <c r="G2361" s="27" t="s">
        <v>102</v>
      </c>
      <c r="I2361" s="27" t="s">
        <v>226</v>
      </c>
      <c r="J2361" s="28">
        <v>29164</v>
      </c>
      <c r="K2361" s="27" t="s">
        <v>229</v>
      </c>
    </row>
    <row r="2362" spans="1:11">
      <c r="A2362">
        <v>2345</v>
      </c>
      <c r="D2362" s="28" t="s">
        <v>4306</v>
      </c>
      <c r="E2362" s="27" t="s">
        <v>4307</v>
      </c>
      <c r="G2362" s="27" t="s">
        <v>102</v>
      </c>
      <c r="I2362" s="27" t="s">
        <v>226</v>
      </c>
      <c r="J2362" s="28">
        <v>29164</v>
      </c>
      <c r="K2362" s="27" t="s">
        <v>229</v>
      </c>
    </row>
    <row r="2363" spans="1:11">
      <c r="A2363">
        <v>2346</v>
      </c>
      <c r="D2363" s="28" t="s">
        <v>4308</v>
      </c>
      <c r="E2363" s="27" t="s">
        <v>4307</v>
      </c>
      <c r="G2363" s="27" t="s">
        <v>102</v>
      </c>
      <c r="I2363" s="27" t="s">
        <v>226</v>
      </c>
      <c r="J2363" s="28">
        <v>29164</v>
      </c>
      <c r="K2363" s="27" t="s">
        <v>229</v>
      </c>
    </row>
    <row r="2364" spans="1:11">
      <c r="A2364">
        <v>2347</v>
      </c>
      <c r="D2364" s="28" t="s">
        <v>4309</v>
      </c>
      <c r="E2364" s="27" t="s">
        <v>4310</v>
      </c>
      <c r="G2364" s="27" t="s">
        <v>102</v>
      </c>
      <c r="I2364" s="27" t="s">
        <v>226</v>
      </c>
      <c r="J2364" s="28">
        <v>29164</v>
      </c>
      <c r="K2364" s="27" t="s">
        <v>229</v>
      </c>
    </row>
    <row r="2365" spans="1:11">
      <c r="A2365">
        <v>2348</v>
      </c>
      <c r="D2365" s="28" t="s">
        <v>4311</v>
      </c>
      <c r="E2365" s="27" t="s">
        <v>4312</v>
      </c>
      <c r="G2365" s="27" t="s">
        <v>102</v>
      </c>
      <c r="I2365" s="27" t="s">
        <v>226</v>
      </c>
      <c r="J2365" s="28">
        <v>29164</v>
      </c>
      <c r="K2365" s="27" t="s">
        <v>229</v>
      </c>
    </row>
    <row r="2366" spans="1:11">
      <c r="A2366">
        <v>2349</v>
      </c>
      <c r="D2366" s="28" t="s">
        <v>4313</v>
      </c>
      <c r="E2366" s="27" t="s">
        <v>176</v>
      </c>
      <c r="G2366" s="27" t="s">
        <v>102</v>
      </c>
      <c r="I2366" s="27" t="s">
        <v>226</v>
      </c>
      <c r="J2366" s="28">
        <v>29164</v>
      </c>
      <c r="K2366" s="27" t="s">
        <v>229</v>
      </c>
    </row>
    <row r="2367" spans="1:11">
      <c r="A2367">
        <v>2350</v>
      </c>
      <c r="D2367" s="28" t="s">
        <v>4314</v>
      </c>
      <c r="E2367" s="27" t="s">
        <v>4315</v>
      </c>
      <c r="G2367" s="27" t="s">
        <v>102</v>
      </c>
      <c r="I2367" s="27" t="s">
        <v>226</v>
      </c>
      <c r="J2367" s="28">
        <v>29164</v>
      </c>
      <c r="K2367" s="27" t="s">
        <v>229</v>
      </c>
    </row>
    <row r="2368" spans="1:11">
      <c r="A2368">
        <v>2351</v>
      </c>
      <c r="D2368" s="28" t="s">
        <v>4316</v>
      </c>
      <c r="E2368" s="27" t="s">
        <v>4317</v>
      </c>
      <c r="G2368" s="27" t="s">
        <v>102</v>
      </c>
      <c r="I2368" s="27" t="s">
        <v>226</v>
      </c>
      <c r="J2368" s="28">
        <v>21614</v>
      </c>
      <c r="K2368" s="27" t="s">
        <v>407</v>
      </c>
    </row>
    <row r="2369" spans="1:11">
      <c r="A2369">
        <v>2352</v>
      </c>
      <c r="D2369" s="28" t="s">
        <v>4318</v>
      </c>
      <c r="E2369" s="27" t="s">
        <v>4319</v>
      </c>
      <c r="G2369" s="27" t="s">
        <v>102</v>
      </c>
      <c r="I2369" s="27" t="s">
        <v>226</v>
      </c>
      <c r="J2369" s="28">
        <v>21614</v>
      </c>
      <c r="K2369" s="27" t="s">
        <v>407</v>
      </c>
    </row>
    <row r="2370" spans="1:11">
      <c r="A2370">
        <v>2353</v>
      </c>
      <c r="D2370" s="28" t="s">
        <v>4320</v>
      </c>
      <c r="E2370" s="27" t="s">
        <v>4321</v>
      </c>
      <c r="G2370" s="27" t="s">
        <v>102</v>
      </c>
      <c r="I2370" s="27" t="s">
        <v>226</v>
      </c>
      <c r="J2370" s="28">
        <v>21557</v>
      </c>
      <c r="K2370" s="27" t="s">
        <v>396</v>
      </c>
    </row>
    <row r="2371" spans="1:11">
      <c r="A2371">
        <v>2354</v>
      </c>
      <c r="D2371" s="28" t="s">
        <v>4322</v>
      </c>
      <c r="E2371" s="27" t="s">
        <v>3116</v>
      </c>
      <c r="G2371" s="27" t="s">
        <v>102</v>
      </c>
      <c r="I2371" s="27" t="s">
        <v>121</v>
      </c>
      <c r="J2371" s="28">
        <v>21020</v>
      </c>
      <c r="K2371" s="27" t="s">
        <v>403</v>
      </c>
    </row>
    <row r="2372" spans="1:11">
      <c r="A2372">
        <v>2355</v>
      </c>
      <c r="D2372" s="28" t="s">
        <v>4323</v>
      </c>
      <c r="E2372" s="27" t="s">
        <v>4324</v>
      </c>
      <c r="G2372" s="27" t="s">
        <v>102</v>
      </c>
      <c r="I2372" s="27" t="s">
        <v>121</v>
      </c>
      <c r="J2372" s="28">
        <v>21020</v>
      </c>
      <c r="K2372" s="27" t="s">
        <v>403</v>
      </c>
    </row>
    <row r="2373" spans="1:11">
      <c r="A2373">
        <v>2356</v>
      </c>
      <c r="D2373" s="28" t="s">
        <v>4325</v>
      </c>
      <c r="E2373" s="27" t="s">
        <v>4326</v>
      </c>
      <c r="G2373" s="27" t="s">
        <v>102</v>
      </c>
      <c r="I2373" s="27" t="s">
        <v>121</v>
      </c>
      <c r="J2373" s="28">
        <v>21589</v>
      </c>
      <c r="K2373" s="27" t="s">
        <v>405</v>
      </c>
    </row>
    <row r="2374" spans="1:11">
      <c r="A2374">
        <v>2357</v>
      </c>
      <c r="D2374" s="28" t="s">
        <v>4325</v>
      </c>
      <c r="E2374" s="27" t="s">
        <v>4326</v>
      </c>
      <c r="G2374" s="27" t="s">
        <v>102</v>
      </c>
      <c r="I2374" s="27" t="s">
        <v>121</v>
      </c>
      <c r="J2374" s="28">
        <v>21020</v>
      </c>
      <c r="K2374" s="27" t="s">
        <v>403</v>
      </c>
    </row>
    <row r="2375" spans="1:11">
      <c r="A2375">
        <v>2358</v>
      </c>
      <c r="D2375" s="28" t="s">
        <v>4325</v>
      </c>
      <c r="E2375" s="27" t="s">
        <v>4326</v>
      </c>
      <c r="G2375" s="27" t="s">
        <v>102</v>
      </c>
      <c r="I2375" s="27" t="s">
        <v>226</v>
      </c>
      <c r="J2375" s="28">
        <v>21020</v>
      </c>
      <c r="K2375" s="27" t="s">
        <v>403</v>
      </c>
    </row>
    <row r="2376" spans="1:11">
      <c r="A2376">
        <v>2359</v>
      </c>
      <c r="D2376" s="28" t="s">
        <v>4327</v>
      </c>
      <c r="E2376" s="27" t="s">
        <v>4328</v>
      </c>
      <c r="G2376" s="27" t="s">
        <v>102</v>
      </c>
      <c r="I2376" s="27" t="s">
        <v>121</v>
      </c>
      <c r="J2376" s="28">
        <v>20178</v>
      </c>
      <c r="K2376" s="27" t="s">
        <v>1243</v>
      </c>
    </row>
    <row r="2377" spans="1:11">
      <c r="A2377">
        <v>2360</v>
      </c>
      <c r="D2377" s="28" t="s">
        <v>4327</v>
      </c>
      <c r="E2377" s="27" t="s">
        <v>4328</v>
      </c>
      <c r="G2377" s="27" t="s">
        <v>102</v>
      </c>
      <c r="I2377" s="27" t="s">
        <v>94</v>
      </c>
      <c r="J2377" s="28">
        <v>20178</v>
      </c>
      <c r="K2377" s="27" t="s">
        <v>1243</v>
      </c>
    </row>
    <row r="2378" spans="1:11">
      <c r="A2378">
        <v>2361</v>
      </c>
      <c r="D2378" s="28" t="s">
        <v>4329</v>
      </c>
      <c r="E2378" s="27" t="s">
        <v>4330</v>
      </c>
      <c r="G2378" s="27" t="s">
        <v>102</v>
      </c>
      <c r="I2378" s="27" t="s">
        <v>121</v>
      </c>
      <c r="J2378" s="28">
        <v>21205</v>
      </c>
      <c r="K2378" s="27" t="s">
        <v>395</v>
      </c>
    </row>
    <row r="2379" spans="1:11">
      <c r="A2379">
        <v>2362</v>
      </c>
      <c r="D2379" s="28" t="s">
        <v>4329</v>
      </c>
      <c r="E2379" s="27" t="s">
        <v>4330</v>
      </c>
      <c r="G2379" s="27" t="s">
        <v>102</v>
      </c>
      <c r="I2379" s="27" t="s">
        <v>94</v>
      </c>
      <c r="J2379" s="28">
        <v>21205</v>
      </c>
      <c r="K2379" s="27" t="s">
        <v>395</v>
      </c>
    </row>
    <row r="2380" spans="1:11">
      <c r="A2380">
        <v>2363</v>
      </c>
      <c r="D2380" s="28" t="s">
        <v>1684</v>
      </c>
      <c r="E2380" s="27" t="s">
        <v>1685</v>
      </c>
      <c r="G2380" s="27" t="s">
        <v>102</v>
      </c>
      <c r="I2380" s="27" t="s">
        <v>94</v>
      </c>
      <c r="J2380" s="28">
        <v>29268</v>
      </c>
      <c r="K2380" s="27" t="s">
        <v>229</v>
      </c>
    </row>
    <row r="2381" spans="1:11">
      <c r="A2381">
        <v>2364</v>
      </c>
      <c r="D2381" s="28" t="s">
        <v>4331</v>
      </c>
      <c r="E2381" s="27" t="s">
        <v>329</v>
      </c>
      <c r="G2381" s="27" t="s">
        <v>102</v>
      </c>
      <c r="I2381" s="27" t="s">
        <v>121</v>
      </c>
      <c r="J2381" s="28">
        <v>21761</v>
      </c>
      <c r="K2381" s="27" t="s">
        <v>400</v>
      </c>
    </row>
    <row r="2382" spans="1:11">
      <c r="A2382">
        <v>2365</v>
      </c>
      <c r="D2382" s="28" t="s">
        <v>4331</v>
      </c>
      <c r="E2382" s="27" t="s">
        <v>329</v>
      </c>
      <c r="G2382" s="27" t="s">
        <v>102</v>
      </c>
      <c r="I2382" s="27" t="s">
        <v>121</v>
      </c>
      <c r="J2382" s="28">
        <v>21160</v>
      </c>
      <c r="K2382" s="27" t="s">
        <v>401</v>
      </c>
    </row>
    <row r="2383" spans="1:11">
      <c r="A2383">
        <v>2366</v>
      </c>
      <c r="D2383" s="28" t="s">
        <v>4331</v>
      </c>
      <c r="E2383" s="27" t="s">
        <v>329</v>
      </c>
      <c r="G2383" s="27" t="s">
        <v>102</v>
      </c>
      <c r="I2383" s="27" t="s">
        <v>226</v>
      </c>
      <c r="J2383" s="28">
        <v>21595</v>
      </c>
      <c r="K2383" s="27" t="s">
        <v>403</v>
      </c>
    </row>
    <row r="2384" spans="1:11">
      <c r="A2384">
        <v>2367</v>
      </c>
      <c r="D2384" s="28" t="s">
        <v>4331</v>
      </c>
      <c r="E2384" s="27" t="s">
        <v>329</v>
      </c>
      <c r="G2384" s="27" t="s">
        <v>102</v>
      </c>
      <c r="I2384" s="27" t="s">
        <v>226</v>
      </c>
      <c r="J2384" s="28">
        <v>21761</v>
      </c>
      <c r="K2384" s="27" t="s">
        <v>400</v>
      </c>
    </row>
    <row r="2385" spans="1:11">
      <c r="A2385">
        <v>2368</v>
      </c>
      <c r="D2385" s="28" t="s">
        <v>4332</v>
      </c>
      <c r="E2385" s="27" t="s">
        <v>3387</v>
      </c>
      <c r="G2385" s="27" t="s">
        <v>102</v>
      </c>
      <c r="I2385" s="27" t="s">
        <v>121</v>
      </c>
      <c r="J2385" s="28">
        <v>21105</v>
      </c>
      <c r="K2385" s="27" t="s">
        <v>4512</v>
      </c>
    </row>
    <row r="2386" spans="1:11">
      <c r="A2386">
        <v>2369</v>
      </c>
      <c r="D2386" s="28" t="s">
        <v>4333</v>
      </c>
      <c r="E2386" s="27" t="s">
        <v>3389</v>
      </c>
      <c r="G2386" s="27" t="s">
        <v>102</v>
      </c>
      <c r="I2386" s="27" t="s">
        <v>121</v>
      </c>
      <c r="J2386" s="28">
        <v>21105</v>
      </c>
      <c r="K2386" s="27" t="s">
        <v>4512</v>
      </c>
    </row>
    <row r="2387" spans="1:11">
      <c r="A2387">
        <v>2370</v>
      </c>
      <c r="B2387" s="259" t="s">
        <v>468</v>
      </c>
      <c r="C2387" s="464" t="s">
        <v>4996</v>
      </c>
      <c r="D2387" s="28" t="s">
        <v>4334</v>
      </c>
      <c r="E2387" s="27" t="s">
        <v>154</v>
      </c>
      <c r="F2387" t="s">
        <v>4935</v>
      </c>
      <c r="G2387" s="27" t="s">
        <v>90</v>
      </c>
      <c r="H2387" t="s">
        <v>4997</v>
      </c>
      <c r="I2387" s="27" t="s">
        <v>121</v>
      </c>
      <c r="J2387" s="28">
        <v>20900</v>
      </c>
      <c r="K2387" s="27" t="s">
        <v>1246</v>
      </c>
    </row>
    <row r="2388" spans="1:11">
      <c r="A2388">
        <v>2371</v>
      </c>
      <c r="D2388" s="28" t="s">
        <v>4335</v>
      </c>
      <c r="E2388" s="27" t="s">
        <v>3116</v>
      </c>
      <c r="G2388" s="27" t="s">
        <v>102</v>
      </c>
      <c r="I2388" s="27" t="s">
        <v>121</v>
      </c>
      <c r="J2388" s="28">
        <v>21160</v>
      </c>
      <c r="K2388" s="27" t="s">
        <v>401</v>
      </c>
    </row>
    <row r="2389" spans="1:11">
      <c r="A2389">
        <v>2372</v>
      </c>
      <c r="D2389" s="28" t="s">
        <v>4336</v>
      </c>
      <c r="E2389" s="27" t="s">
        <v>2997</v>
      </c>
      <c r="G2389" s="27" t="s">
        <v>102</v>
      </c>
      <c r="I2389" s="27" t="s">
        <v>121</v>
      </c>
      <c r="J2389" s="28">
        <v>21160</v>
      </c>
      <c r="K2389" s="27" t="s">
        <v>401</v>
      </c>
    </row>
    <row r="2390" spans="1:11">
      <c r="A2390">
        <v>2373</v>
      </c>
      <c r="D2390" s="28" t="s">
        <v>4337</v>
      </c>
      <c r="E2390" s="27" t="s">
        <v>3003</v>
      </c>
      <c r="G2390" s="27" t="s">
        <v>102</v>
      </c>
      <c r="I2390" s="27" t="s">
        <v>121</v>
      </c>
      <c r="J2390" s="28">
        <v>21545</v>
      </c>
      <c r="K2390" s="27" t="s">
        <v>4507</v>
      </c>
    </row>
    <row r="2391" spans="1:11">
      <c r="A2391">
        <v>2374</v>
      </c>
      <c r="D2391" s="28" t="s">
        <v>4337</v>
      </c>
      <c r="E2391" s="27" t="s">
        <v>3003</v>
      </c>
      <c r="G2391" s="27" t="s">
        <v>102</v>
      </c>
      <c r="I2391" s="27" t="s">
        <v>226</v>
      </c>
      <c r="J2391" s="28">
        <v>21545</v>
      </c>
      <c r="K2391" s="27" t="s">
        <v>4507</v>
      </c>
    </row>
    <row r="2392" spans="1:11">
      <c r="A2392">
        <v>2375</v>
      </c>
      <c r="D2392" s="28" t="s">
        <v>1687</v>
      </c>
      <c r="E2392" s="27" t="s">
        <v>1592</v>
      </c>
      <c r="G2392" s="27" t="s">
        <v>102</v>
      </c>
      <c r="I2392" s="27" t="s">
        <v>94</v>
      </c>
      <c r="J2392" s="28">
        <v>29268</v>
      </c>
      <c r="K2392" s="27" t="s">
        <v>229</v>
      </c>
    </row>
    <row r="2393" spans="1:11">
      <c r="A2393">
        <v>2376</v>
      </c>
      <c r="D2393" s="28" t="s">
        <v>1687</v>
      </c>
      <c r="E2393" s="27" t="s">
        <v>1592</v>
      </c>
      <c r="G2393" s="27" t="s">
        <v>102</v>
      </c>
      <c r="I2393" s="27" t="s">
        <v>226</v>
      </c>
      <c r="J2393" s="28">
        <v>21556</v>
      </c>
      <c r="K2393" s="27" t="s">
        <v>4508</v>
      </c>
    </row>
    <row r="2394" spans="1:11">
      <c r="A2394">
        <v>2377</v>
      </c>
      <c r="D2394" s="28" t="s">
        <v>1688</v>
      </c>
      <c r="E2394" s="27" t="s">
        <v>1689</v>
      </c>
      <c r="G2394" s="27" t="s">
        <v>102</v>
      </c>
      <c r="I2394" s="27" t="s">
        <v>121</v>
      </c>
      <c r="J2394" s="28">
        <v>29010</v>
      </c>
      <c r="K2394" s="27" t="s">
        <v>229</v>
      </c>
    </row>
    <row r="2395" spans="1:11">
      <c r="A2395">
        <v>2378</v>
      </c>
      <c r="D2395" s="28" t="s">
        <v>4338</v>
      </c>
      <c r="E2395" s="27" t="s">
        <v>4339</v>
      </c>
      <c r="G2395" s="27" t="s">
        <v>102</v>
      </c>
      <c r="I2395" s="27" t="s">
        <v>121</v>
      </c>
      <c r="J2395" s="28">
        <v>21160</v>
      </c>
      <c r="K2395" s="27" t="s">
        <v>401</v>
      </c>
    </row>
    <row r="2396" spans="1:11">
      <c r="A2396">
        <v>2379</v>
      </c>
      <c r="D2396" s="28" t="s">
        <v>1690</v>
      </c>
      <c r="E2396" s="27" t="s">
        <v>1691</v>
      </c>
      <c r="G2396" s="27" t="s">
        <v>102</v>
      </c>
      <c r="I2396" s="27" t="s">
        <v>94</v>
      </c>
      <c r="J2396" s="28">
        <v>29268</v>
      </c>
      <c r="K2396" s="27" t="s">
        <v>229</v>
      </c>
    </row>
    <row r="2397" spans="1:11">
      <c r="A2397">
        <v>2380</v>
      </c>
      <c r="D2397" s="28" t="s">
        <v>1690</v>
      </c>
      <c r="E2397" s="27" t="s">
        <v>1691</v>
      </c>
      <c r="G2397" s="27" t="s">
        <v>102</v>
      </c>
      <c r="I2397" s="27" t="s">
        <v>226</v>
      </c>
      <c r="J2397" s="28">
        <v>29164</v>
      </c>
      <c r="K2397" s="27" t="s">
        <v>229</v>
      </c>
    </row>
    <row r="2398" spans="1:11">
      <c r="A2398">
        <v>2381</v>
      </c>
      <c r="D2398" s="28" t="s">
        <v>4340</v>
      </c>
      <c r="E2398" s="27" t="s">
        <v>3473</v>
      </c>
      <c r="G2398" s="27" t="s">
        <v>102</v>
      </c>
      <c r="I2398" s="27" t="s">
        <v>121</v>
      </c>
      <c r="J2398" s="28">
        <v>21160</v>
      </c>
      <c r="K2398" s="27" t="s">
        <v>401</v>
      </c>
    </row>
    <row r="2399" spans="1:11">
      <c r="A2399">
        <v>2382</v>
      </c>
      <c r="D2399" s="28" t="s">
        <v>4340</v>
      </c>
      <c r="E2399" s="27" t="s">
        <v>3473</v>
      </c>
      <c r="G2399" s="27" t="s">
        <v>102</v>
      </c>
      <c r="I2399" s="27" t="s">
        <v>121</v>
      </c>
      <c r="J2399" s="28">
        <v>21205</v>
      </c>
      <c r="K2399" s="27" t="s">
        <v>395</v>
      </c>
    </row>
    <row r="2400" spans="1:11">
      <c r="A2400">
        <v>2383</v>
      </c>
      <c r="D2400" s="28" t="s">
        <v>4340</v>
      </c>
      <c r="E2400" s="27" t="s">
        <v>3473</v>
      </c>
      <c r="G2400" s="27" t="s">
        <v>102</v>
      </c>
      <c r="I2400" s="27" t="s">
        <v>94</v>
      </c>
      <c r="J2400" s="28">
        <v>21205</v>
      </c>
      <c r="K2400" s="27" t="s">
        <v>395</v>
      </c>
    </row>
    <row r="2401" spans="1:23">
      <c r="A2401">
        <v>2384</v>
      </c>
      <c r="D2401" s="28" t="s">
        <v>4340</v>
      </c>
      <c r="E2401" s="27" t="s">
        <v>3473</v>
      </c>
      <c r="G2401" s="27" t="s">
        <v>102</v>
      </c>
      <c r="I2401" s="27" t="s">
        <v>226</v>
      </c>
      <c r="J2401" s="28">
        <v>21557</v>
      </c>
      <c r="K2401" s="27" t="s">
        <v>396</v>
      </c>
    </row>
    <row r="2402" spans="1:23">
      <c r="A2402">
        <v>2385</v>
      </c>
      <c r="D2402" s="28" t="s">
        <v>4341</v>
      </c>
      <c r="E2402" s="27" t="s">
        <v>4342</v>
      </c>
      <c r="G2402" s="27" t="s">
        <v>102</v>
      </c>
      <c r="I2402" s="27" t="s">
        <v>121</v>
      </c>
      <c r="J2402" s="28">
        <v>21819</v>
      </c>
      <c r="K2402" s="27" t="s">
        <v>408</v>
      </c>
    </row>
    <row r="2403" spans="1:23">
      <c r="A2403">
        <v>2386</v>
      </c>
      <c r="D2403" s="28" t="s">
        <v>4341</v>
      </c>
      <c r="E2403" s="27" t="s">
        <v>4342</v>
      </c>
      <c r="G2403" s="27" t="s">
        <v>102</v>
      </c>
      <c r="I2403" s="27" t="s">
        <v>94</v>
      </c>
      <c r="J2403" s="28">
        <v>29148</v>
      </c>
      <c r="K2403" s="27" t="s">
        <v>4510</v>
      </c>
    </row>
    <row r="2404" spans="1:23">
      <c r="A2404">
        <v>2387</v>
      </c>
      <c r="D2404" s="28" t="s">
        <v>4341</v>
      </c>
      <c r="E2404" s="27" t="s">
        <v>4342</v>
      </c>
      <c r="G2404" s="27" t="s">
        <v>102</v>
      </c>
      <c r="I2404" s="27" t="s">
        <v>226</v>
      </c>
      <c r="J2404" s="28">
        <v>21820</v>
      </c>
      <c r="K2404" s="27" t="s">
        <v>408</v>
      </c>
    </row>
    <row r="2405" spans="1:23">
      <c r="A2405">
        <v>2388</v>
      </c>
      <c r="D2405" s="28" t="s">
        <v>4343</v>
      </c>
      <c r="E2405" s="27" t="s">
        <v>4344</v>
      </c>
      <c r="G2405" s="27" t="s">
        <v>102</v>
      </c>
      <c r="I2405" s="27" t="s">
        <v>121</v>
      </c>
      <c r="J2405" s="28">
        <v>21819</v>
      </c>
      <c r="K2405" s="27" t="s">
        <v>408</v>
      </c>
    </row>
    <row r="2406" spans="1:23">
      <c r="A2406">
        <v>2389</v>
      </c>
      <c r="D2406" s="28" t="s">
        <v>4343</v>
      </c>
      <c r="E2406" s="27" t="s">
        <v>4344</v>
      </c>
      <c r="G2406" s="27" t="s">
        <v>102</v>
      </c>
      <c r="I2406" s="27" t="s">
        <v>94</v>
      </c>
      <c r="J2406" s="28">
        <v>29148</v>
      </c>
      <c r="K2406" s="27" t="s">
        <v>4510</v>
      </c>
    </row>
    <row r="2407" spans="1:23">
      <c r="A2407">
        <v>2390</v>
      </c>
      <c r="D2407" s="28" t="s">
        <v>4343</v>
      </c>
      <c r="E2407" s="27" t="s">
        <v>4344</v>
      </c>
      <c r="G2407" s="27" t="s">
        <v>102</v>
      </c>
      <c r="I2407" s="27" t="s">
        <v>226</v>
      </c>
      <c r="J2407" s="28">
        <v>21820</v>
      </c>
      <c r="K2407" s="27" t="s">
        <v>408</v>
      </c>
    </row>
    <row r="2408" spans="1:23">
      <c r="A2408">
        <v>2391</v>
      </c>
      <c r="D2408" s="28" t="s">
        <v>4345</v>
      </c>
      <c r="E2408" s="27" t="s">
        <v>353</v>
      </c>
      <c r="G2408" s="27" t="s">
        <v>102</v>
      </c>
      <c r="I2408" s="27" t="s">
        <v>121</v>
      </c>
      <c r="J2408" s="28">
        <v>21819</v>
      </c>
      <c r="K2408" s="27" t="s">
        <v>408</v>
      </c>
    </row>
    <row r="2409" spans="1:23">
      <c r="A2409">
        <v>2392</v>
      </c>
      <c r="D2409" s="28" t="s">
        <v>4345</v>
      </c>
      <c r="E2409" s="27" t="s">
        <v>353</v>
      </c>
      <c r="G2409" s="27" t="s">
        <v>102</v>
      </c>
      <c r="I2409" s="27" t="s">
        <v>94</v>
      </c>
      <c r="J2409" s="28">
        <v>29148</v>
      </c>
      <c r="K2409" s="27" t="s">
        <v>4510</v>
      </c>
    </row>
    <row r="2410" spans="1:23">
      <c r="A2410">
        <v>2393</v>
      </c>
      <c r="B2410" t="s">
        <v>1947</v>
      </c>
      <c r="D2410" s="28" t="s">
        <v>4346</v>
      </c>
      <c r="E2410" s="27" t="s">
        <v>4088</v>
      </c>
      <c r="G2410" s="27" t="s">
        <v>90</v>
      </c>
      <c r="I2410" s="27" t="s">
        <v>121</v>
      </c>
      <c r="J2410" s="28">
        <v>21160</v>
      </c>
      <c r="K2410" s="27" t="s">
        <v>401</v>
      </c>
    </row>
    <row r="2411" spans="1:23">
      <c r="A2411">
        <v>2394</v>
      </c>
      <c r="B2411" t="s">
        <v>1947</v>
      </c>
      <c r="D2411" s="28" t="s">
        <v>4346</v>
      </c>
      <c r="E2411" s="27" t="s">
        <v>4088</v>
      </c>
      <c r="G2411" s="27" t="s">
        <v>90</v>
      </c>
      <c r="I2411" s="27" t="s">
        <v>121</v>
      </c>
      <c r="J2411" s="28">
        <v>21592</v>
      </c>
      <c r="K2411" s="27" t="s">
        <v>410</v>
      </c>
    </row>
    <row r="2412" spans="1:23">
      <c r="A2412">
        <v>2395</v>
      </c>
      <c r="B2412" t="s">
        <v>1947</v>
      </c>
      <c r="D2412" s="28" t="s">
        <v>4346</v>
      </c>
      <c r="E2412" s="27" t="s">
        <v>4088</v>
      </c>
      <c r="G2412" s="27" t="s">
        <v>90</v>
      </c>
      <c r="I2412" s="27" t="s">
        <v>94</v>
      </c>
      <c r="J2412" s="28">
        <v>21160</v>
      </c>
      <c r="K2412" s="27" t="s">
        <v>401</v>
      </c>
    </row>
    <row r="2413" spans="1:23">
      <c r="A2413">
        <v>2396</v>
      </c>
      <c r="C2413" s="27" t="s">
        <v>4568</v>
      </c>
      <c r="D2413" s="28" t="s">
        <v>4346</v>
      </c>
      <c r="E2413" s="27" t="s">
        <v>4088</v>
      </c>
      <c r="F2413" t="s">
        <v>2444</v>
      </c>
      <c r="G2413" s="27" t="s">
        <v>90</v>
      </c>
      <c r="I2413" s="27" t="s">
        <v>94</v>
      </c>
      <c r="J2413" s="28">
        <v>21746</v>
      </c>
      <c r="K2413" s="27" t="s">
        <v>410</v>
      </c>
      <c r="L2413" s="28"/>
      <c r="M2413" s="28"/>
      <c r="N2413" s="28" t="s">
        <v>4568</v>
      </c>
      <c r="O2413" s="28" t="s">
        <v>1763</v>
      </c>
      <c r="P2413" s="442">
        <v>44455</v>
      </c>
      <c r="Q2413" s="27"/>
      <c r="R2413" s="27"/>
      <c r="S2413" s="370"/>
      <c r="T2413" s="443"/>
      <c r="U2413" s="369"/>
      <c r="V2413" s="369"/>
      <c r="W2413" s="27" t="s">
        <v>4840</v>
      </c>
    </row>
    <row r="2414" spans="1:23">
      <c r="A2414">
        <v>2397</v>
      </c>
      <c r="C2414" s="27" t="s">
        <v>4568</v>
      </c>
      <c r="D2414" s="28" t="s">
        <v>4346</v>
      </c>
      <c r="E2414" s="27" t="s">
        <v>4088</v>
      </c>
      <c r="F2414" t="s">
        <v>2444</v>
      </c>
      <c r="G2414" s="27" t="s">
        <v>90</v>
      </c>
      <c r="I2414" s="27" t="s">
        <v>226</v>
      </c>
      <c r="J2414" s="28">
        <v>21425</v>
      </c>
      <c r="K2414" s="27" t="s">
        <v>406</v>
      </c>
      <c r="L2414" s="28"/>
      <c r="M2414" s="28"/>
      <c r="N2414" s="28" t="s">
        <v>2195</v>
      </c>
      <c r="O2414" s="28" t="s">
        <v>1766</v>
      </c>
      <c r="P2414" s="442">
        <v>43833</v>
      </c>
      <c r="Q2414" s="27"/>
      <c r="R2414" s="27"/>
      <c r="S2414" s="370"/>
      <c r="T2414" s="443"/>
      <c r="U2414" s="369"/>
      <c r="V2414" s="369"/>
      <c r="W2414" s="27" t="s">
        <v>4840</v>
      </c>
    </row>
    <row r="2415" spans="1:23">
      <c r="A2415">
        <v>2398</v>
      </c>
      <c r="C2415" s="27" t="s">
        <v>4568</v>
      </c>
      <c r="D2415" s="28" t="s">
        <v>4346</v>
      </c>
      <c r="E2415" s="27" t="s">
        <v>4088</v>
      </c>
      <c r="F2415" t="s">
        <v>2444</v>
      </c>
      <c r="G2415" s="27" t="s">
        <v>90</v>
      </c>
      <c r="I2415" s="27" t="s">
        <v>226</v>
      </c>
      <c r="J2415" s="28">
        <v>21516</v>
      </c>
      <c r="K2415" s="27" t="s">
        <v>410</v>
      </c>
      <c r="L2415" s="28"/>
      <c r="M2415" s="28"/>
      <c r="N2415" s="28" t="s">
        <v>5009</v>
      </c>
      <c r="O2415" s="28" t="s">
        <v>1766</v>
      </c>
      <c r="P2415" s="442">
        <v>43846</v>
      </c>
      <c r="Q2415" s="27"/>
      <c r="R2415" s="27"/>
      <c r="S2415" s="370"/>
      <c r="T2415" s="443"/>
      <c r="U2415" s="369"/>
      <c r="V2415" s="369"/>
      <c r="W2415" s="27" t="s">
        <v>4840</v>
      </c>
    </row>
    <row r="2416" spans="1:23">
      <c r="A2416">
        <v>2399</v>
      </c>
      <c r="B2416" t="s">
        <v>468</v>
      </c>
      <c r="C2416" s="27" t="s">
        <v>5014</v>
      </c>
      <c r="D2416" s="28" t="s">
        <v>4347</v>
      </c>
      <c r="E2416" s="27" t="s">
        <v>4348</v>
      </c>
      <c r="F2416" t="s">
        <v>4574</v>
      </c>
      <c r="G2416" s="27" t="s">
        <v>90</v>
      </c>
      <c r="H2416" t="s">
        <v>5011</v>
      </c>
      <c r="I2416" s="27" t="s">
        <v>121</v>
      </c>
      <c r="J2416" s="28">
        <v>21160</v>
      </c>
      <c r="K2416" s="27" t="s">
        <v>401</v>
      </c>
    </row>
    <row r="2417" spans="1:23">
      <c r="A2417">
        <v>2400</v>
      </c>
      <c r="B2417" t="s">
        <v>468</v>
      </c>
      <c r="C2417" s="27" t="s">
        <v>5015</v>
      </c>
      <c r="D2417" s="28" t="s">
        <v>4347</v>
      </c>
      <c r="E2417" s="27" t="s">
        <v>4348</v>
      </c>
      <c r="F2417" t="s">
        <v>4574</v>
      </c>
      <c r="G2417" s="27" t="s">
        <v>90</v>
      </c>
      <c r="H2417" t="s">
        <v>5012</v>
      </c>
      <c r="I2417" s="27" t="s">
        <v>121</v>
      </c>
      <c r="J2417" s="28">
        <v>21592</v>
      </c>
      <c r="K2417" s="27" t="s">
        <v>410</v>
      </c>
    </row>
    <row r="2418" spans="1:23">
      <c r="A2418">
        <v>2401</v>
      </c>
      <c r="B2418" t="s">
        <v>468</v>
      </c>
      <c r="C2418" s="27" t="s">
        <v>5014</v>
      </c>
      <c r="D2418" s="28" t="s">
        <v>4347</v>
      </c>
      <c r="E2418" s="27" t="s">
        <v>4348</v>
      </c>
      <c r="F2418" t="s">
        <v>4574</v>
      </c>
      <c r="G2418" s="27" t="s">
        <v>90</v>
      </c>
      <c r="H2418" t="s">
        <v>5013</v>
      </c>
      <c r="I2418" s="27" t="s">
        <v>94</v>
      </c>
      <c r="J2418" s="28">
        <v>21160</v>
      </c>
      <c r="K2418" s="27" t="s">
        <v>401</v>
      </c>
    </row>
    <row r="2419" spans="1:23">
      <c r="A2419">
        <v>2402</v>
      </c>
      <c r="C2419" t="s">
        <v>4568</v>
      </c>
      <c r="D2419" s="28" t="s">
        <v>4347</v>
      </c>
      <c r="E2419" s="27" t="s">
        <v>4348</v>
      </c>
      <c r="F2419" t="s">
        <v>2444</v>
      </c>
      <c r="G2419" s="27" t="s">
        <v>90</v>
      </c>
      <c r="I2419" s="27" t="s">
        <v>94</v>
      </c>
      <c r="J2419" s="28">
        <v>21746</v>
      </c>
      <c r="K2419" s="27" t="s">
        <v>410</v>
      </c>
      <c r="L2419" s="28"/>
      <c r="M2419" s="28"/>
      <c r="N2419" s="28" t="s">
        <v>4568</v>
      </c>
      <c r="O2419" s="28" t="s">
        <v>1763</v>
      </c>
      <c r="P2419" s="442">
        <v>44455</v>
      </c>
      <c r="Q2419" s="27"/>
      <c r="R2419" s="27"/>
      <c r="S2419" s="370"/>
      <c r="T2419" s="443"/>
      <c r="U2419" s="369"/>
      <c r="V2419" s="369"/>
      <c r="W2419" s="27" t="s">
        <v>5010</v>
      </c>
    </row>
    <row r="2420" spans="1:23">
      <c r="A2420">
        <v>2403</v>
      </c>
      <c r="B2420" t="s">
        <v>468</v>
      </c>
      <c r="C2420" s="27" t="s">
        <v>5014</v>
      </c>
      <c r="D2420" s="28" t="s">
        <v>4347</v>
      </c>
      <c r="E2420" s="27" t="s">
        <v>4348</v>
      </c>
      <c r="F2420" t="s">
        <v>4574</v>
      </c>
      <c r="G2420" s="27" t="s">
        <v>90</v>
      </c>
      <c r="H2420" t="s">
        <v>5017</v>
      </c>
      <c r="I2420" s="27" t="s">
        <v>226</v>
      </c>
      <c r="J2420" s="28">
        <v>21425</v>
      </c>
      <c r="K2420" s="27" t="s">
        <v>406</v>
      </c>
    </row>
    <row r="2421" spans="1:23">
      <c r="A2421">
        <v>2404</v>
      </c>
      <c r="B2421" t="s">
        <v>468</v>
      </c>
      <c r="C2421" s="27" t="s">
        <v>5015</v>
      </c>
      <c r="D2421" s="28" t="s">
        <v>4347</v>
      </c>
      <c r="E2421" s="27" t="s">
        <v>4348</v>
      </c>
      <c r="F2421" t="s">
        <v>4574</v>
      </c>
      <c r="G2421" s="27" t="s">
        <v>90</v>
      </c>
      <c r="H2421" t="s">
        <v>5018</v>
      </c>
      <c r="I2421" s="27" t="s">
        <v>226</v>
      </c>
      <c r="J2421" s="28">
        <v>21516</v>
      </c>
      <c r="K2421" s="27" t="s">
        <v>410</v>
      </c>
    </row>
    <row r="2422" spans="1:23">
      <c r="A2422">
        <v>2405</v>
      </c>
      <c r="B2422" t="s">
        <v>468</v>
      </c>
      <c r="C2422" s="27" t="s">
        <v>5016</v>
      </c>
      <c r="D2422" s="28" t="s">
        <v>4349</v>
      </c>
      <c r="E2422" s="27" t="s">
        <v>4350</v>
      </c>
      <c r="F2422" t="s">
        <v>4574</v>
      </c>
      <c r="G2422" s="27" t="s">
        <v>90</v>
      </c>
      <c r="H2422" t="s">
        <v>5019</v>
      </c>
      <c r="I2422" s="27" t="s">
        <v>121</v>
      </c>
      <c r="J2422" s="28">
        <v>21160</v>
      </c>
      <c r="K2422" s="27" t="s">
        <v>401</v>
      </c>
    </row>
    <row r="2423" spans="1:23">
      <c r="A2423">
        <v>2406</v>
      </c>
      <c r="B2423" t="s">
        <v>468</v>
      </c>
      <c r="C2423" s="27" t="s">
        <v>5023</v>
      </c>
      <c r="D2423" s="28" t="s">
        <v>4349</v>
      </c>
      <c r="E2423" s="27" t="s">
        <v>4350</v>
      </c>
      <c r="F2423" t="s">
        <v>4574</v>
      </c>
      <c r="G2423" s="27" t="s">
        <v>90</v>
      </c>
      <c r="H2423" t="s">
        <v>5024</v>
      </c>
      <c r="I2423" s="27" t="s">
        <v>121</v>
      </c>
      <c r="J2423" s="28">
        <v>21592</v>
      </c>
      <c r="K2423" s="27" t="s">
        <v>410</v>
      </c>
    </row>
    <row r="2424" spans="1:23">
      <c r="A2424">
        <v>2407</v>
      </c>
      <c r="B2424" t="s">
        <v>468</v>
      </c>
      <c r="C2424" s="27" t="s">
        <v>5016</v>
      </c>
      <c r="D2424" s="28" t="s">
        <v>4349</v>
      </c>
      <c r="E2424" s="27" t="s">
        <v>4350</v>
      </c>
      <c r="F2424" t="s">
        <v>4574</v>
      </c>
      <c r="G2424" s="27" t="s">
        <v>90</v>
      </c>
      <c r="H2424" t="s">
        <v>5020</v>
      </c>
      <c r="I2424" s="27" t="s">
        <v>94</v>
      </c>
      <c r="J2424" s="28">
        <v>21160</v>
      </c>
      <c r="K2424" s="27" t="s">
        <v>401</v>
      </c>
    </row>
    <row r="2425" spans="1:23">
      <c r="A2425">
        <v>2408</v>
      </c>
      <c r="B2425" t="s">
        <v>468</v>
      </c>
      <c r="C2425" s="27" t="s">
        <v>5023</v>
      </c>
      <c r="D2425" s="28" t="s">
        <v>4349</v>
      </c>
      <c r="E2425" s="27" t="s">
        <v>4350</v>
      </c>
      <c r="F2425" t="s">
        <v>4574</v>
      </c>
      <c r="G2425" s="27" t="s">
        <v>90</v>
      </c>
      <c r="H2425" t="s">
        <v>5025</v>
      </c>
      <c r="I2425" s="27" t="s">
        <v>94</v>
      </c>
      <c r="J2425" s="28">
        <v>21746</v>
      </c>
      <c r="K2425" s="27" t="s">
        <v>410</v>
      </c>
    </row>
    <row r="2426" spans="1:23">
      <c r="A2426">
        <v>2409</v>
      </c>
      <c r="B2426" t="s">
        <v>468</v>
      </c>
      <c r="C2426" s="27" t="s">
        <v>5016</v>
      </c>
      <c r="D2426" s="28" t="s">
        <v>4349</v>
      </c>
      <c r="E2426" s="27" t="s">
        <v>4350</v>
      </c>
      <c r="F2426" t="s">
        <v>4574</v>
      </c>
      <c r="G2426" s="27" t="s">
        <v>90</v>
      </c>
      <c r="H2426" t="s">
        <v>5021</v>
      </c>
      <c r="I2426" s="27" t="s">
        <v>226</v>
      </c>
      <c r="J2426" s="28">
        <v>21425</v>
      </c>
      <c r="K2426" s="27" t="s">
        <v>406</v>
      </c>
    </row>
    <row r="2427" spans="1:23">
      <c r="A2427">
        <v>2410</v>
      </c>
      <c r="B2427" t="s">
        <v>468</v>
      </c>
      <c r="C2427" s="27" t="s">
        <v>5023</v>
      </c>
      <c r="D2427" s="28" t="s">
        <v>4349</v>
      </c>
      <c r="E2427" s="27" t="s">
        <v>4350</v>
      </c>
      <c r="F2427" t="s">
        <v>4574</v>
      </c>
      <c r="G2427" s="27" t="s">
        <v>90</v>
      </c>
      <c r="H2427" t="s">
        <v>5026</v>
      </c>
      <c r="I2427" s="27" t="s">
        <v>226</v>
      </c>
      <c r="J2427" s="28">
        <v>21516</v>
      </c>
      <c r="K2427" s="27" t="s">
        <v>410</v>
      </c>
    </row>
    <row r="2428" spans="1:23">
      <c r="A2428">
        <v>2411</v>
      </c>
      <c r="B2428" t="s">
        <v>468</v>
      </c>
      <c r="C2428" s="27" t="s">
        <v>5027</v>
      </c>
      <c r="D2428" s="28" t="s">
        <v>4351</v>
      </c>
      <c r="E2428" s="27" t="s">
        <v>3032</v>
      </c>
      <c r="F2428" t="s">
        <v>4574</v>
      </c>
      <c r="G2428" s="27" t="s">
        <v>90</v>
      </c>
      <c r="H2428" t="s">
        <v>5029</v>
      </c>
      <c r="I2428" s="27" t="s">
        <v>121</v>
      </c>
      <c r="J2428" s="28">
        <v>21160</v>
      </c>
      <c r="K2428" s="27" t="s">
        <v>401</v>
      </c>
    </row>
    <row r="2429" spans="1:23">
      <c r="A2429">
        <v>2412</v>
      </c>
      <c r="B2429" t="s">
        <v>468</v>
      </c>
      <c r="C2429" s="27" t="s">
        <v>5028</v>
      </c>
      <c r="D2429" s="28" t="s">
        <v>4351</v>
      </c>
      <c r="E2429" s="27" t="s">
        <v>3032</v>
      </c>
      <c r="F2429" t="s">
        <v>4574</v>
      </c>
      <c r="G2429" s="27" t="s">
        <v>90</v>
      </c>
      <c r="H2429" t="s">
        <v>5030</v>
      </c>
      <c r="I2429" s="27" t="s">
        <v>121</v>
      </c>
      <c r="J2429" s="28">
        <v>21592</v>
      </c>
      <c r="K2429" s="27" t="s">
        <v>410</v>
      </c>
    </row>
    <row r="2430" spans="1:23">
      <c r="A2430">
        <v>2413</v>
      </c>
      <c r="B2430" t="s">
        <v>468</v>
      </c>
      <c r="C2430" s="27" t="s">
        <v>5027</v>
      </c>
      <c r="D2430" s="28" t="s">
        <v>4351</v>
      </c>
      <c r="E2430" s="27" t="s">
        <v>3032</v>
      </c>
      <c r="F2430" t="s">
        <v>4574</v>
      </c>
      <c r="G2430" s="27" t="s">
        <v>90</v>
      </c>
      <c r="H2430" t="s">
        <v>5031</v>
      </c>
      <c r="I2430" s="27" t="s">
        <v>94</v>
      </c>
      <c r="J2430" s="28">
        <v>21160</v>
      </c>
      <c r="K2430" s="27" t="s">
        <v>401</v>
      </c>
    </row>
    <row r="2431" spans="1:23">
      <c r="A2431">
        <v>2414</v>
      </c>
      <c r="B2431" t="s">
        <v>468</v>
      </c>
      <c r="C2431" s="27" t="s">
        <v>5028</v>
      </c>
      <c r="D2431" s="28" t="s">
        <v>4351</v>
      </c>
      <c r="E2431" s="27" t="s">
        <v>3032</v>
      </c>
      <c r="F2431" t="s">
        <v>4574</v>
      </c>
      <c r="G2431" s="27" t="s">
        <v>90</v>
      </c>
      <c r="H2431" t="s">
        <v>5032</v>
      </c>
      <c r="I2431" s="27" t="s">
        <v>94</v>
      </c>
      <c r="J2431" s="28">
        <v>21746</v>
      </c>
      <c r="K2431" s="27" t="s">
        <v>410</v>
      </c>
    </row>
    <row r="2432" spans="1:23">
      <c r="A2432">
        <v>2415</v>
      </c>
      <c r="B2432" t="s">
        <v>468</v>
      </c>
      <c r="C2432" s="27" t="s">
        <v>5027</v>
      </c>
      <c r="D2432" s="28" t="s">
        <v>4351</v>
      </c>
      <c r="E2432" s="27" t="s">
        <v>3032</v>
      </c>
      <c r="F2432" t="s">
        <v>4574</v>
      </c>
      <c r="G2432" s="27" t="s">
        <v>90</v>
      </c>
      <c r="H2432" t="s">
        <v>5033</v>
      </c>
      <c r="I2432" s="27" t="s">
        <v>226</v>
      </c>
      <c r="J2432" s="28">
        <v>21425</v>
      </c>
      <c r="K2432" s="27" t="s">
        <v>406</v>
      </c>
    </row>
    <row r="2433" spans="1:11">
      <c r="A2433">
        <v>2416</v>
      </c>
      <c r="B2433" t="s">
        <v>468</v>
      </c>
      <c r="C2433" s="27" t="s">
        <v>5028</v>
      </c>
      <c r="D2433" s="28" t="s">
        <v>4351</v>
      </c>
      <c r="E2433" s="27" t="s">
        <v>3032</v>
      </c>
      <c r="F2433" t="s">
        <v>4574</v>
      </c>
      <c r="G2433" s="27" t="s">
        <v>90</v>
      </c>
      <c r="H2433" t="s">
        <v>5034</v>
      </c>
      <c r="I2433" s="27" t="s">
        <v>226</v>
      </c>
      <c r="J2433" s="28">
        <v>21516</v>
      </c>
      <c r="K2433" s="27" t="s">
        <v>410</v>
      </c>
    </row>
    <row r="2434" spans="1:11">
      <c r="A2434">
        <v>2417</v>
      </c>
      <c r="B2434" t="s">
        <v>468</v>
      </c>
      <c r="C2434" s="27" t="s">
        <v>5035</v>
      </c>
      <c r="D2434" s="28" t="s">
        <v>4352</v>
      </c>
      <c r="E2434" s="27" t="s">
        <v>4353</v>
      </c>
      <c r="F2434" t="s">
        <v>4574</v>
      </c>
      <c r="G2434" s="27" t="s">
        <v>90</v>
      </c>
      <c r="H2434" t="s">
        <v>5037</v>
      </c>
      <c r="I2434" s="27" t="s">
        <v>121</v>
      </c>
      <c r="J2434" s="28">
        <v>21160</v>
      </c>
      <c r="K2434" s="27" t="s">
        <v>401</v>
      </c>
    </row>
    <row r="2435" spans="1:11">
      <c r="A2435">
        <v>2418</v>
      </c>
      <c r="B2435" t="s">
        <v>468</v>
      </c>
      <c r="C2435" s="27" t="s">
        <v>5036</v>
      </c>
      <c r="D2435" s="28" t="s">
        <v>4352</v>
      </c>
      <c r="E2435" s="27" t="s">
        <v>4353</v>
      </c>
      <c r="F2435" t="s">
        <v>4574</v>
      </c>
      <c r="G2435" s="27" t="s">
        <v>90</v>
      </c>
      <c r="H2435" t="s">
        <v>5038</v>
      </c>
      <c r="I2435" s="27" t="s">
        <v>121</v>
      </c>
      <c r="J2435" s="28">
        <v>21592</v>
      </c>
      <c r="K2435" s="27" t="s">
        <v>410</v>
      </c>
    </row>
    <row r="2436" spans="1:11">
      <c r="A2436">
        <v>2419</v>
      </c>
      <c r="B2436" t="s">
        <v>468</v>
      </c>
      <c r="C2436" s="27" t="s">
        <v>5035</v>
      </c>
      <c r="D2436" s="28" t="s">
        <v>4352</v>
      </c>
      <c r="E2436" s="27" t="s">
        <v>4353</v>
      </c>
      <c r="F2436" t="s">
        <v>4574</v>
      </c>
      <c r="G2436" s="27" t="s">
        <v>90</v>
      </c>
      <c r="H2436" t="s">
        <v>5022</v>
      </c>
      <c r="I2436" s="27" t="s">
        <v>94</v>
      </c>
      <c r="J2436" s="28">
        <v>21160</v>
      </c>
      <c r="K2436" s="27" t="s">
        <v>401</v>
      </c>
    </row>
    <row r="2437" spans="1:11">
      <c r="A2437">
        <v>2420</v>
      </c>
      <c r="D2437" s="28" t="s">
        <v>4352</v>
      </c>
      <c r="E2437" s="27" t="s">
        <v>4353</v>
      </c>
      <c r="G2437" s="27" t="s">
        <v>102</v>
      </c>
      <c r="I2437" s="27" t="s">
        <v>94</v>
      </c>
      <c r="J2437" s="28">
        <v>21746</v>
      </c>
      <c r="K2437" s="27" t="s">
        <v>410</v>
      </c>
    </row>
    <row r="2438" spans="1:11">
      <c r="A2438">
        <v>2421</v>
      </c>
      <c r="D2438" s="28" t="s">
        <v>4352</v>
      </c>
      <c r="E2438" s="27" t="s">
        <v>4353</v>
      </c>
      <c r="G2438" s="27" t="s">
        <v>102</v>
      </c>
      <c r="I2438" s="27" t="s">
        <v>226</v>
      </c>
      <c r="J2438" s="28">
        <v>21425</v>
      </c>
      <c r="K2438" s="27" t="s">
        <v>406</v>
      </c>
    </row>
    <row r="2439" spans="1:11">
      <c r="A2439">
        <v>2422</v>
      </c>
      <c r="D2439" s="28" t="s">
        <v>4352</v>
      </c>
      <c r="E2439" s="27" t="s">
        <v>4353</v>
      </c>
      <c r="G2439" s="27" t="s">
        <v>102</v>
      </c>
      <c r="I2439" s="27" t="s">
        <v>226</v>
      </c>
      <c r="J2439" s="28">
        <v>21516</v>
      </c>
      <c r="K2439" s="27" t="s">
        <v>410</v>
      </c>
    </row>
    <row r="2440" spans="1:11">
      <c r="A2440">
        <v>2423</v>
      </c>
      <c r="D2440" s="28" t="s">
        <v>858</v>
      </c>
      <c r="E2440" s="27" t="s">
        <v>859</v>
      </c>
      <c r="G2440" s="27" t="s">
        <v>102</v>
      </c>
      <c r="I2440" s="27" t="s">
        <v>121</v>
      </c>
      <c r="J2440" s="28">
        <v>21205</v>
      </c>
      <c r="K2440" s="27" t="s">
        <v>395</v>
      </c>
    </row>
    <row r="2441" spans="1:11">
      <c r="A2441">
        <v>2424</v>
      </c>
      <c r="D2441" s="28" t="s">
        <v>4354</v>
      </c>
      <c r="E2441" s="27" t="s">
        <v>84</v>
      </c>
      <c r="G2441" s="27" t="s">
        <v>102</v>
      </c>
      <c r="I2441" s="27" t="s">
        <v>121</v>
      </c>
      <c r="J2441" s="28">
        <v>29010</v>
      </c>
      <c r="K2441" s="27" t="s">
        <v>229</v>
      </c>
    </row>
    <row r="2442" spans="1:11">
      <c r="A2442">
        <v>2425</v>
      </c>
      <c r="D2442" s="28" t="s">
        <v>4355</v>
      </c>
      <c r="E2442" s="27" t="s">
        <v>1719</v>
      </c>
      <c r="G2442" s="27" t="s">
        <v>102</v>
      </c>
      <c r="I2442" s="27" t="s">
        <v>121</v>
      </c>
      <c r="J2442" s="28">
        <v>29010</v>
      </c>
      <c r="K2442" s="27" t="s">
        <v>229</v>
      </c>
    </row>
    <row r="2443" spans="1:11">
      <c r="A2443">
        <v>2426</v>
      </c>
      <c r="D2443" s="28" t="s">
        <v>1692</v>
      </c>
      <c r="E2443" s="27" t="s">
        <v>1693</v>
      </c>
      <c r="G2443" s="27" t="s">
        <v>102</v>
      </c>
      <c r="I2443" s="27" t="s">
        <v>121</v>
      </c>
      <c r="J2443" s="28">
        <v>29010</v>
      </c>
      <c r="K2443" s="27" t="s">
        <v>229</v>
      </c>
    </row>
    <row r="2444" spans="1:11">
      <c r="A2444">
        <v>2427</v>
      </c>
      <c r="D2444" s="28" t="s">
        <v>1692</v>
      </c>
      <c r="E2444" s="27" t="s">
        <v>1693</v>
      </c>
      <c r="G2444" s="27" t="s">
        <v>102</v>
      </c>
      <c r="I2444" s="27" t="s">
        <v>94</v>
      </c>
      <c r="J2444" s="28">
        <v>29268</v>
      </c>
      <c r="K2444" s="27" t="s">
        <v>229</v>
      </c>
    </row>
    <row r="2445" spans="1:11">
      <c r="A2445">
        <v>2428</v>
      </c>
      <c r="D2445" s="28" t="s">
        <v>1694</v>
      </c>
      <c r="E2445" s="27" t="s">
        <v>146</v>
      </c>
      <c r="G2445" s="27" t="s">
        <v>102</v>
      </c>
      <c r="I2445" s="27" t="s">
        <v>121</v>
      </c>
      <c r="J2445" s="28">
        <v>29010</v>
      </c>
      <c r="K2445" s="27" t="s">
        <v>229</v>
      </c>
    </row>
    <row r="2446" spans="1:11">
      <c r="A2446">
        <v>2429</v>
      </c>
      <c r="D2446" s="28" t="s">
        <v>1694</v>
      </c>
      <c r="E2446" s="27" t="s">
        <v>146</v>
      </c>
      <c r="G2446" s="27" t="s">
        <v>102</v>
      </c>
      <c r="I2446" s="27" t="s">
        <v>94</v>
      </c>
      <c r="J2446" s="28">
        <v>29268</v>
      </c>
      <c r="K2446" s="27" t="s">
        <v>229</v>
      </c>
    </row>
    <row r="2447" spans="1:11">
      <c r="A2447">
        <v>2430</v>
      </c>
      <c r="D2447" s="28" t="s">
        <v>4356</v>
      </c>
      <c r="E2447" s="27" t="s">
        <v>166</v>
      </c>
      <c r="G2447" s="27" t="s">
        <v>102</v>
      </c>
      <c r="I2447" s="27" t="s">
        <v>121</v>
      </c>
      <c r="J2447" s="28">
        <v>20895</v>
      </c>
      <c r="K2447" s="27" t="s">
        <v>1242</v>
      </c>
    </row>
    <row r="2448" spans="1:11">
      <c r="A2448">
        <v>2431</v>
      </c>
      <c r="D2448" s="28" t="s">
        <v>861</v>
      </c>
      <c r="E2448" s="27" t="s">
        <v>862</v>
      </c>
      <c r="G2448" s="27" t="s">
        <v>102</v>
      </c>
      <c r="I2448" s="27" t="s">
        <v>121</v>
      </c>
      <c r="J2448" s="28">
        <v>20895</v>
      </c>
      <c r="K2448" s="27" t="s">
        <v>1242</v>
      </c>
    </row>
    <row r="2449" spans="1:11">
      <c r="A2449">
        <v>2432</v>
      </c>
      <c r="D2449" s="28" t="s">
        <v>4357</v>
      </c>
      <c r="E2449" s="27" t="s">
        <v>1762</v>
      </c>
      <c r="G2449" s="27" t="s">
        <v>102</v>
      </c>
      <c r="I2449" s="27" t="s">
        <v>121</v>
      </c>
      <c r="J2449" s="28">
        <v>21160</v>
      </c>
      <c r="K2449" s="27" t="s">
        <v>401</v>
      </c>
    </row>
    <row r="2450" spans="1:11">
      <c r="A2450">
        <v>2433</v>
      </c>
      <c r="D2450" s="28" t="s">
        <v>4357</v>
      </c>
      <c r="E2450" s="27" t="s">
        <v>1762</v>
      </c>
      <c r="G2450" s="27" t="s">
        <v>102</v>
      </c>
      <c r="I2450" s="27" t="s">
        <v>94</v>
      </c>
      <c r="J2450" s="28">
        <v>21205</v>
      </c>
      <c r="K2450" s="27" t="s">
        <v>395</v>
      </c>
    </row>
    <row r="2451" spans="1:11">
      <c r="A2451">
        <v>2434</v>
      </c>
      <c r="D2451" s="28" t="s">
        <v>4357</v>
      </c>
      <c r="E2451" s="27" t="s">
        <v>1762</v>
      </c>
      <c r="G2451" s="27" t="s">
        <v>102</v>
      </c>
      <c r="I2451" s="27" t="s">
        <v>226</v>
      </c>
      <c r="J2451" s="28">
        <v>21557</v>
      </c>
      <c r="K2451" s="27" t="s">
        <v>396</v>
      </c>
    </row>
    <row r="2452" spans="1:11">
      <c r="A2452">
        <v>2435</v>
      </c>
      <c r="D2452" s="28" t="s">
        <v>4358</v>
      </c>
      <c r="E2452" s="27" t="s">
        <v>3387</v>
      </c>
      <c r="G2452" s="27" t="s">
        <v>102</v>
      </c>
      <c r="I2452" s="27" t="s">
        <v>121</v>
      </c>
      <c r="J2452" s="28">
        <v>29010</v>
      </c>
      <c r="K2452" s="27" t="s">
        <v>229</v>
      </c>
    </row>
    <row r="2453" spans="1:11">
      <c r="A2453">
        <v>2436</v>
      </c>
      <c r="D2453" s="28" t="s">
        <v>4358</v>
      </c>
      <c r="E2453" s="27" t="s">
        <v>3387</v>
      </c>
      <c r="G2453" s="27" t="s">
        <v>102</v>
      </c>
      <c r="I2453" s="27" t="s">
        <v>121</v>
      </c>
      <c r="J2453" s="28">
        <v>21105</v>
      </c>
      <c r="K2453" s="27" t="s">
        <v>4512</v>
      </c>
    </row>
    <row r="2454" spans="1:11">
      <c r="A2454">
        <v>2437</v>
      </c>
      <c r="D2454" s="28" t="s">
        <v>4358</v>
      </c>
      <c r="E2454" s="27" t="s">
        <v>3387</v>
      </c>
      <c r="G2454" s="27" t="s">
        <v>102</v>
      </c>
      <c r="I2454" s="27" t="s">
        <v>226</v>
      </c>
      <c r="J2454" s="28">
        <v>29164</v>
      </c>
      <c r="K2454" s="27" t="s">
        <v>229</v>
      </c>
    </row>
    <row r="2455" spans="1:11">
      <c r="A2455">
        <v>2438</v>
      </c>
      <c r="D2455" s="28" t="s">
        <v>4359</v>
      </c>
      <c r="E2455" s="27" t="s">
        <v>3389</v>
      </c>
      <c r="G2455" s="27" t="s">
        <v>102</v>
      </c>
      <c r="I2455" s="27" t="s">
        <v>121</v>
      </c>
      <c r="J2455" s="28">
        <v>29010</v>
      </c>
      <c r="K2455" s="27" t="s">
        <v>229</v>
      </c>
    </row>
    <row r="2456" spans="1:11">
      <c r="A2456">
        <v>2439</v>
      </c>
      <c r="D2456" s="28" t="s">
        <v>4359</v>
      </c>
      <c r="E2456" s="27" t="s">
        <v>3389</v>
      </c>
      <c r="G2456" s="27" t="s">
        <v>102</v>
      </c>
      <c r="I2456" s="27" t="s">
        <v>121</v>
      </c>
      <c r="J2456" s="28">
        <v>21105</v>
      </c>
      <c r="K2456" s="27" t="s">
        <v>4512</v>
      </c>
    </row>
    <row r="2457" spans="1:11">
      <c r="A2457">
        <v>2440</v>
      </c>
      <c r="D2457" s="28" t="s">
        <v>4359</v>
      </c>
      <c r="E2457" s="27" t="s">
        <v>3389</v>
      </c>
      <c r="G2457" s="27" t="s">
        <v>102</v>
      </c>
      <c r="I2457" s="27" t="s">
        <v>226</v>
      </c>
      <c r="J2457" s="28">
        <v>29164</v>
      </c>
      <c r="K2457" s="27" t="s">
        <v>229</v>
      </c>
    </row>
    <row r="2458" spans="1:11">
      <c r="A2458">
        <v>2441</v>
      </c>
      <c r="D2458" s="28" t="s">
        <v>4360</v>
      </c>
      <c r="E2458" s="27" t="s">
        <v>4361</v>
      </c>
      <c r="G2458" s="27" t="s">
        <v>102</v>
      </c>
      <c r="I2458" s="27" t="s">
        <v>121</v>
      </c>
      <c r="J2458" s="28">
        <v>21758</v>
      </c>
      <c r="K2458" s="27" t="s">
        <v>398</v>
      </c>
    </row>
    <row r="2459" spans="1:11">
      <c r="A2459">
        <v>2442</v>
      </c>
      <c r="D2459" s="28" t="s">
        <v>4360</v>
      </c>
      <c r="E2459" s="27" t="s">
        <v>4361</v>
      </c>
      <c r="G2459" s="27" t="s">
        <v>102</v>
      </c>
      <c r="I2459" s="27" t="s">
        <v>226</v>
      </c>
      <c r="J2459" s="28">
        <v>21085</v>
      </c>
      <c r="K2459" s="27" t="s">
        <v>399</v>
      </c>
    </row>
    <row r="2460" spans="1:11">
      <c r="A2460">
        <v>2443</v>
      </c>
      <c r="D2460" s="28" t="s">
        <v>4362</v>
      </c>
      <c r="E2460" s="27" t="s">
        <v>4363</v>
      </c>
      <c r="G2460" s="27" t="s">
        <v>102</v>
      </c>
      <c r="I2460" s="27" t="s">
        <v>121</v>
      </c>
      <c r="J2460" s="28">
        <v>21743</v>
      </c>
      <c r="K2460" s="27" t="s">
        <v>4503</v>
      </c>
    </row>
    <row r="2461" spans="1:11">
      <c r="A2461">
        <v>2444</v>
      </c>
      <c r="D2461" s="28" t="s">
        <v>4362</v>
      </c>
      <c r="E2461" s="27" t="s">
        <v>4363</v>
      </c>
      <c r="G2461" s="27" t="s">
        <v>108</v>
      </c>
      <c r="I2461" s="27" t="s">
        <v>121</v>
      </c>
      <c r="J2461" s="28">
        <v>21781</v>
      </c>
      <c r="K2461" s="27" t="s">
        <v>4505</v>
      </c>
    </row>
    <row r="2462" spans="1:11">
      <c r="A2462">
        <v>2445</v>
      </c>
      <c r="D2462" s="28" t="s">
        <v>4362</v>
      </c>
      <c r="E2462" s="27" t="s">
        <v>4363</v>
      </c>
      <c r="G2462" s="27" t="s">
        <v>108</v>
      </c>
      <c r="I2462" s="27" t="s">
        <v>226</v>
      </c>
      <c r="J2462" s="28">
        <v>21355</v>
      </c>
      <c r="K2462" s="27" t="s">
        <v>4504</v>
      </c>
    </row>
    <row r="2463" spans="1:11">
      <c r="A2463">
        <v>2446</v>
      </c>
      <c r="D2463" s="28" t="s">
        <v>4362</v>
      </c>
      <c r="E2463" s="27" t="s">
        <v>4363</v>
      </c>
      <c r="G2463" s="27" t="s">
        <v>108</v>
      </c>
      <c r="I2463" s="27" t="s">
        <v>226</v>
      </c>
      <c r="J2463" s="28">
        <v>21781</v>
      </c>
      <c r="K2463" s="27" t="s">
        <v>4505</v>
      </c>
    </row>
    <row r="2464" spans="1:11">
      <c r="A2464">
        <v>2447</v>
      </c>
      <c r="D2464" s="28" t="s">
        <v>4364</v>
      </c>
      <c r="E2464" s="27" t="s">
        <v>4342</v>
      </c>
      <c r="G2464" s="27" t="s">
        <v>108</v>
      </c>
      <c r="I2464" s="27" t="s">
        <v>121</v>
      </c>
      <c r="J2464" s="28">
        <v>21819</v>
      </c>
      <c r="K2464" s="27" t="s">
        <v>408</v>
      </c>
    </row>
    <row r="2465" spans="1:11">
      <c r="A2465">
        <v>2448</v>
      </c>
      <c r="D2465" s="28" t="s">
        <v>4364</v>
      </c>
      <c r="E2465" s="27" t="s">
        <v>4342</v>
      </c>
      <c r="G2465" s="27" t="s">
        <v>108</v>
      </c>
      <c r="I2465" s="27" t="s">
        <v>94</v>
      </c>
      <c r="J2465" s="28">
        <v>29148</v>
      </c>
      <c r="K2465" s="27" t="s">
        <v>4510</v>
      </c>
    </row>
    <row r="2466" spans="1:11">
      <c r="A2466">
        <v>2449</v>
      </c>
      <c r="D2466" s="28" t="s">
        <v>4365</v>
      </c>
      <c r="E2466" s="27" t="s">
        <v>4344</v>
      </c>
      <c r="G2466" s="27" t="s">
        <v>108</v>
      </c>
      <c r="I2466" s="27" t="s">
        <v>121</v>
      </c>
      <c r="J2466" s="28">
        <v>21819</v>
      </c>
      <c r="K2466" s="27" t="s">
        <v>408</v>
      </c>
    </row>
    <row r="2467" spans="1:11">
      <c r="A2467">
        <v>2450</v>
      </c>
      <c r="D2467" s="28" t="s">
        <v>4365</v>
      </c>
      <c r="E2467" s="27" t="s">
        <v>4344</v>
      </c>
      <c r="G2467" s="27" t="s">
        <v>108</v>
      </c>
      <c r="I2467" s="27" t="s">
        <v>94</v>
      </c>
      <c r="J2467" s="28">
        <v>29148</v>
      </c>
      <c r="K2467" s="27" t="s">
        <v>4510</v>
      </c>
    </row>
    <row r="2468" spans="1:11">
      <c r="A2468">
        <v>2451</v>
      </c>
      <c r="D2468" s="28" t="s">
        <v>4366</v>
      </c>
      <c r="E2468" s="27" t="s">
        <v>3911</v>
      </c>
      <c r="G2468" s="27" t="s">
        <v>108</v>
      </c>
      <c r="I2468" s="27" t="s">
        <v>121</v>
      </c>
      <c r="J2468" s="28">
        <v>21592</v>
      </c>
      <c r="K2468" s="27" t="s">
        <v>410</v>
      </c>
    </row>
    <row r="2469" spans="1:11">
      <c r="A2469">
        <v>2452</v>
      </c>
      <c r="D2469" s="28" t="s">
        <v>4366</v>
      </c>
      <c r="E2469" s="27" t="s">
        <v>3911</v>
      </c>
      <c r="G2469" s="27" t="s">
        <v>108</v>
      </c>
      <c r="I2469" s="27" t="s">
        <v>94</v>
      </c>
      <c r="J2469" s="28">
        <v>21746</v>
      </c>
      <c r="K2469" s="27" t="s">
        <v>410</v>
      </c>
    </row>
    <row r="2470" spans="1:11">
      <c r="A2470">
        <v>2453</v>
      </c>
      <c r="D2470" s="28" t="s">
        <v>4366</v>
      </c>
      <c r="E2470" s="27" t="s">
        <v>3911</v>
      </c>
      <c r="G2470" s="27" t="s">
        <v>108</v>
      </c>
      <c r="I2470" s="27" t="s">
        <v>226</v>
      </c>
      <c r="J2470" s="28">
        <v>21516</v>
      </c>
      <c r="K2470" s="27" t="s">
        <v>410</v>
      </c>
    </row>
    <row r="2471" spans="1:11">
      <c r="A2471">
        <v>2454</v>
      </c>
      <c r="D2471" s="28" t="s">
        <v>4367</v>
      </c>
      <c r="E2471" s="27" t="s">
        <v>4368</v>
      </c>
      <c r="G2471" s="27" t="s">
        <v>108</v>
      </c>
      <c r="I2471" s="27" t="s">
        <v>121</v>
      </c>
      <c r="J2471" s="28">
        <v>20900</v>
      </c>
      <c r="K2471" s="27" t="s">
        <v>1246</v>
      </c>
    </row>
    <row r="2472" spans="1:11">
      <c r="A2472">
        <v>2455</v>
      </c>
      <c r="D2472" s="28" t="s">
        <v>4367</v>
      </c>
      <c r="E2472" s="27" t="s">
        <v>4368</v>
      </c>
      <c r="G2472" s="27" t="s">
        <v>108</v>
      </c>
      <c r="I2472" s="27" t="s">
        <v>94</v>
      </c>
      <c r="J2472" s="28">
        <v>20900</v>
      </c>
      <c r="K2472" s="27" t="s">
        <v>1246</v>
      </c>
    </row>
    <row r="2473" spans="1:11">
      <c r="A2473">
        <v>2456</v>
      </c>
      <c r="D2473" s="28" t="s">
        <v>4367</v>
      </c>
      <c r="E2473" s="27" t="s">
        <v>4368</v>
      </c>
      <c r="G2473" s="27" t="s">
        <v>108</v>
      </c>
      <c r="I2473" s="27" t="s">
        <v>226</v>
      </c>
      <c r="J2473" s="28">
        <v>21556</v>
      </c>
      <c r="K2473" s="27" t="s">
        <v>4508</v>
      </c>
    </row>
    <row r="2474" spans="1:11">
      <c r="A2474">
        <v>2457</v>
      </c>
      <c r="D2474" s="28" t="s">
        <v>4369</v>
      </c>
      <c r="E2474" s="27" t="s">
        <v>4370</v>
      </c>
      <c r="G2474" s="27" t="s">
        <v>108</v>
      </c>
      <c r="I2474" s="27" t="s">
        <v>121</v>
      </c>
      <c r="J2474" s="28">
        <v>21592</v>
      </c>
      <c r="K2474" s="27" t="s">
        <v>410</v>
      </c>
    </row>
    <row r="2475" spans="1:11">
      <c r="A2475">
        <v>2458</v>
      </c>
      <c r="D2475" s="28" t="s">
        <v>4369</v>
      </c>
      <c r="E2475" s="27" t="s">
        <v>4370</v>
      </c>
      <c r="G2475" s="27" t="s">
        <v>108</v>
      </c>
      <c r="I2475" s="27" t="s">
        <v>94</v>
      </c>
      <c r="J2475" s="28">
        <v>21746</v>
      </c>
      <c r="K2475" s="27" t="s">
        <v>410</v>
      </c>
    </row>
    <row r="2476" spans="1:11">
      <c r="A2476">
        <v>2459</v>
      </c>
      <c r="D2476" s="28" t="s">
        <v>4369</v>
      </c>
      <c r="E2476" s="27" t="s">
        <v>4370</v>
      </c>
      <c r="G2476" s="27" t="s">
        <v>108</v>
      </c>
      <c r="I2476" s="27" t="s">
        <v>226</v>
      </c>
      <c r="J2476" s="28">
        <v>21516</v>
      </c>
      <c r="K2476" s="27" t="s">
        <v>410</v>
      </c>
    </row>
    <row r="2477" spans="1:11">
      <c r="A2477">
        <v>2460</v>
      </c>
      <c r="D2477" s="28" t="s">
        <v>4371</v>
      </c>
      <c r="E2477" s="27" t="s">
        <v>4282</v>
      </c>
      <c r="G2477" s="27" t="s">
        <v>108</v>
      </c>
      <c r="I2477" s="27" t="s">
        <v>4501</v>
      </c>
      <c r="J2477" s="28">
        <v>21545</v>
      </c>
      <c r="K2477" s="27" t="s">
        <v>4507</v>
      </c>
    </row>
    <row r="2478" spans="1:11">
      <c r="A2478">
        <v>2461</v>
      </c>
      <c r="D2478" s="28" t="s">
        <v>4371</v>
      </c>
      <c r="E2478" s="27" t="s">
        <v>4282</v>
      </c>
      <c r="G2478" s="27" t="s">
        <v>108</v>
      </c>
      <c r="I2478" s="27" t="s">
        <v>121</v>
      </c>
      <c r="J2478" s="28">
        <v>21545</v>
      </c>
      <c r="K2478" s="27" t="s">
        <v>4507</v>
      </c>
    </row>
    <row r="2479" spans="1:11">
      <c r="A2479">
        <v>2462</v>
      </c>
      <c r="D2479" s="28" t="s">
        <v>4371</v>
      </c>
      <c r="E2479" s="27" t="s">
        <v>4282</v>
      </c>
      <c r="G2479" s="27" t="s">
        <v>108</v>
      </c>
      <c r="I2479" s="27" t="s">
        <v>94</v>
      </c>
      <c r="J2479" s="28">
        <v>21190</v>
      </c>
      <c r="K2479" s="27" t="s">
        <v>4506</v>
      </c>
    </row>
    <row r="2480" spans="1:11">
      <c r="A2480">
        <v>2463</v>
      </c>
      <c r="D2480" s="28" t="s">
        <v>4371</v>
      </c>
      <c r="E2480" s="27" t="s">
        <v>4282</v>
      </c>
      <c r="G2480" s="27" t="s">
        <v>108</v>
      </c>
      <c r="I2480" s="27" t="s">
        <v>226</v>
      </c>
      <c r="J2480" s="28">
        <v>21545</v>
      </c>
      <c r="K2480" s="27" t="s">
        <v>4507</v>
      </c>
    </row>
    <row r="2481" spans="1:11">
      <c r="A2481">
        <v>2464</v>
      </c>
      <c r="D2481" s="28" t="s">
        <v>4372</v>
      </c>
      <c r="E2481" s="27" t="s">
        <v>3034</v>
      </c>
      <c r="G2481" s="27" t="s">
        <v>108</v>
      </c>
      <c r="I2481" s="27" t="s">
        <v>121</v>
      </c>
      <c r="J2481" s="28">
        <v>21545</v>
      </c>
      <c r="K2481" s="27" t="s">
        <v>4507</v>
      </c>
    </row>
    <row r="2482" spans="1:11">
      <c r="A2482">
        <v>2465</v>
      </c>
      <c r="D2482" s="28" t="s">
        <v>4372</v>
      </c>
      <c r="E2482" s="27" t="s">
        <v>3034</v>
      </c>
      <c r="G2482" s="27" t="s">
        <v>108</v>
      </c>
      <c r="I2482" s="27" t="s">
        <v>94</v>
      </c>
      <c r="J2482" s="28">
        <v>21190</v>
      </c>
      <c r="K2482" s="27" t="s">
        <v>4506</v>
      </c>
    </row>
    <row r="2483" spans="1:11">
      <c r="A2483">
        <v>2466</v>
      </c>
      <c r="D2483" s="28" t="s">
        <v>4372</v>
      </c>
      <c r="E2483" s="27" t="s">
        <v>3034</v>
      </c>
      <c r="G2483" s="27" t="s">
        <v>108</v>
      </c>
      <c r="I2483" s="27" t="s">
        <v>226</v>
      </c>
      <c r="J2483" s="28">
        <v>21545</v>
      </c>
      <c r="K2483" s="27" t="s">
        <v>4507</v>
      </c>
    </row>
    <row r="2484" spans="1:11">
      <c r="A2484">
        <v>2467</v>
      </c>
      <c r="D2484" s="28" t="s">
        <v>4373</v>
      </c>
      <c r="E2484" s="27" t="s">
        <v>4374</v>
      </c>
      <c r="G2484" s="27" t="s">
        <v>108</v>
      </c>
      <c r="I2484" s="27" t="s">
        <v>121</v>
      </c>
      <c r="J2484" s="28">
        <v>21545</v>
      </c>
      <c r="K2484" s="27" t="s">
        <v>4507</v>
      </c>
    </row>
    <row r="2485" spans="1:11">
      <c r="A2485">
        <v>2468</v>
      </c>
      <c r="D2485" s="28" t="s">
        <v>4373</v>
      </c>
      <c r="E2485" s="27" t="s">
        <v>4374</v>
      </c>
      <c r="G2485" s="27" t="s">
        <v>108</v>
      </c>
      <c r="I2485" s="27" t="s">
        <v>94</v>
      </c>
      <c r="J2485" s="28">
        <v>21190</v>
      </c>
      <c r="K2485" s="27" t="s">
        <v>4506</v>
      </c>
    </row>
    <row r="2486" spans="1:11">
      <c r="A2486">
        <v>2469</v>
      </c>
      <c r="D2486" s="28" t="s">
        <v>4373</v>
      </c>
      <c r="E2486" s="27" t="s">
        <v>4374</v>
      </c>
      <c r="G2486" s="27" t="s">
        <v>108</v>
      </c>
      <c r="I2486" s="27" t="s">
        <v>226</v>
      </c>
      <c r="J2486" s="28">
        <v>21545</v>
      </c>
      <c r="K2486" s="27" t="s">
        <v>4507</v>
      </c>
    </row>
    <row r="2487" spans="1:11">
      <c r="A2487">
        <v>2470</v>
      </c>
      <c r="D2487" s="28" t="s">
        <v>1718</v>
      </c>
      <c r="E2487" s="27" t="s">
        <v>1719</v>
      </c>
      <c r="G2487" s="27" t="s">
        <v>108</v>
      </c>
      <c r="I2487" s="27" t="s">
        <v>121</v>
      </c>
      <c r="J2487" s="28">
        <v>29010</v>
      </c>
      <c r="K2487" s="27" t="s">
        <v>229</v>
      </c>
    </row>
    <row r="2488" spans="1:11">
      <c r="A2488">
        <v>2471</v>
      </c>
      <c r="D2488" s="28" t="s">
        <v>1718</v>
      </c>
      <c r="E2488" s="27" t="s">
        <v>1719</v>
      </c>
      <c r="G2488" s="27" t="s">
        <v>108</v>
      </c>
      <c r="I2488" s="27" t="s">
        <v>94</v>
      </c>
      <c r="J2488" s="28">
        <v>29268</v>
      </c>
      <c r="K2488" s="27" t="s">
        <v>229</v>
      </c>
    </row>
    <row r="2489" spans="1:11">
      <c r="A2489">
        <v>2472</v>
      </c>
      <c r="D2489" s="28" t="s">
        <v>4375</v>
      </c>
      <c r="E2489" s="27" t="s">
        <v>4376</v>
      </c>
      <c r="G2489" s="27" t="s">
        <v>108</v>
      </c>
      <c r="I2489" s="27" t="s">
        <v>121</v>
      </c>
      <c r="J2489" s="28">
        <v>21160</v>
      </c>
      <c r="K2489" s="27" t="s">
        <v>401</v>
      </c>
    </row>
    <row r="2490" spans="1:11">
      <c r="A2490">
        <v>2473</v>
      </c>
      <c r="D2490" s="28" t="s">
        <v>4375</v>
      </c>
      <c r="E2490" s="27" t="s">
        <v>4376</v>
      </c>
      <c r="G2490" s="27" t="s">
        <v>108</v>
      </c>
      <c r="I2490" s="27" t="s">
        <v>121</v>
      </c>
      <c r="J2490" s="28">
        <v>21205</v>
      </c>
      <c r="K2490" s="27" t="s">
        <v>395</v>
      </c>
    </row>
    <row r="2491" spans="1:11">
      <c r="A2491">
        <v>2474</v>
      </c>
      <c r="D2491" s="28" t="s">
        <v>4375</v>
      </c>
      <c r="E2491" s="27" t="s">
        <v>4376</v>
      </c>
      <c r="G2491" s="27" t="s">
        <v>108</v>
      </c>
      <c r="I2491" s="27" t="s">
        <v>94</v>
      </c>
      <c r="J2491" s="28">
        <v>21160</v>
      </c>
      <c r="K2491" s="27" t="s">
        <v>401</v>
      </c>
    </row>
    <row r="2492" spans="1:11">
      <c r="A2492">
        <v>2475</v>
      </c>
      <c r="D2492" s="28" t="s">
        <v>4375</v>
      </c>
      <c r="E2492" s="27" t="s">
        <v>4376</v>
      </c>
      <c r="G2492" s="27" t="s">
        <v>108</v>
      </c>
      <c r="I2492" s="27" t="s">
        <v>226</v>
      </c>
      <c r="J2492" s="28">
        <v>21425</v>
      </c>
      <c r="K2492" s="27" t="s">
        <v>406</v>
      </c>
    </row>
    <row r="2493" spans="1:11">
      <c r="A2493">
        <v>2476</v>
      </c>
      <c r="D2493" s="28" t="s">
        <v>4377</v>
      </c>
      <c r="E2493" s="27" t="s">
        <v>150</v>
      </c>
      <c r="G2493" s="27" t="s">
        <v>108</v>
      </c>
      <c r="I2493" s="27" t="s">
        <v>121</v>
      </c>
      <c r="J2493" s="28">
        <v>29010</v>
      </c>
      <c r="K2493" s="27" t="s">
        <v>229</v>
      </c>
    </row>
    <row r="2494" spans="1:11">
      <c r="A2494">
        <v>2477</v>
      </c>
      <c r="D2494" s="28" t="s">
        <v>4378</v>
      </c>
      <c r="E2494" s="27" t="s">
        <v>4379</v>
      </c>
      <c r="G2494" s="27" t="s">
        <v>108</v>
      </c>
      <c r="I2494" s="27" t="s">
        <v>121</v>
      </c>
      <c r="J2494" s="28">
        <v>29010</v>
      </c>
      <c r="K2494" s="27" t="s">
        <v>229</v>
      </c>
    </row>
    <row r="2495" spans="1:11">
      <c r="A2495">
        <v>2478</v>
      </c>
      <c r="D2495" s="28" t="s">
        <v>4380</v>
      </c>
      <c r="E2495" s="27" t="s">
        <v>152</v>
      </c>
      <c r="G2495" s="27" t="s">
        <v>108</v>
      </c>
      <c r="I2495" s="27" t="s">
        <v>121</v>
      </c>
      <c r="J2495" s="28">
        <v>29010</v>
      </c>
      <c r="K2495" s="27" t="s">
        <v>229</v>
      </c>
    </row>
    <row r="2496" spans="1:11">
      <c r="A2496">
        <v>2479</v>
      </c>
      <c r="D2496" s="28" t="s">
        <v>4381</v>
      </c>
      <c r="E2496" s="27" t="s">
        <v>152</v>
      </c>
      <c r="G2496" s="27" t="s">
        <v>108</v>
      </c>
      <c r="I2496" s="27" t="s">
        <v>121</v>
      </c>
      <c r="J2496" s="28">
        <v>29010</v>
      </c>
      <c r="K2496" s="27" t="s">
        <v>229</v>
      </c>
    </row>
    <row r="2497" spans="1:11">
      <c r="A2497">
        <v>2480</v>
      </c>
      <c r="D2497" s="28" t="s">
        <v>4382</v>
      </c>
      <c r="E2497" s="27" t="s">
        <v>4383</v>
      </c>
      <c r="G2497" s="27" t="s">
        <v>108</v>
      </c>
      <c r="I2497" s="27" t="s">
        <v>121</v>
      </c>
      <c r="J2497" s="28">
        <v>21160</v>
      </c>
      <c r="K2497" s="27" t="s">
        <v>401</v>
      </c>
    </row>
    <row r="2498" spans="1:11">
      <c r="A2498">
        <v>2481</v>
      </c>
      <c r="D2498" s="28" t="s">
        <v>4384</v>
      </c>
      <c r="E2498" s="27" t="s">
        <v>3615</v>
      </c>
      <c r="G2498" s="27" t="s">
        <v>108</v>
      </c>
      <c r="I2498" s="27" t="s">
        <v>121</v>
      </c>
      <c r="J2498" s="28">
        <v>21592</v>
      </c>
      <c r="K2498" s="27" t="s">
        <v>410</v>
      </c>
    </row>
    <row r="2499" spans="1:11">
      <c r="A2499">
        <v>2482</v>
      </c>
      <c r="D2499" s="28" t="s">
        <v>4385</v>
      </c>
      <c r="E2499" s="27" t="s">
        <v>4386</v>
      </c>
      <c r="G2499" s="27" t="s">
        <v>108</v>
      </c>
      <c r="I2499" s="27" t="s">
        <v>121</v>
      </c>
      <c r="J2499" s="28">
        <v>21758</v>
      </c>
      <c r="K2499" s="27" t="s">
        <v>398</v>
      </c>
    </row>
    <row r="2500" spans="1:11">
      <c r="A2500">
        <v>2483</v>
      </c>
      <c r="D2500" s="28" t="s">
        <v>4387</v>
      </c>
      <c r="E2500" s="27" t="s">
        <v>4388</v>
      </c>
      <c r="G2500" s="27" t="s">
        <v>108</v>
      </c>
      <c r="I2500" s="27" t="s">
        <v>121</v>
      </c>
      <c r="J2500" s="28">
        <v>21205</v>
      </c>
      <c r="K2500" s="27" t="s">
        <v>395</v>
      </c>
    </row>
    <row r="2501" spans="1:11">
      <c r="A2501">
        <v>2484</v>
      </c>
      <c r="D2501" s="28" t="s">
        <v>4389</v>
      </c>
      <c r="E2501" s="27" t="s">
        <v>4275</v>
      </c>
      <c r="G2501" s="27" t="s">
        <v>108</v>
      </c>
      <c r="I2501" s="27" t="s">
        <v>121</v>
      </c>
      <c r="J2501" s="28">
        <v>20945</v>
      </c>
      <c r="K2501" s="27" t="s">
        <v>402</v>
      </c>
    </row>
    <row r="2502" spans="1:11">
      <c r="A2502">
        <v>2485</v>
      </c>
      <c r="D2502" s="28" t="s">
        <v>4390</v>
      </c>
      <c r="E2502" s="27" t="s">
        <v>4391</v>
      </c>
      <c r="G2502" s="27" t="s">
        <v>108</v>
      </c>
      <c r="I2502" s="27" t="s">
        <v>121</v>
      </c>
      <c r="J2502" s="28">
        <v>29010</v>
      </c>
      <c r="K2502" s="27" t="s">
        <v>229</v>
      </c>
    </row>
    <row r="2503" spans="1:11">
      <c r="A2503">
        <v>2486</v>
      </c>
      <c r="D2503" s="28" t="s">
        <v>4392</v>
      </c>
      <c r="E2503" s="27" t="s">
        <v>4393</v>
      </c>
      <c r="G2503" s="27" t="s">
        <v>108</v>
      </c>
      <c r="I2503" s="27" t="s">
        <v>121</v>
      </c>
      <c r="J2503" s="28">
        <v>29010</v>
      </c>
      <c r="K2503" s="27" t="s">
        <v>229</v>
      </c>
    </row>
    <row r="2504" spans="1:11">
      <c r="A2504">
        <v>2487</v>
      </c>
      <c r="D2504" s="28" t="s">
        <v>4394</v>
      </c>
      <c r="E2504" s="27" t="s">
        <v>4395</v>
      </c>
      <c r="G2504" s="27" t="s">
        <v>108</v>
      </c>
      <c r="I2504" s="27" t="s">
        <v>121</v>
      </c>
      <c r="J2504" s="28">
        <v>21205</v>
      </c>
      <c r="K2504" s="27" t="s">
        <v>395</v>
      </c>
    </row>
    <row r="2505" spans="1:11">
      <c r="A2505">
        <v>2488</v>
      </c>
      <c r="D2505" s="28" t="s">
        <v>4396</v>
      </c>
      <c r="E2505" s="27" t="s">
        <v>4395</v>
      </c>
      <c r="G2505" s="27" t="s">
        <v>108</v>
      </c>
      <c r="I2505" s="27" t="s">
        <v>121</v>
      </c>
      <c r="J2505" s="28">
        <v>21758</v>
      </c>
      <c r="K2505" s="27" t="s">
        <v>398</v>
      </c>
    </row>
    <row r="2506" spans="1:11">
      <c r="A2506">
        <v>2489</v>
      </c>
      <c r="D2506" s="28" t="s">
        <v>4397</v>
      </c>
      <c r="E2506" s="27" t="s">
        <v>4398</v>
      </c>
      <c r="G2506" s="27" t="s">
        <v>108</v>
      </c>
      <c r="I2506" s="27" t="s">
        <v>121</v>
      </c>
      <c r="J2506" s="28">
        <v>21205</v>
      </c>
      <c r="K2506" s="27" t="s">
        <v>395</v>
      </c>
    </row>
    <row r="2507" spans="1:11">
      <c r="A2507">
        <v>2490</v>
      </c>
      <c r="D2507" s="28" t="s">
        <v>4399</v>
      </c>
      <c r="E2507" s="27" t="s">
        <v>4400</v>
      </c>
      <c r="G2507" s="27" t="s">
        <v>108</v>
      </c>
      <c r="I2507" s="27" t="s">
        <v>121</v>
      </c>
      <c r="J2507" s="28">
        <v>21743</v>
      </c>
      <c r="K2507" s="27" t="s">
        <v>4503</v>
      </c>
    </row>
    <row r="2508" spans="1:11">
      <c r="A2508">
        <v>2491</v>
      </c>
      <c r="D2508" s="28" t="s">
        <v>4401</v>
      </c>
      <c r="E2508" s="27" t="s">
        <v>3454</v>
      </c>
      <c r="G2508" s="27" t="s">
        <v>108</v>
      </c>
      <c r="I2508" s="27" t="s">
        <v>121</v>
      </c>
      <c r="J2508" s="28">
        <v>21020</v>
      </c>
      <c r="K2508" s="27" t="s">
        <v>403</v>
      </c>
    </row>
    <row r="2509" spans="1:11">
      <c r="A2509">
        <v>2492</v>
      </c>
      <c r="D2509" s="28" t="s">
        <v>4402</v>
      </c>
      <c r="E2509" s="27" t="s">
        <v>4403</v>
      </c>
      <c r="G2509" s="27" t="s">
        <v>108</v>
      </c>
      <c r="I2509" s="27" t="s">
        <v>121</v>
      </c>
      <c r="J2509" s="28">
        <v>21205</v>
      </c>
      <c r="K2509" s="27" t="s">
        <v>395</v>
      </c>
    </row>
    <row r="2510" spans="1:11">
      <c r="A2510">
        <v>2493</v>
      </c>
      <c r="D2510" s="28" t="s">
        <v>4404</v>
      </c>
      <c r="E2510" s="27" t="s">
        <v>4405</v>
      </c>
      <c r="G2510" s="27" t="s">
        <v>108</v>
      </c>
      <c r="I2510" s="27" t="s">
        <v>121</v>
      </c>
      <c r="J2510" s="28">
        <v>21205</v>
      </c>
      <c r="K2510" s="27" t="s">
        <v>395</v>
      </c>
    </row>
    <row r="2511" spans="1:11">
      <c r="A2511">
        <v>2494</v>
      </c>
      <c r="D2511" s="28" t="s">
        <v>387</v>
      </c>
      <c r="E2511" s="27" t="s">
        <v>388</v>
      </c>
      <c r="G2511" s="27" t="s">
        <v>108</v>
      </c>
      <c r="I2511" s="27" t="s">
        <v>121</v>
      </c>
      <c r="J2511" s="28">
        <v>21205</v>
      </c>
      <c r="K2511" s="27" t="s">
        <v>395</v>
      </c>
    </row>
    <row r="2512" spans="1:11">
      <c r="A2512">
        <v>2495</v>
      </c>
      <c r="D2512" s="28" t="s">
        <v>387</v>
      </c>
      <c r="E2512" s="27" t="s">
        <v>388</v>
      </c>
      <c r="G2512" s="27" t="s">
        <v>108</v>
      </c>
      <c r="I2512" s="27" t="s">
        <v>121</v>
      </c>
      <c r="J2512" s="28">
        <v>21589</v>
      </c>
      <c r="K2512" s="27" t="s">
        <v>405</v>
      </c>
    </row>
    <row r="2513" spans="1:11">
      <c r="A2513">
        <v>2496</v>
      </c>
      <c r="D2513" s="28" t="s">
        <v>387</v>
      </c>
      <c r="E2513" s="27" t="s">
        <v>388</v>
      </c>
      <c r="G2513" s="27" t="s">
        <v>108</v>
      </c>
      <c r="I2513" s="27" t="s">
        <v>94</v>
      </c>
      <c r="J2513" s="28">
        <v>21205</v>
      </c>
      <c r="K2513" s="27" t="s">
        <v>395</v>
      </c>
    </row>
    <row r="2514" spans="1:11">
      <c r="A2514">
        <v>2497</v>
      </c>
      <c r="D2514" s="28" t="s">
        <v>387</v>
      </c>
      <c r="E2514" s="27" t="s">
        <v>388</v>
      </c>
      <c r="G2514" s="27" t="s">
        <v>108</v>
      </c>
      <c r="I2514" s="27" t="s">
        <v>94</v>
      </c>
      <c r="J2514" s="28">
        <v>21589</v>
      </c>
      <c r="K2514" s="27" t="s">
        <v>405</v>
      </c>
    </row>
    <row r="2515" spans="1:11">
      <c r="A2515">
        <v>2498</v>
      </c>
      <c r="D2515" s="28" t="s">
        <v>387</v>
      </c>
      <c r="E2515" s="27" t="s">
        <v>388</v>
      </c>
      <c r="G2515" s="27" t="s">
        <v>108</v>
      </c>
      <c r="I2515" s="27" t="s">
        <v>226</v>
      </c>
      <c r="J2515" s="28">
        <v>21557</v>
      </c>
      <c r="K2515" s="27" t="s">
        <v>396</v>
      </c>
    </row>
    <row r="2516" spans="1:11">
      <c r="A2516">
        <v>2499</v>
      </c>
      <c r="D2516" s="28" t="s">
        <v>4406</v>
      </c>
      <c r="E2516" s="27" t="s">
        <v>4407</v>
      </c>
      <c r="G2516" s="27" t="s">
        <v>108</v>
      </c>
      <c r="I2516" s="27" t="s">
        <v>121</v>
      </c>
      <c r="J2516" s="28">
        <v>21205</v>
      </c>
      <c r="K2516" s="27" t="s">
        <v>395</v>
      </c>
    </row>
    <row r="2517" spans="1:11">
      <c r="A2517">
        <v>2500</v>
      </c>
      <c r="D2517" s="28" t="s">
        <v>4408</v>
      </c>
      <c r="E2517" s="27" t="s">
        <v>4409</v>
      </c>
      <c r="G2517" s="27" t="s">
        <v>108</v>
      </c>
      <c r="I2517" s="27" t="s">
        <v>121</v>
      </c>
      <c r="J2517" s="28">
        <v>21592</v>
      </c>
      <c r="K2517" s="27" t="s">
        <v>410</v>
      </c>
    </row>
    <row r="2518" spans="1:11">
      <c r="A2518">
        <v>2501</v>
      </c>
      <c r="D2518" s="28" t="s">
        <v>4410</v>
      </c>
      <c r="E2518" s="27" t="s">
        <v>3673</v>
      </c>
      <c r="G2518" s="27" t="s">
        <v>108</v>
      </c>
      <c r="I2518" s="27" t="s">
        <v>121</v>
      </c>
      <c r="J2518" s="28">
        <v>21592</v>
      </c>
      <c r="K2518" s="27" t="s">
        <v>410</v>
      </c>
    </row>
    <row r="2519" spans="1:11">
      <c r="A2519">
        <v>2502</v>
      </c>
      <c r="D2519" s="28" t="s">
        <v>4411</v>
      </c>
      <c r="E2519" s="27" t="s">
        <v>4412</v>
      </c>
      <c r="G2519" s="27" t="s">
        <v>108</v>
      </c>
      <c r="I2519" s="27" t="s">
        <v>121</v>
      </c>
      <c r="J2519" s="28">
        <v>21592</v>
      </c>
      <c r="K2519" s="27" t="s">
        <v>410</v>
      </c>
    </row>
    <row r="2520" spans="1:11">
      <c r="A2520">
        <v>2503</v>
      </c>
      <c r="D2520" s="28" t="s">
        <v>4413</v>
      </c>
      <c r="E2520" s="27" t="s">
        <v>4414</v>
      </c>
      <c r="G2520" s="27" t="s">
        <v>108</v>
      </c>
      <c r="I2520" s="27" t="s">
        <v>121</v>
      </c>
      <c r="J2520" s="28">
        <v>21592</v>
      </c>
      <c r="K2520" s="27" t="s">
        <v>410</v>
      </c>
    </row>
    <row r="2521" spans="1:11">
      <c r="A2521">
        <v>2504</v>
      </c>
      <c r="D2521" s="28" t="s">
        <v>4415</v>
      </c>
      <c r="E2521" s="27" t="s">
        <v>4409</v>
      </c>
      <c r="G2521" s="27" t="s">
        <v>108</v>
      </c>
      <c r="I2521" s="27" t="s">
        <v>121</v>
      </c>
      <c r="J2521" s="28">
        <v>21592</v>
      </c>
      <c r="K2521" s="27" t="s">
        <v>410</v>
      </c>
    </row>
    <row r="2522" spans="1:11">
      <c r="A2522">
        <v>2505</v>
      </c>
      <c r="D2522" s="28" t="s">
        <v>4416</v>
      </c>
      <c r="E2522" s="27" t="s">
        <v>4417</v>
      </c>
      <c r="G2522" s="27" t="s">
        <v>108</v>
      </c>
      <c r="I2522" s="27" t="s">
        <v>121</v>
      </c>
      <c r="J2522" s="28">
        <v>21205</v>
      </c>
      <c r="K2522" s="27" t="s">
        <v>395</v>
      </c>
    </row>
    <row r="2523" spans="1:11">
      <c r="A2523">
        <v>2506</v>
      </c>
      <c r="D2523" s="28" t="s">
        <v>4418</v>
      </c>
      <c r="E2523" s="27" t="s">
        <v>4419</v>
      </c>
      <c r="G2523" s="27" t="s">
        <v>108</v>
      </c>
      <c r="I2523" s="27" t="s">
        <v>121</v>
      </c>
      <c r="J2523" s="28">
        <v>21205</v>
      </c>
      <c r="K2523" s="27" t="s">
        <v>395</v>
      </c>
    </row>
    <row r="2524" spans="1:11">
      <c r="A2524">
        <v>2507</v>
      </c>
      <c r="D2524" s="28" t="s">
        <v>4420</v>
      </c>
      <c r="E2524" s="27" t="s">
        <v>4421</v>
      </c>
      <c r="G2524" s="27" t="s">
        <v>108</v>
      </c>
      <c r="I2524" s="27" t="s">
        <v>121</v>
      </c>
      <c r="J2524" s="28">
        <v>21205</v>
      </c>
      <c r="K2524" s="27" t="s">
        <v>395</v>
      </c>
    </row>
    <row r="2525" spans="1:11">
      <c r="A2525">
        <v>2508</v>
      </c>
      <c r="D2525" s="28" t="s">
        <v>4422</v>
      </c>
      <c r="E2525" s="27" t="s">
        <v>2989</v>
      </c>
      <c r="G2525" s="27" t="s">
        <v>108</v>
      </c>
      <c r="I2525" s="27" t="s">
        <v>121</v>
      </c>
      <c r="J2525" s="28">
        <v>20900</v>
      </c>
      <c r="K2525" s="27" t="s">
        <v>1246</v>
      </c>
    </row>
    <row r="2526" spans="1:11">
      <c r="A2526">
        <v>2509</v>
      </c>
      <c r="D2526" s="28" t="s">
        <v>4422</v>
      </c>
      <c r="E2526" s="27" t="s">
        <v>2989</v>
      </c>
      <c r="G2526" s="27" t="s">
        <v>108</v>
      </c>
      <c r="I2526" s="27" t="s">
        <v>226</v>
      </c>
      <c r="J2526" s="28">
        <v>21556</v>
      </c>
      <c r="K2526" s="27" t="s">
        <v>4508</v>
      </c>
    </row>
    <row r="2527" spans="1:11">
      <c r="A2527">
        <v>2510</v>
      </c>
      <c r="D2527" s="28" t="s">
        <v>4423</v>
      </c>
      <c r="E2527" s="27" t="s">
        <v>4424</v>
      </c>
      <c r="G2527" s="27" t="s">
        <v>108</v>
      </c>
      <c r="I2527" s="27" t="s">
        <v>121</v>
      </c>
      <c r="J2527" s="28">
        <v>29010</v>
      </c>
      <c r="K2527" s="27" t="s">
        <v>229</v>
      </c>
    </row>
    <row r="2528" spans="1:11">
      <c r="A2528">
        <v>2511</v>
      </c>
      <c r="D2528" s="28" t="s">
        <v>4425</v>
      </c>
      <c r="E2528" s="27" t="s">
        <v>4426</v>
      </c>
      <c r="G2528" s="27" t="s">
        <v>108</v>
      </c>
      <c r="I2528" s="27" t="s">
        <v>121</v>
      </c>
      <c r="J2528" s="28">
        <v>20900</v>
      </c>
      <c r="K2528" s="27" t="s">
        <v>1246</v>
      </c>
    </row>
    <row r="2529" spans="1:11">
      <c r="A2529">
        <v>2512</v>
      </c>
      <c r="D2529" s="28" t="s">
        <v>4427</v>
      </c>
      <c r="E2529" s="27" t="s">
        <v>4428</v>
      </c>
      <c r="G2529" s="27" t="s">
        <v>108</v>
      </c>
      <c r="I2529" s="27" t="s">
        <v>121</v>
      </c>
      <c r="J2529" s="28">
        <v>21205</v>
      </c>
      <c r="K2529" s="27" t="s">
        <v>395</v>
      </c>
    </row>
    <row r="2530" spans="1:11">
      <c r="A2530">
        <v>2513</v>
      </c>
      <c r="D2530" s="28" t="s">
        <v>4429</v>
      </c>
      <c r="E2530" s="27" t="s">
        <v>4430</v>
      </c>
      <c r="G2530" s="27" t="s">
        <v>108</v>
      </c>
      <c r="I2530" s="27" t="s">
        <v>121</v>
      </c>
      <c r="J2530" s="28">
        <v>21205</v>
      </c>
      <c r="K2530" s="27" t="s">
        <v>395</v>
      </c>
    </row>
    <row r="2531" spans="1:11">
      <c r="A2531">
        <v>2514</v>
      </c>
      <c r="D2531" s="28" t="s">
        <v>4431</v>
      </c>
      <c r="E2531" s="27" t="s">
        <v>3136</v>
      </c>
      <c r="G2531" s="27" t="s">
        <v>108</v>
      </c>
      <c r="I2531" s="27" t="s">
        <v>226</v>
      </c>
      <c r="J2531" s="28">
        <v>21557</v>
      </c>
      <c r="K2531" s="27" t="s">
        <v>396</v>
      </c>
    </row>
    <row r="2532" spans="1:11">
      <c r="A2532">
        <v>2515</v>
      </c>
      <c r="D2532" s="28" t="s">
        <v>4432</v>
      </c>
      <c r="E2532" s="27" t="s">
        <v>4433</v>
      </c>
      <c r="G2532" s="27" t="s">
        <v>108</v>
      </c>
      <c r="I2532" s="27" t="s">
        <v>4501</v>
      </c>
      <c r="J2532" s="28">
        <v>21592</v>
      </c>
      <c r="K2532" s="27" t="s">
        <v>410</v>
      </c>
    </row>
    <row r="2533" spans="1:11">
      <c r="A2533">
        <v>2516</v>
      </c>
      <c r="D2533" s="28" t="s">
        <v>4434</v>
      </c>
      <c r="E2533" s="27" t="s">
        <v>4435</v>
      </c>
      <c r="G2533" s="27" t="s">
        <v>108</v>
      </c>
      <c r="I2533" s="27" t="s">
        <v>121</v>
      </c>
      <c r="J2533" s="28">
        <v>20945</v>
      </c>
      <c r="K2533" s="27" t="s">
        <v>402</v>
      </c>
    </row>
    <row r="2534" spans="1:11">
      <c r="A2534">
        <v>2517</v>
      </c>
      <c r="D2534" s="28" t="s">
        <v>4436</v>
      </c>
      <c r="E2534" s="27" t="s">
        <v>4437</v>
      </c>
      <c r="G2534" s="27" t="s">
        <v>108</v>
      </c>
      <c r="I2534" s="27" t="s">
        <v>121</v>
      </c>
      <c r="J2534" s="28">
        <v>21205</v>
      </c>
      <c r="K2534" s="27" t="s">
        <v>395</v>
      </c>
    </row>
    <row r="2535" spans="1:11">
      <c r="A2535">
        <v>2518</v>
      </c>
      <c r="D2535" s="28" t="s">
        <v>4438</v>
      </c>
      <c r="E2535" s="27" t="s">
        <v>4439</v>
      </c>
      <c r="G2535" s="27" t="s">
        <v>108</v>
      </c>
      <c r="I2535" s="27" t="s">
        <v>121</v>
      </c>
      <c r="J2535" s="28">
        <v>21592</v>
      </c>
      <c r="K2535" s="27" t="s">
        <v>410</v>
      </c>
    </row>
    <row r="2536" spans="1:11">
      <c r="A2536">
        <v>2519</v>
      </c>
      <c r="D2536" s="28" t="s">
        <v>4440</v>
      </c>
      <c r="E2536" s="27" t="s">
        <v>3161</v>
      </c>
      <c r="G2536" s="27" t="s">
        <v>108</v>
      </c>
      <c r="I2536" s="27" t="s">
        <v>121</v>
      </c>
      <c r="J2536" s="28">
        <v>21592</v>
      </c>
      <c r="K2536" s="27" t="s">
        <v>410</v>
      </c>
    </row>
    <row r="2537" spans="1:11">
      <c r="A2537">
        <v>2520</v>
      </c>
      <c r="D2537" s="28" t="s">
        <v>4441</v>
      </c>
      <c r="E2537" s="27" t="s">
        <v>2997</v>
      </c>
      <c r="G2537" s="27" t="s">
        <v>108</v>
      </c>
      <c r="I2537" s="27" t="s">
        <v>121</v>
      </c>
      <c r="J2537" s="28">
        <v>21592</v>
      </c>
      <c r="K2537" s="27" t="s">
        <v>410</v>
      </c>
    </row>
    <row r="2538" spans="1:11">
      <c r="A2538">
        <v>2521</v>
      </c>
      <c r="D2538" s="28" t="s">
        <v>4442</v>
      </c>
      <c r="E2538" s="27" t="s">
        <v>3116</v>
      </c>
      <c r="G2538" s="27" t="s">
        <v>108</v>
      </c>
      <c r="I2538" s="27" t="s">
        <v>121</v>
      </c>
      <c r="J2538" s="28">
        <v>21592</v>
      </c>
      <c r="K2538" s="27" t="s">
        <v>410</v>
      </c>
    </row>
    <row r="2539" spans="1:11">
      <c r="A2539">
        <v>2522</v>
      </c>
      <c r="D2539" s="28" t="s">
        <v>4443</v>
      </c>
      <c r="E2539" s="27" t="s">
        <v>3003</v>
      </c>
      <c r="G2539" s="27" t="s">
        <v>108</v>
      </c>
      <c r="I2539" s="27" t="s">
        <v>121</v>
      </c>
      <c r="J2539" s="28">
        <v>29010</v>
      </c>
      <c r="K2539" s="27" t="s">
        <v>229</v>
      </c>
    </row>
    <row r="2540" spans="1:11">
      <c r="A2540">
        <v>2523</v>
      </c>
      <c r="D2540" s="28" t="s">
        <v>4444</v>
      </c>
      <c r="E2540" s="27" t="s">
        <v>4445</v>
      </c>
      <c r="G2540" s="27" t="s">
        <v>108</v>
      </c>
      <c r="I2540" s="27" t="s">
        <v>121</v>
      </c>
      <c r="J2540" s="28">
        <v>21205</v>
      </c>
      <c r="K2540" s="27" t="s">
        <v>395</v>
      </c>
    </row>
    <row r="2541" spans="1:11">
      <c r="A2541">
        <v>2524</v>
      </c>
      <c r="D2541" s="28" t="s">
        <v>4446</v>
      </c>
      <c r="E2541" s="27" t="s">
        <v>4447</v>
      </c>
      <c r="G2541" s="27" t="s">
        <v>108</v>
      </c>
      <c r="I2541" s="27" t="s">
        <v>121</v>
      </c>
      <c r="J2541" s="28">
        <v>21205</v>
      </c>
      <c r="K2541" s="27" t="s">
        <v>395</v>
      </c>
    </row>
    <row r="2542" spans="1:11">
      <c r="A2542">
        <v>2525</v>
      </c>
      <c r="D2542" s="28" t="s">
        <v>4448</v>
      </c>
      <c r="E2542" s="27" t="s">
        <v>355</v>
      </c>
      <c r="G2542" s="27" t="s">
        <v>108</v>
      </c>
      <c r="I2542" s="27" t="s">
        <v>121</v>
      </c>
      <c r="J2542" s="28">
        <v>21160</v>
      </c>
      <c r="K2542" s="27" t="s">
        <v>401</v>
      </c>
    </row>
    <row r="2543" spans="1:11">
      <c r="A2543">
        <v>2526</v>
      </c>
      <c r="D2543" s="28" t="s">
        <v>4448</v>
      </c>
      <c r="E2543" s="27" t="s">
        <v>355</v>
      </c>
      <c r="G2543" s="27" t="s">
        <v>108</v>
      </c>
      <c r="I2543" s="27" t="s">
        <v>121</v>
      </c>
      <c r="J2543" s="28">
        <v>21523</v>
      </c>
      <c r="K2543" s="27" t="s">
        <v>411</v>
      </c>
    </row>
    <row r="2544" spans="1:11">
      <c r="A2544">
        <v>2527</v>
      </c>
      <c r="D2544" s="28" t="s">
        <v>4449</v>
      </c>
      <c r="E2544" s="27" t="s">
        <v>4450</v>
      </c>
      <c r="G2544" s="27" t="s">
        <v>108</v>
      </c>
      <c r="I2544" s="27" t="s">
        <v>121</v>
      </c>
      <c r="J2544" s="28">
        <v>21160</v>
      </c>
      <c r="K2544" s="27" t="s">
        <v>401</v>
      </c>
    </row>
    <row r="2545" spans="1:11">
      <c r="A2545">
        <v>2528</v>
      </c>
      <c r="D2545" s="28" t="s">
        <v>4451</v>
      </c>
      <c r="E2545" s="27" t="s">
        <v>4452</v>
      </c>
      <c r="G2545" s="27" t="s">
        <v>108</v>
      </c>
      <c r="I2545" s="27" t="s">
        <v>121</v>
      </c>
      <c r="J2545" s="28">
        <v>21205</v>
      </c>
      <c r="K2545" s="27" t="s">
        <v>395</v>
      </c>
    </row>
    <row r="2546" spans="1:11">
      <c r="A2546">
        <v>2529</v>
      </c>
      <c r="D2546" s="28" t="s">
        <v>389</v>
      </c>
      <c r="E2546" s="27" t="s">
        <v>390</v>
      </c>
      <c r="G2546" s="27" t="s">
        <v>108</v>
      </c>
      <c r="I2546" s="27" t="s">
        <v>121</v>
      </c>
      <c r="J2546" s="28">
        <v>21697</v>
      </c>
      <c r="K2546" s="27" t="s">
        <v>227</v>
      </c>
    </row>
    <row r="2547" spans="1:11">
      <c r="A2547">
        <v>2530</v>
      </c>
      <c r="D2547" s="28" t="s">
        <v>389</v>
      </c>
      <c r="E2547" s="27" t="s">
        <v>390</v>
      </c>
      <c r="G2547" s="27" t="s">
        <v>108</v>
      </c>
      <c r="I2547" s="27" t="s">
        <v>94</v>
      </c>
      <c r="J2547" s="28">
        <v>21697</v>
      </c>
      <c r="K2547" s="27" t="s">
        <v>227</v>
      </c>
    </row>
    <row r="2548" spans="1:11">
      <c r="A2548">
        <v>2531</v>
      </c>
      <c r="D2548" s="28" t="s">
        <v>389</v>
      </c>
      <c r="E2548" s="27" t="s">
        <v>390</v>
      </c>
      <c r="G2548" s="27" t="s">
        <v>108</v>
      </c>
      <c r="I2548" s="27" t="s">
        <v>226</v>
      </c>
      <c r="J2548" s="28">
        <v>21590</v>
      </c>
      <c r="K2548" s="27" t="s">
        <v>397</v>
      </c>
    </row>
    <row r="2549" spans="1:11">
      <c r="A2549">
        <v>2532</v>
      </c>
      <c r="D2549" s="28" t="s">
        <v>4453</v>
      </c>
      <c r="E2549" s="27" t="s">
        <v>4454</v>
      </c>
      <c r="G2549" s="27" t="s">
        <v>108</v>
      </c>
      <c r="I2549" s="27" t="s">
        <v>121</v>
      </c>
      <c r="J2549" s="28">
        <v>21205</v>
      </c>
      <c r="K2549" s="27" t="s">
        <v>395</v>
      </c>
    </row>
    <row r="2550" spans="1:11">
      <c r="A2550">
        <v>2533</v>
      </c>
      <c r="D2550" s="28" t="s">
        <v>4453</v>
      </c>
      <c r="E2550" s="27" t="s">
        <v>4454</v>
      </c>
      <c r="G2550" s="27" t="s">
        <v>108</v>
      </c>
      <c r="I2550" s="27" t="s">
        <v>121</v>
      </c>
      <c r="J2550" s="28">
        <v>21160</v>
      </c>
      <c r="K2550" s="27" t="s">
        <v>401</v>
      </c>
    </row>
    <row r="2551" spans="1:11">
      <c r="A2551">
        <v>2534</v>
      </c>
      <c r="D2551" s="28" t="s">
        <v>4453</v>
      </c>
      <c r="E2551" s="27" t="s">
        <v>4454</v>
      </c>
      <c r="G2551" s="27" t="s">
        <v>108</v>
      </c>
      <c r="I2551" s="27" t="s">
        <v>226</v>
      </c>
      <c r="J2551" s="28">
        <v>21557</v>
      </c>
      <c r="K2551" s="27" t="s">
        <v>396</v>
      </c>
    </row>
    <row r="2552" spans="1:11">
      <c r="A2552">
        <v>2535</v>
      </c>
      <c r="D2552" s="28" t="s">
        <v>4455</v>
      </c>
      <c r="E2552" s="27" t="s">
        <v>4456</v>
      </c>
      <c r="G2552" s="27" t="s">
        <v>108</v>
      </c>
      <c r="I2552" s="27" t="s">
        <v>121</v>
      </c>
      <c r="J2552" s="28">
        <v>29010</v>
      </c>
      <c r="K2552" s="27" t="s">
        <v>229</v>
      </c>
    </row>
    <row r="2553" spans="1:11">
      <c r="A2553">
        <v>2536</v>
      </c>
      <c r="D2553" s="28" t="s">
        <v>4457</v>
      </c>
      <c r="E2553" s="27" t="s">
        <v>3036</v>
      </c>
      <c r="G2553" s="27" t="s">
        <v>108</v>
      </c>
      <c r="I2553" s="27" t="s">
        <v>121</v>
      </c>
      <c r="J2553" s="28">
        <v>21205</v>
      </c>
      <c r="K2553" s="27" t="s">
        <v>395</v>
      </c>
    </row>
    <row r="2554" spans="1:11">
      <c r="A2554">
        <v>2537</v>
      </c>
      <c r="D2554" s="28" t="s">
        <v>4458</v>
      </c>
      <c r="E2554" s="27" t="s">
        <v>4459</v>
      </c>
      <c r="G2554" s="27" t="s">
        <v>108</v>
      </c>
      <c r="I2554" s="27" t="s">
        <v>121</v>
      </c>
      <c r="J2554" s="28">
        <v>21205</v>
      </c>
      <c r="K2554" s="27" t="s">
        <v>395</v>
      </c>
    </row>
    <row r="2555" spans="1:11">
      <c r="A2555">
        <v>2538</v>
      </c>
      <c r="D2555" s="28" t="s">
        <v>4458</v>
      </c>
      <c r="E2555" s="27" t="s">
        <v>4459</v>
      </c>
      <c r="G2555" s="27" t="s">
        <v>108</v>
      </c>
      <c r="I2555" s="27" t="s">
        <v>121</v>
      </c>
      <c r="J2555" s="28">
        <v>21160</v>
      </c>
      <c r="K2555" s="27" t="s">
        <v>401</v>
      </c>
    </row>
    <row r="2556" spans="1:11">
      <c r="A2556">
        <v>2539</v>
      </c>
      <c r="D2556" s="28" t="s">
        <v>4458</v>
      </c>
      <c r="E2556" s="27" t="s">
        <v>4459</v>
      </c>
      <c r="G2556" s="27" t="s">
        <v>108</v>
      </c>
      <c r="I2556" s="27" t="s">
        <v>121</v>
      </c>
      <c r="J2556" s="28">
        <v>21020</v>
      </c>
      <c r="K2556" s="27" t="s">
        <v>403</v>
      </c>
    </row>
    <row r="2557" spans="1:11">
      <c r="A2557">
        <v>2540</v>
      </c>
      <c r="D2557" s="28" t="s">
        <v>4458</v>
      </c>
      <c r="E2557" s="27" t="s">
        <v>4459</v>
      </c>
      <c r="G2557" s="27" t="s">
        <v>108</v>
      </c>
      <c r="I2557" s="27" t="s">
        <v>94</v>
      </c>
      <c r="J2557" s="28">
        <v>21160</v>
      </c>
      <c r="K2557" s="27" t="s">
        <v>401</v>
      </c>
    </row>
    <row r="2558" spans="1:11">
      <c r="A2558">
        <v>2541</v>
      </c>
      <c r="D2558" s="28" t="s">
        <v>4458</v>
      </c>
      <c r="E2558" s="27" t="s">
        <v>4459</v>
      </c>
      <c r="G2558" s="27" t="s">
        <v>108</v>
      </c>
      <c r="I2558" s="27" t="s">
        <v>226</v>
      </c>
      <c r="J2558" s="28">
        <v>21425</v>
      </c>
      <c r="K2558" s="27" t="s">
        <v>406</v>
      </c>
    </row>
    <row r="2559" spans="1:11">
      <c r="A2559">
        <v>2542</v>
      </c>
      <c r="D2559" s="28" t="s">
        <v>4460</v>
      </c>
      <c r="E2559" s="27" t="s">
        <v>4461</v>
      </c>
      <c r="G2559" s="27" t="s">
        <v>108</v>
      </c>
      <c r="I2559" s="27" t="s">
        <v>121</v>
      </c>
      <c r="J2559" s="28">
        <v>21205</v>
      </c>
      <c r="K2559" s="27" t="s">
        <v>395</v>
      </c>
    </row>
    <row r="2560" spans="1:11">
      <c r="A2560">
        <v>2543</v>
      </c>
      <c r="D2560" s="28" t="s">
        <v>4462</v>
      </c>
      <c r="E2560" s="27" t="s">
        <v>3599</v>
      </c>
      <c r="G2560" s="27" t="s">
        <v>108</v>
      </c>
      <c r="I2560" s="27" t="s">
        <v>121</v>
      </c>
      <c r="J2560" s="28">
        <v>20900</v>
      </c>
      <c r="K2560" s="27" t="s">
        <v>1246</v>
      </c>
    </row>
    <row r="2561" spans="1:11">
      <c r="A2561">
        <v>2544</v>
      </c>
      <c r="D2561" s="28" t="s">
        <v>4463</v>
      </c>
      <c r="E2561" s="27" t="s">
        <v>4464</v>
      </c>
      <c r="G2561" s="27" t="s">
        <v>108</v>
      </c>
      <c r="I2561" s="27" t="s">
        <v>121</v>
      </c>
      <c r="J2561" s="28">
        <v>20900</v>
      </c>
      <c r="K2561" s="27" t="s">
        <v>1246</v>
      </c>
    </row>
    <row r="2562" spans="1:11">
      <c r="A2562">
        <v>2545</v>
      </c>
      <c r="D2562" s="28" t="s">
        <v>4465</v>
      </c>
      <c r="E2562" s="27" t="s">
        <v>4466</v>
      </c>
      <c r="G2562" s="27" t="s">
        <v>108</v>
      </c>
      <c r="I2562" s="27" t="s">
        <v>121</v>
      </c>
      <c r="J2562" s="28">
        <v>20900</v>
      </c>
      <c r="K2562" s="27" t="s">
        <v>1246</v>
      </c>
    </row>
    <row r="2563" spans="1:11">
      <c r="A2563">
        <v>2546</v>
      </c>
      <c r="D2563" s="28" t="s">
        <v>4467</v>
      </c>
      <c r="E2563" s="27" t="s">
        <v>4468</v>
      </c>
      <c r="G2563" s="27" t="s">
        <v>108</v>
      </c>
      <c r="I2563" s="27" t="s">
        <v>121</v>
      </c>
      <c r="J2563" s="28">
        <v>21205</v>
      </c>
      <c r="K2563" s="27" t="s">
        <v>395</v>
      </c>
    </row>
    <row r="2564" spans="1:11">
      <c r="A2564">
        <v>2547</v>
      </c>
      <c r="D2564" s="28" t="s">
        <v>4469</v>
      </c>
      <c r="E2564" s="27" t="s">
        <v>4470</v>
      </c>
      <c r="G2564" s="27" t="s">
        <v>108</v>
      </c>
      <c r="I2564" s="27" t="s">
        <v>121</v>
      </c>
      <c r="J2564" s="28">
        <v>21205</v>
      </c>
      <c r="K2564" s="27" t="s">
        <v>395</v>
      </c>
    </row>
    <row r="2565" spans="1:11">
      <c r="A2565">
        <v>2548</v>
      </c>
      <c r="D2565" s="28" t="s">
        <v>4471</v>
      </c>
      <c r="E2565" s="27" t="s">
        <v>3387</v>
      </c>
      <c r="G2565" s="27" t="s">
        <v>108</v>
      </c>
      <c r="I2565" s="27" t="s">
        <v>121</v>
      </c>
      <c r="J2565" s="28">
        <v>29010</v>
      </c>
      <c r="K2565" s="27" t="s">
        <v>229</v>
      </c>
    </row>
    <row r="2566" spans="1:11">
      <c r="A2566">
        <v>2549</v>
      </c>
      <c r="D2566" s="28" t="s">
        <v>4472</v>
      </c>
      <c r="E2566" s="27" t="s">
        <v>154</v>
      </c>
      <c r="G2566" s="27" t="s">
        <v>108</v>
      </c>
      <c r="I2566" s="27" t="s">
        <v>121</v>
      </c>
      <c r="J2566" s="28">
        <v>20900</v>
      </c>
      <c r="K2566" s="27" t="s">
        <v>1246</v>
      </c>
    </row>
    <row r="2567" spans="1:11">
      <c r="A2567">
        <v>2550</v>
      </c>
      <c r="D2567" s="28" t="s">
        <v>4473</v>
      </c>
      <c r="E2567" s="27" t="s">
        <v>2997</v>
      </c>
      <c r="G2567" s="27" t="s">
        <v>108</v>
      </c>
      <c r="I2567" s="27" t="s">
        <v>121</v>
      </c>
      <c r="J2567" s="28">
        <v>21592</v>
      </c>
      <c r="K2567" s="27" t="s">
        <v>410</v>
      </c>
    </row>
    <row r="2568" spans="1:11">
      <c r="A2568">
        <v>2551</v>
      </c>
      <c r="D2568" s="28" t="s">
        <v>4474</v>
      </c>
      <c r="E2568" s="27" t="s">
        <v>335</v>
      </c>
      <c r="G2568" s="27" t="s">
        <v>108</v>
      </c>
      <c r="I2568" s="27" t="s">
        <v>4501</v>
      </c>
      <c r="J2568" s="28">
        <v>21589</v>
      </c>
      <c r="K2568" s="27" t="s">
        <v>405</v>
      </c>
    </row>
    <row r="2569" spans="1:11">
      <c r="A2569">
        <v>2552</v>
      </c>
      <c r="D2569" s="28" t="s">
        <v>4474</v>
      </c>
      <c r="E2569" s="27" t="s">
        <v>335</v>
      </c>
      <c r="G2569" s="27" t="s">
        <v>108</v>
      </c>
      <c r="I2569" s="27" t="s">
        <v>121</v>
      </c>
      <c r="J2569" s="28">
        <v>20945</v>
      </c>
      <c r="K2569" s="27" t="s">
        <v>402</v>
      </c>
    </row>
    <row r="2570" spans="1:11">
      <c r="A2570">
        <v>2553</v>
      </c>
      <c r="D2570" s="28" t="s">
        <v>4474</v>
      </c>
      <c r="E2570" s="27" t="s">
        <v>335</v>
      </c>
      <c r="G2570" s="27" t="s">
        <v>108</v>
      </c>
      <c r="I2570" s="27" t="s">
        <v>94</v>
      </c>
      <c r="J2570" s="28">
        <v>20945</v>
      </c>
      <c r="K2570" s="27" t="s">
        <v>402</v>
      </c>
    </row>
    <row r="2571" spans="1:11">
      <c r="A2571">
        <v>2554</v>
      </c>
      <c r="D2571" s="28" t="s">
        <v>4474</v>
      </c>
      <c r="E2571" s="27" t="s">
        <v>335</v>
      </c>
      <c r="G2571" s="27" t="s">
        <v>108</v>
      </c>
      <c r="I2571" s="27" t="s">
        <v>226</v>
      </c>
      <c r="J2571" s="28">
        <v>21595</v>
      </c>
      <c r="K2571" s="27" t="s">
        <v>403</v>
      </c>
    </row>
    <row r="2572" spans="1:11">
      <c r="A2572">
        <v>2555</v>
      </c>
      <c r="D2572" s="28" t="s">
        <v>4475</v>
      </c>
      <c r="E2572" s="27" t="s">
        <v>1517</v>
      </c>
      <c r="G2572" s="27" t="s">
        <v>108</v>
      </c>
      <c r="I2572" s="27" t="s">
        <v>121</v>
      </c>
      <c r="J2572" s="28">
        <v>20900</v>
      </c>
      <c r="K2572" s="27" t="s">
        <v>1246</v>
      </c>
    </row>
    <row r="2573" spans="1:11">
      <c r="A2573">
        <v>2556</v>
      </c>
      <c r="D2573" s="28" t="s">
        <v>4476</v>
      </c>
      <c r="E2573" s="27" t="s">
        <v>3116</v>
      </c>
      <c r="G2573" s="27" t="s">
        <v>108</v>
      </c>
      <c r="I2573" s="27" t="s">
        <v>121</v>
      </c>
      <c r="J2573" s="28">
        <v>21592</v>
      </c>
      <c r="K2573" s="27" t="s">
        <v>410</v>
      </c>
    </row>
    <row r="2574" spans="1:11">
      <c r="A2574">
        <v>2557</v>
      </c>
      <c r="D2574" s="28" t="s">
        <v>4477</v>
      </c>
      <c r="E2574" s="27" t="s">
        <v>142</v>
      </c>
      <c r="G2574" s="27" t="s">
        <v>108</v>
      </c>
      <c r="I2574" s="27" t="s">
        <v>121</v>
      </c>
      <c r="J2574" s="28">
        <v>29010</v>
      </c>
      <c r="K2574" s="27" t="s">
        <v>229</v>
      </c>
    </row>
    <row r="2575" spans="1:11">
      <c r="A2575">
        <v>2558</v>
      </c>
      <c r="D2575" s="28" t="s">
        <v>4478</v>
      </c>
      <c r="E2575" s="27" t="s">
        <v>3084</v>
      </c>
      <c r="G2575" s="27" t="s">
        <v>108</v>
      </c>
      <c r="I2575" s="27" t="s">
        <v>121</v>
      </c>
      <c r="J2575" s="28">
        <v>29010</v>
      </c>
      <c r="K2575" s="27" t="s">
        <v>229</v>
      </c>
    </row>
    <row r="2576" spans="1:11">
      <c r="A2576">
        <v>2559</v>
      </c>
      <c r="D2576" s="28" t="s">
        <v>4479</v>
      </c>
      <c r="E2576" s="27" t="s">
        <v>3673</v>
      </c>
      <c r="G2576" s="27" t="s">
        <v>108</v>
      </c>
      <c r="I2576" s="27" t="s">
        <v>121</v>
      </c>
      <c r="J2576" s="28">
        <v>21592</v>
      </c>
      <c r="K2576" s="27" t="s">
        <v>410</v>
      </c>
    </row>
    <row r="2577" spans="1:11">
      <c r="A2577">
        <v>2560</v>
      </c>
      <c r="D2577" s="28" t="s">
        <v>4480</v>
      </c>
      <c r="E2577" s="27" t="s">
        <v>4412</v>
      </c>
      <c r="G2577" s="27" t="s">
        <v>108</v>
      </c>
      <c r="I2577" s="27" t="s">
        <v>121</v>
      </c>
      <c r="J2577" s="28">
        <v>21592</v>
      </c>
      <c r="K2577" s="27" t="s">
        <v>410</v>
      </c>
    </row>
    <row r="2578" spans="1:11">
      <c r="A2578">
        <v>2561</v>
      </c>
      <c r="D2578" s="28" t="s">
        <v>103</v>
      </c>
      <c r="E2578" s="27" t="s">
        <v>104</v>
      </c>
      <c r="G2578" s="27" t="s">
        <v>108</v>
      </c>
      <c r="I2578" s="27" t="s">
        <v>121</v>
      </c>
      <c r="J2578" s="28">
        <v>21697</v>
      </c>
      <c r="K2578" s="27" t="s">
        <v>227</v>
      </c>
    </row>
    <row r="2579" spans="1:11">
      <c r="A2579">
        <v>2562</v>
      </c>
      <c r="D2579" s="28" t="s">
        <v>103</v>
      </c>
      <c r="E2579" s="27" t="s">
        <v>104</v>
      </c>
      <c r="G2579" s="27" t="s">
        <v>108</v>
      </c>
      <c r="I2579" s="27" t="s">
        <v>226</v>
      </c>
      <c r="J2579" s="28">
        <v>21590</v>
      </c>
      <c r="K2579" s="27" t="s">
        <v>397</v>
      </c>
    </row>
    <row r="2580" spans="1:11">
      <c r="A2580">
        <v>2563</v>
      </c>
      <c r="D2580" s="28" t="s">
        <v>4481</v>
      </c>
      <c r="E2580" s="27" t="s">
        <v>3036</v>
      </c>
      <c r="G2580" s="27" t="s">
        <v>108</v>
      </c>
      <c r="I2580" s="27" t="s">
        <v>121</v>
      </c>
      <c r="J2580" s="28">
        <v>21205</v>
      </c>
      <c r="K2580" s="27" t="s">
        <v>395</v>
      </c>
    </row>
    <row r="2581" spans="1:11">
      <c r="A2581">
        <v>2564</v>
      </c>
      <c r="D2581" s="28" t="s">
        <v>4482</v>
      </c>
      <c r="E2581" s="27" t="s">
        <v>1693</v>
      </c>
      <c r="G2581" s="27" t="s">
        <v>108</v>
      </c>
      <c r="I2581" s="27" t="s">
        <v>121</v>
      </c>
      <c r="J2581" s="28">
        <v>29010</v>
      </c>
      <c r="K2581" s="27" t="s">
        <v>229</v>
      </c>
    </row>
    <row r="2582" spans="1:11">
      <c r="A2582">
        <v>2565</v>
      </c>
      <c r="D2582" s="28" t="s">
        <v>4483</v>
      </c>
      <c r="E2582" s="27" t="s">
        <v>144</v>
      </c>
      <c r="G2582" s="27" t="s">
        <v>108</v>
      </c>
      <c r="I2582" s="27" t="s">
        <v>121</v>
      </c>
      <c r="J2582" s="28">
        <v>29010</v>
      </c>
      <c r="K2582" s="27" t="s">
        <v>229</v>
      </c>
    </row>
    <row r="2583" spans="1:11">
      <c r="A2583">
        <v>2566</v>
      </c>
      <c r="D2583" s="28" t="s">
        <v>4484</v>
      </c>
      <c r="E2583" s="27" t="s">
        <v>146</v>
      </c>
      <c r="G2583" s="27" t="s">
        <v>108</v>
      </c>
      <c r="I2583" s="27" t="s">
        <v>121</v>
      </c>
      <c r="J2583" s="28">
        <v>29010</v>
      </c>
      <c r="K2583" s="27" t="s">
        <v>229</v>
      </c>
    </row>
    <row r="2584" spans="1:11">
      <c r="A2584">
        <v>2567</v>
      </c>
      <c r="D2584" s="28" t="s">
        <v>4485</v>
      </c>
      <c r="E2584" s="27" t="s">
        <v>4486</v>
      </c>
      <c r="G2584" s="27" t="s">
        <v>108</v>
      </c>
      <c r="I2584" s="27" t="s">
        <v>121</v>
      </c>
      <c r="J2584" s="28">
        <v>29010</v>
      </c>
      <c r="K2584" s="27" t="s">
        <v>229</v>
      </c>
    </row>
    <row r="2585" spans="1:11">
      <c r="A2585">
        <v>2568</v>
      </c>
      <c r="D2585" s="28" t="s">
        <v>391</v>
      </c>
      <c r="E2585" s="27" t="s">
        <v>392</v>
      </c>
      <c r="G2585" s="27" t="s">
        <v>108</v>
      </c>
      <c r="I2585" s="27" t="s">
        <v>121</v>
      </c>
      <c r="J2585" s="28">
        <v>21205</v>
      </c>
      <c r="K2585" s="27" t="s">
        <v>395</v>
      </c>
    </row>
    <row r="2586" spans="1:11">
      <c r="A2586">
        <v>2569</v>
      </c>
      <c r="D2586" s="28" t="s">
        <v>4487</v>
      </c>
      <c r="E2586" s="27" t="s">
        <v>343</v>
      </c>
      <c r="G2586" s="27" t="s">
        <v>108</v>
      </c>
      <c r="I2586" s="27" t="s">
        <v>121</v>
      </c>
      <c r="J2586" s="28">
        <v>21020</v>
      </c>
      <c r="K2586" s="27" t="s">
        <v>403</v>
      </c>
    </row>
    <row r="2587" spans="1:11">
      <c r="A2587">
        <v>2570</v>
      </c>
      <c r="D2587" s="28" t="s">
        <v>4488</v>
      </c>
      <c r="E2587" s="27" t="s">
        <v>3136</v>
      </c>
      <c r="G2587" s="27" t="s">
        <v>108</v>
      </c>
      <c r="I2587" s="27" t="s">
        <v>121</v>
      </c>
      <c r="J2587" s="28">
        <v>21205</v>
      </c>
      <c r="K2587" s="27" t="s">
        <v>395</v>
      </c>
    </row>
    <row r="2588" spans="1:11">
      <c r="A2588">
        <v>2571</v>
      </c>
      <c r="D2588" s="28" t="s">
        <v>4489</v>
      </c>
      <c r="E2588" s="27" t="s">
        <v>345</v>
      </c>
      <c r="G2588" s="27" t="s">
        <v>108</v>
      </c>
      <c r="I2588" s="27" t="s">
        <v>121</v>
      </c>
      <c r="J2588" s="28">
        <v>21205</v>
      </c>
      <c r="K2588" s="27" t="s">
        <v>395</v>
      </c>
    </row>
    <row r="2589" spans="1:11">
      <c r="A2589">
        <v>2572</v>
      </c>
      <c r="D2589" s="28" t="s">
        <v>4490</v>
      </c>
      <c r="E2589" s="27" t="s">
        <v>3062</v>
      </c>
      <c r="G2589" s="27" t="s">
        <v>108</v>
      </c>
      <c r="I2589" s="27" t="s">
        <v>121</v>
      </c>
      <c r="J2589" s="28">
        <v>21205</v>
      </c>
      <c r="K2589" s="27" t="s">
        <v>395</v>
      </c>
    </row>
    <row r="2590" spans="1:11">
      <c r="A2590">
        <v>2573</v>
      </c>
      <c r="D2590" s="28" t="s">
        <v>4491</v>
      </c>
      <c r="E2590" s="27" t="s">
        <v>4492</v>
      </c>
      <c r="G2590" s="27" t="s">
        <v>108</v>
      </c>
      <c r="I2590" s="27" t="s">
        <v>121</v>
      </c>
      <c r="J2590" s="28">
        <v>21205</v>
      </c>
      <c r="K2590" s="27" t="s">
        <v>395</v>
      </c>
    </row>
    <row r="2591" spans="1:11">
      <c r="A2591">
        <v>2574</v>
      </c>
      <c r="D2591" s="28" t="s">
        <v>4493</v>
      </c>
      <c r="E2591" s="27" t="s">
        <v>4494</v>
      </c>
      <c r="G2591" s="27" t="s">
        <v>108</v>
      </c>
      <c r="I2591" s="27" t="s">
        <v>121</v>
      </c>
      <c r="J2591" s="28">
        <v>21205</v>
      </c>
      <c r="K2591" s="27" t="s">
        <v>395</v>
      </c>
    </row>
    <row r="2592" spans="1:11">
      <c r="A2592">
        <v>2575</v>
      </c>
      <c r="D2592" s="28" t="s">
        <v>4495</v>
      </c>
      <c r="E2592" s="27" t="s">
        <v>1664</v>
      </c>
      <c r="G2592" s="27" t="s">
        <v>108</v>
      </c>
      <c r="I2592" s="27" t="s">
        <v>121</v>
      </c>
      <c r="J2592" s="28">
        <v>21205</v>
      </c>
      <c r="K2592" s="27" t="s">
        <v>395</v>
      </c>
    </row>
    <row r="2593" spans="1:11">
      <c r="A2593">
        <v>2576</v>
      </c>
      <c r="D2593" s="28" t="s">
        <v>4496</v>
      </c>
      <c r="E2593" s="27" t="s">
        <v>339</v>
      </c>
      <c r="G2593" s="27" t="s">
        <v>108</v>
      </c>
      <c r="I2593" s="27" t="s">
        <v>121</v>
      </c>
      <c r="J2593" s="28">
        <v>29010</v>
      </c>
      <c r="K2593" s="27" t="s">
        <v>229</v>
      </c>
    </row>
    <row r="2594" spans="1:11">
      <c r="A2594">
        <v>2577</v>
      </c>
      <c r="D2594" s="28" t="s">
        <v>4497</v>
      </c>
      <c r="E2594" s="27" t="s">
        <v>4498</v>
      </c>
      <c r="G2594" s="27" t="s">
        <v>108</v>
      </c>
      <c r="I2594" s="27" t="s">
        <v>121</v>
      </c>
      <c r="J2594" s="28">
        <v>21205</v>
      </c>
      <c r="K2594" s="27" t="s">
        <v>395</v>
      </c>
    </row>
    <row r="2595" spans="1:11">
      <c r="A2595">
        <v>2578</v>
      </c>
      <c r="D2595" s="28" t="s">
        <v>393</v>
      </c>
      <c r="E2595" s="27" t="s">
        <v>394</v>
      </c>
      <c r="G2595" s="27" t="s">
        <v>108</v>
      </c>
      <c r="I2595" s="27" t="s">
        <v>121</v>
      </c>
      <c r="J2595" s="28">
        <v>21160</v>
      </c>
      <c r="K2595" s="27" t="s">
        <v>401</v>
      </c>
    </row>
    <row r="2596" spans="1:11">
      <c r="A2596">
        <v>2579</v>
      </c>
      <c r="D2596" s="28" t="s">
        <v>393</v>
      </c>
      <c r="E2596" s="27" t="s">
        <v>394</v>
      </c>
      <c r="G2596" s="27" t="s">
        <v>108</v>
      </c>
      <c r="I2596" s="27" t="s">
        <v>121</v>
      </c>
      <c r="J2596" s="28">
        <v>20945</v>
      </c>
      <c r="K2596" s="27" t="s">
        <v>402</v>
      </c>
    </row>
    <row r="2597" spans="1:11">
      <c r="A2597">
        <v>2580</v>
      </c>
      <c r="D2597" s="28" t="s">
        <v>393</v>
      </c>
      <c r="E2597" s="27" t="s">
        <v>394</v>
      </c>
      <c r="G2597" s="27" t="s">
        <v>108</v>
      </c>
      <c r="I2597" s="27" t="s">
        <v>94</v>
      </c>
      <c r="J2597" s="28">
        <v>20945</v>
      </c>
      <c r="K2597" s="27" t="s">
        <v>402</v>
      </c>
    </row>
    <row r="2598" spans="1:11">
      <c r="A2598">
        <v>2581</v>
      </c>
      <c r="D2598" s="28" t="s">
        <v>393</v>
      </c>
      <c r="E2598" s="27" t="s">
        <v>394</v>
      </c>
      <c r="G2598" s="27" t="s">
        <v>108</v>
      </c>
      <c r="I2598" s="27" t="s">
        <v>226</v>
      </c>
      <c r="J2598" s="28">
        <v>21595</v>
      </c>
      <c r="K2598" s="27" t="s">
        <v>403</v>
      </c>
    </row>
    <row r="2599" spans="1:11">
      <c r="A2599">
        <v>2582</v>
      </c>
      <c r="D2599" s="28" t="s">
        <v>4499</v>
      </c>
      <c r="E2599" s="366" t="s">
        <v>4500</v>
      </c>
      <c r="G2599" s="27" t="s">
        <v>108</v>
      </c>
      <c r="I2599" s="27" t="s">
        <v>121</v>
      </c>
      <c r="J2599" s="28">
        <v>21205</v>
      </c>
      <c r="K2599" s="27" t="s">
        <v>395</v>
      </c>
    </row>
    <row r="2600" spans="1:11">
      <c r="A2600">
        <v>2583</v>
      </c>
      <c r="D2600" s="28" t="s">
        <v>4499</v>
      </c>
      <c r="E2600" s="366" t="s">
        <v>4500</v>
      </c>
      <c r="G2600" s="27" t="s">
        <v>108</v>
      </c>
      <c r="I2600" s="27" t="s">
        <v>226</v>
      </c>
      <c r="J2600" s="28">
        <v>21557</v>
      </c>
      <c r="K2600" s="27" t="s">
        <v>396</v>
      </c>
    </row>
  </sheetData>
  <autoFilter ref="A1:NZ2600" xr:uid="{AEDB40AF-24A1-4D2C-AD8C-7D6A074BA0A1}"/>
  <phoneticPr fontId="38" type="noConversion"/>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2BB97-7AC1-412A-8909-79ED0D6CF18B}">
  <dimension ref="E2:H34"/>
  <sheetViews>
    <sheetView workbookViewId="0">
      <selection activeCell="E2" sqref="E2"/>
    </sheetView>
  </sheetViews>
  <sheetFormatPr defaultRowHeight="15"/>
  <sheetData>
    <row r="2" spans="5:8" ht="30">
      <c r="E2" t="s">
        <v>2449</v>
      </c>
      <c r="F2" s="302" t="s">
        <v>42</v>
      </c>
      <c r="G2" t="str">
        <f>E2&amp;" "&amp;F2</f>
        <v>CP2 Packing cost</v>
      </c>
      <c r="H2" t="s">
        <v>2450</v>
      </c>
    </row>
    <row r="3" spans="5:8">
      <c r="E3" t="s">
        <v>2449</v>
      </c>
      <c r="F3" s="302" t="s">
        <v>44</v>
      </c>
      <c r="G3" t="str">
        <f t="shared" ref="G3:G34" si="0">E3&amp;" "&amp;F3</f>
        <v>CP2 Type</v>
      </c>
      <c r="H3" t="s">
        <v>2451</v>
      </c>
    </row>
    <row r="4" spans="5:8">
      <c r="E4" t="s">
        <v>2449</v>
      </c>
      <c r="F4" s="302" t="s">
        <v>45</v>
      </c>
      <c r="G4" t="str">
        <f t="shared" si="0"/>
        <v>CP2 L in mm</v>
      </c>
      <c r="H4" t="s">
        <v>2452</v>
      </c>
    </row>
    <row r="5" spans="5:8">
      <c r="E5" t="s">
        <v>2449</v>
      </c>
      <c r="F5" s="302" t="s">
        <v>46</v>
      </c>
      <c r="G5" t="str">
        <f t="shared" si="0"/>
        <v>CP2 B in mm</v>
      </c>
      <c r="H5" t="s">
        <v>2453</v>
      </c>
    </row>
    <row r="6" spans="5:8">
      <c r="E6" t="s">
        <v>2449</v>
      </c>
      <c r="F6" s="302" t="s">
        <v>47</v>
      </c>
      <c r="G6" t="str">
        <f t="shared" si="0"/>
        <v>CP2 H in mm</v>
      </c>
      <c r="H6" t="s">
        <v>2454</v>
      </c>
    </row>
    <row r="7" spans="5:8" ht="45">
      <c r="E7" t="s">
        <v>2449</v>
      </c>
      <c r="F7" s="302" t="s">
        <v>48</v>
      </c>
      <c r="G7" t="str">
        <f t="shared" si="0"/>
        <v>CP2 No. of parts / Bin</v>
      </c>
      <c r="H7" t="s">
        <v>2455</v>
      </c>
    </row>
    <row r="8" spans="5:8" ht="30">
      <c r="E8" t="s">
        <v>2449</v>
      </c>
      <c r="F8" s="302" t="s">
        <v>49</v>
      </c>
      <c r="G8" t="str">
        <f t="shared" si="0"/>
        <v>CP2 Volume per day</v>
      </c>
      <c r="H8" t="s">
        <v>2456</v>
      </c>
    </row>
    <row r="9" spans="5:8" ht="45">
      <c r="E9" t="s">
        <v>2449</v>
      </c>
      <c r="F9" s="302" t="s">
        <v>50</v>
      </c>
      <c r="G9" t="str">
        <f t="shared" si="0"/>
        <v>CP2 No. of Trolleys Per day</v>
      </c>
      <c r="H9" t="s">
        <v>2457</v>
      </c>
    </row>
    <row r="10" spans="5:8" ht="45">
      <c r="E10" t="s">
        <v>2449</v>
      </c>
      <c r="F10" s="302" t="s">
        <v>51</v>
      </c>
      <c r="G10" t="str">
        <f t="shared" si="0"/>
        <v>CP2 Stock norm in days</v>
      </c>
      <c r="H10" t="s">
        <v>2458</v>
      </c>
    </row>
    <row r="11" spans="5:8" ht="60">
      <c r="E11" t="s">
        <v>2449</v>
      </c>
      <c r="F11" s="302" t="s">
        <v>52</v>
      </c>
      <c r="G11" t="str">
        <f t="shared" si="0"/>
        <v>CP2 Total Bins / trolley required</v>
      </c>
      <c r="H11" t="s">
        <v>2459</v>
      </c>
    </row>
    <row r="12" spans="5:8" ht="45">
      <c r="E12" t="s">
        <v>2449</v>
      </c>
      <c r="F12" s="302" t="s">
        <v>53</v>
      </c>
      <c r="G12" t="str">
        <f t="shared" si="0"/>
        <v>CP2 Rate / Bins in Rs.</v>
      </c>
      <c r="H12" t="s">
        <v>2460</v>
      </c>
    </row>
    <row r="13" spans="5:8" ht="60">
      <c r="E13" t="s">
        <v>2449</v>
      </c>
      <c r="F13" s="302" t="s">
        <v>54</v>
      </c>
      <c r="G13" t="str">
        <f t="shared" si="0"/>
        <v>CP2 Total Trolleys cost in Rs.</v>
      </c>
      <c r="H13" t="s">
        <v>2461</v>
      </c>
    </row>
    <row r="14" spans="5:8" ht="30">
      <c r="E14" t="s">
        <v>2449</v>
      </c>
      <c r="F14" s="303" t="s">
        <v>269</v>
      </c>
      <c r="G14" t="str">
        <f t="shared" si="0"/>
        <v>CP2 Interest rate, %</v>
      </c>
      <c r="H14" t="s">
        <v>2462</v>
      </c>
    </row>
    <row r="15" spans="5:8" ht="45">
      <c r="E15" t="s">
        <v>2449</v>
      </c>
      <c r="F15" s="303" t="s">
        <v>270</v>
      </c>
      <c r="G15" t="str">
        <f t="shared" si="0"/>
        <v>CP2 Trolley Cost with interest</v>
      </c>
      <c r="H15" t="s">
        <v>2463</v>
      </c>
    </row>
    <row r="16" spans="5:8" ht="45">
      <c r="E16" t="s">
        <v>2449</v>
      </c>
      <c r="F16" s="302" t="s">
        <v>62</v>
      </c>
      <c r="G16" t="str">
        <f t="shared" si="0"/>
        <v>CP2 Ammortization Years</v>
      </c>
      <c r="H16" t="s">
        <v>2464</v>
      </c>
    </row>
    <row r="17" spans="5:8" ht="45">
      <c r="E17" t="s">
        <v>2449</v>
      </c>
      <c r="F17" s="302" t="s">
        <v>55</v>
      </c>
      <c r="G17" t="str">
        <f t="shared" si="0"/>
        <v>CP2 Amortization volume</v>
      </c>
      <c r="H17" t="s">
        <v>2465</v>
      </c>
    </row>
    <row r="18" spans="5:8" ht="60">
      <c r="E18" t="s">
        <v>2449</v>
      </c>
      <c r="F18" s="302" t="s">
        <v>56</v>
      </c>
      <c r="G18" t="str">
        <f t="shared" si="0"/>
        <v>CP2 Bin Amortization cost in Rs.</v>
      </c>
      <c r="H18" t="s">
        <v>2466</v>
      </c>
    </row>
    <row r="19" spans="5:8" ht="45">
      <c r="E19" t="s">
        <v>2449</v>
      </c>
      <c r="F19" s="302" t="s">
        <v>63</v>
      </c>
      <c r="G19" t="str">
        <f t="shared" si="0"/>
        <v>CP2 Cover Cost per kg</v>
      </c>
      <c r="H19" t="s">
        <v>2467</v>
      </c>
    </row>
    <row r="20" spans="5:8" ht="30">
      <c r="E20" t="s">
        <v>2449</v>
      </c>
      <c r="F20" s="302" t="s">
        <v>64</v>
      </c>
      <c r="G20" t="str">
        <f t="shared" si="0"/>
        <v>CP2 Wt of Cover</v>
      </c>
      <c r="H20" t="s">
        <v>2468</v>
      </c>
    </row>
    <row r="21" spans="5:8" ht="45">
      <c r="E21" t="s">
        <v>2449</v>
      </c>
      <c r="F21" s="302" t="s">
        <v>57</v>
      </c>
      <c r="G21" t="str">
        <f t="shared" si="0"/>
        <v>CP2 Cover cost in Rs</v>
      </c>
      <c r="H21" t="s">
        <v>2469</v>
      </c>
    </row>
    <row r="22" spans="5:8" ht="45">
      <c r="E22" t="s">
        <v>2449</v>
      </c>
      <c r="F22" s="302" t="s">
        <v>58</v>
      </c>
      <c r="G22" t="str">
        <f t="shared" si="0"/>
        <v>CP2 No of parts per cover</v>
      </c>
      <c r="H22" t="s">
        <v>2470</v>
      </c>
    </row>
    <row r="23" spans="5:8" ht="60">
      <c r="E23" t="s">
        <v>2449</v>
      </c>
      <c r="F23" s="302" t="s">
        <v>59</v>
      </c>
      <c r="G23" t="str">
        <f t="shared" si="0"/>
        <v>CP2 Cover cost per part in Rs</v>
      </c>
      <c r="H23" t="s">
        <v>2471</v>
      </c>
    </row>
    <row r="24" spans="5:8" ht="45">
      <c r="E24" t="s">
        <v>2449</v>
      </c>
      <c r="F24" s="302" t="s">
        <v>60</v>
      </c>
      <c r="G24" t="str">
        <f t="shared" si="0"/>
        <v>CP2 Final packing cost</v>
      </c>
      <c r="H24" t="s">
        <v>2472</v>
      </c>
    </row>
    <row r="25" spans="5:8" ht="45">
      <c r="E25" t="s">
        <v>2449</v>
      </c>
      <c r="F25" s="304" t="s">
        <v>65</v>
      </c>
      <c r="G25" t="str">
        <f t="shared" si="0"/>
        <v>CP2 Truck Size  L  in mm</v>
      </c>
      <c r="H25" t="s">
        <v>2473</v>
      </c>
    </row>
    <row r="26" spans="5:8" ht="45">
      <c r="E26" t="s">
        <v>2449</v>
      </c>
      <c r="F26" s="304" t="s">
        <v>66</v>
      </c>
      <c r="G26" t="str">
        <f t="shared" si="0"/>
        <v>CP2 Truck Size  W in mm</v>
      </c>
      <c r="H26" t="s">
        <v>2474</v>
      </c>
    </row>
    <row r="27" spans="5:8" ht="45">
      <c r="E27" t="s">
        <v>2449</v>
      </c>
      <c r="F27" s="304" t="s">
        <v>67</v>
      </c>
      <c r="G27" t="str">
        <f t="shared" si="0"/>
        <v>CP2 Truck Size  H  in mm</v>
      </c>
      <c r="H27" t="s">
        <v>2475</v>
      </c>
    </row>
    <row r="28" spans="5:8" ht="30">
      <c r="E28" t="s">
        <v>2449</v>
      </c>
      <c r="F28" s="304" t="s">
        <v>68</v>
      </c>
      <c r="G28" t="str">
        <f t="shared" si="0"/>
        <v>CP2  No of bin  in  L</v>
      </c>
      <c r="H28" t="s">
        <v>2476</v>
      </c>
    </row>
    <row r="29" spans="5:8" ht="30">
      <c r="E29" t="s">
        <v>2449</v>
      </c>
      <c r="F29" s="304" t="s">
        <v>69</v>
      </c>
      <c r="G29" t="str">
        <f t="shared" si="0"/>
        <v>CP2  No of bin  in  W</v>
      </c>
      <c r="H29" t="s">
        <v>2477</v>
      </c>
    </row>
    <row r="30" spans="5:8" ht="30">
      <c r="E30" t="s">
        <v>2449</v>
      </c>
      <c r="F30" s="304" t="s">
        <v>70</v>
      </c>
      <c r="G30" t="str">
        <f t="shared" si="0"/>
        <v>CP2  No of bin  in  H</v>
      </c>
      <c r="H30" t="s">
        <v>2478</v>
      </c>
    </row>
    <row r="31" spans="5:8" ht="30">
      <c r="E31" t="s">
        <v>2449</v>
      </c>
      <c r="F31" s="304" t="s">
        <v>73</v>
      </c>
      <c r="G31" t="str">
        <f t="shared" si="0"/>
        <v>CP2 Utilisation, %</v>
      </c>
      <c r="H31" t="s">
        <v>2479</v>
      </c>
    </row>
    <row r="32" spans="5:8" ht="75">
      <c r="E32" t="s">
        <v>2449</v>
      </c>
      <c r="F32" s="304" t="s">
        <v>71</v>
      </c>
      <c r="G32" t="str">
        <f t="shared" si="0"/>
        <v>CP2 No. of BIN / Trolleys per vehicle</v>
      </c>
      <c r="H32" t="s">
        <v>2480</v>
      </c>
    </row>
    <row r="33" spans="5:8" ht="45">
      <c r="E33" t="s">
        <v>2449</v>
      </c>
      <c r="F33" s="304" t="s">
        <v>72</v>
      </c>
      <c r="G33" t="str">
        <f t="shared" si="0"/>
        <v>CP2 Cost per trip in Rs.</v>
      </c>
      <c r="H33" t="s">
        <v>2481</v>
      </c>
    </row>
    <row r="34" spans="5:8" ht="45">
      <c r="E34" t="s">
        <v>2449</v>
      </c>
      <c r="F34" s="304" t="s">
        <v>74</v>
      </c>
      <c r="G34" t="str">
        <f t="shared" si="0"/>
        <v>CP2 Transport Cost per part, Rs</v>
      </c>
      <c r="H34" t="s">
        <v>2482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22B28-A294-474B-813A-B239A45EF664}">
  <dimension ref="E2:R23"/>
  <sheetViews>
    <sheetView topLeftCell="A6" workbookViewId="0">
      <selection activeCell="Q12" sqref="Q12"/>
    </sheetView>
  </sheetViews>
  <sheetFormatPr defaultColWidth="9.140625" defaultRowHeight="15"/>
  <cols>
    <col min="1" max="5" width="9.140625" style="66"/>
    <col min="6" max="6" width="25.140625" style="13" customWidth="1"/>
    <col min="7" max="7" width="0" style="66" hidden="1" customWidth="1"/>
    <col min="8" max="8" width="13.85546875" style="66" hidden="1" customWidth="1"/>
    <col min="9" max="9" width="0" style="66" hidden="1" customWidth="1"/>
    <col min="10" max="11" width="11" style="66" hidden="1" customWidth="1"/>
    <col min="12" max="12" width="11" style="66" customWidth="1"/>
    <col min="13" max="13" width="13.28515625" style="66" bestFit="1" customWidth="1"/>
    <col min="14" max="14" width="11" style="66" customWidth="1"/>
    <col min="15" max="15" width="10.7109375" style="66" customWidth="1"/>
    <col min="16" max="16" width="11.7109375" style="66" customWidth="1"/>
    <col min="17" max="17" width="15.28515625" style="66" bestFit="1" customWidth="1"/>
    <col min="18" max="16384" width="9.140625" style="66"/>
  </cols>
  <sheetData>
    <row r="2" spans="5:18">
      <c r="F2" s="13" t="s">
        <v>1170</v>
      </c>
      <c r="G2" s="66" t="s">
        <v>1171</v>
      </c>
      <c r="I2" s="254" t="s">
        <v>1894</v>
      </c>
      <c r="J2" s="254" t="s">
        <v>1904</v>
      </c>
      <c r="K2" s="254" t="s">
        <v>1905</v>
      </c>
      <c r="L2" s="254" t="s">
        <v>567</v>
      </c>
      <c r="M2" s="254" t="s">
        <v>493</v>
      </c>
      <c r="N2" s="254" t="s">
        <v>1906</v>
      </c>
      <c r="O2" s="254" t="s">
        <v>1895</v>
      </c>
      <c r="P2" s="254" t="s">
        <v>1896</v>
      </c>
      <c r="Q2" s="254" t="s">
        <v>1907</v>
      </c>
      <c r="R2" s="256" t="s">
        <v>1908</v>
      </c>
    </row>
    <row r="3" spans="5:18">
      <c r="E3" s="66" t="s">
        <v>102</v>
      </c>
      <c r="F3" s="13">
        <f>42-15</f>
        <v>27</v>
      </c>
      <c r="I3" s="66">
        <v>462</v>
      </c>
      <c r="K3" s="66">
        <v>106</v>
      </c>
      <c r="L3" s="66">
        <v>11</v>
      </c>
      <c r="M3" s="66">
        <v>0</v>
      </c>
      <c r="N3" s="66">
        <v>6</v>
      </c>
      <c r="Q3" s="255">
        <f>K3/$K$8</f>
        <v>0.17875210792580101</v>
      </c>
      <c r="R3" s="255">
        <f>K3/I3</f>
        <v>0.22943722943722944</v>
      </c>
    </row>
    <row r="4" spans="5:18">
      <c r="E4" s="66" t="s">
        <v>108</v>
      </c>
      <c r="F4" s="13">
        <v>26</v>
      </c>
      <c r="I4" s="66">
        <v>286</v>
      </c>
      <c r="J4" s="66">
        <v>107</v>
      </c>
      <c r="K4" s="66">
        <v>107</v>
      </c>
      <c r="M4" s="66">
        <v>0</v>
      </c>
      <c r="P4" s="66">
        <v>4</v>
      </c>
      <c r="Q4" s="255">
        <f>K4/$K$8</f>
        <v>0.18043844856661045</v>
      </c>
      <c r="R4" s="255">
        <f>K4/I4</f>
        <v>0.37412587412587411</v>
      </c>
    </row>
    <row r="5" spans="5:18">
      <c r="E5" s="66" t="s">
        <v>122</v>
      </c>
      <c r="F5" s="13">
        <f>38-25+5</f>
        <v>18</v>
      </c>
      <c r="I5" s="66">
        <v>504</v>
      </c>
      <c r="J5" s="66">
        <v>126</v>
      </c>
      <c r="K5" s="66">
        <v>88</v>
      </c>
      <c r="L5" s="66">
        <v>31</v>
      </c>
      <c r="M5" s="66">
        <v>6</v>
      </c>
      <c r="N5" s="66">
        <v>1</v>
      </c>
      <c r="P5" s="66">
        <v>0</v>
      </c>
      <c r="Q5" s="255">
        <f>K5/$K$8</f>
        <v>0.14839797639123103</v>
      </c>
      <c r="R5" s="255">
        <f>K5/I5</f>
        <v>0.17460317460317459</v>
      </c>
    </row>
    <row r="6" spans="5:18">
      <c r="E6" s="66" t="s">
        <v>101</v>
      </c>
      <c r="F6" s="13">
        <f>32-2</f>
        <v>30</v>
      </c>
      <c r="I6" s="66">
        <v>657</v>
      </c>
      <c r="K6" s="66">
        <v>143</v>
      </c>
      <c r="N6" s="66">
        <v>3</v>
      </c>
      <c r="P6" s="66">
        <v>3</v>
      </c>
      <c r="Q6" s="255">
        <f>K6/$K$8</f>
        <v>0.24114671163575041</v>
      </c>
      <c r="R6" s="255">
        <f>K6/I6</f>
        <v>0.21765601217656011</v>
      </c>
    </row>
    <row r="7" spans="5:18">
      <c r="E7" s="66" t="s">
        <v>90</v>
      </c>
      <c r="F7" s="13">
        <f>92-21-3</f>
        <v>68</v>
      </c>
      <c r="I7" s="66">
        <v>754</v>
      </c>
      <c r="J7" s="66">
        <v>162</v>
      </c>
      <c r="K7" s="66">
        <v>149</v>
      </c>
      <c r="Q7" s="255">
        <f>K7/$K$8</f>
        <v>0.25126475548060706</v>
      </c>
      <c r="R7" s="255">
        <f>K7/I7</f>
        <v>0.19761273209549071</v>
      </c>
    </row>
    <row r="8" spans="5:18">
      <c r="K8" s="66">
        <f>SUM(K3:K7)</f>
        <v>593</v>
      </c>
    </row>
    <row r="10" spans="5:18">
      <c r="E10" s="66" t="s">
        <v>459</v>
      </c>
    </row>
    <row r="12" spans="5:18">
      <c r="F12" s="465"/>
      <c r="G12" s="466"/>
      <c r="H12" s="466"/>
      <c r="I12" s="466"/>
      <c r="J12" s="467">
        <v>45540</v>
      </c>
      <c r="K12" s="466"/>
      <c r="L12" s="467">
        <v>45570</v>
      </c>
    </row>
    <row r="13" spans="5:18">
      <c r="F13" s="465" t="s">
        <v>5072</v>
      </c>
      <c r="G13" s="466" t="s">
        <v>2242</v>
      </c>
      <c r="H13" s="466" t="s">
        <v>2248</v>
      </c>
      <c r="I13" s="466">
        <v>624</v>
      </c>
      <c r="J13" s="466"/>
      <c r="K13" s="466"/>
      <c r="L13" s="466" t="s">
        <v>5071</v>
      </c>
    </row>
    <row r="14" spans="5:18">
      <c r="F14" s="465" t="s">
        <v>2241</v>
      </c>
      <c r="G14" s="466">
        <v>323</v>
      </c>
      <c r="H14" s="466" t="s">
        <v>1947</v>
      </c>
      <c r="I14" s="466">
        <v>37</v>
      </c>
      <c r="J14" s="466">
        <v>565</v>
      </c>
      <c r="K14" s="466"/>
      <c r="L14" s="466">
        <v>625</v>
      </c>
    </row>
    <row r="15" spans="5:18">
      <c r="F15" s="465" t="s">
        <v>2243</v>
      </c>
      <c r="G15" s="466">
        <v>37</v>
      </c>
      <c r="H15" s="466" t="s">
        <v>2245</v>
      </c>
      <c r="I15" s="466">
        <v>2</v>
      </c>
      <c r="J15" s="466">
        <v>35</v>
      </c>
      <c r="K15" s="466"/>
      <c r="L15" s="466">
        <v>104</v>
      </c>
    </row>
    <row r="16" spans="5:18">
      <c r="F16" s="465" t="s">
        <v>2244</v>
      </c>
      <c r="G16" s="466">
        <v>1</v>
      </c>
      <c r="H16" s="466" t="s">
        <v>2246</v>
      </c>
      <c r="I16" s="466">
        <v>2</v>
      </c>
      <c r="J16" s="466">
        <v>1</v>
      </c>
      <c r="K16" s="466"/>
      <c r="L16" s="466">
        <v>17</v>
      </c>
    </row>
    <row r="17" spans="6:12">
      <c r="F17" s="465" t="s">
        <v>5070</v>
      </c>
      <c r="G17" s="466">
        <v>2</v>
      </c>
      <c r="H17" s="466" t="s">
        <v>2247</v>
      </c>
      <c r="I17" s="466">
        <v>1</v>
      </c>
      <c r="J17" s="466">
        <v>2</v>
      </c>
      <c r="K17" s="466"/>
      <c r="L17" s="466">
        <v>2</v>
      </c>
    </row>
    <row r="18" spans="6:12">
      <c r="F18" s="465" t="s">
        <v>5065</v>
      </c>
      <c r="G18" s="466">
        <f>SUM(G14:G17)</f>
        <v>363</v>
      </c>
      <c r="H18" s="466"/>
      <c r="I18" s="466"/>
      <c r="J18" s="466">
        <f>SUM(J14:J17)</f>
        <v>603</v>
      </c>
      <c r="K18" s="466"/>
      <c r="L18" s="466">
        <v>6</v>
      </c>
    </row>
    <row r="19" spans="6:12">
      <c r="F19" s="465" t="s">
        <v>5066</v>
      </c>
      <c r="G19" s="466"/>
      <c r="H19" s="466"/>
      <c r="I19" s="466"/>
      <c r="J19" s="466"/>
      <c r="K19" s="466"/>
      <c r="L19" s="466">
        <v>8</v>
      </c>
    </row>
    <row r="20" spans="6:12">
      <c r="F20" s="465" t="s">
        <v>5067</v>
      </c>
      <c r="G20" s="466"/>
      <c r="H20" s="466"/>
      <c r="I20" s="466"/>
      <c r="J20" s="466"/>
      <c r="K20" s="466"/>
      <c r="L20" s="466">
        <v>10</v>
      </c>
    </row>
    <row r="21" spans="6:12">
      <c r="F21" s="465" t="s">
        <v>5068</v>
      </c>
      <c r="G21" s="466"/>
      <c r="H21" s="466"/>
      <c r="I21" s="466"/>
      <c r="J21" s="466"/>
      <c r="K21" s="466"/>
      <c r="L21" s="466">
        <v>64</v>
      </c>
    </row>
    <row r="22" spans="6:12">
      <c r="F22" s="465" t="s">
        <v>5069</v>
      </c>
      <c r="G22" s="466"/>
      <c r="H22" s="466"/>
      <c r="I22" s="466"/>
      <c r="J22" s="466"/>
      <c r="K22" s="466"/>
      <c r="L22" s="466">
        <v>10</v>
      </c>
    </row>
    <row r="23" spans="6:12">
      <c r="F23" s="465" t="s">
        <v>1894</v>
      </c>
      <c r="G23" s="466"/>
      <c r="H23" s="466"/>
      <c r="I23" s="466"/>
      <c r="J23" s="466"/>
      <c r="K23" s="466"/>
      <c r="L23" s="466">
        <f>SUM(L14:L22)</f>
        <v>846</v>
      </c>
    </row>
  </sheetData>
  <conditionalFormatting sqref="Q3:Q7">
    <cfRule type="colorScale" priority="2">
      <colorScale>
        <cfvo type="min"/>
        <cfvo type="percentile" val="50"/>
        <cfvo type="max"/>
        <color rgb="FFF8696B"/>
        <color rgb="FFFFEB84"/>
        <color rgb="FF63BE7B"/>
      </colorScale>
    </cfRule>
  </conditionalFormatting>
  <conditionalFormatting sqref="R3:R7">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S Saravanamoorthy (CP/Hosur/TVSMotor)</dc:creator>
  <cp:lastModifiedBy>S S Saravanamoorthy (CP/Hosur/TVSMotor)</cp:lastModifiedBy>
  <dcterms:created xsi:type="dcterms:W3CDTF">2024-07-15T10:26:39Z</dcterms:created>
  <dcterms:modified xsi:type="dcterms:W3CDTF">2024-10-07T03:00:59Z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1847cdb-dc7c-42a2-b569-f8e7db656104_Enabled">
    <vt:lpwstr>true</vt:lpwstr>
  </property>
  <property fmtid="{D5CDD505-2E9C-101B-9397-08002B2CF9AE}" pid="3" name="MSIP_Label_b1847cdb-dc7c-42a2-b569-f8e7db656104_SetDate">
    <vt:lpwstr>2024-07-15T10:38:17Z</vt:lpwstr>
  </property>
  <property fmtid="{D5CDD505-2E9C-101B-9397-08002B2CF9AE}" pid="4" name="MSIP_Label_b1847cdb-dc7c-42a2-b569-f8e7db656104_Method">
    <vt:lpwstr>Privileged</vt:lpwstr>
  </property>
  <property fmtid="{D5CDD505-2E9C-101B-9397-08002B2CF9AE}" pid="5" name="MSIP_Label_b1847cdb-dc7c-42a2-b569-f8e7db656104_Name">
    <vt:lpwstr>External</vt:lpwstr>
  </property>
  <property fmtid="{D5CDD505-2E9C-101B-9397-08002B2CF9AE}" pid="6" name="MSIP_Label_b1847cdb-dc7c-42a2-b569-f8e7db656104_SiteId">
    <vt:lpwstr>d30feff3-78f9-476a-81e4-c71b80743988</vt:lpwstr>
  </property>
  <property fmtid="{D5CDD505-2E9C-101B-9397-08002B2CF9AE}" pid="7" name="MSIP_Label_b1847cdb-dc7c-42a2-b569-f8e7db656104_ActionId">
    <vt:lpwstr>4bbdd37a-76f8-41ff-8562-49e64b21505f</vt:lpwstr>
  </property>
  <property fmtid="{D5CDD505-2E9C-101B-9397-08002B2CF9AE}" pid="8" name="MSIP_Label_b1847cdb-dc7c-42a2-b569-f8e7db656104_ContentBits">
    <vt:lpwstr>0</vt:lpwstr>
  </property>
</Properties>
</file>