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Qingshi/Desktop/for TEA module_local copy/"/>
    </mc:Choice>
  </mc:AlternateContent>
  <bookViews>
    <workbookView xWindow="0" yWindow="460" windowWidth="25600" windowHeight="15460" tabRatio="500" activeTab="2"/>
  </bookViews>
  <sheets>
    <sheet name="Instructions" sheetId="7" r:id="rId1"/>
    <sheet name="TEA_results" sheetId="3" r:id="rId2"/>
    <sheet name="Intermediate" sheetId="6" r:id="rId3"/>
    <sheet name="Financial param" sheetId="1" r:id="rId4"/>
    <sheet name="Operation param" sheetId="2" r:id="rId5"/>
    <sheet name="Infra. param" sheetId="5" r:id="rId6"/>
    <sheet name="Industrial learning" sheetId="10" r:id="rId7"/>
    <sheet name="Electrocatalysis" sheetId="8" r:id="rId8"/>
    <sheet name="Purification" sheetId="9" r:id="rId9"/>
    <sheet name="Factors" sheetId="11" r:id="rId10"/>
    <sheet name="High_lvl_assumptions" sheetId="4" r:id="rId11"/>
  </sheets>
  <definedNames>
    <definedName name="cost_rev_factor_col">Factors!$B$3:$B$17</definedName>
    <definedName name="Equipment_cost_col">'Infra. param'!$C$3:$C$40</definedName>
    <definedName name="Installation_costs_col">'Infra. param'!$D$3:$D$40</definedName>
    <definedName name="inventory_amt_col">Intermediate!$B$15:$B$29</definedName>
    <definedName name="inventory_cost_col">Intermediate!$D$15:$D$29</definedName>
    <definedName name="inventory_electrocatalysis">Electrocatalysis!$B$4:$B$18</definedName>
    <definedName name="inventory_name_col">Intermediate!$A$15:$A$29</definedName>
    <definedName name="inventory_purification">Purification!$B$4:$B$18</definedName>
    <definedName name="inventory_rev_col">Intermediate!$F$15:$F$29</definedName>
  </definedNames>
  <calcPr calcId="150000"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5" i="6" l="1"/>
  <c r="B16" i="6"/>
  <c r="F16" i="6"/>
  <c r="B17" i="6"/>
  <c r="F17" i="6"/>
  <c r="B18" i="6"/>
  <c r="F18" i="6"/>
  <c r="B19" i="6"/>
  <c r="F19" i="6"/>
  <c r="B20" i="6"/>
  <c r="F20" i="6"/>
  <c r="B21" i="6"/>
  <c r="F21" i="6"/>
  <c r="B22" i="6"/>
  <c r="F22" i="6"/>
  <c r="B23" i="6"/>
  <c r="F23" i="6"/>
  <c r="B24" i="6"/>
  <c r="F24" i="6"/>
  <c r="B25" i="6"/>
  <c r="F25" i="6"/>
  <c r="B26" i="6"/>
  <c r="F26" i="6"/>
  <c r="B27" i="6"/>
  <c r="F27" i="6"/>
  <c r="B28" i="6"/>
  <c r="F28" i="6"/>
  <c r="B29" i="6"/>
  <c r="F29" i="6"/>
  <c r="B15" i="6"/>
  <c r="F15" i="6"/>
  <c r="D17" i="6"/>
  <c r="D18" i="6"/>
  <c r="D19" i="6"/>
  <c r="D20" i="6"/>
  <c r="D21" i="6"/>
  <c r="D22" i="6"/>
  <c r="D23" i="6"/>
  <c r="D24" i="6"/>
  <c r="D25" i="6"/>
  <c r="D26" i="6"/>
  <c r="D27" i="6"/>
  <c r="D28" i="6"/>
  <c r="D29" i="6"/>
  <c r="D15" i="6"/>
  <c r="B12" i="8"/>
  <c r="B18" i="8"/>
  <c r="B9" i="8"/>
  <c r="B37" i="6"/>
  <c r="D16" i="6"/>
  <c r="B33" i="6"/>
  <c r="B36" i="6"/>
  <c r="B38" i="6"/>
  <c r="C49" i="6"/>
  <c r="C50" i="6"/>
  <c r="C51" i="6"/>
  <c r="D49" i="6"/>
  <c r="D50" i="6"/>
  <c r="D51" i="6"/>
  <c r="E49" i="6"/>
  <c r="E50" i="6"/>
  <c r="E51" i="6"/>
  <c r="F49" i="6"/>
  <c r="F50" i="6"/>
  <c r="F51" i="6"/>
  <c r="G49" i="6"/>
  <c r="G50" i="6"/>
  <c r="G51" i="6"/>
  <c r="H49" i="6"/>
  <c r="H50" i="6"/>
  <c r="H51" i="6"/>
  <c r="I49" i="6"/>
  <c r="I50" i="6"/>
  <c r="I51" i="6"/>
  <c r="J49" i="6"/>
  <c r="J50" i="6"/>
  <c r="J51" i="6"/>
  <c r="K49" i="6"/>
  <c r="K50" i="6"/>
  <c r="K51" i="6"/>
  <c r="L49" i="6"/>
  <c r="L50" i="6"/>
  <c r="L51" i="6"/>
  <c r="M49" i="6"/>
  <c r="M50" i="6"/>
  <c r="M51" i="6"/>
  <c r="N49" i="6"/>
  <c r="N50" i="6"/>
  <c r="N51" i="6"/>
  <c r="O49" i="6"/>
  <c r="O50" i="6"/>
  <c r="O51" i="6"/>
  <c r="P49" i="6"/>
  <c r="P50" i="6"/>
  <c r="P51" i="6"/>
  <c r="Q49" i="6"/>
  <c r="Q50" i="6"/>
  <c r="Q51" i="6"/>
  <c r="R49" i="6"/>
  <c r="R50" i="6"/>
  <c r="R51" i="6"/>
  <c r="S49" i="6"/>
  <c r="S50" i="6"/>
  <c r="S51" i="6"/>
  <c r="T49" i="6"/>
  <c r="T50" i="6"/>
  <c r="T51" i="6"/>
  <c r="U49" i="6"/>
  <c r="U50" i="6"/>
  <c r="U51" i="6"/>
  <c r="V49" i="6"/>
  <c r="V50" i="6"/>
  <c r="V51" i="6"/>
  <c r="B56" i="6"/>
  <c r="C6" i="3"/>
  <c r="B52" i="6"/>
  <c r="B51" i="6"/>
  <c r="N52" i="6"/>
  <c r="O52" i="6"/>
  <c r="P52" i="6"/>
  <c r="Q52" i="6"/>
  <c r="R52" i="6"/>
  <c r="S52" i="6"/>
  <c r="T52" i="6"/>
  <c r="U52" i="6"/>
  <c r="V52" i="6"/>
  <c r="D52" i="6"/>
  <c r="E52" i="6"/>
  <c r="F52" i="6"/>
  <c r="G52" i="6"/>
  <c r="H52" i="6"/>
  <c r="I52" i="6"/>
  <c r="J52" i="6"/>
  <c r="K52" i="6"/>
  <c r="L52" i="6"/>
  <c r="M52" i="6"/>
  <c r="C52" i="6"/>
  <c r="B34" i="6"/>
  <c r="B35" i="6"/>
  <c r="B3" i="6"/>
  <c r="B42" i="6"/>
  <c r="B4" i="6"/>
  <c r="B43" i="6"/>
  <c r="B5" i="6"/>
  <c r="B44" i="6"/>
  <c r="C53" i="6"/>
  <c r="B11" i="6"/>
  <c r="C57" i="6"/>
  <c r="D53" i="6"/>
  <c r="D57" i="6"/>
  <c r="E53" i="6"/>
  <c r="E57" i="6"/>
  <c r="F53" i="6"/>
  <c r="F57" i="6"/>
  <c r="G53" i="6"/>
  <c r="G57" i="6"/>
  <c r="H53" i="6"/>
  <c r="H57" i="6"/>
  <c r="I53" i="6"/>
  <c r="I57" i="6"/>
  <c r="J53" i="6"/>
  <c r="J57" i="6"/>
  <c r="K53" i="6"/>
  <c r="K57" i="6"/>
  <c r="L53" i="6"/>
  <c r="L57" i="6"/>
  <c r="M53" i="6"/>
  <c r="M57" i="6"/>
  <c r="N53" i="6"/>
  <c r="N57" i="6"/>
  <c r="O53" i="6"/>
  <c r="O57" i="6"/>
  <c r="P53" i="6"/>
  <c r="P57" i="6"/>
  <c r="Q53" i="6"/>
  <c r="Q57" i="6"/>
  <c r="R53" i="6"/>
  <c r="R57" i="6"/>
  <c r="S53" i="6"/>
  <c r="S57" i="6"/>
  <c r="T53" i="6"/>
  <c r="T57" i="6"/>
  <c r="U53" i="6"/>
  <c r="U57" i="6"/>
  <c r="V53" i="6"/>
  <c r="V57" i="6"/>
  <c r="C4" i="3"/>
  <c r="B45" i="6"/>
  <c r="C14" i="11"/>
  <c r="F3" i="11"/>
  <c r="B10" i="6"/>
  <c r="B9" i="6"/>
  <c r="C3" i="3"/>
  <c r="C5" i="3"/>
  <c r="C29" i="6"/>
  <c r="C28" i="6"/>
  <c r="C27" i="6"/>
  <c r="C26" i="6"/>
  <c r="C25" i="6"/>
  <c r="C24" i="6"/>
  <c r="C23" i="6"/>
  <c r="C22" i="6"/>
  <c r="C21" i="6"/>
  <c r="C20" i="6"/>
  <c r="C19" i="6"/>
  <c r="C18" i="6"/>
  <c r="C17" i="6"/>
  <c r="C16" i="6"/>
  <c r="C15" i="6"/>
  <c r="A16" i="6"/>
  <c r="A17" i="6"/>
  <c r="A18" i="6"/>
  <c r="A19" i="6"/>
  <c r="A20" i="6"/>
  <c r="A21" i="6"/>
  <c r="A22" i="6"/>
  <c r="A23" i="6"/>
  <c r="A24" i="6"/>
  <c r="A25" i="6"/>
  <c r="A26" i="6"/>
  <c r="A27" i="6"/>
  <c r="A28" i="6"/>
  <c r="A29" i="6"/>
  <c r="A15" i="6"/>
  <c r="C4" i="11"/>
  <c r="C5" i="11"/>
  <c r="C6" i="11"/>
  <c r="C7" i="11"/>
  <c r="C8" i="11"/>
  <c r="C9" i="11"/>
  <c r="C10" i="11"/>
  <c r="C11" i="11"/>
  <c r="C12" i="11"/>
  <c r="C13" i="11"/>
  <c r="C15" i="11"/>
  <c r="C16" i="11"/>
  <c r="C17" i="11"/>
  <c r="C3" i="11"/>
  <c r="A4" i="11"/>
  <c r="A5" i="11"/>
  <c r="A6" i="11"/>
  <c r="A7" i="11"/>
  <c r="A8" i="11"/>
  <c r="A9" i="11"/>
  <c r="A10" i="11"/>
  <c r="A11" i="11"/>
  <c r="A12" i="11"/>
  <c r="A13" i="11"/>
  <c r="A14" i="11"/>
  <c r="A15" i="11"/>
  <c r="A16" i="11"/>
  <c r="A17" i="11"/>
  <c r="A3" i="11"/>
</calcChain>
</file>

<file path=xl/comments1.xml><?xml version="1.0" encoding="utf-8"?>
<comments xmlns="http://schemas.openxmlformats.org/spreadsheetml/2006/main">
  <authors>
    <author>Tu, Qingshi (tuqi)</author>
  </authors>
  <commentList>
    <comment ref="V48" authorId="0">
      <text>
        <r>
          <rPr>
            <b/>
            <sz val="10"/>
            <color indexed="81"/>
            <rFont val="Calibri"/>
          </rPr>
          <t>Tu, Qingshi (tuqi):</t>
        </r>
        <r>
          <rPr>
            <sz val="10"/>
            <color indexed="81"/>
            <rFont val="Calibri"/>
          </rPr>
          <t xml:space="preserve">
should be the same length as depreciation period</t>
        </r>
      </text>
    </comment>
  </commentList>
</comments>
</file>

<file path=xl/comments2.xml><?xml version="1.0" encoding="utf-8"?>
<comments xmlns="http://schemas.openxmlformats.org/spreadsheetml/2006/main">
  <authors>
    <author>Tu, Qingshi (tuqi)</author>
  </authors>
  <commentList>
    <comment ref="A1" authorId="0">
      <text>
        <r>
          <rPr>
            <b/>
            <sz val="10"/>
            <color indexed="81"/>
            <rFont val="Calibri"/>
          </rPr>
          <t>Tu, Qingshi (tuqi):</t>
        </r>
        <r>
          <rPr>
            <sz val="10"/>
            <color indexed="81"/>
            <rFont val="Calibri"/>
          </rPr>
          <t xml:space="preserve">
can be represented as a sparse matrix</t>
        </r>
      </text>
    </comment>
    <comment ref="I8" authorId="0">
      <text>
        <r>
          <rPr>
            <b/>
            <sz val="10"/>
            <color indexed="81"/>
            <rFont val="Calibri"/>
          </rPr>
          <t>Tu, Qingshi (tuqi):</t>
        </r>
        <r>
          <rPr>
            <sz val="10"/>
            <color indexed="81"/>
            <rFont val="Calibri"/>
          </rPr>
          <t xml:space="preserve">
this should be left empty, if debt% for financing is 0%</t>
        </r>
      </text>
    </comment>
  </commentList>
</comments>
</file>

<file path=xl/comments3.xml><?xml version="1.0" encoding="utf-8"?>
<comments xmlns="http://schemas.openxmlformats.org/spreadsheetml/2006/main">
  <authors>
    <author>Tu, Qingshi (tuqi)</author>
  </authors>
  <commentList>
    <comment ref="B6" authorId="0">
      <text>
        <r>
          <rPr>
            <b/>
            <sz val="10"/>
            <color indexed="81"/>
            <rFont val="Calibri"/>
          </rPr>
          <t>Tu, Qingshi (tuqi):</t>
        </r>
        <r>
          <rPr>
            <sz val="10"/>
            <color indexed="81"/>
            <rFont val="Calibri"/>
          </rPr>
          <t xml:space="preserve">
one operator/8hr-shift
3 shifts/day</t>
        </r>
      </text>
    </comment>
  </commentList>
</comments>
</file>

<file path=xl/comments4.xml><?xml version="1.0" encoding="utf-8"?>
<comments xmlns="http://schemas.openxmlformats.org/spreadsheetml/2006/main">
  <authors>
    <author>Tu, Qingshi (tuqi)</author>
  </authors>
  <commentList>
    <comment ref="A1" authorId="0">
      <text>
        <r>
          <rPr>
            <b/>
            <sz val="10"/>
            <color indexed="81"/>
            <rFont val="Calibri"/>
          </rPr>
          <t>Tu, Qingshi (tuqi):</t>
        </r>
        <r>
          <rPr>
            <sz val="10"/>
            <color indexed="81"/>
            <rFont val="Calibri"/>
          </rPr>
          <t xml:space="preserve">
Uncertainty analysis based on TRL lvl will ONLY be executed in Python code</t>
        </r>
      </text>
    </comment>
    <comment ref="A3" authorId="0">
      <text>
        <r>
          <rPr>
            <b/>
            <sz val="10"/>
            <color indexed="81"/>
            <rFont val="Calibri"/>
          </rPr>
          <t>Tu, Qingshi (tuqi):</t>
        </r>
        <r>
          <rPr>
            <sz val="10"/>
            <color indexed="81"/>
            <rFont val="Calibri"/>
          </rPr>
          <t xml:space="preserve">
(feedstock, chemicals, products and waste)</t>
        </r>
      </text>
    </comment>
    <comment ref="B3" authorId="0">
      <text>
        <r>
          <rPr>
            <b/>
            <sz val="10"/>
            <color indexed="81"/>
            <rFont val="Calibri"/>
          </rPr>
          <t>Tu, Qingshi (tuqi):</t>
        </r>
        <r>
          <rPr>
            <sz val="10"/>
            <color indexed="81"/>
            <rFont val="Calibri"/>
          </rPr>
          <t xml:space="preserve">
make sure the inventory here matches what's in the input date template to Brightway2</t>
        </r>
      </text>
    </comment>
    <comment ref="C3" authorId="0">
      <text>
        <r>
          <rPr>
            <b/>
            <sz val="10"/>
            <color indexed="81"/>
            <rFont val="Calibri"/>
          </rPr>
          <t>Tu, Qingshi (tuqi):</t>
        </r>
        <r>
          <rPr>
            <sz val="10"/>
            <color indexed="81"/>
            <rFont val="Calibri"/>
          </rPr>
          <t xml:space="preserve">
string format: pdf,location,scale
If left empty, default string (in Python model) will be used
CAUTION: 'output' should be dependent upon one or more of the 'input' entries, so technically the uncertainty string is not independent.</t>
        </r>
      </text>
    </comment>
    <comment ref="B12" authorId="0">
      <text>
        <r>
          <rPr>
            <b/>
            <sz val="10"/>
            <color indexed="81"/>
            <rFont val="Calibri"/>
          </rPr>
          <t>Tu, Qingshi (tuqi):</t>
        </r>
        <r>
          <rPr>
            <sz val="10"/>
            <color indexed="81"/>
            <rFont val="Calibri"/>
          </rPr>
          <t xml:space="preserve">
1.92 V*4.4mA*3.2hr for 7.328 mg LA. 
Scaled to:
1.92V*4.4kA*3.2hr for 7.328 kg LA
</t>
        </r>
      </text>
    </comment>
  </commentList>
</comments>
</file>

<file path=xl/comments5.xml><?xml version="1.0" encoding="utf-8"?>
<comments xmlns="http://schemas.openxmlformats.org/spreadsheetml/2006/main">
  <authors>
    <author>Tu, Qingshi (tuqi)</author>
  </authors>
  <commentList>
    <comment ref="A1" authorId="0">
      <text>
        <r>
          <rPr>
            <b/>
            <sz val="10"/>
            <color indexed="81"/>
            <rFont val="Calibri"/>
          </rPr>
          <t>Tu, Qingshi (tuqi):</t>
        </r>
        <r>
          <rPr>
            <sz val="10"/>
            <color indexed="81"/>
            <rFont val="Calibri"/>
          </rPr>
          <t xml:space="preserve">
Uncertainty analysis based on TRL lvl will ONLY be executed in Python code</t>
        </r>
      </text>
    </comment>
    <comment ref="A3" authorId="0">
      <text>
        <r>
          <rPr>
            <b/>
            <sz val="10"/>
            <color indexed="81"/>
            <rFont val="Calibri"/>
          </rPr>
          <t>Tu, Qingshi (tuqi):</t>
        </r>
        <r>
          <rPr>
            <sz val="10"/>
            <color indexed="81"/>
            <rFont val="Calibri"/>
          </rPr>
          <t xml:space="preserve">
(feedstock, chemicals, products and waste)</t>
        </r>
      </text>
    </comment>
    <comment ref="B3" authorId="0">
      <text>
        <r>
          <rPr>
            <b/>
            <sz val="10"/>
            <color indexed="81"/>
            <rFont val="Calibri"/>
          </rPr>
          <t>Tu, Qingshi (tuqi):</t>
        </r>
        <r>
          <rPr>
            <sz val="10"/>
            <color indexed="81"/>
            <rFont val="Calibri"/>
          </rPr>
          <t xml:space="preserve">
make sure the inventory here matches what's in the input date template to Brightway2</t>
        </r>
      </text>
    </comment>
    <comment ref="C3" authorId="0">
      <text>
        <r>
          <rPr>
            <b/>
            <sz val="10"/>
            <color indexed="81"/>
            <rFont val="Calibri"/>
          </rPr>
          <t>Tu, Qingshi (tuqi):</t>
        </r>
        <r>
          <rPr>
            <sz val="10"/>
            <color indexed="81"/>
            <rFont val="Calibri"/>
          </rPr>
          <t xml:space="preserve">
string format: pdf,location,scale
If left empty, default string (in Python model) will be used
CAUTION: 'output' should be dependent upon one or more of the 'input' entries, so technically the uncertainty string is not independent.</t>
        </r>
      </text>
    </comment>
  </commentList>
</comments>
</file>

<file path=xl/comments6.xml><?xml version="1.0" encoding="utf-8"?>
<comments xmlns="http://schemas.openxmlformats.org/spreadsheetml/2006/main">
  <authors>
    <author>Tu, Qingshi (tuqi)</author>
  </authors>
  <commentList>
    <comment ref="F3" authorId="0">
      <text>
        <r>
          <rPr>
            <b/>
            <sz val="10"/>
            <color indexed="81"/>
            <rFont val="Calibri"/>
          </rPr>
          <t>Tu, Qingshi (tuqi):</t>
        </r>
        <r>
          <rPr>
            <sz val="10"/>
            <color indexed="81"/>
            <rFont val="Calibri"/>
          </rPr>
          <t xml:space="preserve">
set to negative for cost calculation</t>
        </r>
      </text>
    </comment>
    <comment ref="J3" authorId="0">
      <text>
        <r>
          <rPr>
            <b/>
            <sz val="10"/>
            <color indexed="81"/>
            <rFont val="Calibri"/>
          </rPr>
          <t>Tu, Qingshi (tuqi):</t>
        </r>
        <r>
          <rPr>
            <sz val="10"/>
            <color indexed="81"/>
            <rFont val="Calibri"/>
          </rPr>
          <t xml:space="preserve">
set to negative for cost calculation</t>
        </r>
      </text>
    </comment>
  </commentList>
</comments>
</file>

<file path=xl/sharedStrings.xml><?xml version="1.0" encoding="utf-8"?>
<sst xmlns="http://schemas.openxmlformats.org/spreadsheetml/2006/main" count="386" uniqueCount="181">
  <si>
    <t>Param_no</t>
  </si>
  <si>
    <t>Param_name</t>
  </si>
  <si>
    <t>Categorical</t>
  </si>
  <si>
    <t>Value</t>
  </si>
  <si>
    <t>Numerical</t>
  </si>
  <si>
    <t>Straight_line</t>
  </si>
  <si>
    <t>ref</t>
  </si>
  <si>
    <t>Unit</t>
  </si>
  <si>
    <t>Year</t>
  </si>
  <si>
    <t>%</t>
  </si>
  <si>
    <t>NA</t>
  </si>
  <si>
    <t>EBITDA</t>
  </si>
  <si>
    <t>$/yr</t>
  </si>
  <si>
    <t>NPV</t>
  </si>
  <si>
    <t>$</t>
  </si>
  <si>
    <t>$/prod</t>
  </si>
  <si>
    <t>Assumption</t>
  </si>
  <si>
    <t>Inflation is considered implicitly in the discount rate</t>
  </si>
  <si>
    <t>Equity financing option is not considered in scenario senstivity analysis</t>
  </si>
  <si>
    <t>min_IRR</t>
  </si>
  <si>
    <t>discount_rate</t>
  </si>
  <si>
    <t>interest_rate</t>
  </si>
  <si>
    <t>depreciation_period</t>
  </si>
  <si>
    <t>loan_period</t>
  </si>
  <si>
    <t>depreciation_method</t>
  </si>
  <si>
    <t>default assumption by qt</t>
  </si>
  <si>
    <t>calc_IRR</t>
  </si>
  <si>
    <t>yr</t>
  </si>
  <si>
    <t>Output</t>
  </si>
  <si>
    <t>Finanical Metrics</t>
  </si>
  <si>
    <t>Inventory</t>
  </si>
  <si>
    <t>unit</t>
  </si>
  <si>
    <t>1. Main purpose:</t>
  </si>
  <si>
    <t>User Input Template for TEA modeling</t>
  </si>
  <si>
    <t>i) A data input template for running the TEA model in Python</t>
  </si>
  <si>
    <t>Days of Production per Year</t>
  </si>
  <si>
    <t>day</t>
  </si>
  <si>
    <t>hr</t>
  </si>
  <si>
    <t>Operating Hours Per Day</t>
  </si>
  <si>
    <t>Operation</t>
  </si>
  <si>
    <t>Total amount of products</t>
  </si>
  <si>
    <t>2. How to use:</t>
  </si>
  <si>
    <t>This spreadsheet is pre-populated with default values that represent the baseline techno-economic assumptions of the pathway</t>
  </si>
  <si>
    <t>Update the cells of interest in "Electrocatalysis" and "Purification" tabs. The calculations in "Intermediate" and "TEA results" tabs will be automatically updated.</t>
  </si>
  <si>
    <t xml:space="preserve">  2.3 To use for self-contained TEA calculation for investigating different technological assumptions</t>
  </si>
  <si>
    <t xml:space="preserve">  2.1 To use as the template for supplying data to Python model</t>
  </si>
  <si>
    <t>Uncertainty</t>
  </si>
  <si>
    <t>Glycerine</t>
  </si>
  <si>
    <t>Lime</t>
  </si>
  <si>
    <t>Methanol</t>
  </si>
  <si>
    <t>Sodium hydroxide</t>
  </si>
  <si>
    <t>Sulfuric acid</t>
  </si>
  <si>
    <t>Water</t>
  </si>
  <si>
    <t>Heat, from steam</t>
  </si>
  <si>
    <t>Electricity</t>
  </si>
  <si>
    <t>Main product</t>
  </si>
  <si>
    <t>Lactic acid</t>
  </si>
  <si>
    <t>Technology Readiness Level (TRL lvl)</t>
  </si>
  <si>
    <t>Cooling water (refrigerated)</t>
  </si>
  <si>
    <t>Glycolic acid</t>
  </si>
  <si>
    <t>Glyceric acid</t>
  </si>
  <si>
    <t>Oxalic acid</t>
  </si>
  <si>
    <t>Formic acid</t>
  </si>
  <si>
    <t>kg</t>
  </si>
  <si>
    <t>MJ</t>
  </si>
  <si>
    <t>Hazardous waste, for incineration</t>
  </si>
  <si>
    <r>
      <t>Material flows and energy  (</t>
    </r>
    <r>
      <rPr>
        <b/>
        <sz val="16"/>
        <color rgb="FFFF0000"/>
        <rFont val="Calibri (Body)"/>
      </rPr>
      <t xml:space="preserve">normalized to </t>
    </r>
    <r>
      <rPr>
        <b/>
        <sz val="16"/>
        <color rgb="FF0070C0"/>
        <rFont val="Calibri (Body)"/>
      </rPr>
      <t>per kg</t>
    </r>
    <r>
      <rPr>
        <b/>
        <sz val="16"/>
        <color rgb="FFFF0000"/>
        <rFont val="Calibri (Body)"/>
      </rPr>
      <t xml:space="preserve"> of main product </t>
    </r>
    <r>
      <rPr>
        <b/>
        <sz val="16"/>
        <color rgb="FF0070C0"/>
        <rFont val="Calibri (Body)"/>
      </rPr>
      <t>per hr</t>
    </r>
    <r>
      <rPr>
        <b/>
        <sz val="16"/>
        <color theme="1"/>
        <rFont val="Calibri"/>
        <scheme val="minor"/>
      </rPr>
      <t>)</t>
    </r>
  </si>
  <si>
    <t>Input (-)/output (+)</t>
  </si>
  <si>
    <t>Cost&amp;Revenue</t>
  </si>
  <si>
    <t>Item</t>
  </si>
  <si>
    <t>Value ($)</t>
  </si>
  <si>
    <t>Reactor_elect_catal</t>
  </si>
  <si>
    <t>Reactor_methylation</t>
  </si>
  <si>
    <t>Reactor_hydrolysis_ML to LA</t>
  </si>
  <si>
    <t>Reactor_hydrolysis_H2SO4</t>
  </si>
  <si>
    <t>Name</t>
  </si>
  <si>
    <t>Tu et al. (2015). "Converting campus waste into renewable energy – A case study for the University of Cincinnati"</t>
  </si>
  <si>
    <t>Scaling eqn</t>
  </si>
  <si>
    <t>Equipment cost scaling</t>
  </si>
  <si>
    <t>Sep_distil_1</t>
  </si>
  <si>
    <t>Sep_distil_2</t>
  </si>
  <si>
    <t>Sep_distil_3</t>
  </si>
  <si>
    <t>Sep_distil_4</t>
  </si>
  <si>
    <t>Sep_distil_5</t>
  </si>
  <si>
    <t>Sep_MeOH_rec</t>
  </si>
  <si>
    <t>Sep_flash</t>
  </si>
  <si>
    <t>C_eq2=C_eq1*(C2/C1)^g</t>
  </si>
  <si>
    <t>Capacity</t>
  </si>
  <si>
    <t>Factor</t>
  </si>
  <si>
    <t>Eqn</t>
  </si>
  <si>
    <t>g</t>
  </si>
  <si>
    <t>Total cost</t>
  </si>
  <si>
    <t>Total amount</t>
  </si>
  <si>
    <t>Cost/revenue</t>
  </si>
  <si>
    <t>Total operating hours of production</t>
  </si>
  <si>
    <t>Labor cost</t>
  </si>
  <si>
    <t>Payroll cost</t>
  </si>
  <si>
    <t>Total payroll cost</t>
  </si>
  <si>
    <t>Insurance</t>
  </si>
  <si>
    <t>Misc.</t>
  </si>
  <si>
    <t>Total revenue</t>
  </si>
  <si>
    <t>Total labor hours</t>
  </si>
  <si>
    <t>hr/yr</t>
  </si>
  <si>
    <t>kg/yr</t>
  </si>
  <si>
    <t>Interest, Depreciation and Amortization</t>
  </si>
  <si>
    <t>Deprecation of equipment</t>
  </si>
  <si>
    <t>Interest expense </t>
  </si>
  <si>
    <t>Total interest, deprecation and amortisation</t>
  </si>
  <si>
    <t>amortization_period</t>
  </si>
  <si>
    <t>Amortisation of setup cost</t>
  </si>
  <si>
    <t>Total operation cost</t>
  </si>
  <si>
    <t>Total other cost</t>
  </si>
  <si>
    <t>Setup cost</t>
  </si>
  <si>
    <t>Other cost</t>
  </si>
  <si>
    <t>Contingency</t>
  </si>
  <si>
    <t>Captial cost</t>
  </si>
  <si>
    <t>Total equipment cost</t>
  </si>
  <si>
    <t>Total setup cost</t>
  </si>
  <si>
    <t>Total CAPX</t>
  </si>
  <si>
    <t>Operational Cost and Revenue</t>
  </si>
  <si>
    <t>Cost of equipment and setup</t>
  </si>
  <si>
    <t>Update the cells of interest in "Financial param", "Operation param", "Infra. param", "Electrocatalysis", "Purification" and "Factors" tabs, as necessary. The intermediate and final TEA results will be calculated by the Python code</t>
  </si>
  <si>
    <t>Update the cells of interest in "Financial param", "Infra.param", "Operation param" and "Factors" tabs. The calculations in "Intermediate" and "TEA results" tabs will be automatically updated.</t>
  </si>
  <si>
    <t xml:space="preserve">  2.2 To use for self-contained TEA calculation for investigating influences of financing options and/or operational options</t>
  </si>
  <si>
    <r>
      <t xml:space="preserve">ii) A self-contained TEA calculation spreadsheet (i.e., independent from Python code) for a specific configuration of the technological pathway (i.e., </t>
    </r>
    <r>
      <rPr>
        <b/>
        <sz val="12"/>
        <color theme="1"/>
        <rFont val="Calibri"/>
        <family val="2"/>
        <scheme val="minor"/>
      </rPr>
      <t>one configuration at a time</t>
    </r>
    <r>
      <rPr>
        <sz val="12"/>
        <color theme="1"/>
        <rFont val="Calibri"/>
        <family val="2"/>
        <scheme val="minor"/>
      </rPr>
      <t>)</t>
    </r>
  </si>
  <si>
    <t>DIST1</t>
  </si>
  <si>
    <t>MEOH_REC</t>
  </si>
  <si>
    <t>HYDRLYS2</t>
  </si>
  <si>
    <t>WATR</t>
  </si>
  <si>
    <t>HYDRLYS1</t>
  </si>
  <si>
    <t>DIST2</t>
  </si>
  <si>
    <t>DIST4</t>
  </si>
  <si>
    <t>B10</t>
  </si>
  <si>
    <t>METHYLTN</t>
  </si>
  <si>
    <t>B1</t>
  </si>
  <si>
    <t>DIST5</t>
  </si>
  <si>
    <t>FLASH_flash vessel</t>
  </si>
  <si>
    <t>DIST3</t>
  </si>
  <si>
    <t>NAOH_SEP</t>
  </si>
  <si>
    <t>NEUTRZN_WAT_SEP</t>
  </si>
  <si>
    <t>NEUTRZN_NEUT</t>
  </si>
  <si>
    <t>NEUTRZN_B3</t>
  </si>
  <si>
    <t>NEUTRZN_B1</t>
  </si>
  <si>
    <t>B2_ELEC_REA</t>
  </si>
  <si>
    <t>USD</t>
  </si>
  <si>
    <t>Equipment cost</t>
  </si>
  <si>
    <t>Installation costs</t>
  </si>
  <si>
    <t>dummy data by QT, Nov.30, 2019</t>
  </si>
  <si>
    <t>kg/hr</t>
  </si>
  <si>
    <t>Main product throughput rate</t>
  </si>
  <si>
    <t>all data from 'equipment' tab of "LA results Economic analysis_qt edits.xlsx" provided by Abhijeet on Nov.28, 2019</t>
  </si>
  <si>
    <t>Ref 1b' condition from 'simulation results" tab of "LA simulation results" provided by Abhijeet on Nov.28, 2019</t>
  </si>
  <si>
    <t>Cost</t>
  </si>
  <si>
    <t>Revenue</t>
  </si>
  <si>
    <t>Total labour Hours per day </t>
  </si>
  <si>
    <t>Labor hour pay rate</t>
  </si>
  <si>
    <r>
      <t>$/</t>
    </r>
    <r>
      <rPr>
        <b/>
        <sz val="12"/>
        <color theme="1"/>
        <rFont val="Calibri"/>
        <family val="2"/>
        <scheme val="minor"/>
      </rPr>
      <t>1st yr</t>
    </r>
  </si>
  <si>
    <t>tax_rate</t>
  </si>
  <si>
    <t>debt_percent</t>
  </si>
  <si>
    <t>NPV (after tax)</t>
  </si>
  <si>
    <t>Net cash flow (after tax)</t>
  </si>
  <si>
    <t>Net Income Before Tax</t>
  </si>
  <si>
    <t>Net Income After Tax</t>
  </si>
  <si>
    <t>IRR</t>
  </si>
  <si>
    <t>Total fixed costs (payroll, other, depreciation, amortization, interest)</t>
  </si>
  <si>
    <t>Min selling price ($/kg main product)</t>
  </si>
  <si>
    <t>Ave_min_sales_price</t>
  </si>
  <si>
    <t>Note</t>
  </si>
  <si>
    <t>not discounted</t>
  </si>
  <si>
    <t>PV of cash flows (after tax)</t>
  </si>
  <si>
    <t>Materials input and product/coproducts are from experimental data in "OneDrive/Project - Glycerol LCA/AspenPlus modeling/Abhijeet Nov29/LA simulation results_qt_edits .xlsx" ('trial 225') and relevant descriptions in "A switchable route to valuable commodity chemicals from glycerol via electrocatalytic oxidation with an earth abundant metal oxidation catalyst"</t>
  </si>
  <si>
    <t>Energy input is from the AspenPlus simulation of the experimental setup</t>
  </si>
  <si>
    <t>*What are implemented:</t>
  </si>
  <si>
    <t>-energy saving by heat integration is included (i.e., using "minimum heating" and "minimum cooling" energy data)</t>
  </si>
  <si>
    <t>*What are NOT:</t>
  </si>
  <si>
    <t>-"rxn energy" (row 55 in excel file) NOT included</t>
  </si>
  <si>
    <t>-treatment of wastewater and waste other than "Glyceric",  "Formic" and "Oxalic" acids  are NOT modeled</t>
  </si>
  <si>
    <t>-post-rxn (purification) energy consumption NOT included</t>
  </si>
  <si>
    <t>-recycling of MeOH after Hydrolysis of ML to LA NOT modeled</t>
  </si>
  <si>
    <t>kWh</t>
  </si>
  <si>
    <t>project_life_time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</si>
</sst>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4" formatCode="_(&quot;$&quot;* #,##0.00_);_(&quot;$&quot;* \(#,##0.00\);_(&quot;$&quot;* &quot;-&quot;??_);_(@_)"/>
    <numFmt numFmtId="164" formatCode="0.0"/>
    <numFmt numFmtId="165" formatCode="_(&quot;$&quot;* #,##0_);_(&quot;$&quot;* \(#,##0\);_(&quot;$&quot;* &quot;-&quot;??_);_(@_)"/>
    <numFmt numFmtId="166" formatCode="&quot;$&quot;#,##0.0"/>
    <numFmt numFmtId="167" formatCode="&quot;$&quot;#,##0"/>
  </numFmts>
  <fonts count="3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i/>
      <u/>
      <sz val="12"/>
      <color theme="1"/>
      <name val="Calibri"/>
      <scheme val="minor"/>
    </font>
    <font>
      <sz val="12"/>
      <color indexed="8"/>
      <name val="Calibri"/>
      <scheme val="minor"/>
    </font>
    <font>
      <sz val="10"/>
      <color indexed="81"/>
      <name val="Calibri"/>
    </font>
    <font>
      <b/>
      <sz val="10"/>
      <color indexed="81"/>
      <name val="Calibri"/>
    </font>
    <font>
      <sz val="12"/>
      <color rgb="FF000000"/>
      <name val="Calibri"/>
      <scheme val="minor"/>
    </font>
    <font>
      <b/>
      <sz val="12"/>
      <color rgb="FFCD1C00"/>
      <name val="Calibri"/>
      <scheme val="minor"/>
    </font>
    <font>
      <b/>
      <sz val="12"/>
      <color rgb="FF000000"/>
      <name val="Calibri"/>
      <scheme val="minor"/>
    </font>
    <font>
      <b/>
      <sz val="16"/>
      <color theme="1"/>
      <name val="Calibri"/>
      <scheme val="minor"/>
    </font>
    <font>
      <b/>
      <sz val="28"/>
      <color theme="1"/>
      <name val="Calibri"/>
      <family val="2"/>
      <scheme val="minor"/>
    </font>
    <font>
      <sz val="16"/>
      <color theme="1"/>
      <name val="Calibri"/>
      <family val="2"/>
      <scheme val="minor"/>
    </font>
    <font>
      <b/>
      <sz val="16"/>
      <color rgb="FFFF0000"/>
      <name val="Calibri (Body)"/>
    </font>
    <font>
      <b/>
      <i/>
      <sz val="16"/>
      <color theme="1"/>
      <name val="Calibri"/>
      <scheme val="minor"/>
    </font>
    <font>
      <b/>
      <sz val="16"/>
      <color theme="0"/>
      <name val="Calibri"/>
      <scheme val="minor"/>
    </font>
    <font>
      <sz val="11"/>
      <color indexed="8"/>
      <name val="Helvetica"/>
    </font>
    <font>
      <b/>
      <sz val="16"/>
      <color rgb="FF0070C0"/>
      <name val="Calibri (Body)"/>
    </font>
    <font>
      <b/>
      <u/>
      <sz val="16"/>
      <color theme="1"/>
      <name val="Calibri"/>
      <scheme val="minor"/>
    </font>
    <font>
      <b/>
      <sz val="16"/>
      <color theme="1"/>
      <name val="Calibri (Body)"/>
    </font>
    <font>
      <b/>
      <sz val="12"/>
      <color theme="0"/>
      <name val="Calibri"/>
      <family val="2"/>
      <scheme val="minor"/>
    </font>
    <font>
      <u/>
      <sz val="12"/>
      <color theme="10"/>
      <name val="Calibri"/>
      <family val="2"/>
      <scheme val="minor"/>
    </font>
    <font>
      <u/>
      <sz val="12"/>
      <color theme="11"/>
      <name val="Calibri"/>
      <family val="2"/>
      <scheme val="minor"/>
    </font>
    <font>
      <b/>
      <sz val="12"/>
      <color indexed="8"/>
      <name val="Calibri"/>
      <scheme val="minor"/>
    </font>
    <font>
      <b/>
      <sz val="12"/>
      <color rgb="FF0070C0"/>
      <name val="Calibri"/>
      <scheme val="minor"/>
    </font>
    <font>
      <b/>
      <i/>
      <u/>
      <sz val="16"/>
      <color theme="1"/>
      <name val="Calibri"/>
      <scheme val="minor"/>
    </font>
    <font>
      <b/>
      <sz val="12"/>
      <color rgb="FFFF0000"/>
      <name val="Calibri"/>
      <scheme val="minor"/>
    </font>
    <font>
      <sz val="11"/>
      <color indexed="8"/>
      <name val="Calibri"/>
      <scheme val="minor"/>
    </font>
    <font>
      <b/>
      <sz val="11"/>
      <color indexed="8"/>
      <name val="Calibri"/>
      <scheme val="minor"/>
    </font>
    <font>
      <sz val="16"/>
      <color rgb="FF1E314F"/>
      <name val="Calibri"/>
      <scheme val="minor"/>
    </font>
    <font>
      <sz val="16"/>
      <color rgb="FF1E314F"/>
      <name val="Calibri"/>
      <scheme val="minor"/>
    </font>
  </fonts>
  <fills count="7">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44" fontId="1" fillId="0" borderId="0" applyFont="0" applyFill="0" applyBorder="0" applyAlignment="0" applyProtection="0"/>
  </cellStyleXfs>
  <cellXfs count="65">
    <xf numFmtId="0" fontId="0" fillId="0" borderId="0" xfId="0"/>
    <xf numFmtId="0" fontId="3" fillId="0" borderId="0" xfId="0" applyFont="1"/>
    <xf numFmtId="0" fontId="4" fillId="0" borderId="0" xfId="0" applyFont="1"/>
    <xf numFmtId="0" fontId="4" fillId="0" borderId="0" xfId="0" applyFont="1" applyBorder="1"/>
    <xf numFmtId="49" fontId="5" fillId="0" borderId="0" xfId="0" applyNumberFormat="1" applyFont="1" applyBorder="1" applyAlignment="1"/>
    <xf numFmtId="0" fontId="8" fillId="0" borderId="0" xfId="0" applyFont="1"/>
    <xf numFmtId="0" fontId="0" fillId="0" borderId="0" xfId="0" applyFont="1"/>
    <xf numFmtId="49" fontId="10" fillId="0" borderId="0" xfId="0" applyNumberFormat="1" applyFont="1"/>
    <xf numFmtId="0" fontId="0" fillId="0" borderId="0" xfId="0" applyFont="1" applyAlignment="1">
      <alignment horizontal="left" vertical="center"/>
    </xf>
    <xf numFmtId="0" fontId="11" fillId="0" borderId="0" xfId="0" applyFont="1"/>
    <xf numFmtId="0" fontId="13" fillId="0" borderId="0" xfId="0" applyFont="1"/>
    <xf numFmtId="0" fontId="11" fillId="0" borderId="0" xfId="0" applyFont="1" applyFill="1"/>
    <xf numFmtId="0" fontId="11" fillId="0" borderId="0" xfId="0" applyFont="1" applyAlignment="1">
      <alignment vertical="center"/>
    </xf>
    <xf numFmtId="0" fontId="15" fillId="0" borderId="0" xfId="0" applyFont="1" applyAlignment="1">
      <alignment vertical="center"/>
    </xf>
    <xf numFmtId="0" fontId="16" fillId="3" borderId="0" xfId="0" applyFont="1" applyFill="1"/>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49" fontId="17" fillId="0" borderId="0" xfId="0" applyNumberFormat="1" applyFont="1" applyBorder="1" applyAlignment="1"/>
    <xf numFmtId="0" fontId="19" fillId="0" borderId="0" xfId="0" applyFont="1" applyAlignment="1">
      <alignment vertical="center"/>
    </xf>
    <xf numFmtId="0" fontId="20" fillId="0" borderId="0" xfId="0" applyFont="1" applyAlignment="1">
      <alignment vertical="center"/>
    </xf>
    <xf numFmtId="0" fontId="2" fillId="0" borderId="0" xfId="0" applyFont="1"/>
    <xf numFmtId="0" fontId="11" fillId="2" borderId="0" xfId="0" applyFont="1" applyFill="1"/>
    <xf numFmtId="0" fontId="11" fillId="2" borderId="1" xfId="0" applyFont="1" applyFill="1" applyBorder="1"/>
    <xf numFmtId="0" fontId="11" fillId="2" borderId="1" xfId="0" applyFont="1" applyFill="1" applyBorder="1" applyAlignment="1">
      <alignment horizontal="left" vertical="center" wrapText="1"/>
    </xf>
    <xf numFmtId="0" fontId="2" fillId="0" borderId="1" xfId="0" applyFont="1" applyBorder="1"/>
    <xf numFmtId="164" fontId="0" fillId="0" borderId="0" xfId="0" applyNumberFormat="1"/>
    <xf numFmtId="0" fontId="16" fillId="4" borderId="0" xfId="0" applyFont="1" applyFill="1"/>
    <xf numFmtId="49" fontId="9" fillId="0" borderId="0" xfId="0" applyNumberFormat="1" applyFont="1" applyBorder="1"/>
    <xf numFmtId="0" fontId="0" fillId="0" borderId="0" xfId="0" applyFont="1" applyBorder="1"/>
    <xf numFmtId="0" fontId="21" fillId="0" borderId="0" xfId="0" applyFont="1" applyFill="1"/>
    <xf numFmtId="0" fontId="3" fillId="0" borderId="0" xfId="0" applyFont="1" applyAlignment="1">
      <alignment horizontal="left" vertical="center"/>
    </xf>
    <xf numFmtId="49" fontId="24" fillId="0" borderId="0" xfId="0" applyNumberFormat="1" applyFont="1" applyBorder="1" applyAlignment="1"/>
    <xf numFmtId="0" fontId="0" fillId="0" borderId="0" xfId="0" applyFont="1" applyFill="1" applyAlignment="1">
      <alignment horizontal="left" vertical="center"/>
    </xf>
    <xf numFmtId="0" fontId="0" fillId="0" borderId="0" xfId="0" applyFont="1" applyFill="1"/>
    <xf numFmtId="49" fontId="25" fillId="0" borderId="0" xfId="0" applyNumberFormat="1" applyFont="1" applyBorder="1" applyAlignment="1"/>
    <xf numFmtId="0" fontId="25" fillId="0" borderId="0" xfId="0" applyFont="1"/>
    <xf numFmtId="0" fontId="12" fillId="5" borderId="0" xfId="0" applyFont="1" applyFill="1" applyAlignment="1">
      <alignment vertical="center"/>
    </xf>
    <xf numFmtId="0" fontId="0" fillId="5" borderId="0" xfId="0" applyFill="1" applyAlignment="1">
      <alignment vertical="center"/>
    </xf>
    <xf numFmtId="0" fontId="0" fillId="0" borderId="0" xfId="0" applyFill="1" applyBorder="1" applyAlignment="1">
      <alignment vertical="center"/>
    </xf>
    <xf numFmtId="0" fontId="2" fillId="0" borderId="0" xfId="0" applyFont="1" applyFill="1" applyBorder="1" applyAlignment="1">
      <alignment vertical="center"/>
    </xf>
    <xf numFmtId="0" fontId="0" fillId="0" borderId="0" xfId="0" applyAlignment="1">
      <alignment horizontal="left"/>
    </xf>
    <xf numFmtId="0" fontId="0" fillId="0" borderId="0" xfId="0" quotePrefix="1" applyFont="1"/>
    <xf numFmtId="0" fontId="26" fillId="0" borderId="0" xfId="0" applyFont="1" applyAlignment="1">
      <alignment vertical="center"/>
    </xf>
    <xf numFmtId="49" fontId="17" fillId="0" borderId="0" xfId="0" applyNumberFormat="1" applyFont="1" applyFill="1" applyBorder="1" applyAlignment="1"/>
    <xf numFmtId="6" fontId="25" fillId="0" borderId="0" xfId="0" applyNumberFormat="1" applyFont="1" applyAlignment="1">
      <alignment horizontal="left" vertical="center"/>
    </xf>
    <xf numFmtId="1" fontId="0" fillId="0" borderId="0" xfId="0" applyNumberFormat="1" applyFont="1" applyAlignment="1">
      <alignment horizontal="left" vertical="center"/>
    </xf>
    <xf numFmtId="164" fontId="25" fillId="0" borderId="0" xfId="0" applyNumberFormat="1" applyFont="1" applyAlignment="1">
      <alignment horizontal="left" vertical="center"/>
    </xf>
    <xf numFmtId="0" fontId="27" fillId="0" borderId="0" xfId="0" applyFont="1" applyBorder="1"/>
    <xf numFmtId="49" fontId="28" fillId="0" borderId="0" xfId="0" applyNumberFormat="1" applyFont="1" applyBorder="1" applyAlignment="1"/>
    <xf numFmtId="49" fontId="29" fillId="0" borderId="0" xfId="0" applyNumberFormat="1" applyFont="1" applyBorder="1" applyAlignment="1"/>
    <xf numFmtId="0" fontId="29" fillId="0" borderId="0" xfId="0" applyNumberFormat="1" applyFont="1" applyBorder="1" applyAlignment="1">
      <alignment horizontal="left" vertical="center"/>
    </xf>
    <xf numFmtId="0" fontId="30" fillId="0" borderId="0" xfId="0" applyFont="1"/>
    <xf numFmtId="0" fontId="31" fillId="0" borderId="0" xfId="0" applyFont="1"/>
    <xf numFmtId="0" fontId="25" fillId="0" borderId="0" xfId="0" applyFont="1" applyBorder="1" applyAlignment="1"/>
    <xf numFmtId="165" fontId="25" fillId="0" borderId="0" xfId="5" applyNumberFormat="1" applyFont="1" applyAlignment="1">
      <alignment horizontal="left" vertical="center"/>
    </xf>
    <xf numFmtId="0" fontId="25" fillId="0" borderId="0" xfId="0" applyFont="1" applyBorder="1"/>
    <xf numFmtId="9" fontId="25" fillId="0" borderId="0" xfId="0" applyNumberFormat="1" applyFont="1" applyAlignment="1">
      <alignment horizontal="left" vertical="center"/>
    </xf>
    <xf numFmtId="164" fontId="0" fillId="0" borderId="0" xfId="0" applyNumberFormat="1" applyFont="1" applyAlignment="1">
      <alignment horizontal="left" vertical="center"/>
    </xf>
    <xf numFmtId="166" fontId="25" fillId="0" borderId="0" xfId="5" applyNumberFormat="1" applyFont="1" applyAlignment="1">
      <alignment horizontal="left" vertical="center"/>
    </xf>
    <xf numFmtId="166" fontId="0" fillId="0" borderId="0" xfId="0" applyNumberFormat="1"/>
    <xf numFmtId="167" fontId="0" fillId="0" borderId="0" xfId="0" applyNumberFormat="1"/>
    <xf numFmtId="0" fontId="0" fillId="6" borderId="0" xfId="0" applyFont="1" applyFill="1" applyAlignment="1">
      <alignment horizontal="left" vertical="center"/>
    </xf>
    <xf numFmtId="1" fontId="0" fillId="0" borderId="0" xfId="0" applyNumberFormat="1"/>
    <xf numFmtId="0" fontId="0" fillId="0" borderId="0" xfId="0" quotePrefix="1"/>
  </cellXfs>
  <cellStyles count="6">
    <cellStyle name="Currency" xfId="5" builtinId="4"/>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254000</xdr:colOff>
      <xdr:row>7</xdr:row>
      <xdr:rowOff>95250</xdr:rowOff>
    </xdr:from>
    <xdr:to>
      <xdr:col>14</xdr:col>
      <xdr:colOff>317499</xdr:colOff>
      <xdr:row>36</xdr:row>
      <xdr:rowOff>158750</xdr:rowOff>
    </xdr:to>
    <xdr:grpSp>
      <xdr:nvGrpSpPr>
        <xdr:cNvPr id="4" name="Group 3"/>
        <xdr:cNvGrpSpPr/>
      </xdr:nvGrpSpPr>
      <xdr:grpSpPr>
        <a:xfrm>
          <a:off x="10604500" y="2000250"/>
          <a:ext cx="7492999" cy="6048375"/>
          <a:chOff x="9890125" y="269875"/>
          <a:chExt cx="7492999" cy="5984875"/>
        </a:xfrm>
      </xdr:grpSpPr>
      <xdr:pic>
        <xdr:nvPicPr>
          <xdr:cNvPr id="2" name="Picture 1" descr="https://www.researchgate.net/publication/328777621/figure/fig1/AS:690144885616640@1541554771082/Defining-early-with-Technology-Readiness-Levels-TRL-based-on-early-NASA-model_W640.jp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056" r="11374"/>
          <a:stretch/>
        </xdr:blipFill>
        <xdr:spPr bwMode="auto">
          <a:xfrm>
            <a:off x="9890125" y="269875"/>
            <a:ext cx="7461250" cy="53340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TextBox 2"/>
          <xdr:cNvSpPr txBox="1"/>
        </xdr:nvSpPr>
        <xdr:spPr>
          <a:xfrm>
            <a:off x="10032999" y="5683250"/>
            <a:ext cx="73501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https://www.researchgate.net/publication/328777621/figure/fig1/AS:690144885616640@1541554771082/Defining-early-with-Technology-Readiness-Levels-TRL-based-on-early-NASA-model.png</a:t>
            </a:r>
          </a:p>
        </xdr:txBody>
      </xdr:sp>
    </xdr:grpSp>
    <xdr:clientData/>
  </xdr:twoCellAnchor>
  <xdr:twoCellAnchor>
    <xdr:from>
      <xdr:col>2</xdr:col>
      <xdr:colOff>1317624</xdr:colOff>
      <xdr:row>37</xdr:row>
      <xdr:rowOff>47625</xdr:rowOff>
    </xdr:from>
    <xdr:to>
      <xdr:col>9</xdr:col>
      <xdr:colOff>634999</xdr:colOff>
      <xdr:row>42</xdr:row>
      <xdr:rowOff>190500</xdr:rowOff>
    </xdr:to>
    <xdr:sp macro="" textlink="">
      <xdr:nvSpPr>
        <xdr:cNvPr id="11" name="TextBox 10"/>
        <xdr:cNvSpPr txBox="1"/>
      </xdr:nvSpPr>
      <xdr:spPr>
        <a:xfrm>
          <a:off x="8175624" y="8143875"/>
          <a:ext cx="6111875"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Is "Sulphuric acid-mediated hydrolysis of calcium lactate" here?</a:t>
          </a:r>
        </a:p>
      </xdr:txBody>
    </xdr:sp>
    <xdr:clientData/>
  </xdr:twoCellAnchor>
  <xdr:twoCellAnchor editAs="oneCell">
    <xdr:from>
      <xdr:col>0</xdr:col>
      <xdr:colOff>15875</xdr:colOff>
      <xdr:row>26</xdr:row>
      <xdr:rowOff>15875</xdr:rowOff>
    </xdr:from>
    <xdr:to>
      <xdr:col>2</xdr:col>
      <xdr:colOff>1019175</xdr:colOff>
      <xdr:row>42</xdr:row>
      <xdr:rowOff>41275</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875" y="5842000"/>
          <a:ext cx="7861300" cy="3327400"/>
        </a:xfrm>
        <a:prstGeom prst="rect">
          <a:avLst/>
        </a:prstGeom>
      </xdr:spPr>
    </xdr:pic>
    <xdr:clientData/>
  </xdr:twoCellAnchor>
  <xdr:twoCellAnchor>
    <xdr:from>
      <xdr:col>1</xdr:col>
      <xdr:colOff>539751</xdr:colOff>
      <xdr:row>37</xdr:row>
      <xdr:rowOff>95250</xdr:rowOff>
    </xdr:from>
    <xdr:to>
      <xdr:col>2</xdr:col>
      <xdr:colOff>1254125</xdr:colOff>
      <xdr:row>39</xdr:row>
      <xdr:rowOff>127000</xdr:rowOff>
    </xdr:to>
    <xdr:cxnSp macro="">
      <xdr:nvCxnSpPr>
        <xdr:cNvPr id="7" name="Straight Arrow Connector 6"/>
        <xdr:cNvCxnSpPr/>
      </xdr:nvCxnSpPr>
      <xdr:spPr>
        <a:xfrm flipH="1" flipV="1">
          <a:off x="5651501" y="8191500"/>
          <a:ext cx="2460624" cy="444500"/>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1</xdr:row>
      <xdr:rowOff>0</xdr:rowOff>
    </xdr:from>
    <xdr:to>
      <xdr:col>14</xdr:col>
      <xdr:colOff>111124</xdr:colOff>
      <xdr:row>28</xdr:row>
      <xdr:rowOff>79375</xdr:rowOff>
    </xdr:to>
    <xdr:grpSp>
      <xdr:nvGrpSpPr>
        <xdr:cNvPr id="2" name="Group 1"/>
        <xdr:cNvGrpSpPr/>
      </xdr:nvGrpSpPr>
      <xdr:grpSpPr>
        <a:xfrm>
          <a:off x="10398125" y="269875"/>
          <a:ext cx="7492999" cy="6048375"/>
          <a:chOff x="9890125" y="269875"/>
          <a:chExt cx="7492999" cy="5984875"/>
        </a:xfrm>
      </xdr:grpSpPr>
      <xdr:pic>
        <xdr:nvPicPr>
          <xdr:cNvPr id="3" name="Picture 2" descr="https://www.researchgate.net/publication/328777621/figure/fig1/AS:690144885616640@1541554771082/Defining-early-with-Technology-Readiness-Levels-TRL-based-on-early-NASA-model_W640.jp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056" r="11374"/>
          <a:stretch/>
        </xdr:blipFill>
        <xdr:spPr bwMode="auto">
          <a:xfrm>
            <a:off x="9890125" y="269875"/>
            <a:ext cx="7461250" cy="53340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Box 3"/>
          <xdr:cNvSpPr txBox="1"/>
        </xdr:nvSpPr>
        <xdr:spPr>
          <a:xfrm>
            <a:off x="10032999" y="5683250"/>
            <a:ext cx="73501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https://www.researchgate.net/publication/328777621/figure/fig1/AS:690144885616640@1541554771082/Defining-early-with-Technology-Readiness-Levels-TRL-based-on-early-NASA-model.png</a:t>
            </a:r>
          </a:p>
        </xdr:txBody>
      </xdr:sp>
    </xdr:grpSp>
    <xdr:clientData/>
  </xdr:twoCellAnchor>
  <xdr:twoCellAnchor>
    <xdr:from>
      <xdr:col>0</xdr:col>
      <xdr:colOff>142875</xdr:colOff>
      <xdr:row>19</xdr:row>
      <xdr:rowOff>47625</xdr:rowOff>
    </xdr:from>
    <xdr:to>
      <xdr:col>1</xdr:col>
      <xdr:colOff>1285875</xdr:colOff>
      <xdr:row>23</xdr:row>
      <xdr:rowOff>174625</xdr:rowOff>
    </xdr:to>
    <xdr:sp macro="" textlink="">
      <xdr:nvSpPr>
        <xdr:cNvPr id="5" name="Rectangle 4"/>
        <xdr:cNvSpPr/>
      </xdr:nvSpPr>
      <xdr:spPr>
        <a:xfrm>
          <a:off x="142875" y="4429125"/>
          <a:ext cx="6254750"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Same material</a:t>
          </a:r>
          <a:r>
            <a:rPr lang="en-US" sz="2400" baseline="0"/>
            <a:t> and energy list, but  different values</a:t>
          </a:r>
          <a:endParaRPr lang="en-US" sz="2400"/>
        </a:p>
      </xdr:txBody>
    </xdr:sp>
    <xdr:clientData/>
  </xdr:twoCellAnchor>
  <xdr:twoCellAnchor editAs="oneCell">
    <xdr:from>
      <xdr:col>0</xdr:col>
      <xdr:colOff>190500</xdr:colOff>
      <xdr:row>29</xdr:row>
      <xdr:rowOff>190500</xdr:rowOff>
    </xdr:from>
    <xdr:to>
      <xdr:col>4</xdr:col>
      <xdr:colOff>723900</xdr:colOff>
      <xdr:row>47</xdr:row>
      <xdr:rowOff>177147</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6635750"/>
          <a:ext cx="10058400" cy="3701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O12"/>
  <sheetViews>
    <sheetView topLeftCell="A10" workbookViewId="0">
      <selection activeCell="E17" sqref="D17:E17"/>
    </sheetView>
  </sheetViews>
  <sheetFormatPr baseColWidth="10" defaultRowHeight="16" x14ac:dyDescent="0.2"/>
  <cols>
    <col min="1" max="1" width="15.1640625" style="15" bestFit="1" customWidth="1"/>
    <col min="2" max="16384" width="10.83203125" style="15"/>
  </cols>
  <sheetData>
    <row r="1" spans="1:15" ht="37" x14ac:dyDescent="0.2">
      <c r="B1" s="37" t="s">
        <v>33</v>
      </c>
      <c r="C1" s="38"/>
      <c r="D1" s="38"/>
      <c r="E1" s="38"/>
      <c r="F1" s="38"/>
      <c r="G1" s="38"/>
      <c r="H1" s="38"/>
    </row>
    <row r="3" spans="1:15" x14ac:dyDescent="0.2">
      <c r="A3" s="16" t="s">
        <v>32</v>
      </c>
      <c r="B3" s="15" t="s">
        <v>34</v>
      </c>
      <c r="M3" s="40"/>
      <c r="N3" s="39"/>
      <c r="O3" s="39"/>
    </row>
    <row r="4" spans="1:15" x14ac:dyDescent="0.2">
      <c r="B4" s="15" t="s">
        <v>124</v>
      </c>
      <c r="M4" s="39"/>
      <c r="N4" s="39"/>
      <c r="O4" s="39"/>
    </row>
    <row r="5" spans="1:15" x14ac:dyDescent="0.2">
      <c r="B5" s="17"/>
      <c r="M5" s="39"/>
      <c r="N5" s="39"/>
      <c r="O5" s="39"/>
    </row>
    <row r="6" spans="1:15" x14ac:dyDescent="0.2">
      <c r="A6" s="16" t="s">
        <v>41</v>
      </c>
      <c r="B6" s="15" t="s">
        <v>42</v>
      </c>
    </row>
    <row r="7" spans="1:15" x14ac:dyDescent="0.2">
      <c r="A7" s="16" t="s">
        <v>45</v>
      </c>
    </row>
    <row r="8" spans="1:15" x14ac:dyDescent="0.2">
      <c r="A8" s="16"/>
      <c r="B8" s="15" t="s">
        <v>121</v>
      </c>
    </row>
    <row r="9" spans="1:15" x14ac:dyDescent="0.2">
      <c r="A9" s="16" t="s">
        <v>123</v>
      </c>
    </row>
    <row r="10" spans="1:15" x14ac:dyDescent="0.2">
      <c r="B10" s="15" t="s">
        <v>122</v>
      </c>
    </row>
    <row r="11" spans="1:15" x14ac:dyDescent="0.2">
      <c r="A11" s="16" t="s">
        <v>44</v>
      </c>
    </row>
    <row r="12" spans="1:15" x14ac:dyDescent="0.2">
      <c r="B12" s="15"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7"/>
  <sheetViews>
    <sheetView zoomScale="80" zoomScaleNormal="80" zoomScalePageLayoutView="80" workbookViewId="0">
      <selection activeCell="B3" sqref="B3:B17"/>
    </sheetView>
  </sheetViews>
  <sheetFormatPr baseColWidth="10" defaultRowHeight="16" x14ac:dyDescent="0.2"/>
  <cols>
    <col min="1" max="1" width="29.83203125" bestFit="1" customWidth="1"/>
    <col min="3" max="3" width="5" bestFit="1" customWidth="1"/>
    <col min="4" max="4" width="4.5" bestFit="1" customWidth="1"/>
    <col min="5" max="5" width="19.1640625" bestFit="1" customWidth="1"/>
    <col min="7" max="7" width="5" bestFit="1" customWidth="1"/>
    <col min="8" max="8" width="4.5" bestFit="1" customWidth="1"/>
    <col min="9" max="9" width="14.1640625" bestFit="1" customWidth="1"/>
    <col min="10" max="10" width="9.1640625" bestFit="1" customWidth="1"/>
    <col min="11" max="11" width="5" bestFit="1" customWidth="1"/>
    <col min="12" max="12" width="4.5" customWidth="1"/>
    <col min="13" max="13" width="34" bestFit="1" customWidth="1"/>
    <col min="15" max="15" width="8.6640625" bestFit="1" customWidth="1"/>
    <col min="16" max="16" width="5" bestFit="1" customWidth="1"/>
    <col min="17" max="17" width="4.5" bestFit="1" customWidth="1"/>
    <col min="18" max="18" width="20.83203125" bestFit="1" customWidth="1"/>
    <col min="19" max="19" width="22.5" bestFit="1" customWidth="1"/>
    <col min="20" max="20" width="6.83203125" bestFit="1" customWidth="1"/>
    <col min="21" max="21" width="6.1640625" bestFit="1" customWidth="1"/>
  </cols>
  <sheetData>
    <row r="1" spans="1:22" ht="21" x14ac:dyDescent="0.25">
      <c r="A1" s="22" t="s">
        <v>68</v>
      </c>
      <c r="E1" s="22" t="s">
        <v>95</v>
      </c>
      <c r="I1" s="22" t="s">
        <v>113</v>
      </c>
      <c r="M1" s="22" t="s">
        <v>120</v>
      </c>
      <c r="R1" s="27" t="s">
        <v>77</v>
      </c>
    </row>
    <row r="2" spans="1:22" x14ac:dyDescent="0.2">
      <c r="A2" s="21" t="s">
        <v>69</v>
      </c>
      <c r="B2" s="21" t="s">
        <v>70</v>
      </c>
      <c r="C2" s="21" t="s">
        <v>7</v>
      </c>
      <c r="D2" s="2" t="s">
        <v>6</v>
      </c>
      <c r="E2" s="21" t="s">
        <v>69</v>
      </c>
      <c r="F2" s="21" t="s">
        <v>70</v>
      </c>
      <c r="G2" s="21" t="s">
        <v>7</v>
      </c>
      <c r="H2" s="2" t="s">
        <v>6</v>
      </c>
      <c r="I2" s="21" t="s">
        <v>69</v>
      </c>
      <c r="J2" s="21" t="s">
        <v>70</v>
      </c>
      <c r="K2" s="21" t="s">
        <v>7</v>
      </c>
      <c r="L2" s="2" t="s">
        <v>6</v>
      </c>
      <c r="M2" s="21" t="s">
        <v>69</v>
      </c>
      <c r="N2" s="21" t="s">
        <v>70</v>
      </c>
      <c r="O2" s="21" t="s">
        <v>87</v>
      </c>
      <c r="P2" s="21" t="s">
        <v>7</v>
      </c>
      <c r="Q2" s="2" t="s">
        <v>6</v>
      </c>
      <c r="R2" s="21" t="s">
        <v>75</v>
      </c>
      <c r="S2" s="21" t="s">
        <v>89</v>
      </c>
      <c r="T2" s="21" t="s">
        <v>88</v>
      </c>
      <c r="U2" s="21" t="s">
        <v>3</v>
      </c>
      <c r="V2" s="2" t="s">
        <v>6</v>
      </c>
    </row>
    <row r="3" spans="1:22" x14ac:dyDescent="0.2">
      <c r="A3" t="str">
        <f>Electrocatalysis!A4</f>
        <v>Glycerine</v>
      </c>
      <c r="B3">
        <v>0</v>
      </c>
      <c r="C3" t="str">
        <f>Electrocatalysis!D4</f>
        <v>kg</v>
      </c>
      <c r="D3" t="s">
        <v>147</v>
      </c>
      <c r="E3" s="18" t="s">
        <v>155</v>
      </c>
      <c r="F3">
        <f>-15</f>
        <v>-15</v>
      </c>
      <c r="G3" t="s">
        <v>37</v>
      </c>
      <c r="H3" t="s">
        <v>147</v>
      </c>
      <c r="I3" t="s">
        <v>98</v>
      </c>
      <c r="J3">
        <v>-20000</v>
      </c>
      <c r="K3" t="s">
        <v>27</v>
      </c>
      <c r="L3" t="s">
        <v>147</v>
      </c>
      <c r="M3" t="s">
        <v>71</v>
      </c>
      <c r="R3" t="s">
        <v>78</v>
      </c>
      <c r="S3" t="s">
        <v>86</v>
      </c>
      <c r="T3" t="s">
        <v>90</v>
      </c>
      <c r="V3" t="s">
        <v>76</v>
      </c>
    </row>
    <row r="4" spans="1:22" x14ac:dyDescent="0.2">
      <c r="A4" t="str">
        <f>Electrocatalysis!A5</f>
        <v>Lime</v>
      </c>
      <c r="B4">
        <v>0.3</v>
      </c>
      <c r="C4" t="str">
        <f>Electrocatalysis!D5</f>
        <v>kg</v>
      </c>
      <c r="D4" s="5" t="s">
        <v>147</v>
      </c>
      <c r="E4" t="s">
        <v>96</v>
      </c>
      <c r="F4">
        <v>11</v>
      </c>
      <c r="G4" t="s">
        <v>9</v>
      </c>
      <c r="H4" t="s">
        <v>147</v>
      </c>
      <c r="I4" t="s">
        <v>99</v>
      </c>
      <c r="J4">
        <v>-10000</v>
      </c>
      <c r="K4" t="s">
        <v>27</v>
      </c>
      <c r="L4" t="s">
        <v>147</v>
      </c>
      <c r="M4" t="s">
        <v>72</v>
      </c>
    </row>
    <row r="5" spans="1:22" x14ac:dyDescent="0.2">
      <c r="A5" t="str">
        <f>Electrocatalysis!A6</f>
        <v>Methanol</v>
      </c>
      <c r="B5">
        <v>0.5</v>
      </c>
      <c r="C5" t="str">
        <f>Electrocatalysis!D6</f>
        <v>kg</v>
      </c>
      <c r="D5" t="s">
        <v>147</v>
      </c>
      <c r="M5" t="s">
        <v>74</v>
      </c>
    </row>
    <row r="6" spans="1:22" x14ac:dyDescent="0.2">
      <c r="A6" t="str">
        <f>Electrocatalysis!A7</f>
        <v>Sodium hydroxide</v>
      </c>
      <c r="B6">
        <v>0.3</v>
      </c>
      <c r="C6" t="str">
        <f>Electrocatalysis!D7</f>
        <v>kg</v>
      </c>
      <c r="D6" s="5" t="s">
        <v>147</v>
      </c>
      <c r="M6" t="s">
        <v>73</v>
      </c>
    </row>
    <row r="7" spans="1:22" x14ac:dyDescent="0.2">
      <c r="A7" t="str">
        <f>Electrocatalysis!A8</f>
        <v>Sulfuric acid</v>
      </c>
      <c r="B7">
        <v>0.3</v>
      </c>
      <c r="C7" t="str">
        <f>Electrocatalysis!D8</f>
        <v>kg</v>
      </c>
      <c r="D7" t="s">
        <v>147</v>
      </c>
      <c r="M7" t="s">
        <v>79</v>
      </c>
    </row>
    <row r="8" spans="1:22" x14ac:dyDescent="0.2">
      <c r="A8" t="str">
        <f>Electrocatalysis!A9</f>
        <v>Water</v>
      </c>
      <c r="B8">
        <v>0.1</v>
      </c>
      <c r="C8" t="str">
        <f>Electrocatalysis!D9</f>
        <v>kg</v>
      </c>
      <c r="D8" s="5" t="s">
        <v>147</v>
      </c>
      <c r="M8" t="s">
        <v>80</v>
      </c>
    </row>
    <row r="9" spans="1:22" x14ac:dyDescent="0.2">
      <c r="A9" t="str">
        <f>Electrocatalysis!A10</f>
        <v>Cooling water (refrigerated)</v>
      </c>
      <c r="B9">
        <v>0.05</v>
      </c>
      <c r="C9" t="str">
        <f>Electrocatalysis!D10</f>
        <v>MJ</v>
      </c>
      <c r="D9" t="s">
        <v>147</v>
      </c>
      <c r="M9" t="s">
        <v>81</v>
      </c>
    </row>
    <row r="10" spans="1:22" x14ac:dyDescent="0.2">
      <c r="A10" t="str">
        <f>Electrocatalysis!A11</f>
        <v>Heat, from steam</v>
      </c>
      <c r="B10">
        <v>0.05</v>
      </c>
      <c r="C10" t="str">
        <f>Electrocatalysis!D11</f>
        <v>MJ</v>
      </c>
      <c r="D10" s="5" t="s">
        <v>147</v>
      </c>
      <c r="M10" t="s">
        <v>82</v>
      </c>
    </row>
    <row r="11" spans="1:22" x14ac:dyDescent="0.2">
      <c r="A11" t="str">
        <f>Electrocatalysis!A12</f>
        <v>Electricity</v>
      </c>
      <c r="B11">
        <v>0.1</v>
      </c>
      <c r="C11" t="str">
        <f>Electrocatalysis!D12</f>
        <v>kWh</v>
      </c>
      <c r="D11" t="s">
        <v>147</v>
      </c>
      <c r="M11" t="s">
        <v>83</v>
      </c>
    </row>
    <row r="12" spans="1:22" x14ac:dyDescent="0.2">
      <c r="A12" t="str">
        <f>Electrocatalysis!A13</f>
        <v>Lactic acid</v>
      </c>
      <c r="B12">
        <v>50</v>
      </c>
      <c r="C12" t="str">
        <f>Electrocatalysis!D13</f>
        <v>kg</v>
      </c>
      <c r="D12" s="5" t="s">
        <v>147</v>
      </c>
      <c r="M12" t="s">
        <v>84</v>
      </c>
    </row>
    <row r="13" spans="1:22" x14ac:dyDescent="0.2">
      <c r="A13" t="str">
        <f>Electrocatalysis!A14</f>
        <v>Glycolic acid</v>
      </c>
      <c r="B13">
        <v>50</v>
      </c>
      <c r="C13" t="str">
        <f>Electrocatalysis!D14</f>
        <v>kg</v>
      </c>
      <c r="D13" t="s">
        <v>147</v>
      </c>
      <c r="M13" t="s">
        <v>85</v>
      </c>
    </row>
    <row r="14" spans="1:22" x14ac:dyDescent="0.2">
      <c r="A14" t="str">
        <f>Electrocatalysis!A15</f>
        <v>Glyceric acid</v>
      </c>
      <c r="B14">
        <v>0</v>
      </c>
      <c r="C14" t="str">
        <f>Electrocatalysis!D15</f>
        <v>kg</v>
      </c>
      <c r="D14" s="5" t="s">
        <v>147</v>
      </c>
      <c r="M14" t="s">
        <v>112</v>
      </c>
      <c r="P14" t="s">
        <v>14</v>
      </c>
    </row>
    <row r="15" spans="1:22" x14ac:dyDescent="0.2">
      <c r="A15" t="str">
        <f>Electrocatalysis!A16</f>
        <v>Oxalic acid</v>
      </c>
      <c r="B15">
        <v>0</v>
      </c>
      <c r="C15" t="str">
        <f>Electrocatalysis!D16</f>
        <v>kg</v>
      </c>
      <c r="D15" t="s">
        <v>147</v>
      </c>
      <c r="M15" t="s">
        <v>114</v>
      </c>
      <c r="P15" t="s">
        <v>9</v>
      </c>
    </row>
    <row r="16" spans="1:22" x14ac:dyDescent="0.2">
      <c r="A16" t="str">
        <f>Electrocatalysis!A17</f>
        <v>Formic acid</v>
      </c>
      <c r="B16">
        <v>0</v>
      </c>
      <c r="C16" t="str">
        <f>Electrocatalysis!D17</f>
        <v>kg</v>
      </c>
      <c r="D16" s="5" t="s">
        <v>147</v>
      </c>
    </row>
    <row r="17" spans="1:4" x14ac:dyDescent="0.2">
      <c r="A17" t="str">
        <f>Electrocatalysis!A18</f>
        <v>Hazardous waste, for incineration</v>
      </c>
      <c r="B17">
        <v>0.5</v>
      </c>
      <c r="C17" t="str">
        <f>Electrocatalysis!D18</f>
        <v>kg</v>
      </c>
      <c r="D17" t="s">
        <v>147</v>
      </c>
    </row>
  </sheetData>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80" zoomScaleNormal="80" zoomScalePageLayoutView="80" workbookViewId="0">
      <selection activeCell="B1" sqref="B1"/>
    </sheetView>
  </sheetViews>
  <sheetFormatPr baseColWidth="10" defaultRowHeight="16" x14ac:dyDescent="0.2"/>
  <sheetData>
    <row r="1" spans="1:2" ht="21" x14ac:dyDescent="0.25">
      <c r="B1" s="9" t="s">
        <v>16</v>
      </c>
    </row>
    <row r="2" spans="1:2" x14ac:dyDescent="0.2">
      <c r="A2">
        <v>1</v>
      </c>
      <c r="B2" t="s">
        <v>17</v>
      </c>
    </row>
    <row r="3" spans="1:2" x14ac:dyDescent="0.2">
      <c r="A3">
        <v>2</v>
      </c>
      <c r="B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6"/>
  <sheetViews>
    <sheetView zoomScale="80" zoomScaleNormal="80" zoomScalePageLayoutView="80" workbookViewId="0">
      <selection activeCell="C6" sqref="C6"/>
    </sheetView>
  </sheetViews>
  <sheetFormatPr baseColWidth="10" defaultRowHeight="16" x14ac:dyDescent="0.2"/>
  <cols>
    <col min="2" max="2" width="14.33203125" bestFit="1" customWidth="1"/>
    <col min="3" max="3" width="10.83203125" bestFit="1" customWidth="1"/>
  </cols>
  <sheetData>
    <row r="1" spans="1:5" ht="21" x14ac:dyDescent="0.25">
      <c r="A1" s="14" t="s">
        <v>28</v>
      </c>
    </row>
    <row r="2" spans="1:5" x14ac:dyDescent="0.2">
      <c r="A2" s="1" t="s">
        <v>0</v>
      </c>
      <c r="B2" s="1" t="s">
        <v>1</v>
      </c>
      <c r="C2" s="1" t="s">
        <v>3</v>
      </c>
      <c r="D2" s="1" t="s">
        <v>7</v>
      </c>
      <c r="E2" s="3" t="s">
        <v>167</v>
      </c>
    </row>
    <row r="3" spans="1:5" x14ac:dyDescent="0.2">
      <c r="A3">
        <v>0</v>
      </c>
      <c r="B3" s="36" t="s">
        <v>13</v>
      </c>
      <c r="C3" s="61">
        <f>Intermediate!B55</f>
        <v>6198578.3761470187</v>
      </c>
      <c r="D3" t="s">
        <v>14</v>
      </c>
    </row>
    <row r="4" spans="1:5" x14ac:dyDescent="0.2">
      <c r="A4">
        <v>1</v>
      </c>
      <c r="B4" s="36" t="s">
        <v>166</v>
      </c>
      <c r="C4" s="60">
        <f>AVERAGE(Intermediate!C57:V57)</f>
        <v>9.3093573005214143</v>
      </c>
      <c r="D4" t="s">
        <v>15</v>
      </c>
      <c r="E4" t="s">
        <v>168</v>
      </c>
    </row>
    <row r="5" spans="1:5" x14ac:dyDescent="0.2">
      <c r="A5">
        <v>2</v>
      </c>
      <c r="B5" s="35" t="s">
        <v>11</v>
      </c>
      <c r="C5" s="61">
        <f>Intermediate!B38</f>
        <v>1338273.4672736928</v>
      </c>
      <c r="D5" t="s">
        <v>12</v>
      </c>
      <c r="E5" t="s">
        <v>168</v>
      </c>
    </row>
    <row r="6" spans="1:5" x14ac:dyDescent="0.2">
      <c r="A6">
        <v>3</v>
      </c>
      <c r="B6" s="36" t="s">
        <v>26</v>
      </c>
      <c r="C6" s="63">
        <f>Intermediate!B56*100</f>
        <v>83.859982977225854</v>
      </c>
      <c r="D6"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2060"/>
  </sheetPr>
  <dimension ref="A1:V65"/>
  <sheetViews>
    <sheetView tabSelected="1" topLeftCell="A27" zoomScale="80" zoomScaleNormal="80" zoomScalePageLayoutView="80" workbookViewId="0">
      <selection activeCell="B56" sqref="B56"/>
    </sheetView>
  </sheetViews>
  <sheetFormatPr baseColWidth="10" defaultRowHeight="16" x14ac:dyDescent="0.2"/>
  <cols>
    <col min="1" max="1" width="55.1640625" style="6" bestFit="1" customWidth="1"/>
    <col min="2" max="2" width="17.83203125" style="8" bestFit="1" customWidth="1"/>
    <col min="3" max="3" width="10.83203125" style="8"/>
    <col min="4" max="4" width="17.33203125" style="8" bestFit="1" customWidth="1"/>
    <col min="5" max="21" width="10.83203125" style="8"/>
    <col min="22" max="16384" width="10.83203125" style="6"/>
  </cols>
  <sheetData>
    <row r="1" spans="1:7" ht="21" x14ac:dyDescent="0.25">
      <c r="A1" s="14" t="s">
        <v>115</v>
      </c>
    </row>
    <row r="2" spans="1:7" x14ac:dyDescent="0.2">
      <c r="B2" s="6" t="s">
        <v>70</v>
      </c>
      <c r="C2" s="1" t="s">
        <v>7</v>
      </c>
    </row>
    <row r="3" spans="1:7" x14ac:dyDescent="0.2">
      <c r="A3" s="6" t="s">
        <v>116</v>
      </c>
      <c r="B3" s="8">
        <f>SUM(Equipment_cost_col)</f>
        <v>986000</v>
      </c>
      <c r="C3" s="8" t="s">
        <v>14</v>
      </c>
    </row>
    <row r="4" spans="1:7" x14ac:dyDescent="0.2">
      <c r="A4" s="6" t="s">
        <v>117</v>
      </c>
      <c r="B4" s="8">
        <f>SUM(Installation_costs_col)</f>
        <v>0</v>
      </c>
      <c r="C4" s="8" t="s">
        <v>14</v>
      </c>
    </row>
    <row r="5" spans="1:7" x14ac:dyDescent="0.2">
      <c r="A5" s="21" t="s">
        <v>118</v>
      </c>
      <c r="B5" s="8">
        <f>B3+B4</f>
        <v>986000</v>
      </c>
      <c r="C5" s="8" t="s">
        <v>14</v>
      </c>
    </row>
    <row r="7" spans="1:7" ht="21" x14ac:dyDescent="0.25">
      <c r="A7" s="14" t="s">
        <v>39</v>
      </c>
    </row>
    <row r="8" spans="1:7" x14ac:dyDescent="0.2">
      <c r="A8" s="1"/>
      <c r="B8" s="6" t="s">
        <v>70</v>
      </c>
      <c r="C8" s="1" t="s">
        <v>7</v>
      </c>
    </row>
    <row r="9" spans="1:7" x14ac:dyDescent="0.2">
      <c r="A9" s="49" t="s">
        <v>94</v>
      </c>
      <c r="B9" s="8">
        <f>'Operation param'!C4*'Operation param'!C5</f>
        <v>8030</v>
      </c>
      <c r="C9" s="8" t="s">
        <v>102</v>
      </c>
    </row>
    <row r="10" spans="1:7" x14ac:dyDescent="0.2">
      <c r="A10" s="49" t="s">
        <v>101</v>
      </c>
      <c r="B10" s="8">
        <f>'Operation param'!C4*'Operation param'!C6</f>
        <v>8760</v>
      </c>
      <c r="C10" s="8" t="s">
        <v>102</v>
      </c>
    </row>
    <row r="11" spans="1:7" x14ac:dyDescent="0.2">
      <c r="A11" s="50" t="s">
        <v>40</v>
      </c>
      <c r="B11" s="8">
        <f>'Operation param'!C3*'Operation param'!C5*'Operation param'!C4</f>
        <v>23929.4</v>
      </c>
      <c r="C11" s="8" t="s">
        <v>103</v>
      </c>
    </row>
    <row r="13" spans="1:7" ht="21" x14ac:dyDescent="0.25">
      <c r="A13" s="14" t="s">
        <v>30</v>
      </c>
    </row>
    <row r="14" spans="1:7" x14ac:dyDescent="0.2">
      <c r="A14" s="30"/>
      <c r="B14" s="8" t="s">
        <v>92</v>
      </c>
      <c r="C14" s="31" t="s">
        <v>7</v>
      </c>
      <c r="D14" s="8" t="s">
        <v>152</v>
      </c>
      <c r="E14" s="31" t="s">
        <v>7</v>
      </c>
      <c r="F14" s="8" t="s">
        <v>153</v>
      </c>
      <c r="G14" s="31" t="s">
        <v>7</v>
      </c>
    </row>
    <row r="15" spans="1:7" x14ac:dyDescent="0.2">
      <c r="A15" s="6" t="str">
        <f>Electrocatalysis!A4</f>
        <v>Glycerine</v>
      </c>
      <c r="B15" s="8">
        <f>(Electrocatalysis!B4+Purification!B4)*$B$11</f>
        <v>-375898.20079724002</v>
      </c>
      <c r="C15" s="8" t="str">
        <f>Electrocatalysis!D4&amp;"/yr"</f>
        <v>kg/yr</v>
      </c>
      <c r="D15" s="8">
        <f>IF(B15*Factors!B3&gt;=0,0,B15*Factors!B3)</f>
        <v>0</v>
      </c>
      <c r="E15" s="8" t="s">
        <v>12</v>
      </c>
      <c r="F15" s="8">
        <f>IF(B15*Factors!B3&gt;=0,B15*Factors!B3,0)</f>
        <v>0</v>
      </c>
      <c r="G15" s="8" t="s">
        <v>12</v>
      </c>
    </row>
    <row r="16" spans="1:7" x14ac:dyDescent="0.2">
      <c r="A16" s="6" t="str">
        <f>Electrocatalysis!A5</f>
        <v>Lime</v>
      </c>
      <c r="B16" s="8">
        <f>(Electrocatalysis!B5+Purification!B5)*$B$11</f>
        <v>-59446.7628966552</v>
      </c>
      <c r="C16" s="8" t="str">
        <f>Electrocatalysis!D5&amp;"/yr"</f>
        <v>kg/yr</v>
      </c>
      <c r="D16" s="8">
        <f>IF(B16*Factors!B4&gt;0,0,B16*Factors!B4)</f>
        <v>-17834.02886899656</v>
      </c>
      <c r="E16" s="8" t="s">
        <v>12</v>
      </c>
      <c r="F16" s="8">
        <f>IF(B16*Factors!B4&gt;=0,B16*Factors!B4,0)</f>
        <v>0</v>
      </c>
      <c r="G16" s="8" t="s">
        <v>12</v>
      </c>
    </row>
    <row r="17" spans="1:7" x14ac:dyDescent="0.2">
      <c r="A17" s="6" t="str">
        <f>Electrocatalysis!A6</f>
        <v>Methanol</v>
      </c>
      <c r="B17" s="8">
        <f>(Electrocatalysis!B6+Purification!B6)*$B$11</f>
        <v>-52462.315933022604</v>
      </c>
      <c r="C17" s="8" t="str">
        <f>Electrocatalysis!D6&amp;"/yr"</f>
        <v>kg/yr</v>
      </c>
      <c r="D17" s="8">
        <f>IF(B17*Factors!B5&gt;0,0,B17*Factors!B5)</f>
        <v>-26231.157966511302</v>
      </c>
      <c r="E17" s="8" t="s">
        <v>12</v>
      </c>
      <c r="F17" s="8">
        <f>IF(B17*Factors!B5&gt;=0,B17*Factors!B5,0)</f>
        <v>0</v>
      </c>
      <c r="G17" s="8" t="s">
        <v>12</v>
      </c>
    </row>
    <row r="18" spans="1:7" x14ac:dyDescent="0.2">
      <c r="A18" s="6" t="str">
        <f>Electrocatalysis!A7</f>
        <v>Sodium hydroxide</v>
      </c>
      <c r="B18" s="8">
        <f>(Electrocatalysis!B7+Purification!B7)*$B$11</f>
        <v>0</v>
      </c>
      <c r="C18" s="8" t="str">
        <f>Electrocatalysis!D7&amp;"/yr"</f>
        <v>kg/yr</v>
      </c>
      <c r="D18" s="8">
        <f>IF(B18*Factors!B6&gt;0,0,B18*Factors!B6)</f>
        <v>0</v>
      </c>
      <c r="E18" s="8" t="s">
        <v>12</v>
      </c>
      <c r="F18" s="8">
        <f>IF(B18*Factors!B6&gt;=0,B18*Factors!B6,0)</f>
        <v>0</v>
      </c>
      <c r="G18" s="8" t="s">
        <v>12</v>
      </c>
    </row>
    <row r="19" spans="1:7" x14ac:dyDescent="0.2">
      <c r="A19" s="6" t="str">
        <f>Electrocatalysis!A8</f>
        <v>Sulfuric acid</v>
      </c>
      <c r="B19" s="8">
        <f>(Electrocatalysis!B8+Purification!B8)*$B$11</f>
        <v>-80312.044409152601</v>
      </c>
      <c r="C19" s="8" t="str">
        <f>Electrocatalysis!D8&amp;"/yr"</f>
        <v>kg/yr</v>
      </c>
      <c r="D19" s="8">
        <f>IF(B19*Factors!B7&gt;0,0,B19*Factors!B7)</f>
        <v>-24093.613322745779</v>
      </c>
      <c r="E19" s="8" t="s">
        <v>12</v>
      </c>
      <c r="F19" s="8">
        <f>IF(B19*Factors!B7&gt;=0,B19*Factors!B7,0)</f>
        <v>0</v>
      </c>
      <c r="G19" s="8" t="s">
        <v>12</v>
      </c>
    </row>
    <row r="20" spans="1:7" x14ac:dyDescent="0.2">
      <c r="A20" s="6" t="str">
        <f>Electrocatalysis!A9</f>
        <v>Water</v>
      </c>
      <c r="B20" s="8">
        <f>(Electrocatalysis!B9+Purification!B9)*$B$11</f>
        <v>-39069.218527024401</v>
      </c>
      <c r="C20" s="8" t="str">
        <f>Electrocatalysis!D9&amp;"/yr"</f>
        <v>kg/yr</v>
      </c>
      <c r="D20" s="8">
        <f>IF(B20*Factors!B8&gt;0,0,B20*Factors!B8)</f>
        <v>-3906.9218527024404</v>
      </c>
      <c r="E20" s="8" t="s">
        <v>12</v>
      </c>
      <c r="F20" s="8">
        <f>IF(B20*Factors!B8&gt;=0,B20*Factors!B8,0)</f>
        <v>0</v>
      </c>
      <c r="G20" s="8" t="s">
        <v>12</v>
      </c>
    </row>
    <row r="21" spans="1:7" x14ac:dyDescent="0.2">
      <c r="A21" s="6" t="str">
        <f>Electrocatalysis!A10</f>
        <v>Cooling water (refrigerated)</v>
      </c>
      <c r="B21" s="8">
        <f>(Electrocatalysis!B10+Purification!B10)*$B$11</f>
        <v>-287152.80000000005</v>
      </c>
      <c r="C21" s="8" t="str">
        <f>Electrocatalysis!D10&amp;"/yr"</f>
        <v>MJ/yr</v>
      </c>
      <c r="D21" s="8">
        <f>IF(B21*Factors!B9&gt;0,0,B21*Factors!B9)</f>
        <v>-14357.640000000003</v>
      </c>
      <c r="E21" s="8" t="s">
        <v>12</v>
      </c>
      <c r="F21" s="8">
        <f>IF(B21*Factors!B9&gt;=0,B21*Factors!B9,0)</f>
        <v>0</v>
      </c>
      <c r="G21" s="8" t="s">
        <v>12</v>
      </c>
    </row>
    <row r="22" spans="1:7" x14ac:dyDescent="0.2">
      <c r="A22" s="6" t="str">
        <f>Electrocatalysis!A11</f>
        <v>Heat, from steam</v>
      </c>
      <c r="B22" s="8">
        <f>(Electrocatalysis!B11+Purification!B11)*$B$11</f>
        <v>-430729.2</v>
      </c>
      <c r="C22" s="8" t="str">
        <f>Electrocatalysis!D11&amp;"/yr"</f>
        <v>MJ/yr</v>
      </c>
      <c r="D22" s="8">
        <f>IF(B22*Factors!B10&gt;0,0,B22*Factors!B10)</f>
        <v>-21536.460000000003</v>
      </c>
      <c r="E22" s="8" t="s">
        <v>12</v>
      </c>
      <c r="F22" s="8">
        <f>IF(B22*Factors!B10&gt;=0,B22*Factors!B10,0)</f>
        <v>0</v>
      </c>
      <c r="G22" s="8" t="s">
        <v>12</v>
      </c>
    </row>
    <row r="23" spans="1:7" x14ac:dyDescent="0.2">
      <c r="A23" s="6" t="str">
        <f>Electrocatalysis!A12</f>
        <v>Electricity</v>
      </c>
      <c r="B23" s="8">
        <f>(Electrocatalysis!B12+Purification!B12)*$B$11</f>
        <v>-88277.542008733639</v>
      </c>
      <c r="C23" s="8" t="str">
        <f>Electrocatalysis!D12&amp;"/yr"</f>
        <v>kWh/yr</v>
      </c>
      <c r="D23" s="8">
        <f>IF(B23*Factors!B11&gt;0,0,B23*Factors!B11)</f>
        <v>-8827.7542008733635</v>
      </c>
      <c r="E23" s="8" t="s">
        <v>12</v>
      </c>
      <c r="F23" s="8">
        <f>IF(B23*Factors!B11&gt;=0,B23*Factors!B11,0)</f>
        <v>0</v>
      </c>
      <c r="G23" s="8" t="s">
        <v>12</v>
      </c>
    </row>
    <row r="24" spans="1:7" x14ac:dyDescent="0.2">
      <c r="A24" s="6" t="str">
        <f>Electrocatalysis!A13</f>
        <v>Lactic acid</v>
      </c>
      <c r="B24" s="8">
        <f>(Electrocatalysis!B13+Purification!B13)*$B$11</f>
        <v>23929.4</v>
      </c>
      <c r="C24" s="8" t="str">
        <f>Electrocatalysis!D13&amp;"/yr"</f>
        <v>kg/yr</v>
      </c>
      <c r="D24" s="8">
        <f>IF(B24*Factors!B12&gt;0,0,B24*Factors!B12)</f>
        <v>0</v>
      </c>
      <c r="E24" s="8" t="s">
        <v>12</v>
      </c>
      <c r="F24" s="8">
        <f>IF(B24*Factors!B12&gt;=0,B24*Factors!B12,0)</f>
        <v>1196470</v>
      </c>
      <c r="G24" s="8" t="s">
        <v>12</v>
      </c>
    </row>
    <row r="25" spans="1:7" x14ac:dyDescent="0.2">
      <c r="A25" s="6" t="str">
        <f>Electrocatalysis!A14</f>
        <v>Glycolic acid</v>
      </c>
      <c r="B25" s="8">
        <f>(Electrocatalysis!B14+Purification!B14)*$B$11</f>
        <v>9312.7160372157996</v>
      </c>
      <c r="C25" s="8" t="str">
        <f>Electrocatalysis!D14&amp;"/yr"</f>
        <v>kg/yr</v>
      </c>
      <c r="D25" s="8">
        <f>IF(B25*Factors!B13&gt;0,0,B25*Factors!B13)</f>
        <v>0</v>
      </c>
      <c r="E25" s="8" t="s">
        <v>12</v>
      </c>
      <c r="F25" s="8">
        <f>IF(B25*Factors!B13&gt;=0,B25*Factors!B13,0)</f>
        <v>465635.80186079</v>
      </c>
      <c r="G25" s="8" t="s">
        <v>12</v>
      </c>
    </row>
    <row r="26" spans="1:7" x14ac:dyDescent="0.2">
      <c r="A26" s="6" t="str">
        <f>Electrocatalysis!A15</f>
        <v>Glyceric acid</v>
      </c>
      <c r="B26" s="8">
        <f>(Electrocatalysis!B15+Purification!B15)*$B$11</f>
        <v>0</v>
      </c>
      <c r="C26" s="8" t="str">
        <f>Electrocatalysis!D15&amp;"/yr"</f>
        <v>kg/yr</v>
      </c>
      <c r="D26" s="8">
        <f>IF(B26*Factors!B14&gt;0,0,B26*Factors!B14)</f>
        <v>0</v>
      </c>
      <c r="E26" s="8" t="s">
        <v>12</v>
      </c>
      <c r="F26" s="8">
        <f>IF(B26*Factors!B14&gt;=0,B26*Factors!B14,0)</f>
        <v>0</v>
      </c>
      <c r="G26" s="8" t="s">
        <v>12</v>
      </c>
    </row>
    <row r="27" spans="1:7" x14ac:dyDescent="0.2">
      <c r="A27" s="6" t="str">
        <f>Electrocatalysis!A16</f>
        <v>Oxalic acid</v>
      </c>
      <c r="B27" s="8">
        <f>(Electrocatalysis!B16+Purification!B16)*$B$11</f>
        <v>0</v>
      </c>
      <c r="C27" s="8" t="str">
        <f>Electrocatalysis!D16&amp;"/yr"</f>
        <v>kg/yr</v>
      </c>
      <c r="D27" s="8">
        <f>IF(B27*Factors!B15&gt;0,0,B27*Factors!B15)</f>
        <v>0</v>
      </c>
      <c r="E27" s="8" t="s">
        <v>12</v>
      </c>
      <c r="F27" s="8">
        <f>IF(B27*Factors!B15&gt;=0,B27*Factors!B15,0)</f>
        <v>0</v>
      </c>
      <c r="G27" s="8" t="s">
        <v>12</v>
      </c>
    </row>
    <row r="28" spans="1:7" x14ac:dyDescent="0.2">
      <c r="A28" s="6" t="str">
        <f>Electrocatalysis!A17</f>
        <v>Formic acid</v>
      </c>
      <c r="B28" s="8">
        <f>(Electrocatalysis!B17+Purification!B17)*$B$11</f>
        <v>0</v>
      </c>
      <c r="C28" s="8" t="str">
        <f>Electrocatalysis!D17&amp;"/yr"</f>
        <v>kg/yr</v>
      </c>
      <c r="D28" s="8">
        <f>IF(B28*Factors!B16&gt;0,0,B28*Factors!B16)</f>
        <v>0</v>
      </c>
      <c r="E28" s="8" t="s">
        <v>12</v>
      </c>
      <c r="F28" s="8">
        <f>IF(B28*Factors!B16&gt;=0,B28*Factors!B16,0)</f>
        <v>0</v>
      </c>
      <c r="G28" s="8" t="s">
        <v>12</v>
      </c>
    </row>
    <row r="29" spans="1:7" x14ac:dyDescent="0.2">
      <c r="A29" s="6" t="str">
        <f>Electrocatalysis!A18</f>
        <v>Hazardous waste, for incineration</v>
      </c>
      <c r="B29" s="8">
        <f>(Electrocatalysis!B18+Purification!B18)*$B$11</f>
        <v>-62381.516750535404</v>
      </c>
      <c r="C29" s="8" t="str">
        <f>Electrocatalysis!D18&amp;"/yr"</f>
        <v>kg/yr</v>
      </c>
      <c r="D29" s="8">
        <f>IF(B29*Factors!B17&gt;0,0,B29*Factors!B17)</f>
        <v>-31190.758375267702</v>
      </c>
      <c r="E29" s="8" t="s">
        <v>12</v>
      </c>
      <c r="F29" s="8">
        <f>IF(B29*Factors!B17&gt;=0,B29*Factors!B17,0)</f>
        <v>0</v>
      </c>
      <c r="G29" s="8" t="s">
        <v>12</v>
      </c>
    </row>
    <row r="31" spans="1:7" ht="21" x14ac:dyDescent="0.25">
      <c r="A31" s="14" t="s">
        <v>119</v>
      </c>
    </row>
    <row r="32" spans="1:7" x14ac:dyDescent="0.2">
      <c r="B32" s="8" t="s">
        <v>93</v>
      </c>
      <c r="C32" s="31" t="s">
        <v>7</v>
      </c>
    </row>
    <row r="33" spans="1:22" x14ac:dyDescent="0.2">
      <c r="A33" s="6" t="s">
        <v>110</v>
      </c>
      <c r="B33" s="46">
        <f>SUM(D15:D29)</f>
        <v>-147978.33458709714</v>
      </c>
      <c r="C33" s="8" t="s">
        <v>12</v>
      </c>
    </row>
    <row r="34" spans="1:22" x14ac:dyDescent="0.2">
      <c r="A34" s="6" t="s">
        <v>97</v>
      </c>
      <c r="B34" s="46">
        <f>('Operation param'!C6*'Operation param'!C4*Factors!F3)*(1+Factors!F4/100)</f>
        <v>-145854</v>
      </c>
      <c r="C34" s="8" t="s">
        <v>12</v>
      </c>
    </row>
    <row r="35" spans="1:22" x14ac:dyDescent="0.2">
      <c r="A35" s="6" t="s">
        <v>111</v>
      </c>
      <c r="B35" s="46">
        <f>Factors!J3+Factors!J4</f>
        <v>-30000</v>
      </c>
      <c r="C35" s="8" t="s">
        <v>12</v>
      </c>
    </row>
    <row r="36" spans="1:22" x14ac:dyDescent="0.2">
      <c r="A36" s="21" t="s">
        <v>91</v>
      </c>
      <c r="B36" s="46">
        <f>SUM(B33:B35)</f>
        <v>-323832.33458709717</v>
      </c>
      <c r="C36" s="8" t="s">
        <v>12</v>
      </c>
    </row>
    <row r="37" spans="1:22" x14ac:dyDescent="0.2">
      <c r="A37" s="21" t="s">
        <v>100</v>
      </c>
      <c r="B37" s="8">
        <f>SUM(F15:F29)</f>
        <v>1662105.80186079</v>
      </c>
      <c r="C37" s="8" t="s">
        <v>12</v>
      </c>
    </row>
    <row r="38" spans="1:22" x14ac:dyDescent="0.2">
      <c r="A38" s="36" t="s">
        <v>11</v>
      </c>
      <c r="B38" s="47">
        <f>B37+B36</f>
        <v>1338273.4672736928</v>
      </c>
      <c r="C38" s="8" t="s">
        <v>12</v>
      </c>
    </row>
    <row r="40" spans="1:22" ht="21" x14ac:dyDescent="0.25">
      <c r="A40" s="14" t="s">
        <v>104</v>
      </c>
    </row>
    <row r="41" spans="1:22" s="34" customFormat="1" x14ac:dyDescent="0.2">
      <c r="A41" s="30"/>
      <c r="B41" s="6" t="s">
        <v>70</v>
      </c>
      <c r="C41" s="1" t="s">
        <v>7</v>
      </c>
      <c r="D41" s="33"/>
      <c r="E41" s="33"/>
      <c r="F41" s="33"/>
      <c r="G41" s="33"/>
      <c r="H41" s="33"/>
      <c r="I41" s="33"/>
      <c r="J41" s="33"/>
      <c r="K41" s="33"/>
      <c r="L41" s="33"/>
      <c r="M41" s="33"/>
      <c r="N41" s="33"/>
      <c r="O41" s="33"/>
      <c r="P41" s="33"/>
      <c r="Q41" s="33"/>
      <c r="R41" s="33"/>
      <c r="S41" s="33"/>
      <c r="T41" s="33"/>
      <c r="U41" s="33"/>
    </row>
    <row r="42" spans="1:22" x14ac:dyDescent="0.2">
      <c r="A42" s="4" t="s">
        <v>105</v>
      </c>
      <c r="B42" s="8">
        <f>B3/'Financial param'!I7</f>
        <v>49300</v>
      </c>
      <c r="C42" s="8" t="s">
        <v>12</v>
      </c>
    </row>
    <row r="43" spans="1:22" x14ac:dyDescent="0.2">
      <c r="A43" s="4" t="s">
        <v>109</v>
      </c>
      <c r="B43" s="8">
        <f>B4/'Financial param'!I9</f>
        <v>0</v>
      </c>
      <c r="C43" s="8" t="s">
        <v>12</v>
      </c>
    </row>
    <row r="44" spans="1:22" x14ac:dyDescent="0.2">
      <c r="A44" s="4" t="s">
        <v>106</v>
      </c>
      <c r="B44" s="8">
        <f>B5*'Financial param'!I6/100*'Financial param'!I5/100</f>
        <v>98600</v>
      </c>
      <c r="C44" s="8" t="s">
        <v>156</v>
      </c>
    </row>
    <row r="45" spans="1:22" x14ac:dyDescent="0.2">
      <c r="A45" s="32" t="s">
        <v>107</v>
      </c>
      <c r="B45" s="8">
        <f>SUM(B42:B44)</f>
        <v>147900</v>
      </c>
      <c r="C45" s="8" t="s">
        <v>156</v>
      </c>
    </row>
    <row r="46" spans="1:22" x14ac:dyDescent="0.2">
      <c r="A46" s="50"/>
    </row>
    <row r="47" spans="1:22" ht="21" x14ac:dyDescent="0.25">
      <c r="A47" s="14" t="s">
        <v>29</v>
      </c>
    </row>
    <row r="48" spans="1:22" x14ac:dyDescent="0.2">
      <c r="A48" s="5"/>
      <c r="B48" s="8">
        <v>0</v>
      </c>
      <c r="C48" s="51">
        <v>1</v>
      </c>
      <c r="D48" s="51">
        <v>2</v>
      </c>
      <c r="E48" s="51">
        <v>3</v>
      </c>
      <c r="F48" s="51">
        <v>4</v>
      </c>
      <c r="G48" s="51">
        <v>5</v>
      </c>
      <c r="H48" s="51">
        <v>6</v>
      </c>
      <c r="I48" s="51">
        <v>7</v>
      </c>
      <c r="J48" s="51">
        <v>8</v>
      </c>
      <c r="K48" s="51">
        <v>9</v>
      </c>
      <c r="L48" s="51">
        <v>10</v>
      </c>
      <c r="M48" s="51">
        <v>11</v>
      </c>
      <c r="N48" s="51">
        <v>12</v>
      </c>
      <c r="O48" s="51">
        <v>13</v>
      </c>
      <c r="P48" s="51">
        <v>14</v>
      </c>
      <c r="Q48" s="51">
        <v>15</v>
      </c>
      <c r="R48" s="51">
        <v>16</v>
      </c>
      <c r="S48" s="51">
        <v>17</v>
      </c>
      <c r="T48" s="51">
        <v>18</v>
      </c>
      <c r="U48" s="51">
        <v>19</v>
      </c>
      <c r="V48" s="51">
        <v>20</v>
      </c>
    </row>
    <row r="49" spans="1:22" x14ac:dyDescent="0.2">
      <c r="A49" s="7" t="s">
        <v>161</v>
      </c>
      <c r="B49" s="62"/>
      <c r="C49" s="58">
        <f>B38-B45</f>
        <v>1190373.4672736928</v>
      </c>
      <c r="D49" s="8">
        <f>$B$38-'Financial param'!$I$5/100*($B$5-($B$42+$B$43)*C48)-$B$42-$B$43</f>
        <v>1195303.4672736928</v>
      </c>
      <c r="E49" s="8">
        <f>$B$38-'Financial param'!$I$5/100*($B$5-($B$42+$B$43)*D48)-$B$42-$B$43</f>
        <v>1200233.4672736928</v>
      </c>
      <c r="F49" s="8">
        <f>$B$38-'Financial param'!$I$5/100*($B$5-($B$42+$B$43)*E48)-$B$42-$B$43</f>
        <v>1205163.4672736928</v>
      </c>
      <c r="G49" s="8">
        <f>$B$38-'Financial param'!$I$5/100*($B$5-($B$42+$B$43)*F48)-$B$42-$B$43</f>
        <v>1210093.4672736928</v>
      </c>
      <c r="H49" s="8">
        <f>$B$38-'Financial param'!$I$5/100*($B$5-($B$42+$B$43)*G48)-$B$42-$B$43</f>
        <v>1215023.4672736928</v>
      </c>
      <c r="I49" s="8">
        <f>$B$38-'Financial param'!$I$5/100*($B$5-($B$42+$B$43)*H48)-$B$42-$B$43</f>
        <v>1219953.4672736928</v>
      </c>
      <c r="J49" s="8">
        <f>$B$38-'Financial param'!$I$5/100*($B$5-($B$42+$B$43)*I48)-$B$42-$B$43</f>
        <v>1224883.4672736928</v>
      </c>
      <c r="K49" s="8">
        <f>$B$38-'Financial param'!$I$5/100*($B$5-($B$42+$B$43)*J48)-$B$42-$B$43</f>
        <v>1229813.4672736928</v>
      </c>
      <c r="L49" s="8">
        <f>$B$38-'Financial param'!$I$5/100*($B$5-($B$42+$B$43)*K48)-$B$42-$B$43</f>
        <v>1234743.4672736928</v>
      </c>
      <c r="M49" s="8">
        <f>$B$38-'Financial param'!$I$5/100*($B$5-($B$42+$B$43)*L48)-$B$42-$B$43</f>
        <v>1239673.4672736928</v>
      </c>
      <c r="N49" s="8">
        <f>$B$38-'Financial param'!$I$5/100*($B$5-($B$42+$B$43)*M48)-$B$42-$B$43</f>
        <v>1244603.4672736928</v>
      </c>
      <c r="O49" s="8">
        <f>$B$38-'Financial param'!$I$5/100*($B$5-($B$42+$B$43)*N48)-$B$42-$B$43</f>
        <v>1249533.4672736928</v>
      </c>
      <c r="P49" s="8">
        <f>$B$38-'Financial param'!$I$5/100*($B$5-($B$42+$B$43)*O48)-$B$42-$B$43</f>
        <v>1254463.4672736928</v>
      </c>
      <c r="Q49" s="8">
        <f>$B$38-'Financial param'!$I$5/100*($B$5-($B$42+$B$43)*P48)-$B$42-$B$43</f>
        <v>1259393.4672736928</v>
      </c>
      <c r="R49" s="8">
        <f>$B$38-'Financial param'!$I$5/100*($B$5-($B$42+$B$43)*Q48)-$B$42-$B$43</f>
        <v>1264323.4672736928</v>
      </c>
      <c r="S49" s="8">
        <f>$B$38-'Financial param'!$I$5/100*($B$5-($B$42+$B$43)*R48)-$B$42-$B$43</f>
        <v>1269253.4672736928</v>
      </c>
      <c r="T49" s="8">
        <f>$B$38-'Financial param'!$I$5/100*($B$5-($B$42+$B$43)*S48)-$B$42-$B$43</f>
        <v>1274183.4672736928</v>
      </c>
      <c r="U49" s="8">
        <f>$B$38-'Financial param'!$I$5/100*($B$5-($B$42+$B$43)*T48)-$B$42-$B$43</f>
        <v>1279113.4672736928</v>
      </c>
      <c r="V49" s="8">
        <f>$B$38-'Financial param'!$I$5/100*($B$5-($B$42+$B$43)*U48)-$B$42-$B$43</f>
        <v>1284043.4672736928</v>
      </c>
    </row>
    <row r="50" spans="1:22" x14ac:dyDescent="0.2">
      <c r="A50" s="48" t="s">
        <v>162</v>
      </c>
      <c r="B50" s="62"/>
      <c r="C50" s="8">
        <f>C49*(1-'Financial param'!$I$10/100)</f>
        <v>773742.75372790033</v>
      </c>
      <c r="D50" s="8">
        <f>D49*(1-'Financial param'!$I$10/100)</f>
        <v>776947.25372790033</v>
      </c>
      <c r="E50" s="8">
        <f>E49*(1-'Financial param'!$I$10/100)</f>
        <v>780151.75372790033</v>
      </c>
      <c r="F50" s="8">
        <f>F49*(1-'Financial param'!$I$10/100)</f>
        <v>783356.25372790033</v>
      </c>
      <c r="G50" s="8">
        <f>G49*(1-'Financial param'!$I$10/100)</f>
        <v>786560.75372790033</v>
      </c>
      <c r="H50" s="8">
        <f>H49*(1-'Financial param'!$I$10/100)</f>
        <v>789765.25372790033</v>
      </c>
      <c r="I50" s="8">
        <f>I49*(1-'Financial param'!$I$10/100)</f>
        <v>792969.75372790033</v>
      </c>
      <c r="J50" s="8">
        <f>J49*(1-'Financial param'!$I$10/100)</f>
        <v>796174.25372790033</v>
      </c>
      <c r="K50" s="8">
        <f>K49*(1-'Financial param'!$I$10/100)</f>
        <v>799378.75372790033</v>
      </c>
      <c r="L50" s="8">
        <f>L49*(1-'Financial param'!$I$10/100)</f>
        <v>802583.25372790033</v>
      </c>
      <c r="M50" s="8">
        <f>M49*(1-'Financial param'!$I$10/100)</f>
        <v>805787.75372790033</v>
      </c>
      <c r="N50" s="8">
        <f>N49*(1-'Financial param'!$I$10/100)</f>
        <v>808992.25372790033</v>
      </c>
      <c r="O50" s="8">
        <f>O49*(1-'Financial param'!$I$10/100)</f>
        <v>812196.75372790033</v>
      </c>
      <c r="P50" s="8">
        <f>P49*(1-'Financial param'!$I$10/100)</f>
        <v>815401.25372790033</v>
      </c>
      <c r="Q50" s="8">
        <f>Q49*(1-'Financial param'!$I$10/100)</f>
        <v>818605.75372790033</v>
      </c>
      <c r="R50" s="8">
        <f>R49*(1-'Financial param'!$I$10/100)</f>
        <v>821810.25372790033</v>
      </c>
      <c r="S50" s="8">
        <f>S49*(1-'Financial param'!$I$10/100)</f>
        <v>825014.75372790033</v>
      </c>
      <c r="T50" s="8">
        <f>T49*(1-'Financial param'!$I$10/100)</f>
        <v>828219.25372790033</v>
      </c>
      <c r="U50" s="8">
        <f>U49*(1-'Financial param'!$I$10/100)</f>
        <v>831423.75372790033</v>
      </c>
      <c r="V50" s="8">
        <f>V49*(1-'Financial param'!$I$10/100)</f>
        <v>834628.25372790033</v>
      </c>
    </row>
    <row r="51" spans="1:22" x14ac:dyDescent="0.2">
      <c r="A51" s="28" t="s">
        <v>160</v>
      </c>
      <c r="B51" s="8">
        <f>-B5</f>
        <v>-986000</v>
      </c>
      <c r="C51" s="8">
        <f>C50+$B$42+$B$43</f>
        <v>823042.75372790033</v>
      </c>
      <c r="D51" s="8">
        <f t="shared" ref="D51:V51" si="0">D50+$B$42+$B$43</f>
        <v>826247.25372790033</v>
      </c>
      <c r="E51" s="8">
        <f t="shared" si="0"/>
        <v>829451.75372790033</v>
      </c>
      <c r="F51" s="8">
        <f t="shared" si="0"/>
        <v>832656.25372790033</v>
      </c>
      <c r="G51" s="8">
        <f t="shared" si="0"/>
        <v>835860.75372790033</v>
      </c>
      <c r="H51" s="8">
        <f t="shared" si="0"/>
        <v>839065.25372790033</v>
      </c>
      <c r="I51" s="8">
        <f t="shared" si="0"/>
        <v>842269.75372790033</v>
      </c>
      <c r="J51" s="8">
        <f t="shared" si="0"/>
        <v>845474.25372790033</v>
      </c>
      <c r="K51" s="8">
        <f t="shared" si="0"/>
        <v>848678.75372790033</v>
      </c>
      <c r="L51" s="8">
        <f t="shared" si="0"/>
        <v>851883.25372790033</v>
      </c>
      <c r="M51" s="8">
        <f t="shared" si="0"/>
        <v>855087.75372790033</v>
      </c>
      <c r="N51" s="8">
        <f t="shared" si="0"/>
        <v>858292.25372790033</v>
      </c>
      <c r="O51" s="8">
        <f t="shared" si="0"/>
        <v>861496.75372790033</v>
      </c>
      <c r="P51" s="8">
        <f t="shared" si="0"/>
        <v>864701.25372790033</v>
      </c>
      <c r="Q51" s="8">
        <f t="shared" si="0"/>
        <v>867905.75372790033</v>
      </c>
      <c r="R51" s="8">
        <f t="shared" si="0"/>
        <v>871110.25372790033</v>
      </c>
      <c r="S51" s="8">
        <f>S50+$B$42+$B$43</f>
        <v>874314.75372790033</v>
      </c>
      <c r="T51" s="8">
        <f t="shared" si="0"/>
        <v>877519.25372790033</v>
      </c>
      <c r="U51" s="8">
        <f t="shared" si="0"/>
        <v>880723.75372790033</v>
      </c>
      <c r="V51" s="8">
        <f t="shared" si="0"/>
        <v>883928.25372790033</v>
      </c>
    </row>
    <row r="52" spans="1:22" x14ac:dyDescent="0.2">
      <c r="A52" s="28" t="s">
        <v>169</v>
      </c>
      <c r="B52" s="8">
        <f>B51</f>
        <v>-986000</v>
      </c>
      <c r="C52" s="8">
        <f>C51/((1+'Financial param'!$I$4/100)^Intermediate!C48)</f>
        <v>748220.68520718208</v>
      </c>
      <c r="D52" s="8">
        <f>D51/((1+'Financial param'!$I$4/100)^Intermediate!D48)</f>
        <v>682848.97002305801</v>
      </c>
      <c r="E52" s="8">
        <f>E51/((1+'Financial param'!$I$4/100)^Intermediate!E48)</f>
        <v>623179.37920954172</v>
      </c>
      <c r="F52" s="8">
        <f>F51/((1+'Financial param'!$I$4/100)^Intermediate!F48)</f>
        <v>568715.42499002803</v>
      </c>
      <c r="G52" s="8">
        <f>G51/((1+'Financial param'!$I$4/100)^Intermediate!G48)</f>
        <v>519003.76509795035</v>
      </c>
      <c r="H52" s="8">
        <f>H51/((1+'Financial param'!$I$4/100)^Intermediate!H48)</f>
        <v>473630.46134335763</v>
      </c>
      <c r="I52" s="8">
        <f>I51/((1+'Financial param'!$I$4/100)^Intermediate!I48)</f>
        <v>432217.56186564988</v>
      </c>
      <c r="J52" s="8">
        <f>J51/((1+'Financial param'!$I$4/100)^Intermediate!J48)</f>
        <v>394419.97914138203</v>
      </c>
      <c r="K52" s="8">
        <f>K51/((1+'Financial param'!$I$4/100)^Intermediate!K48)</f>
        <v>359922.63821933098</v>
      </c>
      <c r="L52" s="8">
        <f>L51/((1+'Financial param'!$I$4/100)^Intermediate!L48)</f>
        <v>328437.87185218686</v>
      </c>
      <c r="M52" s="8">
        <f>M51/((1+'Financial param'!$I$4/100)^Intermediate!M48)</f>
        <v>299703.04120287613</v>
      </c>
      <c r="N52" s="8">
        <f>N51/((1+'Financial param'!$I$4/100)^Intermediate!N48)</f>
        <v>273478.36263978569</v>
      </c>
      <c r="O52" s="8">
        <f>O51/((1+'Financial param'!$I$4/100)^Intermediate!O48)</f>
        <v>249544.9228137623</v>
      </c>
      <c r="P52" s="8">
        <f>P51/((1+'Financial param'!$I$4/100)^Intermediate!P48)</f>
        <v>227702.86574420769</v>
      </c>
      <c r="Q52" s="8">
        <f>Q51/((1+'Financial param'!$I$4/100)^Intermediate!Q48)</f>
        <v>207769.73704421049</v>
      </c>
      <c r="R52" s="8">
        <f>R51/((1+'Financial param'!$I$4/100)^Intermediate!R48)</f>
        <v>189578.97169673996</v>
      </c>
      <c r="S52" s="8">
        <f>S51/((1+'Financial param'!$I$4/100)^Intermediate!S48)</f>
        <v>172978.51296579954</v>
      </c>
      <c r="T52" s="8">
        <f>T51/((1+'Financial param'!$I$4/100)^Intermediate!T48)</f>
        <v>157829.55109753637</v>
      </c>
      <c r="U52" s="8">
        <f>U51/((1+'Financial param'!$I$4/100)^Intermediate!U48)</f>
        <v>144005.37144527311</v>
      </c>
      <c r="V52" s="8">
        <f>V51/((1+'Financial param'!$I$4/100)^Intermediate!V48)</f>
        <v>131390.30254716074</v>
      </c>
    </row>
    <row r="53" spans="1:22" x14ac:dyDescent="0.2">
      <c r="A53" s="48" t="s">
        <v>164</v>
      </c>
      <c r="B53" s="62"/>
      <c r="C53" s="46">
        <f>-($B$34+$B$35+$B$42+$B$43+B44)</f>
        <v>27954</v>
      </c>
      <c r="D53" s="46">
        <f>-($B$34+$B$35+$B$42+$B$43+'Financial param'!$I$5/100*($B$5-($B$42+$B$43)*C48))</f>
        <v>32884</v>
      </c>
      <c r="E53" s="46">
        <f>-($B$34+$B$35+$B$42+$B$43+'Financial param'!$I$5/100*($B$5-($B$42+$B$43)*D48))</f>
        <v>37814</v>
      </c>
      <c r="F53" s="46">
        <f>-($B$34+$B$35+$B$42+$B$43+'Financial param'!$I$5/100*($B$5-($B$42+$B$43)*E48))</f>
        <v>42744</v>
      </c>
      <c r="G53" s="46">
        <f>-($B$34+$B$35+$B$42+$B$43+'Financial param'!$I$5/100*($B$5-($B$42+$B$43)*F48))</f>
        <v>47674</v>
      </c>
      <c r="H53" s="46">
        <f>-($B$34+$B$35+$B$42+$B$43+'Financial param'!$I$5/100*($B$5-($B$42+$B$43)*G48))</f>
        <v>52604</v>
      </c>
      <c r="I53" s="46">
        <f>-($B$34+$B$35+$B$42+$B$43+'Financial param'!$I$5/100*($B$5-($B$42+$B$43)*H48))</f>
        <v>57534</v>
      </c>
      <c r="J53" s="46">
        <f>-($B$34+$B$35+$B$42+$B$43+'Financial param'!$I$5/100*($B$5-($B$42+$B$43)*I48))</f>
        <v>62464</v>
      </c>
      <c r="K53" s="46">
        <f>-($B$34+$B$35+$B$42+$B$43+'Financial param'!$I$5/100*($B$5-($B$42+$B$43)*J48))</f>
        <v>67394</v>
      </c>
      <c r="L53" s="46">
        <f>-($B$34+$B$35+$B$42+$B$43+'Financial param'!$I$5/100*($B$5-($B$42+$B$43)*K48))</f>
        <v>72324</v>
      </c>
      <c r="M53" s="46">
        <f>-($B$34+$B$35+$B$42+$B$43+'Financial param'!$I$5/100*($B$5-($B$42+$B$43)*L48))</f>
        <v>77254</v>
      </c>
      <c r="N53" s="46">
        <f>-($B$34+$B$35+$B$42+$B$43+'Financial param'!$I$5/100*($B$5-($B$42+$B$43)*M48))</f>
        <v>82184</v>
      </c>
      <c r="O53" s="46">
        <f>-($B$34+$B$35+$B$42+$B$43+'Financial param'!$I$5/100*($B$5-($B$42+$B$43)*N48))</f>
        <v>87114</v>
      </c>
      <c r="P53" s="46">
        <f>-($B$34+$B$35+$B$42+$B$43+'Financial param'!$I$5/100*($B$5-($B$42+$B$43)*O48))</f>
        <v>92044</v>
      </c>
      <c r="Q53" s="46">
        <f>-($B$34+$B$35+$B$42+$B$43+'Financial param'!$I$5/100*($B$5-($B$42+$B$43)*P48))</f>
        <v>96974</v>
      </c>
      <c r="R53" s="46">
        <f>-($B$34+$B$35+$B$42+$B$43+'Financial param'!$I$5/100*($B$5-($B$42+$B$43)*Q48))</f>
        <v>101904</v>
      </c>
      <c r="S53" s="46">
        <f>-($B$34+$B$35+$B$42+$B$43+'Financial param'!$I$5/100*($B$5-($B$42+$B$43)*R48))</f>
        <v>106834</v>
      </c>
      <c r="T53" s="46">
        <f>-($B$34+$B$35+$B$42+$B$43+'Financial param'!$I$5/100*($B$5-($B$42+$B$43)*S48))</f>
        <v>111764</v>
      </c>
      <c r="U53" s="46">
        <f>-($B$34+$B$35+$B$42+$B$43+'Financial param'!$I$5/100*($B$5-($B$42+$B$43)*T48))</f>
        <v>116694</v>
      </c>
      <c r="V53" s="46">
        <f>-($B$34+$B$35+$B$42+$B$43+'Financial param'!$I$5/100*($B$5-($B$42+$B$43)*U48))</f>
        <v>121624</v>
      </c>
    </row>
    <row r="54" spans="1:22" x14ac:dyDescent="0.2">
      <c r="A54" s="54"/>
      <c r="B54" s="55"/>
    </row>
    <row r="55" spans="1:22" x14ac:dyDescent="0.2">
      <c r="A55" s="35" t="s">
        <v>159</v>
      </c>
      <c r="B55" s="45">
        <f>NPV('Financial param'!I4/100,Intermediate!C51:V51)+B51</f>
        <v>6198578.3761470187</v>
      </c>
    </row>
    <row r="56" spans="1:22" x14ac:dyDescent="0.2">
      <c r="A56" s="56" t="s">
        <v>163</v>
      </c>
      <c r="B56" s="57">
        <f>IRR(B51:V51)</f>
        <v>0.83859982977225855</v>
      </c>
    </row>
    <row r="57" spans="1:22" x14ac:dyDescent="0.2">
      <c r="A57" s="56" t="s">
        <v>165</v>
      </c>
      <c r="C57" s="59">
        <f t="shared" ref="C57:V57" si="1">C53/$B$11+(-$B$33/$B$11)</f>
        <v>7.3521414906808005</v>
      </c>
      <c r="D57" s="59">
        <f t="shared" si="1"/>
        <v>7.5581642075061275</v>
      </c>
      <c r="E57" s="59">
        <f t="shared" si="1"/>
        <v>7.7641869243314563</v>
      </c>
      <c r="F57" s="59">
        <f t="shared" si="1"/>
        <v>7.9702096411567833</v>
      </c>
      <c r="G57" s="59">
        <f t="shared" si="1"/>
        <v>8.1762323579821121</v>
      </c>
      <c r="H57" s="59">
        <f t="shared" si="1"/>
        <v>8.3822550748074391</v>
      </c>
      <c r="I57" s="59">
        <f t="shared" si="1"/>
        <v>8.5882777916327662</v>
      </c>
      <c r="J57" s="59">
        <f t="shared" si="1"/>
        <v>8.794300508458095</v>
      </c>
      <c r="K57" s="59">
        <f t="shared" si="1"/>
        <v>9.0003232252834238</v>
      </c>
      <c r="L57" s="59">
        <f t="shared" si="1"/>
        <v>9.2063459421087508</v>
      </c>
      <c r="M57" s="59">
        <f t="shared" si="1"/>
        <v>9.4123686589340778</v>
      </c>
      <c r="N57" s="59">
        <f t="shared" si="1"/>
        <v>9.6183913757594066</v>
      </c>
      <c r="O57" s="59">
        <f t="shared" si="1"/>
        <v>9.8244140925847336</v>
      </c>
      <c r="P57" s="59">
        <f t="shared" si="1"/>
        <v>10.030436809410062</v>
      </c>
      <c r="Q57" s="59">
        <f t="shared" si="1"/>
        <v>10.236459526235389</v>
      </c>
      <c r="R57" s="59">
        <f t="shared" si="1"/>
        <v>10.442482243060716</v>
      </c>
      <c r="S57" s="59">
        <f t="shared" si="1"/>
        <v>10.648504959886045</v>
      </c>
      <c r="T57" s="59">
        <f t="shared" si="1"/>
        <v>10.854527676711374</v>
      </c>
      <c r="U57" s="59">
        <f t="shared" si="1"/>
        <v>11.060550393536701</v>
      </c>
      <c r="V57" s="59">
        <f t="shared" si="1"/>
        <v>11.266573110362028</v>
      </c>
    </row>
    <row r="58" spans="1:22" x14ac:dyDescent="0.2">
      <c r="A58" s="29"/>
    </row>
    <row r="59" spans="1:22" x14ac:dyDescent="0.2">
      <c r="A59" s="29"/>
    </row>
    <row r="60" spans="1:22" ht="21" x14ac:dyDescent="0.25">
      <c r="A60" s="29"/>
      <c r="C60" s="52"/>
      <c r="D60" s="53"/>
      <c r="E60" s="52"/>
      <c r="F60" s="6"/>
    </row>
    <row r="61" spans="1:22" ht="21" x14ac:dyDescent="0.25">
      <c r="A61" s="29"/>
      <c r="C61" s="52"/>
      <c r="D61" s="52"/>
      <c r="E61" s="52"/>
      <c r="F61" s="52"/>
    </row>
    <row r="62" spans="1:22" ht="21" x14ac:dyDescent="0.25">
      <c r="A62" s="29"/>
      <c r="C62" s="52"/>
      <c r="D62" s="52"/>
      <c r="E62" s="52"/>
      <c r="F62" s="52"/>
    </row>
    <row r="63" spans="1:22" ht="21" x14ac:dyDescent="0.25">
      <c r="A63" s="29"/>
      <c r="C63" s="52"/>
      <c r="D63" s="52"/>
      <c r="E63" s="52"/>
      <c r="F63" s="52"/>
    </row>
    <row r="64" spans="1:22" ht="21" x14ac:dyDescent="0.25">
      <c r="A64" s="29"/>
      <c r="C64" s="52"/>
      <c r="D64" s="52"/>
      <c r="E64" s="52"/>
      <c r="F64" s="52"/>
    </row>
    <row r="65" spans="1:6" ht="21" x14ac:dyDescent="0.25">
      <c r="A65" s="29"/>
      <c r="C65" s="52"/>
      <c r="D65" s="52"/>
      <c r="E65" s="52"/>
      <c r="F65" s="6"/>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zoomScale="80" zoomScaleNormal="80" zoomScalePageLayoutView="80" workbookViewId="0">
      <selection activeCell="I18" sqref="I18"/>
    </sheetView>
  </sheetViews>
  <sheetFormatPr baseColWidth="10" defaultRowHeight="16" x14ac:dyDescent="0.2"/>
  <cols>
    <col min="1" max="1" width="14" bestFit="1" customWidth="1"/>
    <col min="2" max="2" width="19" bestFit="1" customWidth="1"/>
    <col min="6" max="6" width="3.6640625" customWidth="1"/>
    <col min="7" max="7" width="12.83203125" bestFit="1" customWidth="1"/>
    <col min="8" max="8" width="16.33203125" bestFit="1" customWidth="1"/>
  </cols>
  <sheetData>
    <row r="1" spans="1:12" s="10" customFormat="1" ht="21" x14ac:dyDescent="0.25">
      <c r="A1" s="14" t="s">
        <v>2</v>
      </c>
      <c r="G1" s="14" t="s">
        <v>4</v>
      </c>
    </row>
    <row r="2" spans="1:12" x14ac:dyDescent="0.2">
      <c r="A2" s="1" t="s">
        <v>0</v>
      </c>
      <c r="B2" s="1" t="s">
        <v>1</v>
      </c>
      <c r="C2" s="1" t="s">
        <v>3</v>
      </c>
      <c r="D2" s="1" t="s">
        <v>7</v>
      </c>
      <c r="E2" s="3" t="s">
        <v>6</v>
      </c>
      <c r="F2" s="1"/>
      <c r="G2" s="1" t="s">
        <v>0</v>
      </c>
      <c r="H2" s="1" t="s">
        <v>1</v>
      </c>
      <c r="I2" s="1" t="s">
        <v>3</v>
      </c>
      <c r="J2" s="1" t="s">
        <v>7</v>
      </c>
      <c r="K2" s="2" t="s">
        <v>6</v>
      </c>
    </row>
    <row r="3" spans="1:12" x14ac:dyDescent="0.2">
      <c r="A3">
        <v>0</v>
      </c>
      <c r="B3" t="s">
        <v>24</v>
      </c>
      <c r="C3" t="s">
        <v>5</v>
      </c>
      <c r="D3" t="s">
        <v>10</v>
      </c>
      <c r="E3" t="s">
        <v>25</v>
      </c>
      <c r="G3">
        <v>0</v>
      </c>
      <c r="H3" t="s">
        <v>19</v>
      </c>
      <c r="I3">
        <v>20</v>
      </c>
      <c r="J3" t="s">
        <v>9</v>
      </c>
      <c r="K3" t="s">
        <v>147</v>
      </c>
    </row>
    <row r="4" spans="1:12" x14ac:dyDescent="0.2">
      <c r="G4">
        <v>1</v>
      </c>
      <c r="H4" t="s">
        <v>20</v>
      </c>
      <c r="I4">
        <v>10</v>
      </c>
      <c r="J4" t="s">
        <v>9</v>
      </c>
      <c r="K4" t="s">
        <v>147</v>
      </c>
    </row>
    <row r="5" spans="1:12" x14ac:dyDescent="0.2">
      <c r="G5">
        <v>2</v>
      </c>
      <c r="H5" t="s">
        <v>21</v>
      </c>
      <c r="I5">
        <v>10</v>
      </c>
      <c r="J5" t="s">
        <v>9</v>
      </c>
      <c r="K5" t="s">
        <v>147</v>
      </c>
    </row>
    <row r="6" spans="1:12" x14ac:dyDescent="0.2">
      <c r="G6">
        <v>3</v>
      </c>
      <c r="H6" t="s">
        <v>158</v>
      </c>
      <c r="I6">
        <v>100</v>
      </c>
      <c r="J6" t="s">
        <v>9</v>
      </c>
      <c r="K6" t="s">
        <v>147</v>
      </c>
    </row>
    <row r="7" spans="1:12" x14ac:dyDescent="0.2">
      <c r="G7">
        <v>4</v>
      </c>
      <c r="H7" t="s">
        <v>22</v>
      </c>
      <c r="I7">
        <v>20</v>
      </c>
      <c r="J7" t="s">
        <v>8</v>
      </c>
      <c r="K7" t="s">
        <v>147</v>
      </c>
    </row>
    <row r="8" spans="1:12" x14ac:dyDescent="0.2">
      <c r="G8">
        <v>5</v>
      </c>
      <c r="H8" t="s">
        <v>23</v>
      </c>
      <c r="I8">
        <v>20</v>
      </c>
      <c r="J8" t="s">
        <v>8</v>
      </c>
      <c r="K8" t="s">
        <v>147</v>
      </c>
    </row>
    <row r="9" spans="1:12" x14ac:dyDescent="0.2">
      <c r="G9">
        <v>6</v>
      </c>
      <c r="H9" t="s">
        <v>108</v>
      </c>
      <c r="I9">
        <v>20</v>
      </c>
      <c r="J9" t="s">
        <v>8</v>
      </c>
      <c r="K9" t="s">
        <v>147</v>
      </c>
    </row>
    <row r="10" spans="1:12" x14ac:dyDescent="0.2">
      <c r="G10">
        <v>7</v>
      </c>
      <c r="H10" t="s">
        <v>157</v>
      </c>
      <c r="I10">
        <v>35</v>
      </c>
      <c r="J10" t="s">
        <v>9</v>
      </c>
      <c r="K10" t="s">
        <v>147</v>
      </c>
    </row>
    <row r="11" spans="1:12" x14ac:dyDescent="0.2">
      <c r="G11">
        <v>8</v>
      </c>
      <c r="H11" s="5" t="s">
        <v>180</v>
      </c>
      <c r="I11" s="5">
        <v>20</v>
      </c>
      <c r="J11" s="5" t="s">
        <v>8</v>
      </c>
      <c r="K11" s="5" t="s">
        <v>147</v>
      </c>
      <c r="L11" s="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zoomScale="80" zoomScaleNormal="80" zoomScalePageLayoutView="80" workbookViewId="0">
      <selection activeCell="E4" sqref="E4"/>
    </sheetView>
  </sheetViews>
  <sheetFormatPr baseColWidth="10" defaultRowHeight="16" x14ac:dyDescent="0.2"/>
  <cols>
    <col min="1" max="1" width="31.5" bestFit="1" customWidth="1"/>
    <col min="2" max="2" width="32.5" bestFit="1" customWidth="1"/>
    <col min="10" max="10" width="25.33203125" bestFit="1" customWidth="1"/>
  </cols>
  <sheetData>
    <row r="1" spans="1:10" s="10" customFormat="1" ht="21" x14ac:dyDescent="0.25">
      <c r="A1" s="14" t="s">
        <v>4</v>
      </c>
      <c r="J1" s="11"/>
    </row>
    <row r="2" spans="1:10" x14ac:dyDescent="0.2">
      <c r="A2" s="1" t="s">
        <v>0</v>
      </c>
      <c r="B2" s="1" t="s">
        <v>1</v>
      </c>
      <c r="C2" s="1" t="s">
        <v>3</v>
      </c>
      <c r="D2" s="1" t="s">
        <v>7</v>
      </c>
      <c r="E2" s="2" t="s">
        <v>6</v>
      </c>
    </row>
    <row r="3" spans="1:10" x14ac:dyDescent="0.2">
      <c r="A3" s="6">
        <v>0</v>
      </c>
      <c r="B3" s="6" t="s">
        <v>149</v>
      </c>
      <c r="C3" s="6">
        <v>2.98</v>
      </c>
      <c r="D3" s="6" t="s">
        <v>148</v>
      </c>
      <c r="E3" s="42" t="s">
        <v>151</v>
      </c>
    </row>
    <row r="4" spans="1:10" x14ac:dyDescent="0.2">
      <c r="A4">
        <v>1</v>
      </c>
      <c r="B4" s="18" t="s">
        <v>35</v>
      </c>
      <c r="C4">
        <v>365</v>
      </c>
      <c r="D4" t="s">
        <v>36</v>
      </c>
      <c r="E4" t="s">
        <v>147</v>
      </c>
    </row>
    <row r="5" spans="1:10" x14ac:dyDescent="0.2">
      <c r="A5">
        <v>2</v>
      </c>
      <c r="B5" s="18" t="s">
        <v>38</v>
      </c>
      <c r="C5">
        <v>22</v>
      </c>
      <c r="D5" t="s">
        <v>37</v>
      </c>
      <c r="E5" t="s">
        <v>147</v>
      </c>
    </row>
    <row r="6" spans="1:10" x14ac:dyDescent="0.2">
      <c r="A6">
        <v>3</v>
      </c>
      <c r="B6" s="18" t="s">
        <v>154</v>
      </c>
      <c r="C6">
        <v>24</v>
      </c>
      <c r="D6" t="s">
        <v>37</v>
      </c>
      <c r="E6" t="s">
        <v>147</v>
      </c>
    </row>
    <row r="7" spans="1:10" x14ac:dyDescent="0.2">
      <c r="B7" s="4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80" zoomScaleNormal="80" zoomScalePageLayoutView="80" workbookViewId="0">
      <selection activeCell="F3" sqref="F3"/>
    </sheetView>
  </sheetViews>
  <sheetFormatPr baseColWidth="10" defaultRowHeight="16" x14ac:dyDescent="0.2"/>
  <cols>
    <col min="1" max="1" width="12.83203125" bestFit="1" customWidth="1"/>
    <col min="2" max="2" width="34" bestFit="1" customWidth="1"/>
    <col min="3" max="3" width="15.1640625" bestFit="1" customWidth="1"/>
    <col min="4" max="4" width="16.5" bestFit="1" customWidth="1"/>
  </cols>
  <sheetData>
    <row r="1" spans="1:6" ht="21" x14ac:dyDescent="0.25">
      <c r="A1" s="14" t="s">
        <v>4</v>
      </c>
    </row>
    <row r="2" spans="1:6" x14ac:dyDescent="0.2">
      <c r="A2" s="1" t="s">
        <v>0</v>
      </c>
      <c r="B2" s="1" t="s">
        <v>1</v>
      </c>
      <c r="C2" s="1" t="s">
        <v>145</v>
      </c>
      <c r="D2" s="1" t="s">
        <v>146</v>
      </c>
      <c r="E2" s="1" t="s">
        <v>7</v>
      </c>
      <c r="F2" s="2" t="s">
        <v>6</v>
      </c>
    </row>
    <row r="3" spans="1:6" x14ac:dyDescent="0.2">
      <c r="A3">
        <v>0</v>
      </c>
      <c r="B3" t="s">
        <v>125</v>
      </c>
      <c r="C3" s="41">
        <v>59600</v>
      </c>
      <c r="E3" t="s">
        <v>144</v>
      </c>
      <c r="F3" t="s">
        <v>150</v>
      </c>
    </row>
    <row r="4" spans="1:6" x14ac:dyDescent="0.2">
      <c r="A4">
        <v>1</v>
      </c>
      <c r="B4" t="s">
        <v>126</v>
      </c>
      <c r="C4" s="41">
        <v>34000</v>
      </c>
      <c r="E4" t="s">
        <v>144</v>
      </c>
    </row>
    <row r="5" spans="1:6" x14ac:dyDescent="0.2">
      <c r="A5">
        <v>2</v>
      </c>
      <c r="B5" t="s">
        <v>127</v>
      </c>
      <c r="C5" s="41">
        <v>21400</v>
      </c>
      <c r="E5" t="s">
        <v>144</v>
      </c>
    </row>
    <row r="6" spans="1:6" x14ac:dyDescent="0.2">
      <c r="A6">
        <v>3</v>
      </c>
      <c r="B6" t="s">
        <v>128</v>
      </c>
      <c r="C6" s="41">
        <v>0</v>
      </c>
      <c r="E6" t="s">
        <v>144</v>
      </c>
    </row>
    <row r="7" spans="1:6" x14ac:dyDescent="0.2">
      <c r="A7">
        <v>4</v>
      </c>
      <c r="B7" t="s">
        <v>129</v>
      </c>
      <c r="C7" s="41">
        <v>21400</v>
      </c>
      <c r="E7" t="s">
        <v>144</v>
      </c>
    </row>
    <row r="8" spans="1:6" x14ac:dyDescent="0.2">
      <c r="A8">
        <v>5</v>
      </c>
      <c r="B8" t="s">
        <v>130</v>
      </c>
      <c r="C8" s="41">
        <v>567600</v>
      </c>
      <c r="E8" t="s">
        <v>144</v>
      </c>
    </row>
    <row r="9" spans="1:6" x14ac:dyDescent="0.2">
      <c r="A9">
        <v>6</v>
      </c>
      <c r="B9" t="s">
        <v>131</v>
      </c>
      <c r="C9" s="41">
        <v>49400</v>
      </c>
      <c r="E9" t="s">
        <v>144</v>
      </c>
    </row>
    <row r="10" spans="1:6" x14ac:dyDescent="0.2">
      <c r="A10">
        <v>7</v>
      </c>
      <c r="B10" t="s">
        <v>132</v>
      </c>
      <c r="C10" s="41">
        <v>0</v>
      </c>
      <c r="E10" t="s">
        <v>144</v>
      </c>
    </row>
    <row r="11" spans="1:6" x14ac:dyDescent="0.2">
      <c r="A11">
        <v>8</v>
      </c>
      <c r="B11" t="s">
        <v>133</v>
      </c>
      <c r="C11" s="41">
        <v>21700</v>
      </c>
      <c r="E11" t="s">
        <v>144</v>
      </c>
    </row>
    <row r="12" spans="1:6" x14ac:dyDescent="0.2">
      <c r="A12">
        <v>9</v>
      </c>
      <c r="B12" t="s">
        <v>134</v>
      </c>
      <c r="C12" s="41">
        <v>22800</v>
      </c>
      <c r="E12" t="s">
        <v>144</v>
      </c>
    </row>
    <row r="13" spans="1:6" x14ac:dyDescent="0.2">
      <c r="A13">
        <v>10</v>
      </c>
      <c r="B13" t="s">
        <v>135</v>
      </c>
      <c r="C13" s="41">
        <v>25700</v>
      </c>
      <c r="E13" t="s">
        <v>144</v>
      </c>
    </row>
    <row r="14" spans="1:6" x14ac:dyDescent="0.2">
      <c r="A14">
        <v>11</v>
      </c>
      <c r="B14" t="s">
        <v>136</v>
      </c>
      <c r="C14" s="41">
        <v>22800</v>
      </c>
      <c r="E14" t="s">
        <v>144</v>
      </c>
    </row>
    <row r="15" spans="1:6" x14ac:dyDescent="0.2">
      <c r="A15">
        <v>12</v>
      </c>
      <c r="B15" t="s">
        <v>137</v>
      </c>
      <c r="C15" s="41">
        <v>0</v>
      </c>
      <c r="E15" t="s">
        <v>144</v>
      </c>
    </row>
    <row r="16" spans="1:6" x14ac:dyDescent="0.2">
      <c r="A16">
        <v>13</v>
      </c>
      <c r="B16" t="s">
        <v>138</v>
      </c>
      <c r="C16" s="41">
        <v>22800</v>
      </c>
      <c r="E16" t="s">
        <v>144</v>
      </c>
    </row>
    <row r="17" spans="1:5" x14ac:dyDescent="0.2">
      <c r="A17">
        <v>14</v>
      </c>
      <c r="B17" t="s">
        <v>139</v>
      </c>
      <c r="C17" s="41">
        <v>22800</v>
      </c>
      <c r="E17" t="s">
        <v>144</v>
      </c>
    </row>
    <row r="18" spans="1:5" x14ac:dyDescent="0.2">
      <c r="A18">
        <v>15</v>
      </c>
      <c r="B18" t="s">
        <v>140</v>
      </c>
      <c r="C18" s="41">
        <v>21700</v>
      </c>
      <c r="E18" t="s">
        <v>144</v>
      </c>
    </row>
    <row r="19" spans="1:5" x14ac:dyDescent="0.2">
      <c r="A19">
        <v>16</v>
      </c>
      <c r="B19" t="s">
        <v>141</v>
      </c>
      <c r="C19" s="41">
        <v>22800</v>
      </c>
      <c r="E19" t="s">
        <v>144</v>
      </c>
    </row>
    <row r="20" spans="1:5" x14ac:dyDescent="0.2">
      <c r="A20">
        <v>17</v>
      </c>
      <c r="B20" t="s">
        <v>142</v>
      </c>
      <c r="C20" s="41">
        <v>21700</v>
      </c>
      <c r="E20" t="s">
        <v>144</v>
      </c>
    </row>
    <row r="21" spans="1:5" x14ac:dyDescent="0.2">
      <c r="A21">
        <v>18</v>
      </c>
      <c r="B21" t="s">
        <v>143</v>
      </c>
      <c r="C21" s="41">
        <v>27800</v>
      </c>
      <c r="E21" t="s">
        <v>144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zoomScalePageLayoutView="80" workbookViewId="0">
      <selection activeCell="L28" sqref="L27:L28"/>
    </sheetView>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
  <sheetViews>
    <sheetView zoomScale="80" zoomScaleNormal="80" zoomScalePageLayoutView="80" workbookViewId="0">
      <selection activeCell="B18" sqref="B18"/>
    </sheetView>
  </sheetViews>
  <sheetFormatPr baseColWidth="10" defaultRowHeight="16" x14ac:dyDescent="0.2"/>
  <cols>
    <col min="1" max="1" width="67" customWidth="1"/>
    <col min="2" max="2" width="22.83203125" bestFit="1" customWidth="1"/>
    <col min="3" max="4" width="17.5" customWidth="1"/>
  </cols>
  <sheetData>
    <row r="1" spans="1:5" ht="21" x14ac:dyDescent="0.25">
      <c r="A1" s="23" t="s">
        <v>57</v>
      </c>
      <c r="B1" s="25">
        <v>4</v>
      </c>
    </row>
    <row r="2" spans="1:5" ht="21" x14ac:dyDescent="0.25">
      <c r="A2" s="23" t="s">
        <v>55</v>
      </c>
      <c r="B2" s="25" t="s">
        <v>56</v>
      </c>
    </row>
    <row r="3" spans="1:5" s="12" customFormat="1" ht="42" x14ac:dyDescent="0.2">
      <c r="A3" s="24" t="s">
        <v>66</v>
      </c>
      <c r="B3" s="19" t="s">
        <v>67</v>
      </c>
      <c r="C3" s="20" t="s">
        <v>46</v>
      </c>
      <c r="D3" s="13" t="s">
        <v>31</v>
      </c>
      <c r="E3" s="43" t="s">
        <v>6</v>
      </c>
    </row>
    <row r="4" spans="1:5" x14ac:dyDescent="0.2">
      <c r="A4" t="s">
        <v>47</v>
      </c>
      <c r="B4">
        <v>-15.7086346</v>
      </c>
      <c r="D4" t="s">
        <v>63</v>
      </c>
      <c r="E4" t="s">
        <v>170</v>
      </c>
    </row>
    <row r="5" spans="1:5" x14ac:dyDescent="0.2">
      <c r="A5" t="s">
        <v>48</v>
      </c>
      <c r="B5">
        <v>-2.484256308</v>
      </c>
      <c r="D5" t="s">
        <v>63</v>
      </c>
      <c r="E5" t="s">
        <v>171</v>
      </c>
    </row>
    <row r="6" spans="1:5" x14ac:dyDescent="0.2">
      <c r="A6" t="s">
        <v>49</v>
      </c>
      <c r="B6">
        <v>-2.1923790790000002</v>
      </c>
      <c r="D6" t="s">
        <v>63</v>
      </c>
      <c r="E6" t="s">
        <v>172</v>
      </c>
    </row>
    <row r="7" spans="1:5" x14ac:dyDescent="0.2">
      <c r="A7" t="s">
        <v>50</v>
      </c>
      <c r="B7">
        <v>0</v>
      </c>
      <c r="D7" t="s">
        <v>63</v>
      </c>
      <c r="E7" s="64" t="s">
        <v>173</v>
      </c>
    </row>
    <row r="8" spans="1:5" x14ac:dyDescent="0.2">
      <c r="A8" t="s">
        <v>51</v>
      </c>
      <c r="B8">
        <v>-3.3562080289999998</v>
      </c>
      <c r="D8" t="s">
        <v>63</v>
      </c>
      <c r="E8" t="s">
        <v>174</v>
      </c>
    </row>
    <row r="9" spans="1:5" x14ac:dyDescent="0.2">
      <c r="A9" t="s">
        <v>52</v>
      </c>
      <c r="B9">
        <f>-1.233042166-0.39964476</f>
        <v>-1.6326869259999999</v>
      </c>
      <c r="D9" t="s">
        <v>63</v>
      </c>
      <c r="E9" s="64" t="s">
        <v>177</v>
      </c>
    </row>
    <row r="10" spans="1:5" x14ac:dyDescent="0.2">
      <c r="A10" t="s">
        <v>58</v>
      </c>
      <c r="B10">
        <v>-12</v>
      </c>
      <c r="D10" t="s">
        <v>64</v>
      </c>
      <c r="E10" s="64" t="s">
        <v>175</v>
      </c>
    </row>
    <row r="11" spans="1:5" x14ac:dyDescent="0.2">
      <c r="A11" t="s">
        <v>53</v>
      </c>
      <c r="B11">
        <v>-18</v>
      </c>
      <c r="D11" t="s">
        <v>64</v>
      </c>
      <c r="E11" s="64" t="s">
        <v>178</v>
      </c>
    </row>
    <row r="12" spans="1:5" x14ac:dyDescent="0.2">
      <c r="A12" t="s">
        <v>54</v>
      </c>
      <c r="B12" s="26">
        <f>-1.92*4.4*3.2*3.6/7.328/3.6</f>
        <v>-3.6890829694323148</v>
      </c>
      <c r="D12" t="s">
        <v>179</v>
      </c>
      <c r="E12" s="64" t="s">
        <v>176</v>
      </c>
    </row>
    <row r="13" spans="1:5" x14ac:dyDescent="0.2">
      <c r="A13" s="21" t="s">
        <v>56</v>
      </c>
      <c r="B13">
        <v>1</v>
      </c>
      <c r="D13" t="s">
        <v>63</v>
      </c>
    </row>
    <row r="14" spans="1:5" x14ac:dyDescent="0.2">
      <c r="A14" t="s">
        <v>59</v>
      </c>
      <c r="B14">
        <v>0.38917465699999998</v>
      </c>
      <c r="D14" t="s">
        <v>63</v>
      </c>
    </row>
    <row r="15" spans="1:5" x14ac:dyDescent="0.2">
      <c r="A15" t="s">
        <v>60</v>
      </c>
      <c r="B15">
        <v>0</v>
      </c>
      <c r="D15" t="s">
        <v>63</v>
      </c>
    </row>
    <row r="16" spans="1:5" x14ac:dyDescent="0.2">
      <c r="A16" t="s">
        <v>61</v>
      </c>
      <c r="B16">
        <v>0</v>
      </c>
      <c r="D16" t="s">
        <v>63</v>
      </c>
    </row>
    <row r="17" spans="1:4" x14ac:dyDescent="0.2">
      <c r="A17" t="s">
        <v>62</v>
      </c>
      <c r="B17">
        <v>0</v>
      </c>
      <c r="D17" t="s">
        <v>63</v>
      </c>
    </row>
    <row r="18" spans="1:4" x14ac:dyDescent="0.2">
      <c r="A18" t="s">
        <v>65</v>
      </c>
      <c r="B18">
        <f>-2.606898491</f>
        <v>-2.6068984909999999</v>
      </c>
      <c r="D18" t="s">
        <v>63</v>
      </c>
    </row>
  </sheetData>
  <pageMargins left="0.7" right="0.7" top="0.75" bottom="0.75" header="0.3" footer="0.3"/>
  <pageSetup orientation="portrait" horizontalDpi="0" verticalDpi="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
  <sheetViews>
    <sheetView zoomScale="80" zoomScaleNormal="80" zoomScalePageLayoutView="80" workbookViewId="0">
      <selection activeCell="B4" sqref="B4:B18"/>
    </sheetView>
  </sheetViews>
  <sheetFormatPr baseColWidth="10" defaultRowHeight="16" x14ac:dyDescent="0.2"/>
  <cols>
    <col min="1" max="1" width="67" customWidth="1"/>
    <col min="2" max="2" width="22.83203125" bestFit="1" customWidth="1"/>
    <col min="3" max="4" width="17.5" customWidth="1"/>
  </cols>
  <sheetData>
    <row r="1" spans="1:5" ht="21" x14ac:dyDescent="0.25">
      <c r="A1" s="23" t="s">
        <v>57</v>
      </c>
      <c r="B1" s="25">
        <v>3</v>
      </c>
    </row>
    <row r="2" spans="1:5" ht="21" x14ac:dyDescent="0.25">
      <c r="A2" s="23" t="s">
        <v>55</v>
      </c>
      <c r="B2" s="25" t="s">
        <v>56</v>
      </c>
    </row>
    <row r="3" spans="1:5" s="12" customFormat="1" ht="42" x14ac:dyDescent="0.2">
      <c r="A3" s="24" t="s">
        <v>66</v>
      </c>
      <c r="B3" s="19" t="s">
        <v>67</v>
      </c>
      <c r="C3" s="20" t="s">
        <v>46</v>
      </c>
      <c r="D3" s="13" t="s">
        <v>31</v>
      </c>
      <c r="E3" s="43" t="s">
        <v>6</v>
      </c>
    </row>
    <row r="4" spans="1:5" x14ac:dyDescent="0.2">
      <c r="A4" t="s">
        <v>47</v>
      </c>
      <c r="B4">
        <v>0</v>
      </c>
      <c r="D4" t="s">
        <v>63</v>
      </c>
    </row>
    <row r="5" spans="1:5" x14ac:dyDescent="0.2">
      <c r="A5" t="s">
        <v>48</v>
      </c>
      <c r="B5">
        <v>0</v>
      </c>
      <c r="D5" t="s">
        <v>63</v>
      </c>
    </row>
    <row r="6" spans="1:5" x14ac:dyDescent="0.2">
      <c r="A6" t="s">
        <v>49</v>
      </c>
      <c r="B6">
        <v>0</v>
      </c>
      <c r="D6" t="s">
        <v>63</v>
      </c>
    </row>
    <row r="7" spans="1:5" x14ac:dyDescent="0.2">
      <c r="A7" t="s">
        <v>50</v>
      </c>
      <c r="B7">
        <v>0</v>
      </c>
      <c r="D7" t="s">
        <v>63</v>
      </c>
    </row>
    <row r="8" spans="1:5" x14ac:dyDescent="0.2">
      <c r="A8" t="s">
        <v>51</v>
      </c>
      <c r="B8">
        <v>0</v>
      </c>
      <c r="D8" t="s">
        <v>63</v>
      </c>
    </row>
    <row r="9" spans="1:5" x14ac:dyDescent="0.2">
      <c r="A9" t="s">
        <v>52</v>
      </c>
      <c r="B9">
        <v>0</v>
      </c>
      <c r="D9" t="s">
        <v>63</v>
      </c>
    </row>
    <row r="10" spans="1:5" x14ac:dyDescent="0.2">
      <c r="A10" t="s">
        <v>58</v>
      </c>
      <c r="B10">
        <v>0</v>
      </c>
      <c r="D10" t="s">
        <v>64</v>
      </c>
    </row>
    <row r="11" spans="1:5" x14ac:dyDescent="0.2">
      <c r="A11" t="s">
        <v>53</v>
      </c>
      <c r="B11">
        <v>0</v>
      </c>
      <c r="D11" t="s">
        <v>64</v>
      </c>
    </row>
    <row r="12" spans="1:5" x14ac:dyDescent="0.2">
      <c r="A12" t="s">
        <v>54</v>
      </c>
      <c r="B12">
        <v>0</v>
      </c>
      <c r="D12" t="s">
        <v>179</v>
      </c>
    </row>
    <row r="13" spans="1:5" x14ac:dyDescent="0.2">
      <c r="A13" s="21" t="s">
        <v>56</v>
      </c>
      <c r="B13">
        <v>0</v>
      </c>
      <c r="D13" t="s">
        <v>63</v>
      </c>
    </row>
    <row r="14" spans="1:5" x14ac:dyDescent="0.2">
      <c r="A14" t="s">
        <v>59</v>
      </c>
      <c r="B14">
        <v>0</v>
      </c>
      <c r="D14" t="s">
        <v>63</v>
      </c>
    </row>
    <row r="15" spans="1:5" x14ac:dyDescent="0.2">
      <c r="A15" t="s">
        <v>60</v>
      </c>
      <c r="B15">
        <v>0</v>
      </c>
      <c r="D15" t="s">
        <v>63</v>
      </c>
    </row>
    <row r="16" spans="1:5" x14ac:dyDescent="0.2">
      <c r="A16" t="s">
        <v>61</v>
      </c>
      <c r="B16">
        <v>0</v>
      </c>
      <c r="D16" t="s">
        <v>63</v>
      </c>
    </row>
    <row r="17" spans="1:4" x14ac:dyDescent="0.2">
      <c r="A17" t="s">
        <v>62</v>
      </c>
      <c r="B17">
        <v>0</v>
      </c>
      <c r="D17" t="s">
        <v>63</v>
      </c>
    </row>
    <row r="18" spans="1:4" x14ac:dyDescent="0.2">
      <c r="A18" t="s">
        <v>65</v>
      </c>
      <c r="B18">
        <v>0</v>
      </c>
      <c r="D18" t="s">
        <v>63</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TEA_results</vt:lpstr>
      <vt:lpstr>Intermediate</vt:lpstr>
      <vt:lpstr>Financial param</vt:lpstr>
      <vt:lpstr>Operation param</vt:lpstr>
      <vt:lpstr>Infra. param</vt:lpstr>
      <vt:lpstr>Industrial learning</vt:lpstr>
      <vt:lpstr>Electrocatalysis</vt:lpstr>
      <vt:lpstr>Purification</vt:lpstr>
      <vt:lpstr>Factors</vt:lpstr>
      <vt:lpstr>High_lvl_assumptions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Qingshi (tuqi)</dc:creator>
  <cp:lastModifiedBy>Tu, Qingshi (tuqi)</cp:lastModifiedBy>
  <dcterms:created xsi:type="dcterms:W3CDTF">2019-10-18T15:21:00Z</dcterms:created>
  <dcterms:modified xsi:type="dcterms:W3CDTF">2019-12-28T15:58:47Z</dcterms:modified>
</cp:coreProperties>
</file>