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Qingshi/Documents/University of British Columbia/Publications_QT/In_process_Journal papers/UBC/[Jason] electrocatalysis LCA/LA project/python scripts/upload to github/"/>
    </mc:Choice>
  </mc:AlternateContent>
  <xr:revisionPtr revIDLastSave="0" documentId="13_ncr:1_{47304CFD-CB12-A549-A516-6EE1BEC0AAC4}" xr6:coauthVersionLast="45" xr6:coauthVersionMax="45" xr10:uidLastSave="{00000000-0000-0000-0000-000000000000}"/>
  <bookViews>
    <workbookView xWindow="0" yWindow="460" windowWidth="25600" windowHeight="15460" tabRatio="500" activeTab="2" xr2:uid="{00000000-000D-0000-FFFF-FFFF00000000}"/>
  </bookViews>
  <sheets>
    <sheet name="Instructions" sheetId="7" r:id="rId1"/>
    <sheet name="TEA_results" sheetId="3" r:id="rId2"/>
    <sheet name="Intermediate" sheetId="6" r:id="rId3"/>
    <sheet name="Financial param" sheetId="1" r:id="rId4"/>
    <sheet name="Operation param" sheetId="2" r:id="rId5"/>
    <sheet name="Infra. param" sheetId="5" r:id="rId6"/>
    <sheet name="Electrocatalysis" sheetId="8" r:id="rId7"/>
    <sheet name="Purification" sheetId="9" r:id="rId8"/>
    <sheet name="Factors" sheetId="11" r:id="rId9"/>
  </sheets>
  <definedNames>
    <definedName name="cost_rev_factor_col">Factors!$B$3:$B$17</definedName>
    <definedName name="Equipment_cost_col">'Infra. param'!$C$3:$C$40</definedName>
    <definedName name="Installation_costs_col">'Infra. param'!$D$3:$D$40</definedName>
    <definedName name="inventory_amt_col">Intermediate!$B$15:$B$29</definedName>
    <definedName name="inventory_cost_col">Intermediate!$D$15:$D$29</definedName>
    <definedName name="inventory_electrocatalysis">Electrocatalysis!$B$4:$B$18</definedName>
    <definedName name="inventory_name_col">Intermediate!$A$15:$A$29</definedName>
    <definedName name="inventory_purification">Purification!$B$4:$B$18</definedName>
    <definedName name="inventory_rev_col">Intermediate!$F$15:$F$29</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21" i="5" l="1"/>
  <c r="C21" i="5"/>
  <c r="D21" i="5" l="1"/>
  <c r="D20" i="5"/>
  <c r="D19" i="5"/>
  <c r="D18" i="5"/>
  <c r="D17" i="5"/>
  <c r="D16" i="5"/>
  <c r="D15" i="5"/>
  <c r="D14" i="5"/>
  <c r="D13" i="5"/>
  <c r="D12" i="5"/>
  <c r="D11" i="5"/>
  <c r="D10" i="5"/>
  <c r="D9" i="5"/>
  <c r="D8" i="5"/>
  <c r="D7" i="5"/>
  <c r="D6" i="5"/>
  <c r="D5" i="5"/>
  <c r="D4" i="5"/>
  <c r="D3" i="5"/>
  <c r="B11" i="6"/>
  <c r="B24" i="6" s="1"/>
  <c r="B17" i="6"/>
  <c r="D17" i="6" s="1"/>
  <c r="B18" i="6"/>
  <c r="D18" i="6" s="1"/>
  <c r="B19" i="6"/>
  <c r="D19" i="6" s="1"/>
  <c r="B20" i="6"/>
  <c r="D20" i="6" s="1"/>
  <c r="B15" i="6"/>
  <c r="D15" i="6" s="1"/>
  <c r="B16" i="6"/>
  <c r="D16" i="6" s="1"/>
  <c r="B25" i="6"/>
  <c r="D25" i="6" s="1"/>
  <c r="B29" i="6"/>
  <c r="D29" i="6" s="1"/>
  <c r="B21" i="6"/>
  <c r="D21" i="6" s="1"/>
  <c r="B22" i="6"/>
  <c r="D22" i="6" s="1"/>
  <c r="B26" i="6"/>
  <c r="D26" i="6" s="1"/>
  <c r="B27" i="6"/>
  <c r="D27" i="6" s="1"/>
  <c r="B28" i="6"/>
  <c r="D28" i="6" s="1"/>
  <c r="B3" i="6"/>
  <c r="B42" i="6" s="1"/>
  <c r="B4" i="6"/>
  <c r="B43" i="6" s="1"/>
  <c r="F15" i="6"/>
  <c r="F16" i="6"/>
  <c r="F18" i="6"/>
  <c r="F19" i="6"/>
  <c r="F20" i="6"/>
  <c r="F22" i="6"/>
  <c r="F26" i="6"/>
  <c r="B23" i="6"/>
  <c r="B35" i="6"/>
  <c r="C14" i="11"/>
  <c r="F3" i="11"/>
  <c r="B34" i="6" s="1"/>
  <c r="B10" i="6"/>
  <c r="B9" i="6"/>
  <c r="C29" i="6"/>
  <c r="C28" i="6"/>
  <c r="C27" i="6"/>
  <c r="C26" i="6"/>
  <c r="C25" i="6"/>
  <c r="C24" i="6"/>
  <c r="C23" i="6"/>
  <c r="C22" i="6"/>
  <c r="C21" i="6"/>
  <c r="C20" i="6"/>
  <c r="C19" i="6"/>
  <c r="C18" i="6"/>
  <c r="C17" i="6"/>
  <c r="C16" i="6"/>
  <c r="C15" i="6"/>
  <c r="A16" i="6"/>
  <c r="A17" i="6"/>
  <c r="A18" i="6"/>
  <c r="A19" i="6"/>
  <c r="A20" i="6"/>
  <c r="A21" i="6"/>
  <c r="A22" i="6"/>
  <c r="A23" i="6"/>
  <c r="A24" i="6"/>
  <c r="A25" i="6"/>
  <c r="A26" i="6"/>
  <c r="A27" i="6"/>
  <c r="A28" i="6"/>
  <c r="A29" i="6"/>
  <c r="A15" i="6"/>
  <c r="C4" i="11"/>
  <c r="C5" i="11"/>
  <c r="C6" i="11"/>
  <c r="C7" i="11"/>
  <c r="C8" i="11"/>
  <c r="C9" i="11"/>
  <c r="C10" i="11"/>
  <c r="C11" i="11"/>
  <c r="C12" i="11"/>
  <c r="C13" i="11"/>
  <c r="C15" i="11"/>
  <c r="C16" i="11"/>
  <c r="C17" i="11"/>
  <c r="C3" i="11"/>
  <c r="A4" i="11"/>
  <c r="A5" i="11"/>
  <c r="A6" i="11"/>
  <c r="A7" i="11"/>
  <c r="A8" i="11"/>
  <c r="A9" i="11"/>
  <c r="A10" i="11"/>
  <c r="A11" i="11"/>
  <c r="A12" i="11"/>
  <c r="A13" i="11"/>
  <c r="A14" i="11"/>
  <c r="A15" i="11"/>
  <c r="A16" i="11"/>
  <c r="A17" i="11"/>
  <c r="A3" i="11"/>
  <c r="F28" i="6" l="1"/>
  <c r="F27" i="6"/>
  <c r="B5" i="6"/>
  <c r="E53" i="6" s="1"/>
  <c r="F29" i="6"/>
  <c r="F23" i="6"/>
  <c r="D23" i="6"/>
  <c r="B33" i="6" s="1"/>
  <c r="B36" i="6" s="1"/>
  <c r="F24" i="6"/>
  <c r="D24" i="6"/>
  <c r="T53" i="6"/>
  <c r="V53" i="6"/>
  <c r="G53" i="6"/>
  <c r="I53" i="6"/>
  <c r="K53" i="6"/>
  <c r="M53" i="6"/>
  <c r="O53" i="6"/>
  <c r="Q53" i="6"/>
  <c r="S53" i="6"/>
  <c r="U53" i="6"/>
  <c r="D53" i="6"/>
  <c r="F53" i="6"/>
  <c r="H53" i="6"/>
  <c r="J53" i="6"/>
  <c r="L53" i="6"/>
  <c r="N53" i="6"/>
  <c r="P53" i="6"/>
  <c r="R53" i="6"/>
  <c r="F25" i="6"/>
  <c r="F21" i="6"/>
  <c r="F17" i="6"/>
  <c r="B51" i="6" l="1"/>
  <c r="B52" i="6" s="1"/>
  <c r="B44" i="6"/>
  <c r="B37" i="6"/>
  <c r="B38" i="6" s="1"/>
  <c r="F49" i="6" s="1"/>
  <c r="F50" i="6" s="1"/>
  <c r="F51" i="6" s="1"/>
  <c r="F52" i="6" s="1"/>
  <c r="T49" i="6"/>
  <c r="T50" i="6" s="1"/>
  <c r="T51" i="6" s="1"/>
  <c r="T52" i="6" s="1"/>
  <c r="R49" i="6"/>
  <c r="R50" i="6" s="1"/>
  <c r="R51" i="6" s="1"/>
  <c r="R52" i="6" s="1"/>
  <c r="N57" i="6"/>
  <c r="V57" i="6"/>
  <c r="R57" i="6"/>
  <c r="J57" i="6"/>
  <c r="U57" i="6"/>
  <c r="O57" i="6"/>
  <c r="G57" i="6"/>
  <c r="P57" i="6"/>
  <c r="H57" i="6"/>
  <c r="S57" i="6"/>
  <c r="M57" i="6"/>
  <c r="E57" i="6"/>
  <c r="F57" i="6"/>
  <c r="K57" i="6"/>
  <c r="L57" i="6"/>
  <c r="D57" i="6"/>
  <c r="Q57" i="6"/>
  <c r="I57" i="6"/>
  <c r="T57" i="6"/>
  <c r="G49" i="6" l="1"/>
  <c r="G50" i="6" s="1"/>
  <c r="G51" i="6" s="1"/>
  <c r="G52" i="6" s="1"/>
  <c r="Q49" i="6"/>
  <c r="Q50" i="6" s="1"/>
  <c r="Q51" i="6" s="1"/>
  <c r="Q52" i="6" s="1"/>
  <c r="B45" i="6"/>
  <c r="C53" i="6"/>
  <c r="C57" i="6" s="1"/>
  <c r="C5" i="3"/>
  <c r="U49" i="6"/>
  <c r="U50" i="6" s="1"/>
  <c r="U51" i="6" s="1"/>
  <c r="U52" i="6" s="1"/>
  <c r="C4" i="3"/>
  <c r="J49" i="6"/>
  <c r="J50" i="6" s="1"/>
  <c r="J51" i="6" s="1"/>
  <c r="J52" i="6" s="1"/>
  <c r="P49" i="6"/>
  <c r="P50" i="6" s="1"/>
  <c r="P51" i="6" s="1"/>
  <c r="P52" i="6" s="1"/>
  <c r="E49" i="6"/>
  <c r="E50" i="6" s="1"/>
  <c r="E51" i="6" s="1"/>
  <c r="E52" i="6" s="1"/>
  <c r="O49" i="6"/>
  <c r="O50" i="6" s="1"/>
  <c r="O51" i="6" s="1"/>
  <c r="O52" i="6" s="1"/>
  <c r="D49" i="6"/>
  <c r="D50" i="6" s="1"/>
  <c r="D51" i="6" s="1"/>
  <c r="D52" i="6" s="1"/>
  <c r="V49" i="6"/>
  <c r="V50" i="6" s="1"/>
  <c r="V51" i="6" s="1"/>
  <c r="V52" i="6" s="1"/>
  <c r="K49" i="6"/>
  <c r="K50" i="6" s="1"/>
  <c r="K51" i="6" s="1"/>
  <c r="K52" i="6" s="1"/>
  <c r="L49" i="6"/>
  <c r="L50" i="6" s="1"/>
  <c r="L51" i="6" s="1"/>
  <c r="L52" i="6" s="1"/>
  <c r="I49" i="6"/>
  <c r="I50" i="6" s="1"/>
  <c r="I51" i="6" s="1"/>
  <c r="I52" i="6" s="1"/>
  <c r="S49" i="6"/>
  <c r="S50" i="6" s="1"/>
  <c r="S51" i="6" s="1"/>
  <c r="S52" i="6" s="1"/>
  <c r="C49" i="6"/>
  <c r="C50" i="6" s="1"/>
  <c r="C51" i="6" s="1"/>
  <c r="C52" i="6" s="1"/>
  <c r="H49" i="6"/>
  <c r="H50" i="6" s="1"/>
  <c r="H51" i="6" s="1"/>
  <c r="H52" i="6" s="1"/>
  <c r="M49" i="6"/>
  <c r="M50" i="6" s="1"/>
  <c r="M51" i="6" s="1"/>
  <c r="M52" i="6" s="1"/>
  <c r="N49" i="6"/>
  <c r="N50" i="6" s="1"/>
  <c r="N51" i="6" s="1"/>
  <c r="N52" i="6" s="1"/>
  <c r="B55" i="6" l="1"/>
  <c r="C3" i="3" s="1"/>
  <c r="B56" i="6"/>
  <c r="C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Tu, Qingshi (tuqi)</author>
  </authors>
  <commentList>
    <comment ref="V48" authorId="0" shapeId="0" xr:uid="{00000000-0006-0000-0200-000001000000}">
      <text>
        <r>
          <rPr>
            <b/>
            <sz val="10"/>
            <color indexed="81"/>
            <rFont val="Calibri"/>
            <family val="2"/>
          </rPr>
          <t>Tu, Qingshi (tuqi):</t>
        </r>
        <r>
          <rPr>
            <sz val="10"/>
            <color indexed="81"/>
            <rFont val="Calibri"/>
            <family val="2"/>
          </rPr>
          <t xml:space="preserve">
should be the same length as depreciation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Tu, Qingshi (tuqi)</author>
  </authors>
  <commentList>
    <comment ref="A1" authorId="0" shapeId="0" xr:uid="{00000000-0006-0000-0300-000001000000}">
      <text>
        <r>
          <rPr>
            <b/>
            <sz val="10"/>
            <color indexed="81"/>
            <rFont val="Calibri"/>
            <family val="2"/>
          </rPr>
          <t>Tu, Qingshi (tuqi):</t>
        </r>
        <r>
          <rPr>
            <sz val="10"/>
            <color indexed="81"/>
            <rFont val="Calibri"/>
            <family val="2"/>
          </rPr>
          <t xml:space="preserve">
can be represented as a sparse matrix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Tu, Qingshi (tuqi)</author>
  </authors>
  <commentList>
    <comment ref="F3" authorId="0" shapeId="0" xr:uid="{00000000-0006-0000-0900-000001000000}">
      <text>
        <r>
          <rPr>
            <b/>
            <sz val="10"/>
            <color indexed="81"/>
            <rFont val="Calibri"/>
            <family val="2"/>
          </rPr>
          <t>Tu, Qingshi (tuqi):</t>
        </r>
        <r>
          <rPr>
            <sz val="10"/>
            <color indexed="81"/>
            <rFont val="Calibri"/>
            <family val="2"/>
          </rPr>
          <t xml:space="preserve">
set to negative for cost calculation</t>
        </r>
      </text>
    </comment>
    <comment ref="J3" authorId="0" shapeId="0" xr:uid="{00000000-0006-0000-0900-000002000000}">
      <text>
        <r>
          <rPr>
            <b/>
            <sz val="10"/>
            <color indexed="81"/>
            <rFont val="Calibri"/>
            <family val="2"/>
          </rPr>
          <t>Tu, Qingshi (tuqi):</t>
        </r>
        <r>
          <rPr>
            <sz val="10"/>
            <color indexed="81"/>
            <rFont val="Calibri"/>
            <family val="2"/>
          </rPr>
          <t xml:space="preserve">
set to negative for cost calculation</t>
        </r>
      </text>
    </comment>
  </commentList>
</comments>
</file>

<file path=xl/sharedStrings.xml><?xml version="1.0" encoding="utf-8"?>
<sst xmlns="http://schemas.openxmlformats.org/spreadsheetml/2006/main" count="331" uniqueCount="166">
  <si>
    <t>Param_no</t>
  </si>
  <si>
    <t>Param_name</t>
  </si>
  <si>
    <t>Categorical</t>
  </si>
  <si>
    <t>Value</t>
  </si>
  <si>
    <t>Numerical</t>
  </si>
  <si>
    <t>Straight_line</t>
  </si>
  <si>
    <t>ref</t>
  </si>
  <si>
    <t>Unit</t>
  </si>
  <si>
    <t>Year</t>
  </si>
  <si>
    <t>%</t>
  </si>
  <si>
    <t>NA</t>
  </si>
  <si>
    <t>EBITDA</t>
  </si>
  <si>
    <t>$/yr</t>
  </si>
  <si>
    <t>NPV</t>
  </si>
  <si>
    <t>$</t>
  </si>
  <si>
    <t>$/prod</t>
  </si>
  <si>
    <t>min_IRR</t>
  </si>
  <si>
    <t>discount_rate</t>
  </si>
  <si>
    <t>interest_rate</t>
  </si>
  <si>
    <t>depreciation_period</t>
  </si>
  <si>
    <t>loan_period</t>
  </si>
  <si>
    <t>depreciation_method</t>
  </si>
  <si>
    <t>calc_IRR</t>
  </si>
  <si>
    <t>yr</t>
  </si>
  <si>
    <t>Output</t>
  </si>
  <si>
    <t>Finanical Metrics</t>
  </si>
  <si>
    <t>Inventory</t>
  </si>
  <si>
    <t>unit</t>
  </si>
  <si>
    <t>1. Main purpose:</t>
  </si>
  <si>
    <t>User Input Template for TEA modeling</t>
  </si>
  <si>
    <t>i) A data input template for running the TEA model in Python</t>
  </si>
  <si>
    <t>Days of Production per Year</t>
  </si>
  <si>
    <t>day</t>
  </si>
  <si>
    <t>hr</t>
  </si>
  <si>
    <t>Operating Hours Per Day</t>
  </si>
  <si>
    <t>Operation</t>
  </si>
  <si>
    <t>Total amount of products</t>
  </si>
  <si>
    <t>2. How to use:</t>
  </si>
  <si>
    <t>This spreadsheet is pre-populated with default values that represent the baseline techno-economic assumptions of the pathway</t>
  </si>
  <si>
    <t>Update the cells of interest in "Electrocatalysis" and "Purification" tabs. The calculations in "Intermediate" and "TEA results" tabs will be automatically updated.</t>
  </si>
  <si>
    <t xml:space="preserve">  2.3 To use for self-contained TEA calculation for investigating different technological assumptions</t>
  </si>
  <si>
    <t xml:space="preserve">  2.1 To use as the template for supplying data to Python model</t>
  </si>
  <si>
    <t>Uncertainty</t>
  </si>
  <si>
    <t>Glycerine</t>
  </si>
  <si>
    <t>Lime</t>
  </si>
  <si>
    <t>Methanol</t>
  </si>
  <si>
    <t>Sodium hydroxide</t>
  </si>
  <si>
    <t>Sulfuric acid</t>
  </si>
  <si>
    <t>Water</t>
  </si>
  <si>
    <t>Heat, from steam</t>
  </si>
  <si>
    <t>Electricity</t>
  </si>
  <si>
    <t>Main product</t>
  </si>
  <si>
    <t>Lactic acid</t>
  </si>
  <si>
    <t>Technology Readiness Level (TRL lvl)</t>
  </si>
  <si>
    <t>Cooling water (refrigerated)</t>
  </si>
  <si>
    <t>Glycolic acid</t>
  </si>
  <si>
    <t>Glyceric acid</t>
  </si>
  <si>
    <t>Oxalic acid</t>
  </si>
  <si>
    <t>Formic acid</t>
  </si>
  <si>
    <t>kg</t>
  </si>
  <si>
    <t>MJ</t>
  </si>
  <si>
    <t>Hazardous waste, for incineration</t>
  </si>
  <si>
    <r>
      <t>Material flows and energy  (</t>
    </r>
    <r>
      <rPr>
        <b/>
        <sz val="16"/>
        <color rgb="FFFF0000"/>
        <rFont val="Calibri (Body)"/>
      </rPr>
      <t xml:space="preserve">normalized to </t>
    </r>
    <r>
      <rPr>
        <b/>
        <sz val="16"/>
        <color rgb="FF0070C0"/>
        <rFont val="Calibri (Body)"/>
      </rPr>
      <t>per kg</t>
    </r>
    <r>
      <rPr>
        <b/>
        <sz val="16"/>
        <color rgb="FFFF0000"/>
        <rFont val="Calibri (Body)"/>
      </rPr>
      <t xml:space="preserve"> of main product </t>
    </r>
    <r>
      <rPr>
        <b/>
        <sz val="16"/>
        <color rgb="FF0070C0"/>
        <rFont val="Calibri (Body)"/>
      </rPr>
      <t>per hr</t>
    </r>
    <r>
      <rPr>
        <b/>
        <sz val="16"/>
        <color theme="1"/>
        <rFont val="Calibri"/>
        <family val="2"/>
        <scheme val="minor"/>
      </rPr>
      <t>)</t>
    </r>
  </si>
  <si>
    <t>Input (-)/output (+)</t>
  </si>
  <si>
    <t>Cost&amp;Revenue</t>
  </si>
  <si>
    <t>Item</t>
  </si>
  <si>
    <t>Value ($)</t>
  </si>
  <si>
    <t>Reactor_elect_catal</t>
  </si>
  <si>
    <t>Reactor_methylation</t>
  </si>
  <si>
    <t>Reactor_hydrolysis_ML to LA</t>
  </si>
  <si>
    <t>Reactor_hydrolysis_H2SO4</t>
  </si>
  <si>
    <t>Name</t>
  </si>
  <si>
    <t>Scaling eqn</t>
  </si>
  <si>
    <t>Equipment cost scaling</t>
  </si>
  <si>
    <t>Sep_distil_1</t>
  </si>
  <si>
    <t>Sep_distil_2</t>
  </si>
  <si>
    <t>Sep_distil_3</t>
  </si>
  <si>
    <t>Sep_distil_4</t>
  </si>
  <si>
    <t>Sep_distil_5</t>
  </si>
  <si>
    <t>Sep_MeOH_rec</t>
  </si>
  <si>
    <t>Sep_flash</t>
  </si>
  <si>
    <t>C_eq2=C_eq1*(C2/C1)^g</t>
  </si>
  <si>
    <t>Capacity</t>
  </si>
  <si>
    <t>Factor</t>
  </si>
  <si>
    <t>Eqn</t>
  </si>
  <si>
    <t>g</t>
  </si>
  <si>
    <t>Total cost</t>
  </si>
  <si>
    <t>Total amount</t>
  </si>
  <si>
    <t>Cost/revenue</t>
  </si>
  <si>
    <t>Total operating hours of production</t>
  </si>
  <si>
    <t>Labor cost</t>
  </si>
  <si>
    <t>Payroll cost</t>
  </si>
  <si>
    <t>Total payroll cost</t>
  </si>
  <si>
    <t>Insurance</t>
  </si>
  <si>
    <t>Misc.</t>
  </si>
  <si>
    <t>Total revenue</t>
  </si>
  <si>
    <t>Total labor hours</t>
  </si>
  <si>
    <t>hr/yr</t>
  </si>
  <si>
    <t>kg/yr</t>
  </si>
  <si>
    <t>Interest, Depreciation and Amortization</t>
  </si>
  <si>
    <t>Deprecation of equipment</t>
  </si>
  <si>
    <t>Interest expense </t>
  </si>
  <si>
    <t>Total interest, deprecation and amortisation</t>
  </si>
  <si>
    <t>amortization_period</t>
  </si>
  <si>
    <t>Amortisation of setup cost</t>
  </si>
  <si>
    <t>Total operation cost</t>
  </si>
  <si>
    <t>Total other cost</t>
  </si>
  <si>
    <t>Setup cost</t>
  </si>
  <si>
    <t>Other cost</t>
  </si>
  <si>
    <t>Contingency</t>
  </si>
  <si>
    <t>Total equipment cost</t>
  </si>
  <si>
    <t>Total setup cost</t>
  </si>
  <si>
    <t>Total CAPX</t>
  </si>
  <si>
    <t>Operational Cost and Revenue</t>
  </si>
  <si>
    <t>Cost of equipment and setup</t>
  </si>
  <si>
    <t>Update the cells of interest in "Financial param", "Operation param", "Infra. param", "Electrocatalysis", "Purification" and "Factors" tabs, as necessary. The intermediate and final TEA results will be calculated by the Python code</t>
  </si>
  <si>
    <t>Update the cells of interest in "Financial param", "Infra.param", "Operation param" and "Factors" tabs. The calculations in "Intermediate" and "TEA results" tabs will be automatically updated.</t>
  </si>
  <si>
    <t xml:space="preserve">  2.2 To use for self-contained TEA calculation for investigating influences of financing options and/or operational options</t>
  </si>
  <si>
    <r>
      <t xml:space="preserve">ii) A self-contained TEA calculation spreadsheet (i.e., independent from Python code) for a specific configuration of the technological pathway (i.e., </t>
    </r>
    <r>
      <rPr>
        <b/>
        <sz val="12"/>
        <color theme="1"/>
        <rFont val="Calibri"/>
        <family val="2"/>
        <scheme val="minor"/>
      </rPr>
      <t>one configuration at a time</t>
    </r>
    <r>
      <rPr>
        <sz val="12"/>
        <color theme="1"/>
        <rFont val="Calibri"/>
        <family val="2"/>
        <scheme val="minor"/>
      </rPr>
      <t>)</t>
    </r>
  </si>
  <si>
    <t>DIST1</t>
  </si>
  <si>
    <t>MEOH_REC</t>
  </si>
  <si>
    <t>HYDRLYS2</t>
  </si>
  <si>
    <t>WATR</t>
  </si>
  <si>
    <t>HYDRLYS1</t>
  </si>
  <si>
    <t>DIST2</t>
  </si>
  <si>
    <t>DIST4</t>
  </si>
  <si>
    <t>B10</t>
  </si>
  <si>
    <t>METHYLTN</t>
  </si>
  <si>
    <t>B1</t>
  </si>
  <si>
    <t>DIST5</t>
  </si>
  <si>
    <t>FLASH_flash vessel</t>
  </si>
  <si>
    <t>DIST3</t>
  </si>
  <si>
    <t>NAOH_SEP</t>
  </si>
  <si>
    <t>NEUTRZN_WAT_SEP</t>
  </si>
  <si>
    <t>NEUTRZN_NEUT</t>
  </si>
  <si>
    <t>NEUTRZN_B3</t>
  </si>
  <si>
    <t>NEUTRZN_B1</t>
  </si>
  <si>
    <t>B2_ELEC_REA</t>
  </si>
  <si>
    <t>USD</t>
  </si>
  <si>
    <t>Equipment cost</t>
  </si>
  <si>
    <t>Installation costs</t>
  </si>
  <si>
    <t>kg/hr</t>
  </si>
  <si>
    <t>Main product throughput rate</t>
  </si>
  <si>
    <t>Cost</t>
  </si>
  <si>
    <t>Revenue</t>
  </si>
  <si>
    <t>Total labour Hours per day </t>
  </si>
  <si>
    <t>Labor hour pay rate</t>
  </si>
  <si>
    <r>
      <t>$/</t>
    </r>
    <r>
      <rPr>
        <b/>
        <sz val="12"/>
        <color theme="1"/>
        <rFont val="Calibri"/>
        <family val="2"/>
        <scheme val="minor"/>
      </rPr>
      <t>1st yr</t>
    </r>
  </si>
  <si>
    <t>tax_rate</t>
  </si>
  <si>
    <t>debt_percent</t>
  </si>
  <si>
    <t>NPV (after tax)</t>
  </si>
  <si>
    <t>Net cash flow (after tax)</t>
  </si>
  <si>
    <t>Net Income Before Tax</t>
  </si>
  <si>
    <t>Net Income After Tax</t>
  </si>
  <si>
    <t>IRR</t>
  </si>
  <si>
    <t>Total fixed costs (payroll, other, depreciation, amortization, interest)</t>
  </si>
  <si>
    <t>Min selling price ($/kg main product)</t>
  </si>
  <si>
    <t>Ave_min_sales_price</t>
  </si>
  <si>
    <t>PV of cash flows (after tax)</t>
  </si>
  <si>
    <t>kWh</t>
  </si>
  <si>
    <t>project_life_time</t>
  </si>
  <si>
    <t>Range</t>
  </si>
  <si>
    <t>Other factors</t>
  </si>
  <si>
    <t>ton-to-kg</t>
  </si>
  <si>
    <t>INSTALLED costs</t>
  </si>
  <si>
    <t>Capital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</si>
</sst>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4" formatCode="_(&quot;$&quot;* #,##0.00_);_(&quot;$&quot;* \(#,##0.00\);_(&quot;$&quot;* &quot;-&quot;??_);_(@_)"/>
    <numFmt numFmtId="164" formatCode="0.0"/>
    <numFmt numFmtId="165" formatCode="_(&quot;$&quot;* #,##0_);_(&quot;$&quot;* \(#,##0\);_(&quot;$&quot;* &quot;-&quot;??_);_(@_)"/>
    <numFmt numFmtId="166" formatCode="&quot;$&quot;#,##0.0"/>
    <numFmt numFmtId="167" formatCode="&quot;$&quot;#,##0"/>
    <numFmt numFmtId="168" formatCode="0.00000"/>
    <numFmt numFmtId="169" formatCode="0.0%"/>
  </numFmts>
  <fonts count="33">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i/>
      <u/>
      <sz val="12"/>
      <color theme="1"/>
      <name val="Calibri"/>
      <family val="2"/>
      <scheme val="minor"/>
    </font>
    <font>
      <sz val="12"/>
      <color indexed="8"/>
      <name val="Calibri"/>
      <family val="2"/>
      <scheme val="minor"/>
    </font>
    <font>
      <sz val="10"/>
      <color indexed="81"/>
      <name val="Calibri"/>
      <family val="2"/>
    </font>
    <font>
      <b/>
      <sz val="10"/>
      <color indexed="81"/>
      <name val="Calibri"/>
      <family val="2"/>
    </font>
    <font>
      <sz val="12"/>
      <color rgb="FF000000"/>
      <name val="Calibri"/>
      <family val="2"/>
      <scheme val="minor"/>
    </font>
    <font>
      <b/>
      <sz val="12"/>
      <color rgb="FFCD1C00"/>
      <name val="Calibri"/>
      <family val="2"/>
      <scheme val="minor"/>
    </font>
    <font>
      <b/>
      <sz val="12"/>
      <color rgb="FF000000"/>
      <name val="Calibri"/>
      <family val="2"/>
      <scheme val="minor"/>
    </font>
    <font>
      <b/>
      <sz val="16"/>
      <color theme="1"/>
      <name val="Calibri"/>
      <family val="2"/>
      <scheme val="minor"/>
    </font>
    <font>
      <b/>
      <sz val="28"/>
      <color theme="1"/>
      <name val="Calibri"/>
      <family val="2"/>
      <scheme val="minor"/>
    </font>
    <font>
      <sz val="16"/>
      <color theme="1"/>
      <name val="Calibri"/>
      <family val="2"/>
      <scheme val="minor"/>
    </font>
    <font>
      <b/>
      <sz val="16"/>
      <color rgb="FFFF0000"/>
      <name val="Calibri (Body)"/>
    </font>
    <font>
      <b/>
      <i/>
      <sz val="16"/>
      <color theme="1"/>
      <name val="Calibri"/>
      <family val="2"/>
      <scheme val="minor"/>
    </font>
    <font>
      <b/>
      <sz val="16"/>
      <color theme="0"/>
      <name val="Calibri"/>
      <family val="2"/>
      <scheme val="minor"/>
    </font>
    <font>
      <sz val="11"/>
      <color indexed="8"/>
      <name val="Helvetica"/>
      <family val="2"/>
    </font>
    <font>
      <b/>
      <sz val="16"/>
      <color rgb="FF0070C0"/>
      <name val="Calibri (Body)"/>
    </font>
    <font>
      <b/>
      <u/>
      <sz val="16"/>
      <color theme="1"/>
      <name val="Calibri"/>
      <family val="2"/>
      <scheme val="minor"/>
    </font>
    <font>
      <b/>
      <sz val="16"/>
      <color theme="1"/>
      <name val="Calibri (Body)"/>
    </font>
    <font>
      <b/>
      <sz val="12"/>
      <color theme="0"/>
      <name val="Calibri"/>
      <family val="2"/>
      <scheme val="minor"/>
    </font>
    <font>
      <u/>
      <sz val="12"/>
      <color theme="10"/>
      <name val="Calibri"/>
      <family val="2"/>
      <scheme val="minor"/>
    </font>
    <font>
      <u/>
      <sz val="12"/>
      <color theme="11"/>
      <name val="Calibri"/>
      <family val="2"/>
      <scheme val="minor"/>
    </font>
    <font>
      <b/>
      <sz val="12"/>
      <color indexed="8"/>
      <name val="Calibri"/>
      <family val="2"/>
      <scheme val="minor"/>
    </font>
    <font>
      <b/>
      <sz val="12"/>
      <color rgb="FF0070C0"/>
      <name val="Calibri"/>
      <family val="2"/>
      <scheme val="minor"/>
    </font>
    <font>
      <b/>
      <i/>
      <u/>
      <sz val="16"/>
      <color theme="1"/>
      <name val="Calibri"/>
      <family val="2"/>
      <scheme val="minor"/>
    </font>
    <font>
      <b/>
      <sz val="12"/>
      <color rgb="FFFF0000"/>
      <name val="Calibri"/>
      <family val="2"/>
      <scheme val="minor"/>
    </font>
    <font>
      <sz val="11"/>
      <color indexed="8"/>
      <name val="Calibri"/>
      <family val="2"/>
      <scheme val="minor"/>
    </font>
    <font>
      <b/>
      <sz val="11"/>
      <color indexed="8"/>
      <name val="Calibri"/>
      <family val="2"/>
      <scheme val="minor"/>
    </font>
    <font>
      <sz val="16"/>
      <color rgb="FF1E314F"/>
      <name val="Calibri"/>
      <family val="2"/>
      <scheme val="minor"/>
    </font>
    <font>
      <sz val="16"/>
      <color rgb="FF1E314F"/>
      <name val="Calibri"/>
      <family val="2"/>
      <scheme val="minor"/>
    </font>
    <font>
      <b/>
      <i/>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7030A0"/>
        <bgColor indexed="64"/>
      </patternFill>
    </fill>
    <fill>
      <patternFill patternType="solid">
        <fgColor rgb="FFFF0000"/>
        <bgColor indexed="64"/>
      </patternFill>
    </fill>
    <fill>
      <patternFill patternType="solid">
        <fgColor rgb="FF0070C0"/>
        <bgColor indexed="64"/>
      </patternFill>
    </fill>
    <fill>
      <patternFill patternType="solid">
        <fgColor theme="0" tint="-0.349986266670735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8">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44" fontId="1"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70">
    <xf numFmtId="0" fontId="0" fillId="0" borderId="0" xfId="0"/>
    <xf numFmtId="0" fontId="3" fillId="0" borderId="0" xfId="0" applyFont="1"/>
    <xf numFmtId="0" fontId="4" fillId="0" borderId="0" xfId="0" applyFont="1"/>
    <xf numFmtId="0" fontId="4" fillId="0" borderId="0" xfId="0" applyFont="1" applyBorder="1"/>
    <xf numFmtId="49" fontId="5" fillId="0" borderId="0" xfId="0" applyNumberFormat="1" applyFont="1" applyBorder="1" applyAlignment="1"/>
    <xf numFmtId="0" fontId="8" fillId="0" borderId="0" xfId="0" applyFont="1"/>
    <xf numFmtId="0" fontId="0" fillId="0" borderId="0" xfId="0" applyFont="1"/>
    <xf numFmtId="49" fontId="10" fillId="0" borderId="0" xfId="0" applyNumberFormat="1" applyFont="1"/>
    <xf numFmtId="0" fontId="0" fillId="0" borderId="0" xfId="0" applyFont="1" applyAlignment="1">
      <alignment horizontal="left" vertical="center"/>
    </xf>
    <xf numFmtId="0" fontId="13" fillId="0" borderId="0" xfId="0" applyFont="1"/>
    <xf numFmtId="0" fontId="11" fillId="0" borderId="0" xfId="0" applyFont="1" applyFill="1"/>
    <xf numFmtId="0" fontId="11" fillId="0" borderId="0" xfId="0" applyFont="1" applyAlignment="1">
      <alignment vertical="center"/>
    </xf>
    <xf numFmtId="0" fontId="15" fillId="0" borderId="0" xfId="0" applyFont="1" applyAlignment="1">
      <alignment vertical="center"/>
    </xf>
    <xf numFmtId="0" fontId="16" fillId="3" borderId="0" xfId="0" applyFont="1" applyFill="1"/>
    <xf numFmtId="0" fontId="0" fillId="0" borderId="0" xfId="0" applyAlignment="1">
      <alignment vertical="center"/>
    </xf>
    <xf numFmtId="0" fontId="2" fillId="0" borderId="0" xfId="0" applyFont="1" applyAlignment="1">
      <alignment vertical="center"/>
    </xf>
    <xf numFmtId="0" fontId="3" fillId="0" borderId="0" xfId="0" applyFont="1" applyAlignment="1">
      <alignment vertical="center"/>
    </xf>
    <xf numFmtId="49" fontId="17" fillId="0" borderId="0" xfId="0" applyNumberFormat="1" applyFont="1" applyBorder="1" applyAlignment="1"/>
    <xf numFmtId="0" fontId="19" fillId="0" borderId="0" xfId="0" applyFont="1" applyAlignment="1">
      <alignment vertical="center"/>
    </xf>
    <xf numFmtId="0" fontId="20" fillId="0" borderId="0" xfId="0" applyFont="1" applyAlignment="1">
      <alignment vertical="center"/>
    </xf>
    <xf numFmtId="0" fontId="2" fillId="0" borderId="0" xfId="0" applyFont="1"/>
    <xf numFmtId="0" fontId="11" fillId="2" borderId="0" xfId="0" applyFont="1" applyFill="1"/>
    <xf numFmtId="0" fontId="11" fillId="2" borderId="1" xfId="0" applyFont="1" applyFill="1" applyBorder="1"/>
    <xf numFmtId="0" fontId="11" fillId="2" borderId="1" xfId="0" applyFont="1" applyFill="1" applyBorder="1" applyAlignment="1">
      <alignment horizontal="left" vertical="center" wrapText="1"/>
    </xf>
    <xf numFmtId="0" fontId="2" fillId="0" borderId="1" xfId="0" applyFont="1" applyBorder="1"/>
    <xf numFmtId="164" fontId="0" fillId="0" borderId="0" xfId="0" applyNumberFormat="1"/>
    <xf numFmtId="0" fontId="16" fillId="4" borderId="0" xfId="0" applyFont="1" applyFill="1"/>
    <xf numFmtId="49" fontId="9" fillId="0" borderId="0" xfId="0" applyNumberFormat="1" applyFont="1" applyBorder="1"/>
    <xf numFmtId="0" fontId="0" fillId="0" borderId="0" xfId="0" applyFont="1" applyBorder="1"/>
    <xf numFmtId="0" fontId="21" fillId="0" borderId="0" xfId="0" applyFont="1" applyFill="1"/>
    <xf numFmtId="0" fontId="3" fillId="0" borderId="0" xfId="0" applyFont="1" applyAlignment="1">
      <alignment horizontal="left" vertical="center"/>
    </xf>
    <xf numFmtId="49" fontId="24" fillId="0" borderId="0" xfId="0" applyNumberFormat="1" applyFont="1" applyBorder="1" applyAlignment="1"/>
    <xf numFmtId="0" fontId="0" fillId="0" borderId="0" xfId="0" applyFont="1" applyFill="1" applyAlignment="1">
      <alignment horizontal="left" vertical="center"/>
    </xf>
    <xf numFmtId="0" fontId="0" fillId="0" borderId="0" xfId="0" applyFont="1" applyFill="1"/>
    <xf numFmtId="49" fontId="25" fillId="0" borderId="0" xfId="0" applyNumberFormat="1" applyFont="1" applyBorder="1" applyAlignment="1"/>
    <xf numFmtId="0" fontId="25" fillId="0" borderId="0" xfId="0" applyFont="1"/>
    <xf numFmtId="0" fontId="12" fillId="5" borderId="0" xfId="0" applyFont="1" applyFill="1" applyAlignment="1">
      <alignment vertical="center"/>
    </xf>
    <xf numFmtId="0" fontId="0" fillId="5" borderId="0" xfId="0" applyFill="1" applyAlignment="1">
      <alignment vertical="center"/>
    </xf>
    <xf numFmtId="0" fontId="0" fillId="0" borderId="0" xfId="0" applyFill="1" applyBorder="1" applyAlignment="1">
      <alignment vertical="center"/>
    </xf>
    <xf numFmtId="0" fontId="2" fillId="0" borderId="0" xfId="0" applyFont="1" applyFill="1" applyBorder="1" applyAlignment="1">
      <alignment vertical="center"/>
    </xf>
    <xf numFmtId="0" fontId="0" fillId="0" borderId="0" xfId="0" applyAlignment="1">
      <alignment horizontal="left"/>
    </xf>
    <xf numFmtId="0" fontId="0" fillId="0" borderId="0" xfId="0" quotePrefix="1" applyFont="1"/>
    <xf numFmtId="0" fontId="26" fillId="0" borderId="0" xfId="0" applyFont="1" applyAlignment="1">
      <alignment vertical="center"/>
    </xf>
    <xf numFmtId="49" fontId="17" fillId="0" borderId="0" xfId="0" applyNumberFormat="1" applyFont="1" applyFill="1" applyBorder="1" applyAlignment="1"/>
    <xf numFmtId="6" fontId="25" fillId="0" borderId="0" xfId="0" applyNumberFormat="1" applyFont="1" applyAlignment="1">
      <alignment horizontal="left" vertical="center"/>
    </xf>
    <xf numFmtId="1" fontId="0" fillId="0" borderId="0" xfId="0" applyNumberFormat="1" applyFont="1" applyAlignment="1">
      <alignment horizontal="left" vertical="center"/>
    </xf>
    <xf numFmtId="0" fontId="27" fillId="0" borderId="0" xfId="0" applyFont="1" applyBorder="1"/>
    <xf numFmtId="49" fontId="28" fillId="0" borderId="0" xfId="0" applyNumberFormat="1" applyFont="1" applyBorder="1" applyAlignment="1"/>
    <xf numFmtId="49" fontId="29" fillId="0" borderId="0" xfId="0" applyNumberFormat="1" applyFont="1" applyBorder="1" applyAlignment="1"/>
    <xf numFmtId="0" fontId="29" fillId="0" borderId="0" xfId="0" applyNumberFormat="1" applyFont="1" applyBorder="1" applyAlignment="1">
      <alignment horizontal="left" vertical="center"/>
    </xf>
    <xf numFmtId="0" fontId="30" fillId="0" borderId="0" xfId="0" applyFont="1"/>
    <xf numFmtId="0" fontId="31" fillId="0" borderId="0" xfId="0" applyFont="1"/>
    <xf numFmtId="0" fontId="25" fillId="0" borderId="0" xfId="0" applyFont="1" applyBorder="1" applyAlignment="1"/>
    <xf numFmtId="165" fontId="25" fillId="0" borderId="0" xfId="5" applyNumberFormat="1" applyFont="1" applyAlignment="1">
      <alignment horizontal="left" vertical="center"/>
    </xf>
    <xf numFmtId="0" fontId="25" fillId="0" borderId="0" xfId="0" applyFont="1" applyBorder="1"/>
    <xf numFmtId="164" fontId="0" fillId="0" borderId="0" xfId="0" applyNumberFormat="1" applyFont="1" applyAlignment="1">
      <alignment horizontal="left" vertical="center"/>
    </xf>
    <xf numFmtId="166" fontId="25" fillId="0" borderId="0" xfId="5" applyNumberFormat="1" applyFont="1" applyAlignment="1">
      <alignment horizontal="left" vertical="center"/>
    </xf>
    <xf numFmtId="166" fontId="0" fillId="0" borderId="0" xfId="0" applyNumberFormat="1"/>
    <xf numFmtId="167" fontId="0" fillId="0" borderId="0" xfId="0" applyNumberFormat="1"/>
    <xf numFmtId="0" fontId="0" fillId="6" borderId="0" xfId="0" applyFont="1" applyFill="1" applyAlignment="1">
      <alignment horizontal="left" vertical="center"/>
    </xf>
    <xf numFmtId="1" fontId="0" fillId="0" borderId="0" xfId="0" applyNumberFormat="1"/>
    <xf numFmtId="0" fontId="0" fillId="0" borderId="0" xfId="0" quotePrefix="1"/>
    <xf numFmtId="2" fontId="0" fillId="0" borderId="0" xfId="0" applyNumberFormat="1"/>
    <xf numFmtId="0" fontId="22" fillId="0" borderId="0" xfId="6"/>
    <xf numFmtId="168" fontId="0" fillId="0" borderId="0" xfId="0" applyNumberFormat="1"/>
    <xf numFmtId="0" fontId="27" fillId="0" borderId="0" xfId="0" applyFont="1"/>
    <xf numFmtId="169" fontId="25" fillId="0" borderId="0" xfId="0" applyNumberFormat="1" applyFont="1" applyAlignment="1">
      <alignment horizontal="left" vertical="center"/>
    </xf>
    <xf numFmtId="1" fontId="25" fillId="0" borderId="0" xfId="0" applyNumberFormat="1" applyFont="1" applyAlignment="1">
      <alignment horizontal="left" vertical="center"/>
    </xf>
    <xf numFmtId="0" fontId="32" fillId="0" borderId="0" xfId="0" applyFont="1"/>
    <xf numFmtId="0" fontId="0" fillId="0" borderId="0" xfId="0" applyAlignment="1">
      <alignment vertical="center" wrapText="1"/>
    </xf>
  </cellXfs>
  <cellStyles count="8">
    <cellStyle name="Currency" xfId="5" builtinId="4"/>
    <cellStyle name="Followed Hyperlink" xfId="2" builtinId="9" hidden="1"/>
    <cellStyle name="Followed Hyperlink" xfId="4" builtinId="9" hidden="1"/>
    <cellStyle name="Followed Hyperlink" xfId="7" builtinId="9" hidden="1"/>
    <cellStyle name="Hyperlink" xfId="1" builtinId="8" hidden="1"/>
    <cellStyle name="Hyperlink" xfId="3" builtinId="8" hidden="1"/>
    <cellStyle name="Hyperlink" xfId="6"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142875</xdr:colOff>
      <xdr:row>19</xdr:row>
      <xdr:rowOff>47625</xdr:rowOff>
    </xdr:from>
    <xdr:to>
      <xdr:col>1</xdr:col>
      <xdr:colOff>1285875</xdr:colOff>
      <xdr:row>27</xdr:row>
      <xdr:rowOff>111125</xdr:rowOff>
    </xdr:to>
    <xdr:sp macro="" textlink="">
      <xdr:nvSpPr>
        <xdr:cNvPr id="5" name="Rectangle 4">
          <a:extLst>
            <a:ext uri="{FF2B5EF4-FFF2-40B4-BE49-F238E27FC236}">
              <a16:creationId xmlns:a16="http://schemas.microsoft.com/office/drawing/2014/main" id="{00000000-0008-0000-0800-000005000000}"/>
            </a:ext>
          </a:extLst>
        </xdr:cNvPr>
        <xdr:cNvSpPr/>
      </xdr:nvSpPr>
      <xdr:spPr>
        <a:xfrm>
          <a:off x="142875" y="4429125"/>
          <a:ext cx="6254750" cy="1714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2400">
              <a:solidFill>
                <a:srgbClr val="FFFF00"/>
              </a:solidFill>
            </a:rPr>
            <a:t>[</a:t>
          </a:r>
          <a:r>
            <a:rPr lang="en-US" altLang="zh-CN" sz="2400" b="1">
              <a:solidFill>
                <a:srgbClr val="FFFF00"/>
              </a:solidFill>
            </a:rPr>
            <a:t>04-28-20]</a:t>
          </a:r>
          <a:r>
            <a:rPr lang="zh-CN" altLang="en-US" sz="2400" b="1" baseline="0">
              <a:solidFill>
                <a:srgbClr val="FFFF00"/>
              </a:solidFill>
            </a:rPr>
            <a:t> </a:t>
          </a:r>
          <a:r>
            <a:rPr lang="en-US" altLang="zh-CN" sz="2400" baseline="0"/>
            <a:t>energy</a:t>
          </a:r>
          <a:r>
            <a:rPr lang="zh-CN" altLang="en-US" sz="2400" baseline="0"/>
            <a:t> </a:t>
          </a:r>
          <a:r>
            <a:rPr lang="en-US" altLang="zh-CN" sz="2400" baseline="0"/>
            <a:t>use</a:t>
          </a:r>
          <a:r>
            <a:rPr lang="zh-CN" altLang="en-US" sz="2400" baseline="0"/>
            <a:t> </a:t>
          </a:r>
          <a:r>
            <a:rPr lang="en-US" altLang="zh-CN" sz="2400" baseline="0"/>
            <a:t>for</a:t>
          </a:r>
          <a:r>
            <a:rPr lang="zh-CN" altLang="en-US" sz="2400" baseline="0"/>
            <a:t> </a:t>
          </a:r>
          <a:r>
            <a:rPr lang="en-US" altLang="zh-CN" sz="2400" baseline="0"/>
            <a:t>purification</a:t>
          </a:r>
          <a:r>
            <a:rPr lang="zh-CN" altLang="en-US" sz="2400" baseline="0"/>
            <a:t> </a:t>
          </a:r>
          <a:r>
            <a:rPr lang="en-US" altLang="zh-CN" sz="2400" baseline="0"/>
            <a:t>is</a:t>
          </a:r>
          <a:r>
            <a:rPr lang="zh-CN" altLang="en-US" sz="2400" baseline="0"/>
            <a:t> </a:t>
          </a:r>
          <a:r>
            <a:rPr lang="en-US" altLang="zh-CN" sz="2400" baseline="0"/>
            <a:t>already</a:t>
          </a:r>
          <a:r>
            <a:rPr lang="zh-CN" altLang="en-US" sz="2400" baseline="0"/>
            <a:t> </a:t>
          </a:r>
          <a:r>
            <a:rPr lang="en-US" altLang="zh-CN" sz="2400" baseline="0"/>
            <a:t>included</a:t>
          </a:r>
          <a:r>
            <a:rPr lang="zh-CN" altLang="en-US" sz="2400" baseline="0"/>
            <a:t> </a:t>
          </a:r>
          <a:r>
            <a:rPr lang="en-US" altLang="zh-CN" sz="2400" baseline="0"/>
            <a:t>in</a:t>
          </a:r>
          <a:r>
            <a:rPr lang="zh-CN" altLang="en-US" sz="2400" baseline="0"/>
            <a:t> </a:t>
          </a:r>
          <a:r>
            <a:rPr lang="en-US" altLang="zh-CN" sz="2400" baseline="0"/>
            <a:t>'Electrocatalysis'</a:t>
          </a:r>
          <a:r>
            <a:rPr lang="zh-CN" altLang="en-US" sz="2400" baseline="0"/>
            <a:t> </a:t>
          </a:r>
          <a:r>
            <a:rPr lang="en-US" altLang="zh-CN" sz="2400" baseline="0"/>
            <a:t>tab</a:t>
          </a:r>
          <a:endParaRPr lang="en-US" sz="2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O12"/>
  <sheetViews>
    <sheetView workbookViewId="0">
      <selection activeCell="E17" sqref="D17:E17"/>
    </sheetView>
  </sheetViews>
  <sheetFormatPr baseColWidth="10" defaultRowHeight="16"/>
  <cols>
    <col min="1" max="1" width="15.1640625" style="14" bestFit="1" customWidth="1"/>
    <col min="2" max="16384" width="10.83203125" style="14"/>
  </cols>
  <sheetData>
    <row r="1" spans="1:15" ht="37">
      <c r="B1" s="36" t="s">
        <v>29</v>
      </c>
      <c r="C1" s="37"/>
      <c r="D1" s="37"/>
      <c r="E1" s="37"/>
      <c r="F1" s="37"/>
      <c r="G1" s="37"/>
      <c r="H1" s="37"/>
    </row>
    <row r="3" spans="1:15">
      <c r="A3" s="15" t="s">
        <v>28</v>
      </c>
      <c r="B3" s="14" t="s">
        <v>30</v>
      </c>
      <c r="M3" s="39"/>
      <c r="N3" s="38"/>
      <c r="O3" s="38"/>
    </row>
    <row r="4" spans="1:15">
      <c r="B4" s="14" t="s">
        <v>118</v>
      </c>
      <c r="M4" s="38"/>
      <c r="N4" s="38"/>
      <c r="O4" s="38"/>
    </row>
    <row r="5" spans="1:15">
      <c r="B5" s="16"/>
      <c r="M5" s="38"/>
      <c r="N5" s="38"/>
      <c r="O5" s="38"/>
    </row>
    <row r="6" spans="1:15">
      <c r="A6" s="15" t="s">
        <v>37</v>
      </c>
      <c r="B6" s="14" t="s">
        <v>38</v>
      </c>
    </row>
    <row r="7" spans="1:15">
      <c r="A7" s="15" t="s">
        <v>41</v>
      </c>
    </row>
    <row r="8" spans="1:15">
      <c r="A8" s="15"/>
      <c r="B8" s="14" t="s">
        <v>115</v>
      </c>
    </row>
    <row r="9" spans="1:15">
      <c r="A9" s="15" t="s">
        <v>117</v>
      </c>
    </row>
    <row r="10" spans="1:15">
      <c r="B10" s="14" t="s">
        <v>116</v>
      </c>
    </row>
    <row r="11" spans="1:15">
      <c r="A11" s="15" t="s">
        <v>40</v>
      </c>
    </row>
    <row r="12" spans="1:15">
      <c r="B12" s="14"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E6"/>
  <sheetViews>
    <sheetView zoomScale="80" zoomScaleNormal="80" zoomScalePageLayoutView="80" workbookViewId="0">
      <selection activeCell="E1" sqref="E1:E12"/>
    </sheetView>
  </sheetViews>
  <sheetFormatPr baseColWidth="10" defaultRowHeight="16"/>
  <cols>
    <col min="2" max="2" width="14.33203125" bestFit="1" customWidth="1"/>
    <col min="3" max="3" width="10.83203125" bestFit="1" customWidth="1"/>
  </cols>
  <sheetData>
    <row r="1" spans="1:5" ht="21">
      <c r="A1" s="13" t="s">
        <v>24</v>
      </c>
    </row>
    <row r="2" spans="1:5">
      <c r="A2" s="1" t="s">
        <v>0</v>
      </c>
      <c r="B2" s="1" t="s">
        <v>1</v>
      </c>
      <c r="C2" s="1" t="s">
        <v>3</v>
      </c>
      <c r="D2" s="1" t="s">
        <v>7</v>
      </c>
      <c r="E2" s="3"/>
    </row>
    <row r="3" spans="1:5">
      <c r="A3">
        <v>0</v>
      </c>
      <c r="B3" s="35" t="s">
        <v>13</v>
      </c>
      <c r="C3" s="58">
        <f>Intermediate!B55</f>
        <v>-3603802.5330074122</v>
      </c>
      <c r="D3" t="s">
        <v>14</v>
      </c>
    </row>
    <row r="4" spans="1:5">
      <c r="A4">
        <v>1</v>
      </c>
      <c r="B4" s="35" t="s">
        <v>157</v>
      </c>
      <c r="C4" s="57">
        <f>AVERAGE(Intermediate!C57:V57)</f>
        <v>2.9914887264364407</v>
      </c>
      <c r="D4" t="s">
        <v>15</v>
      </c>
    </row>
    <row r="5" spans="1:5">
      <c r="A5">
        <v>2</v>
      </c>
      <c r="B5" s="34" t="s">
        <v>11</v>
      </c>
      <c r="C5" s="58">
        <f>Intermediate!B38</f>
        <v>57750.302346012089</v>
      </c>
      <c r="D5" t="s">
        <v>12</v>
      </c>
    </row>
    <row r="6" spans="1:5">
      <c r="A6">
        <v>3</v>
      </c>
      <c r="B6" s="35" t="s">
        <v>22</v>
      </c>
      <c r="C6" s="60">
        <f>Intermediate!B56*100</f>
        <v>-13.026556612865347</v>
      </c>
      <c r="D6"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2060"/>
  </sheetPr>
  <dimension ref="A1:V65"/>
  <sheetViews>
    <sheetView tabSelected="1" zoomScale="80" zoomScaleNormal="80" zoomScalePageLayoutView="80" workbookViewId="0">
      <selection activeCell="D10" sqref="D10"/>
    </sheetView>
  </sheetViews>
  <sheetFormatPr baseColWidth="10" defaultRowHeight="16"/>
  <cols>
    <col min="1" max="1" width="55.1640625" style="6" bestFit="1" customWidth="1"/>
    <col min="2" max="2" width="17.83203125" style="8" bestFit="1" customWidth="1"/>
    <col min="3" max="3" width="10.83203125" style="8"/>
    <col min="4" max="4" width="17.33203125" style="8" bestFit="1" customWidth="1"/>
    <col min="5" max="21" width="10.83203125" style="8"/>
    <col min="22" max="16384" width="10.83203125" style="6"/>
  </cols>
  <sheetData>
    <row r="1" spans="1:7" ht="21">
      <c r="A1" s="13" t="s">
        <v>165</v>
      </c>
    </row>
    <row r="2" spans="1:7">
      <c r="B2" s="6" t="s">
        <v>66</v>
      </c>
      <c r="C2" s="1" t="s">
        <v>7</v>
      </c>
    </row>
    <row r="3" spans="1:7">
      <c r="A3" s="6" t="s">
        <v>110</v>
      </c>
      <c r="B3" s="8">
        <f>SUM(Equipment_cost_col)</f>
        <v>1107135</v>
      </c>
      <c r="C3" s="8" t="s">
        <v>14</v>
      </c>
    </row>
    <row r="4" spans="1:7">
      <c r="A4" s="6" t="s">
        <v>111</v>
      </c>
      <c r="B4" s="8">
        <f>SUM(Installation_costs_col)</f>
        <v>2097400</v>
      </c>
      <c r="C4" s="8" t="s">
        <v>14</v>
      </c>
    </row>
    <row r="5" spans="1:7">
      <c r="A5" s="20" t="s">
        <v>112</v>
      </c>
      <c r="B5" s="8">
        <f>B3+B4</f>
        <v>3204535</v>
      </c>
      <c r="C5" s="8" t="s">
        <v>14</v>
      </c>
    </row>
    <row r="7" spans="1:7" ht="21">
      <c r="A7" s="13" t="s">
        <v>35</v>
      </c>
    </row>
    <row r="8" spans="1:7">
      <c r="A8" s="1"/>
      <c r="B8" s="6" t="s">
        <v>66</v>
      </c>
      <c r="C8" s="1" t="s">
        <v>7</v>
      </c>
    </row>
    <row r="9" spans="1:7">
      <c r="A9" s="47" t="s">
        <v>89</v>
      </c>
      <c r="B9" s="8">
        <f>'Operation param'!C4*'Operation param'!C5</f>
        <v>8030</v>
      </c>
      <c r="C9" s="8" t="s">
        <v>97</v>
      </c>
    </row>
    <row r="10" spans="1:7">
      <c r="A10" s="47" t="s">
        <v>96</v>
      </c>
      <c r="B10" s="8">
        <f>'Operation param'!C4*'Operation param'!C6</f>
        <v>8760</v>
      </c>
      <c r="C10" s="8" t="s">
        <v>97</v>
      </c>
    </row>
    <row r="11" spans="1:7">
      <c r="A11" s="48" t="s">
        <v>36</v>
      </c>
      <c r="B11" s="8">
        <f>'Operation param'!C3*'Operation param'!C5*'Operation param'!C4</f>
        <v>803000</v>
      </c>
      <c r="C11" s="8" t="s">
        <v>98</v>
      </c>
    </row>
    <row r="13" spans="1:7" ht="21">
      <c r="A13" s="13" t="s">
        <v>26</v>
      </c>
    </row>
    <row r="14" spans="1:7">
      <c r="A14" s="29"/>
      <c r="B14" s="8" t="s">
        <v>87</v>
      </c>
      <c r="C14" s="30" t="s">
        <v>7</v>
      </c>
      <c r="D14" s="8" t="s">
        <v>143</v>
      </c>
      <c r="E14" s="30" t="s">
        <v>7</v>
      </c>
      <c r="F14" s="8" t="s">
        <v>144</v>
      </c>
      <c r="G14" s="30" t="s">
        <v>7</v>
      </c>
    </row>
    <row r="15" spans="1:7">
      <c r="A15" s="6" t="str">
        <f>Electrocatalysis!A4</f>
        <v>Glycerine</v>
      </c>
      <c r="B15" s="8">
        <f>(Electrocatalysis!B4+Purification!B4)*$B$11</f>
        <v>-4111360</v>
      </c>
      <c r="C15" s="8" t="str">
        <f>Electrocatalysis!D4&amp;"/yr"</f>
        <v>kg/yr</v>
      </c>
      <c r="D15" s="45">
        <f>IF(B15*Factors!B3&gt;=0,0,B15*Factors!B3)</f>
        <v>-328908.79999999999</v>
      </c>
      <c r="E15" s="8" t="s">
        <v>12</v>
      </c>
      <c r="F15" s="8">
        <f>IF(B15*Factors!B3&gt;=0,B15*Factors!B3,0)</f>
        <v>0</v>
      </c>
      <c r="G15" s="8" t="s">
        <v>12</v>
      </c>
    </row>
    <row r="16" spans="1:7">
      <c r="A16" s="6" t="str">
        <f>Electrocatalysis!A5</f>
        <v>Lime</v>
      </c>
      <c r="B16" s="8">
        <f>(Electrocatalysis!B5+Purification!B5)*$B$11</f>
        <v>-1994857.8153240001</v>
      </c>
      <c r="C16" s="8" t="str">
        <f>Electrocatalysis!D5&amp;"/yr"</f>
        <v>kg/yr</v>
      </c>
      <c r="D16" s="45">
        <f>IF(B16*Factors!B4&gt;0,0,B16*Factors!B4)</f>
        <v>-219895.37032953589</v>
      </c>
      <c r="E16" s="8" t="s">
        <v>12</v>
      </c>
      <c r="F16" s="8">
        <f>IF(B16*Factors!B4&gt;=0,B16*Factors!B4,0)</f>
        <v>0</v>
      </c>
      <c r="G16" s="8" t="s">
        <v>12</v>
      </c>
    </row>
    <row r="17" spans="1:7">
      <c r="A17" s="6" t="str">
        <f>Electrocatalysis!A6</f>
        <v>Methanol</v>
      </c>
      <c r="B17" s="8">
        <f>(Electrocatalysis!B6+Purification!B6)*$B$11</f>
        <v>-136510</v>
      </c>
      <c r="C17" s="8" t="str">
        <f>Electrocatalysis!D6&amp;"/yr"</f>
        <v>kg/yr</v>
      </c>
      <c r="D17" s="45">
        <f>IF(B17*Factors!B5&gt;0,0,B17*Factors!B5)</f>
        <v>-52365.812926801038</v>
      </c>
      <c r="E17" s="8" t="s">
        <v>12</v>
      </c>
      <c r="F17" s="8">
        <f>IF(B17*Factors!B5&gt;=0,B17*Factors!B5,0)</f>
        <v>0</v>
      </c>
      <c r="G17" s="8" t="s">
        <v>12</v>
      </c>
    </row>
    <row r="18" spans="1:7">
      <c r="A18" s="6" t="str">
        <f>Electrocatalysis!A7</f>
        <v>Sodium hydroxide</v>
      </c>
      <c r="B18" s="8">
        <f>(Electrocatalysis!B7+Purification!B7)*$B$11</f>
        <v>0</v>
      </c>
      <c r="C18" s="8" t="str">
        <f>Electrocatalysis!D7&amp;"/yr"</f>
        <v>kg/yr</v>
      </c>
      <c r="D18" s="45">
        <f>IF(B18*Factors!B6&gt;0,0,B18*Factors!B6)</f>
        <v>0</v>
      </c>
      <c r="E18" s="8" t="s">
        <v>12</v>
      </c>
      <c r="F18" s="8">
        <f>IF(B18*Factors!B6&gt;=0,B18*Factors!B6,0)</f>
        <v>0</v>
      </c>
      <c r="G18" s="8" t="s">
        <v>12</v>
      </c>
    </row>
    <row r="19" spans="1:7">
      <c r="A19" s="6" t="str">
        <f>Electrocatalysis!A8</f>
        <v>Sulfuric acid</v>
      </c>
      <c r="B19" s="8">
        <f>(Electrocatalysis!B8+Purification!B8)*$B$11</f>
        <v>-2695035.0472869999</v>
      </c>
      <c r="C19" s="8" t="str">
        <f>Electrocatalysis!D8&amp;"/yr"</f>
        <v>kg/yr</v>
      </c>
      <c r="D19" s="45">
        <f>IF(B19*Factors!B7&gt;0,0,B19*Factors!B7)</f>
        <v>-445615.01468063297</v>
      </c>
      <c r="E19" s="8" t="s">
        <v>12</v>
      </c>
      <c r="F19" s="8">
        <f>IF(B19*Factors!B7&gt;=0,B19*Factors!B7,0)</f>
        <v>0</v>
      </c>
      <c r="G19" s="8" t="s">
        <v>12</v>
      </c>
    </row>
    <row r="20" spans="1:7">
      <c r="A20" s="6" t="str">
        <f>Electrocatalysis!A9</f>
        <v>Water</v>
      </c>
      <c r="B20" s="8">
        <f>(Electrocatalysis!B9+Purification!B9)*$B$11</f>
        <v>-48180</v>
      </c>
      <c r="C20" s="8" t="str">
        <f>Electrocatalysis!D9&amp;"/yr"</f>
        <v>kg/yr</v>
      </c>
      <c r="D20" s="45">
        <f>IF(B20*Factors!B8&gt;0,0,B20*Factors!B8)</f>
        <v>-53.109343739149132</v>
      </c>
      <c r="E20" s="8" t="s">
        <v>12</v>
      </c>
      <c r="F20" s="8">
        <f>IF(B20*Factors!B8&gt;=0,B20*Factors!B8,0)</f>
        <v>0</v>
      </c>
      <c r="G20" s="8" t="s">
        <v>12</v>
      </c>
    </row>
    <row r="21" spans="1:7">
      <c r="A21" s="6" t="str">
        <f>Electrocatalysis!A10</f>
        <v>Cooling water (refrigerated)</v>
      </c>
      <c r="B21" s="8">
        <f>(Electrocatalysis!B10+Purification!B10)*$B$11</f>
        <v>-15257000</v>
      </c>
      <c r="C21" s="8" t="str">
        <f>Electrocatalysis!D10&amp;"/yr"</f>
        <v>MJ/yr</v>
      </c>
      <c r="D21" s="45">
        <f>IF(B21*Factors!B9&gt;0,0,B21*Factors!B9)</f>
        <v>-36038.483251565478</v>
      </c>
      <c r="E21" s="8" t="s">
        <v>12</v>
      </c>
      <c r="F21" s="8">
        <f>IF(B21*Factors!B9&gt;=0,B21*Factors!B9,0)</f>
        <v>0</v>
      </c>
      <c r="G21" s="8" t="s">
        <v>12</v>
      </c>
    </row>
    <row r="22" spans="1:7">
      <c r="A22" s="6" t="str">
        <f>Electrocatalysis!A11</f>
        <v>Heat, from steam</v>
      </c>
      <c r="B22" s="8">
        <f>(Electrocatalysis!B11+Purification!B11)*$B$11</f>
        <v>-23287000</v>
      </c>
      <c r="C22" s="8" t="str">
        <f>Electrocatalysis!D11&amp;"/yr"</f>
        <v>MJ/yr</v>
      </c>
      <c r="D22" s="45">
        <f>IF(B22*Factors!B10&gt;0,0,B22*Factors!B10)</f>
        <v>-186687.39011337268</v>
      </c>
      <c r="E22" s="8" t="s">
        <v>12</v>
      </c>
      <c r="F22" s="8">
        <f>IF(B22*Factors!B10&gt;=0,B22*Factors!B10,0)</f>
        <v>0</v>
      </c>
      <c r="G22" s="8" t="s">
        <v>12</v>
      </c>
    </row>
    <row r="23" spans="1:7">
      <c r="A23" s="6" t="str">
        <f>Electrocatalysis!A12</f>
        <v>Electricity</v>
      </c>
      <c r="B23" s="8">
        <f>(Electrocatalysis!B12+Purification!B12)*$B$11</f>
        <v>-15706993.049094152</v>
      </c>
      <c r="C23" s="8" t="str">
        <f>Electrocatalysis!D12&amp;"/yr"</f>
        <v>kWh/yr</v>
      </c>
      <c r="D23" s="45">
        <f>IF(B23*Factors!B11&gt;0,0,B23*Factors!B11)</f>
        <v>-628279.72196376603</v>
      </c>
      <c r="E23" s="8" t="s">
        <v>12</v>
      </c>
      <c r="F23" s="8">
        <f>IF(B23*Factors!B11&gt;=0,B23*Factors!B11,0)</f>
        <v>0</v>
      </c>
      <c r="G23" s="8" t="s">
        <v>12</v>
      </c>
    </row>
    <row r="24" spans="1:7">
      <c r="A24" s="6" t="str">
        <f>Electrocatalysis!A13</f>
        <v>Lactic acid</v>
      </c>
      <c r="B24" s="8">
        <f>(Electrocatalysis!B13+Purification!B13)*$B$11</f>
        <v>803000</v>
      </c>
      <c r="C24" s="8" t="str">
        <f>Electrocatalysis!D13&amp;"/yr"</f>
        <v>kg/yr</v>
      </c>
      <c r="D24" s="45">
        <f>IF(B24*Factors!B12&gt;0,0,B24*Factors!B12)</f>
        <v>0</v>
      </c>
      <c r="E24" s="8" t="s">
        <v>12</v>
      </c>
      <c r="F24" s="45">
        <f>IF(B24*Factors!B12&gt;=0,B24*Factors!B12,0)</f>
        <v>1593280.3121744739</v>
      </c>
      <c r="G24" s="8" t="s">
        <v>12</v>
      </c>
    </row>
    <row r="25" spans="1:7">
      <c r="A25" s="6" t="str">
        <f>Electrocatalysis!A14</f>
        <v>Glycolic acid</v>
      </c>
      <c r="B25" s="8">
        <f>(Electrocatalysis!B14+Purification!B14)*$B$11</f>
        <v>269085.3</v>
      </c>
      <c r="C25" s="8" t="str">
        <f>Electrocatalysis!D14&amp;"/yr"</f>
        <v>kg/yr</v>
      </c>
      <c r="D25" s="45">
        <f>IF(B25*Factors!B13&gt;0,0,B25*Factors!B13)</f>
        <v>0</v>
      </c>
      <c r="E25" s="8" t="s">
        <v>12</v>
      </c>
      <c r="F25" s="8">
        <f>IF(B25*Factors!B13&gt;=0,B25*Factors!B13,0)</f>
        <v>538170.6</v>
      </c>
      <c r="G25" s="8" t="s">
        <v>12</v>
      </c>
    </row>
    <row r="26" spans="1:7">
      <c r="A26" s="6" t="str">
        <f>Electrocatalysis!A15</f>
        <v>Glyceric acid</v>
      </c>
      <c r="B26" s="8">
        <f>(Electrocatalysis!B15+Purification!B15)*$B$11</f>
        <v>0</v>
      </c>
      <c r="C26" s="8" t="str">
        <f>Electrocatalysis!D15&amp;"/yr"</f>
        <v>kg/yr</v>
      </c>
      <c r="D26" s="45">
        <f>IF(B26*Factors!B14&gt;0,0,B26*Factors!B14)</f>
        <v>0</v>
      </c>
      <c r="E26" s="8" t="s">
        <v>12</v>
      </c>
      <c r="F26" s="8">
        <f>IF(B26*Factors!B14&gt;=0,B26*Factors!B14,0)</f>
        <v>0</v>
      </c>
      <c r="G26" s="8" t="s">
        <v>12</v>
      </c>
    </row>
    <row r="27" spans="1:7">
      <c r="A27" s="6" t="str">
        <f>Electrocatalysis!A16</f>
        <v>Oxalic acid</v>
      </c>
      <c r="B27" s="8">
        <f>(Electrocatalysis!B16+Purification!B16)*$B$11</f>
        <v>0</v>
      </c>
      <c r="C27" s="8" t="str">
        <f>Electrocatalysis!D16&amp;"/yr"</f>
        <v>kg/yr</v>
      </c>
      <c r="D27" s="45">
        <f>IF(B27*Factors!B15&gt;0,0,B27*Factors!B15)</f>
        <v>0</v>
      </c>
      <c r="E27" s="8" t="s">
        <v>12</v>
      </c>
      <c r="F27" s="8">
        <f>IF(B27*Factors!B15&gt;=0,B27*Factors!B15,0)</f>
        <v>0</v>
      </c>
      <c r="G27" s="8" t="s">
        <v>12</v>
      </c>
    </row>
    <row r="28" spans="1:7">
      <c r="A28" s="6" t="str">
        <f>Electrocatalysis!A17</f>
        <v>Formic acid</v>
      </c>
      <c r="B28" s="8">
        <f>(Electrocatalysis!B17+Purification!B17)*$B$11</f>
        <v>0</v>
      </c>
      <c r="C28" s="8" t="str">
        <f>Electrocatalysis!D17&amp;"/yr"</f>
        <v>kg/yr</v>
      </c>
      <c r="D28" s="45">
        <f>IF(B28*Factors!B16&gt;0,0,B28*Factors!B16)</f>
        <v>0</v>
      </c>
      <c r="E28" s="8" t="s">
        <v>12</v>
      </c>
      <c r="F28" s="8">
        <f>IF(B28*Factors!B16&gt;=0,B28*Factors!B16,0)</f>
        <v>0</v>
      </c>
      <c r="G28" s="8" t="s">
        <v>12</v>
      </c>
    </row>
    <row r="29" spans="1:7">
      <c r="A29" s="6" t="str">
        <f>Electrocatalysis!A18</f>
        <v>Hazardous waste, for incineration</v>
      </c>
      <c r="B29" s="8">
        <f>(Electrocatalysis!B18+Purification!B18)*$B$11</f>
        <v>-5483129.9641196281</v>
      </c>
      <c r="C29" s="8" t="str">
        <f>Electrocatalysis!D18&amp;"/yr"</f>
        <v>kg/yr</v>
      </c>
      <c r="D29" s="45">
        <f>IF(B29*Factors!B17&gt;0,0,B29*Factors!B17)</f>
        <v>-2.9072190487514025</v>
      </c>
      <c r="E29" s="8" t="s">
        <v>12</v>
      </c>
      <c r="F29" s="8">
        <f>IF(B29*Factors!B17&gt;=0,B29*Factors!B17,0)</f>
        <v>0</v>
      </c>
      <c r="G29" s="8" t="s">
        <v>12</v>
      </c>
    </row>
    <row r="31" spans="1:7" ht="21">
      <c r="A31" s="13" t="s">
        <v>113</v>
      </c>
    </row>
    <row r="32" spans="1:7">
      <c r="B32" s="8" t="s">
        <v>88</v>
      </c>
      <c r="C32" s="30" t="s">
        <v>7</v>
      </c>
    </row>
    <row r="33" spans="1:22">
      <c r="A33" s="6" t="s">
        <v>105</v>
      </c>
      <c r="B33" s="45">
        <f>SUM(D15:D29)</f>
        <v>-1897846.6098284619</v>
      </c>
      <c r="C33" s="8" t="s">
        <v>12</v>
      </c>
    </row>
    <row r="34" spans="1:22">
      <c r="A34" s="6" t="s">
        <v>92</v>
      </c>
      <c r="B34" s="45">
        <f>('Operation param'!C6*'Operation param'!C4*Factors!F3)*(1+Factors!F4/100)</f>
        <v>-145854</v>
      </c>
      <c r="C34" s="8" t="s">
        <v>12</v>
      </c>
    </row>
    <row r="35" spans="1:22">
      <c r="A35" s="6" t="s">
        <v>106</v>
      </c>
      <c r="B35" s="45">
        <f>Factors!J3+Factors!J4</f>
        <v>-30000</v>
      </c>
      <c r="C35" s="8" t="s">
        <v>12</v>
      </c>
    </row>
    <row r="36" spans="1:22">
      <c r="A36" s="20" t="s">
        <v>86</v>
      </c>
      <c r="B36" s="45">
        <f>SUM(B33:B35)</f>
        <v>-2073700.6098284619</v>
      </c>
      <c r="C36" s="8" t="s">
        <v>12</v>
      </c>
    </row>
    <row r="37" spans="1:22">
      <c r="A37" s="20" t="s">
        <v>95</v>
      </c>
      <c r="B37" s="45">
        <f>SUM(F15:F29)</f>
        <v>2131450.912174474</v>
      </c>
      <c r="C37" s="8" t="s">
        <v>12</v>
      </c>
    </row>
    <row r="38" spans="1:22">
      <c r="A38" s="35" t="s">
        <v>11</v>
      </c>
      <c r="B38" s="67">
        <f>B37+B36</f>
        <v>57750.302346012089</v>
      </c>
      <c r="C38" s="8" t="s">
        <v>12</v>
      </c>
    </row>
    <row r="40" spans="1:22" ht="21">
      <c r="A40" s="13" t="s">
        <v>99</v>
      </c>
    </row>
    <row r="41" spans="1:22" s="33" customFormat="1">
      <c r="A41" s="29"/>
      <c r="B41" s="6" t="s">
        <v>66</v>
      </c>
      <c r="C41" s="1" t="s">
        <v>7</v>
      </c>
      <c r="D41" s="32"/>
      <c r="E41" s="32"/>
      <c r="F41" s="32"/>
      <c r="G41" s="32"/>
      <c r="H41" s="32"/>
      <c r="I41" s="32"/>
      <c r="J41" s="32"/>
      <c r="K41" s="32"/>
      <c r="L41" s="32"/>
      <c r="M41" s="32"/>
      <c r="N41" s="32"/>
      <c r="O41" s="32"/>
      <c r="P41" s="32"/>
      <c r="Q41" s="32"/>
      <c r="R41" s="32"/>
      <c r="S41" s="32"/>
      <c r="T41" s="32"/>
      <c r="U41" s="32"/>
    </row>
    <row r="42" spans="1:22">
      <c r="A42" s="4" t="s">
        <v>100</v>
      </c>
      <c r="B42" s="8">
        <f>B3/'Financial param'!I7</f>
        <v>55356.75</v>
      </c>
      <c r="C42" s="8" t="s">
        <v>12</v>
      </c>
    </row>
    <row r="43" spans="1:22">
      <c r="A43" s="4" t="s">
        <v>104</v>
      </c>
      <c r="B43" s="8">
        <f>B4/'Financial param'!I9</f>
        <v>104870</v>
      </c>
      <c r="C43" s="8" t="s">
        <v>12</v>
      </c>
    </row>
    <row r="44" spans="1:22">
      <c r="A44" s="4" t="s">
        <v>101</v>
      </c>
      <c r="B44" s="8">
        <f>B5*'Financial param'!I6/100*'Financial param'!I5/100</f>
        <v>320453.5</v>
      </c>
      <c r="C44" s="8" t="s">
        <v>147</v>
      </c>
    </row>
    <row r="45" spans="1:22">
      <c r="A45" s="31" t="s">
        <v>102</v>
      </c>
      <c r="B45" s="8">
        <f>SUM(B42:B44)</f>
        <v>480680.25</v>
      </c>
      <c r="C45" s="8" t="s">
        <v>147</v>
      </c>
    </row>
    <row r="46" spans="1:22">
      <c r="A46" s="48"/>
    </row>
    <row r="47" spans="1:22" ht="21">
      <c r="A47" s="13" t="s">
        <v>25</v>
      </c>
    </row>
    <row r="48" spans="1:22">
      <c r="A48" s="5"/>
      <c r="B48" s="8">
        <v>0</v>
      </c>
      <c r="C48" s="49">
        <v>1</v>
      </c>
      <c r="D48" s="49">
        <v>2</v>
      </c>
      <c r="E48" s="49">
        <v>3</v>
      </c>
      <c r="F48" s="49">
        <v>4</v>
      </c>
      <c r="G48" s="49">
        <v>5</v>
      </c>
      <c r="H48" s="49">
        <v>6</v>
      </c>
      <c r="I48" s="49">
        <v>7</v>
      </c>
      <c r="J48" s="49">
        <v>8</v>
      </c>
      <c r="K48" s="49">
        <v>9</v>
      </c>
      <c r="L48" s="49">
        <v>10</v>
      </c>
      <c r="M48" s="49">
        <v>11</v>
      </c>
      <c r="N48" s="49">
        <v>12</v>
      </c>
      <c r="O48" s="49">
        <v>13</v>
      </c>
      <c r="P48" s="49">
        <v>14</v>
      </c>
      <c r="Q48" s="49">
        <v>15</v>
      </c>
      <c r="R48" s="49">
        <v>16</v>
      </c>
      <c r="S48" s="49">
        <v>17</v>
      </c>
      <c r="T48" s="49">
        <v>18</v>
      </c>
      <c r="U48" s="49">
        <v>19</v>
      </c>
      <c r="V48" s="49">
        <v>20</v>
      </c>
    </row>
    <row r="49" spans="1:22">
      <c r="A49" s="7" t="s">
        <v>152</v>
      </c>
      <c r="B49" s="59"/>
      <c r="C49" s="55">
        <f>B38-B45</f>
        <v>-422929.94765398791</v>
      </c>
      <c r="D49" s="8">
        <f>$B$38-'Financial param'!$I$5/100*($B$5-($B$42+$B$43)*C48)-$B$42-$B$43</f>
        <v>-406907.27265398792</v>
      </c>
      <c r="E49" s="8">
        <f>$B$38-'Financial param'!$I$5/100*($B$5-($B$42+$B$43)*D48)-$B$42-$B$43</f>
        <v>-390884.59765398793</v>
      </c>
      <c r="F49" s="8">
        <f>$B$38-'Financial param'!$I$5/100*($B$5-($B$42+$B$43)*E48)-$B$42-$B$43</f>
        <v>-374861.92265398795</v>
      </c>
      <c r="G49" s="8">
        <f>$B$38-'Financial param'!$I$5/100*($B$5-($B$42+$B$43)*F48)-$B$42-$B$43</f>
        <v>-358839.24765398796</v>
      </c>
      <c r="H49" s="8">
        <f>$B$38-'Financial param'!$I$5/100*($B$5-($B$42+$B$43)*G48)-$B$42-$B$43</f>
        <v>-342816.57265398791</v>
      </c>
      <c r="I49" s="8">
        <f>$B$38-'Financial param'!$I$5/100*($B$5-($B$42+$B$43)*H48)-$B$42-$B$43</f>
        <v>-326793.89765398792</v>
      </c>
      <c r="J49" s="8">
        <f>$B$38-'Financial param'!$I$5/100*($B$5-($B$42+$B$43)*I48)-$B$42-$B$43</f>
        <v>-310771.22265398793</v>
      </c>
      <c r="K49" s="8">
        <f>$B$38-'Financial param'!$I$5/100*($B$5-($B$42+$B$43)*J48)-$B$42-$B$43</f>
        <v>-294748.54765398789</v>
      </c>
      <c r="L49" s="8">
        <f>$B$38-'Financial param'!$I$5/100*($B$5-($B$42+$B$43)*K48)-$B$42-$B$43</f>
        <v>-278725.87265398796</v>
      </c>
      <c r="M49" s="8">
        <f>$B$38-'Financial param'!$I$5/100*($B$5-($B$42+$B$43)*L48)-$B$42-$B$43</f>
        <v>-262703.19765398791</v>
      </c>
      <c r="N49" s="8">
        <f>$B$38-'Financial param'!$I$5/100*($B$5-($B$42+$B$43)*M48)-$B$42-$B$43</f>
        <v>-246680.52265398792</v>
      </c>
      <c r="O49" s="8">
        <f>$B$38-'Financial param'!$I$5/100*($B$5-($B$42+$B$43)*N48)-$B$42-$B$43</f>
        <v>-230657.84765398793</v>
      </c>
      <c r="P49" s="8">
        <f>$B$38-'Financial param'!$I$5/100*($B$5-($B$42+$B$43)*O48)-$B$42-$B$43</f>
        <v>-214635.17265398792</v>
      </c>
      <c r="Q49" s="8">
        <f>$B$38-'Financial param'!$I$5/100*($B$5-($B$42+$B$43)*P48)-$B$42-$B$43</f>
        <v>-198612.4976539879</v>
      </c>
      <c r="R49" s="8">
        <f>$B$38-'Financial param'!$I$5/100*($B$5-($B$42+$B$43)*Q48)-$B$42-$B$43</f>
        <v>-182589.82265398791</v>
      </c>
      <c r="S49" s="8">
        <f>$B$38-'Financial param'!$I$5/100*($B$5-($B$42+$B$43)*R48)-$B$42-$B$43</f>
        <v>-166567.14765398792</v>
      </c>
      <c r="T49" s="8">
        <f>$B$38-'Financial param'!$I$5/100*($B$5-($B$42+$B$43)*S48)-$B$42-$B$43</f>
        <v>-150544.4726539879</v>
      </c>
      <c r="U49" s="8">
        <f>$B$38-'Financial param'!$I$5/100*($B$5-($B$42+$B$43)*T48)-$B$42-$B$43</f>
        <v>-134521.79765398792</v>
      </c>
      <c r="V49" s="8">
        <f>$B$38-'Financial param'!$I$5/100*($B$5-($B$42+$B$43)*U48)-$B$42-$B$43</f>
        <v>-118499.12265398791</v>
      </c>
    </row>
    <row r="50" spans="1:22">
      <c r="A50" s="46" t="s">
        <v>153</v>
      </c>
      <c r="B50" s="59"/>
      <c r="C50" s="8">
        <f>C49*(1-'Financial param'!$I$10/100)</f>
        <v>-274904.46597509214</v>
      </c>
      <c r="D50" s="8">
        <f>D49*(1-'Financial param'!$I$10/100)</f>
        <v>-264489.72722509218</v>
      </c>
      <c r="E50" s="8">
        <f>E49*(1-'Financial param'!$I$10/100)</f>
        <v>-254074.98847509216</v>
      </c>
      <c r="F50" s="8">
        <f>F49*(1-'Financial param'!$I$10/100)</f>
        <v>-243660.24972509217</v>
      </c>
      <c r="G50" s="8">
        <f>G49*(1-'Financial param'!$I$10/100)</f>
        <v>-233245.51097509218</v>
      </c>
      <c r="H50" s="8">
        <f>H49*(1-'Financial param'!$I$10/100)</f>
        <v>-222830.77222509214</v>
      </c>
      <c r="I50" s="8">
        <f>I49*(1-'Financial param'!$I$10/100)</f>
        <v>-212416.03347509215</v>
      </c>
      <c r="J50" s="8">
        <f>J49*(1-'Financial param'!$I$10/100)</f>
        <v>-202001.29472509216</v>
      </c>
      <c r="K50" s="8">
        <f>K49*(1-'Financial param'!$I$10/100)</f>
        <v>-191586.55597509214</v>
      </c>
      <c r="L50" s="8">
        <f>L49*(1-'Financial param'!$I$10/100)</f>
        <v>-181171.81722509218</v>
      </c>
      <c r="M50" s="8">
        <f>M49*(1-'Financial param'!$I$10/100)</f>
        <v>-170757.07847509216</v>
      </c>
      <c r="N50" s="8">
        <f>N49*(1-'Financial param'!$I$10/100)</f>
        <v>-160342.33972509214</v>
      </c>
      <c r="O50" s="8">
        <f>O49*(1-'Financial param'!$I$10/100)</f>
        <v>-149927.60097509215</v>
      </c>
      <c r="P50" s="8">
        <f>P49*(1-'Financial param'!$I$10/100)</f>
        <v>-139512.86222509216</v>
      </c>
      <c r="Q50" s="8">
        <f>Q49*(1-'Financial param'!$I$10/100)</f>
        <v>-129098.12347509214</v>
      </c>
      <c r="R50" s="8">
        <f>R49*(1-'Financial param'!$I$10/100)</f>
        <v>-118683.38472509214</v>
      </c>
      <c r="S50" s="8">
        <f>S49*(1-'Financial param'!$I$10/100)</f>
        <v>-108268.64597509215</v>
      </c>
      <c r="T50" s="8">
        <f>T49*(1-'Financial param'!$I$10/100)</f>
        <v>-97853.907225092145</v>
      </c>
      <c r="U50" s="8">
        <f>U49*(1-'Financial param'!$I$10/100)</f>
        <v>-87439.168475092156</v>
      </c>
      <c r="V50" s="8">
        <f>V49*(1-'Financial param'!$I$10/100)</f>
        <v>-77024.429725092152</v>
      </c>
    </row>
    <row r="51" spans="1:22">
      <c r="A51" s="27" t="s">
        <v>151</v>
      </c>
      <c r="B51" s="8">
        <f>-B5</f>
        <v>-3204535</v>
      </c>
      <c r="C51" s="8">
        <f>C50+$B$42+$B$43</f>
        <v>-114677.71597509214</v>
      </c>
      <c r="D51" s="8">
        <f t="shared" ref="D51:V51" si="0">D50+$B$42+$B$43</f>
        <v>-104262.97722509218</v>
      </c>
      <c r="E51" s="8">
        <f t="shared" si="0"/>
        <v>-93848.238475092163</v>
      </c>
      <c r="F51" s="8">
        <f t="shared" si="0"/>
        <v>-83433.499725092173</v>
      </c>
      <c r="G51" s="8">
        <f t="shared" si="0"/>
        <v>-73018.760975092184</v>
      </c>
      <c r="H51" s="8">
        <f t="shared" si="0"/>
        <v>-62604.022225092136</v>
      </c>
      <c r="I51" s="8">
        <f t="shared" si="0"/>
        <v>-52189.283475092147</v>
      </c>
      <c r="J51" s="8">
        <f t="shared" si="0"/>
        <v>-41774.544725092157</v>
      </c>
      <c r="K51" s="8">
        <f t="shared" si="0"/>
        <v>-31359.805975092138</v>
      </c>
      <c r="L51" s="8">
        <f t="shared" si="0"/>
        <v>-20945.067225092178</v>
      </c>
      <c r="M51" s="8">
        <f t="shared" si="0"/>
        <v>-10530.328475092159</v>
      </c>
      <c r="N51" s="8">
        <f t="shared" si="0"/>
        <v>-115.58972509214072</v>
      </c>
      <c r="O51" s="8">
        <f t="shared" si="0"/>
        <v>10299.149024907849</v>
      </c>
      <c r="P51" s="8">
        <f t="shared" si="0"/>
        <v>20713.887774907838</v>
      </c>
      <c r="Q51" s="8">
        <f t="shared" si="0"/>
        <v>31128.626524907857</v>
      </c>
      <c r="R51" s="8">
        <f t="shared" si="0"/>
        <v>41543.365274907861</v>
      </c>
      <c r="S51" s="8">
        <f>S50+$B$42+$B$43</f>
        <v>51958.104024907851</v>
      </c>
      <c r="T51" s="8">
        <f t="shared" si="0"/>
        <v>62372.842774907855</v>
      </c>
      <c r="U51" s="8">
        <f t="shared" si="0"/>
        <v>72787.581524907844</v>
      </c>
      <c r="V51" s="8">
        <f t="shared" si="0"/>
        <v>83202.320274907848</v>
      </c>
    </row>
    <row r="52" spans="1:22">
      <c r="A52" s="27" t="s">
        <v>158</v>
      </c>
      <c r="B52" s="8">
        <f>B51</f>
        <v>-3204535</v>
      </c>
      <c r="C52" s="8">
        <f>C51/((1+'Financial param'!$I$4/100)^Intermediate!C48)</f>
        <v>-104252.46906826558</v>
      </c>
      <c r="D52" s="8">
        <f>D51/((1+'Financial param'!$I$4/100)^Intermediate!D48)</f>
        <v>-86167.749772803436</v>
      </c>
      <c r="E52" s="8">
        <f>E51/((1+'Financial param'!$I$4/100)^Intermediate!E48)</f>
        <v>-70509.570604877634</v>
      </c>
      <c r="F52" s="8">
        <f>F51/((1+'Financial param'!$I$4/100)^Intermediate!F48)</f>
        <v>-56986.202940435862</v>
      </c>
      <c r="G52" s="8">
        <f>G51/((1+'Financial param'!$I$4/100)^Intermediate!G48)</f>
        <v>-45338.905672794433</v>
      </c>
      <c r="H52" s="8">
        <f>H51/((1+'Financial param'!$I$4/100)^Intermediate!H48)</f>
        <v>-35338.338462571766</v>
      </c>
      <c r="I52" s="8">
        <f>I51/((1+'Financial param'!$I$4/100)^Intermediate!I48)</f>
        <v>-26781.354499887191</v>
      </c>
      <c r="J52" s="8">
        <f>J51/((1+'Financial param'!$I$4/100)^Intermediate!J48)</f>
        <v>-19488.133419157071</v>
      </c>
      <c r="K52" s="8">
        <f>K51/((1+'Financial param'!$I$4/100)^Intermediate!K48)</f>
        <v>-13299.61902665979</v>
      </c>
      <c r="L52" s="8">
        <f>L51/((1+'Financial param'!$I$4/100)^Intermediate!L48)</f>
        <v>-8075.2301152847067</v>
      </c>
      <c r="M52" s="8">
        <f>M51/((1+'Financial param'!$I$4/100)^Intermediate!M48)</f>
        <v>-3690.8158900549934</v>
      </c>
      <c r="N52" s="8">
        <f>N51/((1+'Financial param'!$I$4/100)^Intermediate!N48)</f>
        <v>-36.830448625024118</v>
      </c>
      <c r="O52" s="8">
        <f>O51/((1+'Financial param'!$I$4/100)^Intermediate!O48)</f>
        <v>2983.2966141156448</v>
      </c>
      <c r="P52" s="8">
        <f>P51/((1+'Financial param'!$I$4/100)^Intermediate!P48)</f>
        <v>5454.6140493218518</v>
      </c>
      <c r="Q52" s="8">
        <f>Q51/((1+'Financial param'!$I$4/100)^Intermediate!Q48)</f>
        <v>7451.9456978449907</v>
      </c>
      <c r="R52" s="8">
        <f>R51/((1+'Financial param'!$I$4/100)^Intermediate!R48)</f>
        <v>9041.0466825926651</v>
      </c>
      <c r="S52" s="8">
        <f>S51/((1+'Financial param'!$I$4/100)^Intermediate!S48)</f>
        <v>10279.633887486667</v>
      </c>
      <c r="T52" s="8">
        <f>T51/((1+'Financial param'!$I$4/100)^Intermediate!T48)</f>
        <v>11218.304024692567</v>
      </c>
      <c r="U52" s="8">
        <f>U51/((1+'Financial param'!$I$4/100)^Intermediate!U48)</f>
        <v>11901.351212261961</v>
      </c>
      <c r="V52" s="8">
        <f>V51/((1+'Financial param'!$I$4/100)^Intermediate!V48)</f>
        <v>12367.494745689053</v>
      </c>
    </row>
    <row r="53" spans="1:22">
      <c r="A53" s="46" t="s">
        <v>155</v>
      </c>
      <c r="B53" s="59"/>
      <c r="C53" s="45">
        <f>$B$34+$B$35-($B$42+$B$43+B44)</f>
        <v>-656534.25</v>
      </c>
      <c r="D53" s="45">
        <f>$B$34+$B$35-($B$42+$B$43+'Financial param'!$I$5/100*($B$5-($B$42+$B$43)*C48))</f>
        <v>-640511.57499999995</v>
      </c>
      <c r="E53" s="45">
        <f>$B$34+$B$35-($B$42+$B$43+'Financial param'!$I$5/100*($B$5-($B$42+$B$43)*D48))</f>
        <v>-624488.9</v>
      </c>
      <c r="F53" s="45">
        <f>$B$34+$B$35-($B$42+$B$43+'Financial param'!$I$5/100*($B$5-($B$42+$B$43)*E48))</f>
        <v>-608466.22500000009</v>
      </c>
      <c r="G53" s="45">
        <f>$B$34+$B$35-($B$42+$B$43+'Financial param'!$I$5/100*($B$5-($B$42+$B$43)*F48))</f>
        <v>-592443.55000000005</v>
      </c>
      <c r="H53" s="45">
        <f>$B$34+$B$35-($B$42+$B$43+'Financial param'!$I$5/100*($B$5-($B$42+$B$43)*G48))</f>
        <v>-576420.875</v>
      </c>
      <c r="I53" s="45">
        <f>$B$34+$B$35-($B$42+$B$43+'Financial param'!$I$5/100*($B$5-($B$42+$B$43)*H48))</f>
        <v>-560398.19999999995</v>
      </c>
      <c r="J53" s="45">
        <f>$B$34+$B$35-($B$42+$B$43+'Financial param'!$I$5/100*($B$5-($B$42+$B$43)*I48))</f>
        <v>-544375.52500000002</v>
      </c>
      <c r="K53" s="45">
        <f>$B$34+$B$35-($B$42+$B$43+'Financial param'!$I$5/100*($B$5-($B$42+$B$43)*J48))</f>
        <v>-528352.85</v>
      </c>
      <c r="L53" s="45">
        <f>$B$34+$B$35-($B$42+$B$43+'Financial param'!$I$5/100*($B$5-($B$42+$B$43)*K48))</f>
        <v>-512330.17500000005</v>
      </c>
      <c r="M53" s="45">
        <f>$B$34+$B$35-($B$42+$B$43+'Financial param'!$I$5/100*($B$5-($B$42+$B$43)*L48))</f>
        <v>-496307.5</v>
      </c>
      <c r="N53" s="45">
        <f>$B$34+$B$35-($B$42+$B$43+'Financial param'!$I$5/100*($B$5-($B$42+$B$43)*M48))</f>
        <v>-480284.82500000001</v>
      </c>
      <c r="O53" s="45">
        <f>$B$34+$B$35-($B$42+$B$43+'Financial param'!$I$5/100*($B$5-($B$42+$B$43)*N48))</f>
        <v>-464262.15</v>
      </c>
      <c r="P53" s="45">
        <f>$B$34+$B$35-($B$42+$B$43+'Financial param'!$I$5/100*($B$5-($B$42+$B$43)*O48))</f>
        <v>-448239.47499999998</v>
      </c>
      <c r="Q53" s="45">
        <f>$B$34+$B$35-($B$42+$B$43+'Financial param'!$I$5/100*($B$5-($B$42+$B$43)*P48))</f>
        <v>-432216.8</v>
      </c>
      <c r="R53" s="45">
        <f>$B$34+$B$35-($B$42+$B$43+'Financial param'!$I$5/100*($B$5-($B$42+$B$43)*Q48))</f>
        <v>-416194.125</v>
      </c>
      <c r="S53" s="45">
        <f>$B$34+$B$35-($B$42+$B$43+'Financial param'!$I$5/100*($B$5-($B$42+$B$43)*R48))</f>
        <v>-400171.45</v>
      </c>
      <c r="T53" s="45">
        <f>$B$34+$B$35-($B$42+$B$43+'Financial param'!$I$5/100*($B$5-($B$42+$B$43)*S48))</f>
        <v>-384148.77500000002</v>
      </c>
      <c r="U53" s="45">
        <f>$B$34+$B$35-($B$42+$B$43+'Financial param'!$I$5/100*($B$5-($B$42+$B$43)*T48))</f>
        <v>-368126.1</v>
      </c>
      <c r="V53" s="45">
        <f>$B$34+$B$35-($B$42+$B$43+'Financial param'!$I$5/100*($B$5-($B$42+$B$43)*U48))</f>
        <v>-352103.42499999999</v>
      </c>
    </row>
    <row r="54" spans="1:22">
      <c r="A54" s="52"/>
      <c r="B54" s="53"/>
    </row>
    <row r="55" spans="1:22">
      <c r="A55" s="34" t="s">
        <v>150</v>
      </c>
      <c r="B55" s="44">
        <f>NPV('Financial param'!I4/100,Intermediate!C51:V51)+B51</f>
        <v>-3603802.5330074122</v>
      </c>
    </row>
    <row r="56" spans="1:22">
      <c r="A56" s="54" t="s">
        <v>154</v>
      </c>
      <c r="B56" s="66">
        <f>IRR(B51:V51)</f>
        <v>-0.13026556612865348</v>
      </c>
    </row>
    <row r="57" spans="1:22">
      <c r="A57" s="54" t="s">
        <v>156</v>
      </c>
      <c r="C57" s="56">
        <f>-C53/$B$11+(-$B$33/$B$11)</f>
        <v>3.1810471479806499</v>
      </c>
      <c r="D57" s="56">
        <f t="shared" ref="D57:V57" si="1">-D53/$B$11+(-$B$33/$B$11)</f>
        <v>3.1610936299233647</v>
      </c>
      <c r="E57" s="56">
        <f t="shared" si="1"/>
        <v>3.1411401118660796</v>
      </c>
      <c r="F57" s="56">
        <f t="shared" si="1"/>
        <v>3.1211865938087948</v>
      </c>
      <c r="G57" s="56">
        <f t="shared" si="1"/>
        <v>3.1012330757515096</v>
      </c>
      <c r="H57" s="56">
        <f t="shared" si="1"/>
        <v>3.081279557694224</v>
      </c>
      <c r="I57" s="56">
        <f t="shared" si="1"/>
        <v>3.0613260396369388</v>
      </c>
      <c r="J57" s="56">
        <f t="shared" si="1"/>
        <v>3.0413725215796537</v>
      </c>
      <c r="K57" s="56">
        <f t="shared" si="1"/>
        <v>3.0214190035223685</v>
      </c>
      <c r="L57" s="56">
        <f t="shared" si="1"/>
        <v>3.0014654854650837</v>
      </c>
      <c r="M57" s="56">
        <f t="shared" si="1"/>
        <v>2.9815119674077981</v>
      </c>
      <c r="N57" s="56">
        <f t="shared" si="1"/>
        <v>2.9615584493505129</v>
      </c>
      <c r="O57" s="56">
        <f t="shared" si="1"/>
        <v>2.9416049312932278</v>
      </c>
      <c r="P57" s="56">
        <f t="shared" si="1"/>
        <v>2.9216514132359426</v>
      </c>
      <c r="Q57" s="56">
        <f t="shared" si="1"/>
        <v>2.9016978951786574</v>
      </c>
      <c r="R57" s="56">
        <f t="shared" si="1"/>
        <v>2.8817443771213722</v>
      </c>
      <c r="S57" s="56">
        <f>-S53/$B$11+(-$B$33/$B$11)</f>
        <v>2.861790859064087</v>
      </c>
      <c r="T57" s="56">
        <f t="shared" si="1"/>
        <v>2.8418373410068019</v>
      </c>
      <c r="U57" s="56">
        <f t="shared" si="1"/>
        <v>2.8218838229495167</v>
      </c>
      <c r="V57" s="56">
        <f t="shared" si="1"/>
        <v>2.8019303048922315</v>
      </c>
    </row>
    <row r="58" spans="1:22">
      <c r="A58" s="28"/>
    </row>
    <row r="59" spans="1:22">
      <c r="A59" s="28"/>
    </row>
    <row r="60" spans="1:22" ht="21">
      <c r="A60" s="28"/>
      <c r="C60" s="50"/>
      <c r="D60" s="51"/>
      <c r="E60" s="50"/>
      <c r="F60" s="6"/>
    </row>
    <row r="61" spans="1:22" ht="21">
      <c r="A61" s="28"/>
      <c r="C61" s="50"/>
      <c r="D61" s="50"/>
      <c r="E61" s="50"/>
      <c r="F61" s="50"/>
    </row>
    <row r="62" spans="1:22" ht="21">
      <c r="A62" s="28"/>
      <c r="C62" s="50"/>
      <c r="D62" s="50"/>
      <c r="E62" s="50"/>
      <c r="F62" s="50"/>
    </row>
    <row r="63" spans="1:22" ht="21">
      <c r="A63" s="28"/>
      <c r="C63" s="50"/>
      <c r="D63" s="50"/>
      <c r="E63" s="50"/>
      <c r="F63" s="50"/>
    </row>
    <row r="64" spans="1:22" ht="21">
      <c r="A64" s="28"/>
      <c r="C64" s="50"/>
      <c r="D64" s="50"/>
      <c r="E64" s="50"/>
      <c r="F64" s="50"/>
    </row>
    <row r="65" spans="1:6" ht="21">
      <c r="A65" s="28"/>
      <c r="C65" s="50"/>
      <c r="D65" s="50"/>
      <c r="E65" s="50"/>
      <c r="F65" s="6"/>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
  <sheetViews>
    <sheetView zoomScale="80" zoomScaleNormal="80" zoomScalePageLayoutView="80" workbookViewId="0">
      <selection activeCell="I4" sqref="I4:I19"/>
    </sheetView>
  </sheetViews>
  <sheetFormatPr baseColWidth="10" defaultRowHeight="16"/>
  <cols>
    <col min="1" max="1" width="14" bestFit="1" customWidth="1"/>
    <col min="2" max="2" width="19" bestFit="1" customWidth="1"/>
    <col min="6" max="6" width="3.6640625" customWidth="1"/>
    <col min="7" max="7" width="12.83203125" bestFit="1" customWidth="1"/>
    <col min="8" max="8" width="16.33203125" bestFit="1" customWidth="1"/>
  </cols>
  <sheetData>
    <row r="1" spans="1:12" s="9" customFormat="1" ht="21">
      <c r="A1" s="13" t="s">
        <v>2</v>
      </c>
      <c r="G1" s="13" t="s">
        <v>4</v>
      </c>
    </row>
    <row r="2" spans="1:12">
      <c r="A2" s="1" t="s">
        <v>0</v>
      </c>
      <c r="B2" s="1" t="s">
        <v>1</v>
      </c>
      <c r="C2" s="1" t="s">
        <v>3</v>
      </c>
      <c r="D2" s="1" t="s">
        <v>7</v>
      </c>
      <c r="E2" s="3"/>
      <c r="F2" s="1"/>
      <c r="G2" s="1" t="s">
        <v>0</v>
      </c>
      <c r="H2" s="1" t="s">
        <v>1</v>
      </c>
      <c r="I2" s="1" t="s">
        <v>3</v>
      </c>
      <c r="J2" s="1" t="s">
        <v>7</v>
      </c>
      <c r="K2" s="1" t="s">
        <v>161</v>
      </c>
      <c r="L2" s="2"/>
    </row>
    <row r="3" spans="1:12">
      <c r="A3">
        <v>0</v>
      </c>
      <c r="B3" t="s">
        <v>21</v>
      </c>
      <c r="C3" t="s">
        <v>5</v>
      </c>
      <c r="D3" t="s">
        <v>10</v>
      </c>
      <c r="G3">
        <v>0</v>
      </c>
      <c r="H3" t="s">
        <v>16</v>
      </c>
      <c r="I3">
        <v>20</v>
      </c>
      <c r="J3" t="s">
        <v>9</v>
      </c>
    </row>
    <row r="4" spans="1:12">
      <c r="G4">
        <v>1</v>
      </c>
      <c r="H4" t="s">
        <v>17</v>
      </c>
      <c r="I4">
        <v>10</v>
      </c>
      <c r="J4" t="s">
        <v>9</v>
      </c>
    </row>
    <row r="5" spans="1:12">
      <c r="G5">
        <v>2</v>
      </c>
      <c r="H5" t="s">
        <v>18</v>
      </c>
      <c r="I5">
        <v>10</v>
      </c>
      <c r="J5" t="s">
        <v>9</v>
      </c>
    </row>
    <row r="6" spans="1:12">
      <c r="G6">
        <v>3</v>
      </c>
      <c r="H6" t="s">
        <v>149</v>
      </c>
      <c r="I6">
        <v>100</v>
      </c>
      <c r="J6" t="s">
        <v>9</v>
      </c>
    </row>
    <row r="7" spans="1:12">
      <c r="G7">
        <v>4</v>
      </c>
      <c r="H7" t="s">
        <v>19</v>
      </c>
      <c r="I7">
        <v>20</v>
      </c>
      <c r="J7" t="s">
        <v>8</v>
      </c>
    </row>
    <row r="8" spans="1:12">
      <c r="G8">
        <v>5</v>
      </c>
      <c r="H8" t="s">
        <v>20</v>
      </c>
      <c r="I8">
        <v>20</v>
      </c>
      <c r="J8" t="s">
        <v>8</v>
      </c>
    </row>
    <row r="9" spans="1:12">
      <c r="G9">
        <v>6</v>
      </c>
      <c r="H9" t="s">
        <v>103</v>
      </c>
      <c r="I9">
        <v>20</v>
      </c>
      <c r="J9" t="s">
        <v>8</v>
      </c>
    </row>
    <row r="10" spans="1:12">
      <c r="G10">
        <v>7</v>
      </c>
      <c r="H10" t="s">
        <v>148</v>
      </c>
      <c r="I10">
        <v>35</v>
      </c>
      <c r="J10" t="s">
        <v>9</v>
      </c>
    </row>
    <row r="11" spans="1:12">
      <c r="G11">
        <v>8</v>
      </c>
      <c r="H11" t="s">
        <v>160</v>
      </c>
      <c r="I11">
        <v>20</v>
      </c>
      <c r="J11" t="s">
        <v>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7"/>
  <sheetViews>
    <sheetView zoomScale="80" zoomScaleNormal="80" zoomScalePageLayoutView="80" workbookViewId="0">
      <selection activeCell="B6" sqref="B6"/>
    </sheetView>
  </sheetViews>
  <sheetFormatPr baseColWidth="10" defaultRowHeight="16"/>
  <cols>
    <col min="1" max="1" width="31.5" bestFit="1" customWidth="1"/>
    <col min="2" max="2" width="32.5" bestFit="1" customWidth="1"/>
    <col min="11" max="11" width="25.33203125" bestFit="1" customWidth="1"/>
  </cols>
  <sheetData>
    <row r="1" spans="1:11" s="9" customFormat="1" ht="21">
      <c r="A1" s="13" t="s">
        <v>4</v>
      </c>
      <c r="K1" s="10"/>
    </row>
    <row r="2" spans="1:11">
      <c r="A2" s="1" t="s">
        <v>0</v>
      </c>
      <c r="B2" s="1" t="s">
        <v>1</v>
      </c>
      <c r="C2" s="1" t="s">
        <v>3</v>
      </c>
      <c r="D2" s="1" t="s">
        <v>7</v>
      </c>
      <c r="E2" s="1" t="s">
        <v>161</v>
      </c>
      <c r="F2" s="2"/>
    </row>
    <row r="3" spans="1:11">
      <c r="A3" s="6">
        <v>0</v>
      </c>
      <c r="B3" s="6" t="s">
        <v>142</v>
      </c>
      <c r="C3" s="6">
        <v>100</v>
      </c>
      <c r="D3" s="6" t="s">
        <v>141</v>
      </c>
      <c r="E3" s="6"/>
      <c r="F3" s="41"/>
    </row>
    <row r="4" spans="1:11">
      <c r="A4">
        <v>1</v>
      </c>
      <c r="B4" s="17" t="s">
        <v>31</v>
      </c>
      <c r="C4">
        <v>365</v>
      </c>
      <c r="D4" t="s">
        <v>32</v>
      </c>
    </row>
    <row r="5" spans="1:11">
      <c r="A5">
        <v>2</v>
      </c>
      <c r="B5" s="17" t="s">
        <v>34</v>
      </c>
      <c r="C5">
        <v>22</v>
      </c>
      <c r="D5" t="s">
        <v>33</v>
      </c>
    </row>
    <row r="6" spans="1:11">
      <c r="A6">
        <v>3</v>
      </c>
      <c r="B6" s="17" t="s">
        <v>145</v>
      </c>
      <c r="C6">
        <v>24</v>
      </c>
      <c r="D6" t="s">
        <v>33</v>
      </c>
    </row>
    <row r="7" spans="1:11">
      <c r="B7" s="4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1"/>
  <sheetViews>
    <sheetView zoomScale="80" zoomScaleNormal="80" zoomScalePageLayoutView="80" workbookViewId="0">
      <selection activeCell="E22" sqref="E22"/>
    </sheetView>
  </sheetViews>
  <sheetFormatPr baseColWidth="10" defaultRowHeight="16"/>
  <cols>
    <col min="1" max="1" width="12.83203125" bestFit="1" customWidth="1"/>
    <col min="2" max="2" width="34" bestFit="1" customWidth="1"/>
    <col min="3" max="3" width="15.1640625" bestFit="1" customWidth="1"/>
    <col min="4" max="4" width="16.5" bestFit="1" customWidth="1"/>
    <col min="5" max="5" width="16.5" customWidth="1"/>
  </cols>
  <sheetData>
    <row r="1" spans="1:7" ht="21">
      <c r="A1" s="13" t="s">
        <v>4</v>
      </c>
    </row>
    <row r="2" spans="1:7">
      <c r="A2" s="1" t="s">
        <v>0</v>
      </c>
      <c r="B2" s="1" t="s">
        <v>1</v>
      </c>
      <c r="C2" s="1" t="s">
        <v>139</v>
      </c>
      <c r="D2" s="1" t="s">
        <v>140</v>
      </c>
      <c r="E2" s="68" t="s">
        <v>164</v>
      </c>
      <c r="F2" s="1" t="s">
        <v>7</v>
      </c>
      <c r="G2" s="2"/>
    </row>
    <row r="3" spans="1:7">
      <c r="A3">
        <v>0</v>
      </c>
      <c r="B3" t="s">
        <v>119</v>
      </c>
      <c r="C3" s="40">
        <v>59600</v>
      </c>
      <c r="D3">
        <f>E3-C3</f>
        <v>154300</v>
      </c>
      <c r="E3" s="40">
        <v>213900</v>
      </c>
      <c r="F3" t="s">
        <v>138</v>
      </c>
    </row>
    <row r="4" spans="1:7">
      <c r="A4">
        <v>1</v>
      </c>
      <c r="B4" t="s">
        <v>120</v>
      </c>
      <c r="C4" s="40">
        <v>34000</v>
      </c>
      <c r="D4">
        <f t="shared" ref="D4:D21" si="0">E4-C4</f>
        <v>133200</v>
      </c>
      <c r="E4" s="40">
        <v>167200</v>
      </c>
      <c r="F4" t="s">
        <v>138</v>
      </c>
    </row>
    <row r="5" spans="1:7">
      <c r="A5">
        <v>2</v>
      </c>
      <c r="B5" t="s">
        <v>121</v>
      </c>
      <c r="C5" s="40">
        <v>27800</v>
      </c>
      <c r="D5">
        <f t="shared" si="0"/>
        <v>130900</v>
      </c>
      <c r="E5" s="40">
        <v>158700</v>
      </c>
      <c r="F5" t="s">
        <v>138</v>
      </c>
    </row>
    <row r="6" spans="1:7">
      <c r="A6">
        <v>3</v>
      </c>
      <c r="B6" t="s">
        <v>122</v>
      </c>
      <c r="C6" s="40">
        <v>0</v>
      </c>
      <c r="D6">
        <f t="shared" si="0"/>
        <v>0</v>
      </c>
      <c r="E6" s="40">
        <v>0</v>
      </c>
      <c r="F6" t="s">
        <v>138</v>
      </c>
    </row>
    <row r="7" spans="1:7">
      <c r="A7">
        <v>4</v>
      </c>
      <c r="B7" t="s">
        <v>123</v>
      </c>
      <c r="C7" s="40">
        <v>31700</v>
      </c>
      <c r="D7">
        <f t="shared" si="0"/>
        <v>129300</v>
      </c>
      <c r="E7" s="40">
        <v>161000</v>
      </c>
      <c r="F7" t="s">
        <v>138</v>
      </c>
    </row>
    <row r="8" spans="1:7">
      <c r="A8">
        <v>5</v>
      </c>
      <c r="B8" t="s">
        <v>124</v>
      </c>
      <c r="C8" s="40">
        <v>567600</v>
      </c>
      <c r="D8">
        <f t="shared" si="0"/>
        <v>240700</v>
      </c>
      <c r="E8" s="40">
        <v>808300</v>
      </c>
      <c r="F8" t="s">
        <v>138</v>
      </c>
    </row>
    <row r="9" spans="1:7">
      <c r="A9">
        <v>6</v>
      </c>
      <c r="B9" t="s">
        <v>125</v>
      </c>
      <c r="C9" s="40">
        <v>49400</v>
      </c>
      <c r="D9">
        <f t="shared" si="0"/>
        <v>143100</v>
      </c>
      <c r="E9" s="40">
        <v>192500</v>
      </c>
      <c r="F9" t="s">
        <v>138</v>
      </c>
    </row>
    <row r="10" spans="1:7">
      <c r="A10">
        <v>7</v>
      </c>
      <c r="B10" t="s">
        <v>126</v>
      </c>
      <c r="C10" s="40">
        <v>0</v>
      </c>
      <c r="D10">
        <f t="shared" si="0"/>
        <v>0</v>
      </c>
      <c r="E10" s="40">
        <v>0</v>
      </c>
      <c r="F10" t="s">
        <v>138</v>
      </c>
    </row>
    <row r="11" spans="1:7">
      <c r="A11">
        <v>8</v>
      </c>
      <c r="B11" t="s">
        <v>127</v>
      </c>
      <c r="C11" s="40">
        <v>44200</v>
      </c>
      <c r="D11">
        <f t="shared" si="0"/>
        <v>130900</v>
      </c>
      <c r="E11" s="40">
        <v>175100</v>
      </c>
      <c r="F11" t="s">
        <v>138</v>
      </c>
    </row>
    <row r="12" spans="1:7">
      <c r="A12">
        <v>9</v>
      </c>
      <c r="B12" t="s">
        <v>128</v>
      </c>
      <c r="C12" s="40">
        <v>22800</v>
      </c>
      <c r="D12">
        <f t="shared" si="0"/>
        <v>94500</v>
      </c>
      <c r="E12" s="40">
        <v>117300</v>
      </c>
      <c r="F12" t="s">
        <v>138</v>
      </c>
    </row>
    <row r="13" spans="1:7">
      <c r="A13">
        <v>10</v>
      </c>
      <c r="B13" t="s">
        <v>129</v>
      </c>
      <c r="C13" s="40">
        <v>25700</v>
      </c>
      <c r="D13">
        <f t="shared" si="0"/>
        <v>129600</v>
      </c>
      <c r="E13" s="40">
        <v>155300</v>
      </c>
      <c r="F13" t="s">
        <v>138</v>
      </c>
    </row>
    <row r="14" spans="1:7">
      <c r="A14">
        <v>11</v>
      </c>
      <c r="B14" t="s">
        <v>130</v>
      </c>
      <c r="C14" s="40">
        <v>22800</v>
      </c>
      <c r="D14">
        <f t="shared" si="0"/>
        <v>94500</v>
      </c>
      <c r="E14" s="40">
        <v>117300</v>
      </c>
      <c r="F14" t="s">
        <v>138</v>
      </c>
    </row>
    <row r="15" spans="1:7">
      <c r="A15">
        <v>12</v>
      </c>
      <c r="B15" t="s">
        <v>131</v>
      </c>
      <c r="C15" s="40">
        <v>0</v>
      </c>
      <c r="D15">
        <f t="shared" si="0"/>
        <v>0</v>
      </c>
      <c r="E15" s="40">
        <v>0</v>
      </c>
      <c r="F15" t="s">
        <v>138</v>
      </c>
    </row>
    <row r="16" spans="1:7">
      <c r="A16">
        <v>13</v>
      </c>
      <c r="B16" t="s">
        <v>132</v>
      </c>
      <c r="C16" s="40">
        <v>22800</v>
      </c>
      <c r="D16">
        <f t="shared" si="0"/>
        <v>94500</v>
      </c>
      <c r="E16" s="40">
        <v>117300</v>
      </c>
      <c r="F16" t="s">
        <v>138</v>
      </c>
    </row>
    <row r="17" spans="1:6">
      <c r="A17">
        <v>14</v>
      </c>
      <c r="B17" t="s">
        <v>133</v>
      </c>
      <c r="C17" s="40">
        <v>22800</v>
      </c>
      <c r="D17">
        <f t="shared" si="0"/>
        <v>102100</v>
      </c>
      <c r="E17" s="40">
        <v>124900</v>
      </c>
      <c r="F17" t="s">
        <v>138</v>
      </c>
    </row>
    <row r="18" spans="1:6">
      <c r="A18">
        <v>15</v>
      </c>
      <c r="B18" t="s">
        <v>134</v>
      </c>
      <c r="C18" s="40">
        <v>45000</v>
      </c>
      <c r="D18">
        <f t="shared" si="0"/>
        <v>138200</v>
      </c>
      <c r="E18" s="40">
        <v>183200</v>
      </c>
      <c r="F18" t="s">
        <v>138</v>
      </c>
    </row>
    <row r="19" spans="1:6">
      <c r="A19">
        <v>16</v>
      </c>
      <c r="B19" t="s">
        <v>135</v>
      </c>
      <c r="C19" s="40">
        <v>22800</v>
      </c>
      <c r="D19">
        <f t="shared" si="0"/>
        <v>102900</v>
      </c>
      <c r="E19" s="40">
        <v>125700</v>
      </c>
      <c r="F19" t="s">
        <v>138</v>
      </c>
    </row>
    <row r="20" spans="1:6">
      <c r="A20">
        <v>17</v>
      </c>
      <c r="B20" t="s">
        <v>136</v>
      </c>
      <c r="C20" s="40">
        <v>45000</v>
      </c>
      <c r="D20">
        <f t="shared" si="0"/>
        <v>138900</v>
      </c>
      <c r="E20" s="40">
        <v>183900</v>
      </c>
      <c r="F20" t="s">
        <v>138</v>
      </c>
    </row>
    <row r="21" spans="1:6">
      <c r="A21">
        <v>18</v>
      </c>
      <c r="B21" t="s">
        <v>137</v>
      </c>
      <c r="C21" s="40">
        <f>62600+535</f>
        <v>63135</v>
      </c>
      <c r="D21">
        <f t="shared" si="0"/>
        <v>139800</v>
      </c>
      <c r="E21" s="40">
        <f>202400+535</f>
        <v>202935</v>
      </c>
      <c r="F21" t="s">
        <v>138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8"/>
  <sheetViews>
    <sheetView zoomScale="80" zoomScaleNormal="80" zoomScalePageLayoutView="80" workbookViewId="0">
      <selection activeCell="B4" sqref="B4:B18"/>
    </sheetView>
  </sheetViews>
  <sheetFormatPr baseColWidth="10" defaultRowHeight="16"/>
  <cols>
    <col min="1" max="1" width="67" customWidth="1"/>
    <col min="2" max="2" width="22.83203125" bestFit="1" customWidth="1"/>
    <col min="3" max="4" width="17.5" customWidth="1"/>
    <col min="5" max="5" width="121.5" customWidth="1"/>
  </cols>
  <sheetData>
    <row r="1" spans="1:5" ht="21">
      <c r="A1" s="22" t="s">
        <v>53</v>
      </c>
      <c r="B1" s="24">
        <v>4</v>
      </c>
    </row>
    <row r="2" spans="1:5" ht="21">
      <c r="A2" s="22" t="s">
        <v>51</v>
      </c>
      <c r="B2" s="24" t="s">
        <v>52</v>
      </c>
    </row>
    <row r="3" spans="1:5" s="11" customFormat="1" ht="44">
      <c r="A3" s="23" t="s">
        <v>62</v>
      </c>
      <c r="B3" s="18" t="s">
        <v>63</v>
      </c>
      <c r="C3" s="19" t="s">
        <v>42</v>
      </c>
      <c r="D3" s="12" t="s">
        <v>27</v>
      </c>
      <c r="E3" s="42"/>
    </row>
    <row r="4" spans="1:5" s="14" customFormat="1">
      <c r="A4" s="14" t="s">
        <v>43</v>
      </c>
      <c r="B4" s="14">
        <v>-5.12</v>
      </c>
      <c r="D4" s="14" t="s">
        <v>59</v>
      </c>
      <c r="E4" s="69"/>
    </row>
    <row r="5" spans="1:5">
      <c r="A5" t="s">
        <v>44</v>
      </c>
      <c r="B5">
        <v>-2.484256308</v>
      </c>
      <c r="D5" t="s">
        <v>59</v>
      </c>
    </row>
    <row r="6" spans="1:5">
      <c r="A6" t="s">
        <v>45</v>
      </c>
      <c r="B6">
        <v>-0.17</v>
      </c>
      <c r="D6" t="s">
        <v>59</v>
      </c>
    </row>
    <row r="7" spans="1:5">
      <c r="A7" t="s">
        <v>46</v>
      </c>
      <c r="B7">
        <v>0</v>
      </c>
      <c r="D7" t="s">
        <v>59</v>
      </c>
      <c r="E7" s="61"/>
    </row>
    <row r="8" spans="1:5">
      <c r="A8" t="s">
        <v>47</v>
      </c>
      <c r="B8">
        <v>-3.3562080289999998</v>
      </c>
      <c r="D8" t="s">
        <v>59</v>
      </c>
      <c r="E8" s="65"/>
    </row>
    <row r="9" spans="1:5">
      <c r="A9" t="s">
        <v>48</v>
      </c>
      <c r="B9">
        <v>-0.06</v>
      </c>
      <c r="D9" t="s">
        <v>59</v>
      </c>
      <c r="E9" s="61"/>
    </row>
    <row r="10" spans="1:5">
      <c r="A10" t="s">
        <v>54</v>
      </c>
      <c r="B10">
        <v>-19</v>
      </c>
      <c r="D10" t="s">
        <v>60</v>
      </c>
      <c r="E10" s="61"/>
    </row>
    <row r="11" spans="1:5">
      <c r="A11" t="s">
        <v>49</v>
      </c>
      <c r="B11" s="5">
        <v>-29</v>
      </c>
      <c r="D11" t="s">
        <v>60</v>
      </c>
      <c r="E11" s="61"/>
    </row>
    <row r="12" spans="1:5">
      <c r="A12" t="s">
        <v>50</v>
      </c>
      <c r="B12" s="64">
        <v>-19.560389849432319</v>
      </c>
      <c r="D12" t="s">
        <v>159</v>
      </c>
      <c r="E12" s="61"/>
    </row>
    <row r="13" spans="1:5">
      <c r="A13" s="20" t="s">
        <v>52</v>
      </c>
      <c r="B13">
        <v>1</v>
      </c>
      <c r="D13" t="s">
        <v>59</v>
      </c>
    </row>
    <row r="14" spans="1:5">
      <c r="A14" t="s">
        <v>55</v>
      </c>
      <c r="B14">
        <v>0.33509999999999995</v>
      </c>
      <c r="D14" t="s">
        <v>59</v>
      </c>
    </row>
    <row r="15" spans="1:5">
      <c r="A15" t="s">
        <v>56</v>
      </c>
      <c r="B15">
        <v>0</v>
      </c>
      <c r="D15" t="s">
        <v>59</v>
      </c>
    </row>
    <row r="16" spans="1:5">
      <c r="A16" t="s">
        <v>57</v>
      </c>
      <c r="B16">
        <v>0</v>
      </c>
      <c r="D16" t="s">
        <v>59</v>
      </c>
    </row>
    <row r="17" spans="1:4">
      <c r="A17" t="s">
        <v>58</v>
      </c>
      <c r="B17">
        <v>0</v>
      </c>
      <c r="D17" t="s">
        <v>59</v>
      </c>
    </row>
    <row r="18" spans="1:4">
      <c r="A18" t="s">
        <v>61</v>
      </c>
      <c r="B18">
        <v>-6.8283063065001599</v>
      </c>
      <c r="D18" t="s">
        <v>59</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8"/>
  <sheetViews>
    <sheetView zoomScale="80" zoomScaleNormal="80" zoomScalePageLayoutView="80" workbookViewId="0">
      <selection sqref="A1:E19"/>
    </sheetView>
  </sheetViews>
  <sheetFormatPr baseColWidth="10" defaultRowHeight="16"/>
  <cols>
    <col min="1" max="1" width="67" customWidth="1"/>
    <col min="2" max="2" width="22.83203125" bestFit="1" customWidth="1"/>
    <col min="3" max="4" width="17.5" customWidth="1"/>
  </cols>
  <sheetData>
    <row r="1" spans="1:5" ht="21">
      <c r="A1" s="22" t="s">
        <v>53</v>
      </c>
      <c r="B1" s="24">
        <v>3</v>
      </c>
    </row>
    <row r="2" spans="1:5" ht="21">
      <c r="A2" s="22" t="s">
        <v>51</v>
      </c>
      <c r="B2" s="24" t="s">
        <v>52</v>
      </c>
    </row>
    <row r="3" spans="1:5" s="11" customFormat="1" ht="44">
      <c r="A3" s="23" t="s">
        <v>62</v>
      </c>
      <c r="B3" s="18" t="s">
        <v>63</v>
      </c>
      <c r="C3" s="19" t="s">
        <v>42</v>
      </c>
      <c r="D3" s="12" t="s">
        <v>27</v>
      </c>
      <c r="E3" s="42" t="s">
        <v>6</v>
      </c>
    </row>
    <row r="4" spans="1:5">
      <c r="A4" t="s">
        <v>43</v>
      </c>
      <c r="B4">
        <v>0</v>
      </c>
      <c r="D4" t="s">
        <v>59</v>
      </c>
    </row>
    <row r="5" spans="1:5">
      <c r="A5" t="s">
        <v>44</v>
      </c>
      <c r="B5">
        <v>0</v>
      </c>
      <c r="D5" t="s">
        <v>59</v>
      </c>
    </row>
    <row r="6" spans="1:5">
      <c r="A6" t="s">
        <v>45</v>
      </c>
      <c r="B6">
        <v>0</v>
      </c>
      <c r="D6" t="s">
        <v>59</v>
      </c>
    </row>
    <row r="7" spans="1:5">
      <c r="A7" t="s">
        <v>46</v>
      </c>
      <c r="B7">
        <v>0</v>
      </c>
      <c r="D7" t="s">
        <v>59</v>
      </c>
    </row>
    <row r="8" spans="1:5">
      <c r="A8" t="s">
        <v>47</v>
      </c>
      <c r="B8">
        <v>0</v>
      </c>
      <c r="D8" t="s">
        <v>59</v>
      </c>
    </row>
    <row r="9" spans="1:5">
      <c r="A9" t="s">
        <v>48</v>
      </c>
      <c r="B9">
        <v>0</v>
      </c>
      <c r="D9" t="s">
        <v>59</v>
      </c>
    </row>
    <row r="10" spans="1:5">
      <c r="A10" t="s">
        <v>54</v>
      </c>
      <c r="B10">
        <v>0</v>
      </c>
      <c r="D10" t="s">
        <v>60</v>
      </c>
    </row>
    <row r="11" spans="1:5">
      <c r="A11" t="s">
        <v>49</v>
      </c>
      <c r="B11">
        <v>0</v>
      </c>
      <c r="D11" t="s">
        <v>60</v>
      </c>
    </row>
    <row r="12" spans="1:5">
      <c r="A12" t="s">
        <v>50</v>
      </c>
      <c r="B12">
        <v>0</v>
      </c>
      <c r="D12" t="s">
        <v>159</v>
      </c>
    </row>
    <row r="13" spans="1:5">
      <c r="A13" s="20" t="s">
        <v>52</v>
      </c>
      <c r="B13">
        <v>0</v>
      </c>
      <c r="D13" t="s">
        <v>59</v>
      </c>
    </row>
    <row r="14" spans="1:5">
      <c r="A14" t="s">
        <v>55</v>
      </c>
      <c r="B14">
        <v>0</v>
      </c>
      <c r="D14" t="s">
        <v>59</v>
      </c>
    </row>
    <row r="15" spans="1:5">
      <c r="A15" t="s">
        <v>56</v>
      </c>
      <c r="B15">
        <v>0</v>
      </c>
      <c r="D15" t="s">
        <v>59</v>
      </c>
    </row>
    <row r="16" spans="1:5">
      <c r="A16" t="s">
        <v>57</v>
      </c>
      <c r="B16">
        <v>0</v>
      </c>
      <c r="D16" t="s">
        <v>59</v>
      </c>
    </row>
    <row r="17" spans="1:4">
      <c r="A17" t="s">
        <v>58</v>
      </c>
      <c r="B17">
        <v>0</v>
      </c>
      <c r="D17" t="s">
        <v>59</v>
      </c>
    </row>
    <row r="18" spans="1:4">
      <c r="A18" t="s">
        <v>61</v>
      </c>
      <c r="B18">
        <v>0</v>
      </c>
      <c r="D18" t="s">
        <v>59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17"/>
  <sheetViews>
    <sheetView zoomScale="80" zoomScaleNormal="80" zoomScalePageLayoutView="80" workbookViewId="0">
      <selection activeCell="B3" sqref="B3:B17"/>
    </sheetView>
  </sheetViews>
  <sheetFormatPr baseColWidth="10" defaultRowHeight="16"/>
  <cols>
    <col min="1" max="1" width="29.83203125" bestFit="1" customWidth="1"/>
    <col min="2" max="2" width="12.6640625" bestFit="1" customWidth="1"/>
    <col min="3" max="3" width="5" bestFit="1" customWidth="1"/>
    <col min="4" max="4" width="19.5" customWidth="1"/>
    <col min="5" max="5" width="19.1640625" bestFit="1" customWidth="1"/>
    <col min="7" max="7" width="5" bestFit="1" customWidth="1"/>
    <col min="8" max="8" width="4.5" bestFit="1" customWidth="1"/>
    <col min="9" max="9" width="14.1640625" bestFit="1" customWidth="1"/>
    <col min="10" max="10" width="9.1640625" bestFit="1" customWidth="1"/>
    <col min="11" max="11" width="5" bestFit="1" customWidth="1"/>
    <col min="12" max="12" width="4.5" customWidth="1"/>
    <col min="13" max="13" width="34" bestFit="1" customWidth="1"/>
    <col min="15" max="15" width="8.6640625" bestFit="1" customWidth="1"/>
    <col min="16" max="16" width="5" bestFit="1" customWidth="1"/>
    <col min="17" max="17" width="4.5" bestFit="1" customWidth="1"/>
    <col min="18" max="18" width="20.83203125" bestFit="1" customWidth="1"/>
    <col min="19" max="19" width="22.5" bestFit="1" customWidth="1"/>
    <col min="20" max="20" width="6.83203125" bestFit="1" customWidth="1"/>
    <col min="21" max="21" width="6.1640625" bestFit="1" customWidth="1"/>
  </cols>
  <sheetData>
    <row r="1" spans="1:24" ht="21">
      <c r="A1" s="21" t="s">
        <v>64</v>
      </c>
      <c r="E1" s="21" t="s">
        <v>90</v>
      </c>
      <c r="I1" s="21" t="s">
        <v>108</v>
      </c>
      <c r="M1" s="21" t="s">
        <v>114</v>
      </c>
      <c r="R1" s="26" t="s">
        <v>72</v>
      </c>
      <c r="W1" s="20" t="s">
        <v>162</v>
      </c>
    </row>
    <row r="2" spans="1:24">
      <c r="A2" s="20" t="s">
        <v>65</v>
      </c>
      <c r="B2" s="20" t="s">
        <v>66</v>
      </c>
      <c r="C2" s="20" t="s">
        <v>7</v>
      </c>
      <c r="D2" s="2"/>
      <c r="E2" s="20" t="s">
        <v>65</v>
      </c>
      <c r="F2" s="20" t="s">
        <v>66</v>
      </c>
      <c r="G2" s="20" t="s">
        <v>7</v>
      </c>
      <c r="H2" s="2"/>
      <c r="I2" s="20" t="s">
        <v>65</v>
      </c>
      <c r="J2" s="20" t="s">
        <v>66</v>
      </c>
      <c r="K2" s="20" t="s">
        <v>7</v>
      </c>
      <c r="L2" s="2"/>
      <c r="M2" s="20" t="s">
        <v>65</v>
      </c>
      <c r="N2" s="20" t="s">
        <v>66</v>
      </c>
      <c r="O2" s="20" t="s">
        <v>82</v>
      </c>
      <c r="P2" s="20" t="s">
        <v>7</v>
      </c>
      <c r="Q2" s="2"/>
      <c r="R2" s="20" t="s">
        <v>71</v>
      </c>
      <c r="S2" s="20" t="s">
        <v>84</v>
      </c>
      <c r="T2" s="20" t="s">
        <v>83</v>
      </c>
      <c r="U2" s="20" t="s">
        <v>3</v>
      </c>
      <c r="V2" s="2"/>
      <c r="W2" s="20" t="s">
        <v>163</v>
      </c>
      <c r="X2">
        <v>907.18499999999995</v>
      </c>
    </row>
    <row r="3" spans="1:24">
      <c r="A3" t="str">
        <f>Electrocatalysis!A4</f>
        <v>Glycerine</v>
      </c>
      <c r="B3">
        <v>0.08</v>
      </c>
      <c r="C3" t="str">
        <f>Electrocatalysis!D4</f>
        <v>kg</v>
      </c>
      <c r="D3" s="5"/>
      <c r="E3" s="17" t="s">
        <v>146</v>
      </c>
      <c r="F3">
        <f>-15</f>
        <v>-15</v>
      </c>
      <c r="G3" t="s">
        <v>33</v>
      </c>
      <c r="I3" t="s">
        <v>93</v>
      </c>
      <c r="J3">
        <v>-20000</v>
      </c>
      <c r="K3" t="s">
        <v>23</v>
      </c>
      <c r="M3" t="s">
        <v>67</v>
      </c>
      <c r="R3" t="s">
        <v>73</v>
      </c>
      <c r="S3" t="s">
        <v>81</v>
      </c>
      <c r="T3" t="s">
        <v>85</v>
      </c>
    </row>
    <row r="4" spans="1:24">
      <c r="A4" t="str">
        <f>Electrocatalysis!A5</f>
        <v>Lime</v>
      </c>
      <c r="B4">
        <v>0.11023109950010197</v>
      </c>
      <c r="C4" t="str">
        <f>Electrocatalysis!D5</f>
        <v>kg</v>
      </c>
      <c r="D4" s="5"/>
      <c r="E4" t="s">
        <v>91</v>
      </c>
      <c r="F4">
        <v>11</v>
      </c>
      <c r="G4" t="s">
        <v>9</v>
      </c>
      <c r="I4" t="s">
        <v>94</v>
      </c>
      <c r="J4">
        <v>-10000</v>
      </c>
      <c r="K4" t="s">
        <v>23</v>
      </c>
      <c r="M4" t="s">
        <v>68</v>
      </c>
    </row>
    <row r="5" spans="1:24">
      <c r="A5" t="str">
        <f>Electrocatalysis!A6</f>
        <v>Methanol</v>
      </c>
      <c r="B5" s="62">
        <v>0.38360422626035484</v>
      </c>
      <c r="C5" t="str">
        <f>Electrocatalysis!D6</f>
        <v>kg</v>
      </c>
      <c r="D5" s="5"/>
      <c r="M5" t="s">
        <v>70</v>
      </c>
    </row>
    <row r="6" spans="1:24">
      <c r="A6" t="str">
        <f>Electrocatalysis!A7</f>
        <v>Sodium hydroxide</v>
      </c>
      <c r="B6">
        <v>0.62831726715058123</v>
      </c>
      <c r="C6" t="str">
        <f>Electrocatalysis!D7</f>
        <v>kg</v>
      </c>
      <c r="D6" s="5"/>
      <c r="M6" t="s">
        <v>69</v>
      </c>
    </row>
    <row r="7" spans="1:24">
      <c r="A7" t="str">
        <f>Electrocatalysis!A8</f>
        <v>Sulfuric acid</v>
      </c>
      <c r="B7">
        <v>0.16534664925015297</v>
      </c>
      <c r="C7" t="str">
        <f>Electrocatalysis!D8</f>
        <v>kg</v>
      </c>
      <c r="D7" s="5"/>
      <c r="M7" t="s">
        <v>74</v>
      </c>
    </row>
    <row r="8" spans="1:24">
      <c r="A8" t="str">
        <f>Electrocatalysis!A9</f>
        <v>Water</v>
      </c>
      <c r="B8">
        <v>1.1023109950010197E-3</v>
      </c>
      <c r="C8" t="str">
        <f>Electrocatalysis!D9</f>
        <v>kg</v>
      </c>
      <c r="D8" s="5"/>
      <c r="M8" t="s">
        <v>75</v>
      </c>
    </row>
    <row r="9" spans="1:24">
      <c r="A9" t="str">
        <f>Electrocatalysis!A10</f>
        <v>Cooling water (refrigerated)</v>
      </c>
      <c r="B9">
        <v>2.3620949892878993E-3</v>
      </c>
      <c r="C9" t="str">
        <f>Electrocatalysis!D10</f>
        <v>MJ</v>
      </c>
      <c r="D9" s="5"/>
      <c r="M9" t="s">
        <v>76</v>
      </c>
    </row>
    <row r="10" spans="1:24">
      <c r="A10" t="str">
        <f>Electrocatalysis!A11</f>
        <v>Heat, from steam</v>
      </c>
      <c r="B10">
        <v>8.016807236371052E-3</v>
      </c>
      <c r="C10" t="str">
        <f>Electrocatalysis!D11</f>
        <v>MJ</v>
      </c>
      <c r="D10" s="5"/>
      <c r="M10" t="s">
        <v>77</v>
      </c>
    </row>
    <row r="11" spans="1:24">
      <c r="A11" t="str">
        <f>Electrocatalysis!A12</f>
        <v>Electricity</v>
      </c>
      <c r="B11">
        <v>0.04</v>
      </c>
      <c r="C11" t="str">
        <f>Electrocatalysis!D12</f>
        <v>kWh</v>
      </c>
      <c r="D11" s="63"/>
      <c r="M11" t="s">
        <v>78</v>
      </c>
    </row>
    <row r="12" spans="1:24">
      <c r="A12" t="str">
        <f>Electrocatalysis!A13</f>
        <v>Lactic acid</v>
      </c>
      <c r="B12" s="25">
        <v>1.9841597910018354</v>
      </c>
      <c r="C12" t="str">
        <f>Electrocatalysis!D13</f>
        <v>kg</v>
      </c>
      <c r="D12" s="5"/>
      <c r="M12" t="s">
        <v>79</v>
      </c>
    </row>
    <row r="13" spans="1:24">
      <c r="A13" t="str">
        <f>Electrocatalysis!A14</f>
        <v>Glycolic acid</v>
      </c>
      <c r="B13">
        <v>2</v>
      </c>
      <c r="C13" t="str">
        <f>Electrocatalysis!D14</f>
        <v>kg</v>
      </c>
      <c r="M13" t="s">
        <v>80</v>
      </c>
    </row>
    <row r="14" spans="1:24">
      <c r="A14" t="str">
        <f>Electrocatalysis!A15</f>
        <v>Glyceric acid</v>
      </c>
      <c r="B14">
        <v>0</v>
      </c>
      <c r="C14" t="str">
        <f>Electrocatalysis!D15</f>
        <v>kg</v>
      </c>
      <c r="D14" s="5"/>
      <c r="M14" t="s">
        <v>107</v>
      </c>
      <c r="P14" t="s">
        <v>14</v>
      </c>
    </row>
    <row r="15" spans="1:24">
      <c r="A15" t="str">
        <f>Electrocatalysis!A16</f>
        <v>Oxalic acid</v>
      </c>
      <c r="B15">
        <v>0</v>
      </c>
      <c r="C15" t="str">
        <f>Electrocatalysis!D16</f>
        <v>kg</v>
      </c>
      <c r="M15" t="s">
        <v>109</v>
      </c>
      <c r="P15" t="s">
        <v>9</v>
      </c>
    </row>
    <row r="16" spans="1:24">
      <c r="A16" t="str">
        <f>Electrocatalysis!A17</f>
        <v>Formic acid</v>
      </c>
      <c r="B16">
        <v>0</v>
      </c>
      <c r="C16" t="str">
        <f>Electrocatalysis!D17</f>
        <v>kg</v>
      </c>
      <c r="D16" s="5"/>
    </row>
    <row r="17" spans="1:4">
      <c r="A17" t="str">
        <f>Electrocatalysis!A18</f>
        <v>Hazardous waste, for incineration</v>
      </c>
      <c r="B17">
        <v>5.3021158859549044E-7</v>
      </c>
      <c r="C17" t="str">
        <f>Electrocatalysis!D18</f>
        <v>kg</v>
      </c>
      <c r="D17" s="5"/>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Instructions</vt:lpstr>
      <vt:lpstr>TEA_results</vt:lpstr>
      <vt:lpstr>Intermediate</vt:lpstr>
      <vt:lpstr>Financial param</vt:lpstr>
      <vt:lpstr>Operation param</vt:lpstr>
      <vt:lpstr>Infra. param</vt:lpstr>
      <vt:lpstr>Electrocatalysis</vt:lpstr>
      <vt:lpstr>Purification</vt:lpstr>
      <vt:lpstr>Factors</vt:lpstr>
      <vt:lpstr>cost_rev_factor_col</vt:lpstr>
      <vt:lpstr>Equipment_cost_col</vt:lpstr>
      <vt:lpstr>Installation_costs_col</vt:lpstr>
      <vt:lpstr>inventory_amt_col</vt:lpstr>
      <vt:lpstr>inventory_cost_col</vt:lpstr>
      <vt:lpstr>inventory_electrocatalysis</vt:lpstr>
      <vt:lpstr>inventory_name_col</vt:lpstr>
      <vt:lpstr>inventory_purification</vt:lpstr>
      <vt:lpstr>inventory_rev_col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 Qingshi (tuqi)</dc:creator>
  <cp:lastModifiedBy>Tu, Qingshi (tuqi)</cp:lastModifiedBy>
  <dcterms:created xsi:type="dcterms:W3CDTF">2019-10-18T15:21:00Z</dcterms:created>
  <dcterms:modified xsi:type="dcterms:W3CDTF">2020-12-30T23:03:12Z</dcterms:modified>
</cp:coreProperties>
</file>