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https://uob-my.sharepoint.com/personal/sg16979_bristol_ac_uk/Documents/Plesiosaur paper_Communications Biology_revisions/Supplementary Files/"/>
    </mc:Choice>
  </mc:AlternateContent>
  <xr:revisionPtr revIDLastSave="408" documentId="13_ncr:1_{047A53E5-2066-FB47-8239-D7A083CAB593}" xr6:coauthVersionLast="47" xr6:coauthVersionMax="47" xr10:uidLastSave="{7A9DFEF4-9D6D-3247-8B7F-406E33711129}"/>
  <bookViews>
    <workbookView xWindow="-9780" yWindow="-28340" windowWidth="43700" windowHeight="27640" tabRatio="500" xr2:uid="{00000000-000D-0000-FFFF-FFFF00000000}"/>
  </bookViews>
  <sheets>
    <sheet name="Index" sheetId="2" r:id="rId1"/>
    <sheet name="1. Plesio-ichthyo-cetacean Drag" sheetId="1" r:id="rId2"/>
    <sheet name="2. Drag-to-vol_Same volume" sheetId="3" r:id="rId3"/>
    <sheet name="3. Drag-to-vol_Life-size" sheetId="13" r:id="rId4"/>
    <sheet name="4. Sensitivity flow parameters" sheetId="12" r:id="rId5"/>
    <sheet name="5. Variable NeckLength" sheetId="4" r:id="rId6"/>
    <sheet name="6. NeckThickness-sensit test" sheetId="7" r:id="rId7"/>
    <sheet name="7. Life-size_Neck-trunk effect" sheetId="5" r:id="rId8"/>
    <sheet name="8.Total length per taxon" sheetId="10" r:id="rId9"/>
    <sheet name="9. Sauropterygian Neck-Trunk" sheetId="8" r:id="rId10"/>
    <sheet name="10. References" sheetId="9" r:id="rId11"/>
  </sheets>
  <definedNames>
    <definedName name="_xlnm.Print_Area" localSheetId="1">'1. Plesio-ichthyo-cetacean Drag'!$A$1:$O$91</definedName>
    <definedName name="_xlnm.Print_Area" localSheetId="10">'10. References'!$B$1:$Z$74</definedName>
    <definedName name="_xlnm.Print_Area" localSheetId="2">'2. Drag-to-vol_Same volume'!$A$1:$AF$63</definedName>
    <definedName name="_xlnm.Print_Area" localSheetId="3">'3. Drag-to-vol_Life-size'!$A$97:$N$165</definedName>
    <definedName name="_xlnm.Print_Area" localSheetId="5">'5. Variable NeckLength'!$A$1:$R$32</definedName>
    <definedName name="_xlnm.Print_Area" localSheetId="6">'6. NeckThickness-sensit test'!$A$1:$R$17</definedName>
    <definedName name="_xlnm.Print_Area" localSheetId="7">'7. Life-size_Neck-trunk effect'!$A$97:$L$145</definedName>
    <definedName name="_xlnm.Print_Area" localSheetId="8">'8.Total length per taxon'!$A$1:$H$40</definedName>
    <definedName name="_xlnm.Print_Area" localSheetId="9">'9. Sauropterygian Neck-Trunk'!$A$1:$K$116</definedName>
    <definedName name="_xlnm.Print_Area" localSheetId="0">Index!$A$1:$R$17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6" i="12" l="1"/>
  <c r="F16" i="12"/>
  <c r="E16" i="12"/>
  <c r="D16" i="12"/>
  <c r="C16" i="12"/>
  <c r="H15" i="12"/>
  <c r="G15" i="12"/>
  <c r="G16" i="12" s="1"/>
  <c r="F15" i="12"/>
  <c r="E15" i="12"/>
  <c r="D15" i="12"/>
  <c r="C15" i="12"/>
  <c r="H12" i="12"/>
  <c r="G12" i="12"/>
  <c r="D12" i="12"/>
  <c r="F9" i="12" s="1"/>
  <c r="F12" i="12" s="1"/>
  <c r="C12" i="12"/>
  <c r="E9" i="12"/>
  <c r="E12" i="12" s="1"/>
  <c r="AC146" i="13"/>
  <c r="Z146" i="13"/>
  <c r="W146" i="13"/>
  <c r="X146" i="13" s="1"/>
  <c r="V146" i="13"/>
  <c r="U146" i="13"/>
  <c r="AA146" i="13" s="1"/>
  <c r="M146" i="13"/>
  <c r="J146" i="13"/>
  <c r="G146" i="13"/>
  <c r="H146" i="13" s="1"/>
  <c r="F146" i="13"/>
  <c r="E146" i="13"/>
  <c r="K146" i="13" s="1"/>
  <c r="AC145" i="13"/>
  <c r="Z145" i="13"/>
  <c r="W145" i="13"/>
  <c r="X145" i="13" s="1"/>
  <c r="V145" i="13"/>
  <c r="U145" i="13"/>
  <c r="AA145" i="13" s="1"/>
  <c r="M145" i="13"/>
  <c r="J145" i="13"/>
  <c r="G145" i="13"/>
  <c r="H145" i="13" s="1"/>
  <c r="F145" i="13"/>
  <c r="E145" i="13"/>
  <c r="K145" i="13" s="1"/>
  <c r="AC144" i="13"/>
  <c r="Z144" i="13"/>
  <c r="W144" i="13"/>
  <c r="X144" i="13" s="1"/>
  <c r="V144" i="13"/>
  <c r="U144" i="13"/>
  <c r="AA144" i="13" s="1"/>
  <c r="M144" i="13"/>
  <c r="J144" i="13"/>
  <c r="G144" i="13"/>
  <c r="H144" i="13" s="1"/>
  <c r="F144" i="13"/>
  <c r="E144" i="13"/>
  <c r="K144" i="13" s="1"/>
  <c r="AC143" i="13"/>
  <c r="Z143" i="13"/>
  <c r="W143" i="13"/>
  <c r="X143" i="13" s="1"/>
  <c r="V143" i="13"/>
  <c r="U143" i="13"/>
  <c r="AA143" i="13" s="1"/>
  <c r="M143" i="13"/>
  <c r="J143" i="13"/>
  <c r="G143" i="13"/>
  <c r="H143" i="13" s="1"/>
  <c r="F143" i="13"/>
  <c r="E143" i="13"/>
  <c r="K143" i="13" s="1"/>
  <c r="AC142" i="13"/>
  <c r="Z142" i="13"/>
  <c r="W142" i="13"/>
  <c r="X142" i="13" s="1"/>
  <c r="V142" i="13"/>
  <c r="U142" i="13"/>
  <c r="AA142" i="13" s="1"/>
  <c r="M142" i="13"/>
  <c r="J142" i="13"/>
  <c r="G142" i="13"/>
  <c r="H142" i="13" s="1"/>
  <c r="F142" i="13"/>
  <c r="E142" i="13"/>
  <c r="K142" i="13" s="1"/>
  <c r="AC141" i="13"/>
  <c r="Z141" i="13"/>
  <c r="W141" i="13"/>
  <c r="X141" i="13" s="1"/>
  <c r="V141" i="13"/>
  <c r="U141" i="13"/>
  <c r="AA141" i="13" s="1"/>
  <c r="M141" i="13"/>
  <c r="J141" i="13"/>
  <c r="G141" i="13"/>
  <c r="H141" i="13" s="1"/>
  <c r="F141" i="13"/>
  <c r="E141" i="13"/>
  <c r="K141" i="13" s="1"/>
  <c r="AC138" i="13"/>
  <c r="Z138" i="13"/>
  <c r="W138" i="13"/>
  <c r="X138" i="13" s="1"/>
  <c r="V138" i="13"/>
  <c r="U138" i="13"/>
  <c r="AA138" i="13" s="1"/>
  <c r="M138" i="13"/>
  <c r="J138" i="13"/>
  <c r="G138" i="13"/>
  <c r="H138" i="13" s="1"/>
  <c r="F138" i="13"/>
  <c r="E138" i="13"/>
  <c r="K138" i="13" s="1"/>
  <c r="AC130" i="13"/>
  <c r="Z130" i="13"/>
  <c r="W130" i="13"/>
  <c r="X130" i="13" s="1"/>
  <c r="V130" i="13"/>
  <c r="U130" i="13"/>
  <c r="AA130" i="13" s="1"/>
  <c r="M130" i="13"/>
  <c r="J130" i="13"/>
  <c r="G130" i="13"/>
  <c r="H130" i="13" s="1"/>
  <c r="F130" i="13"/>
  <c r="E130" i="13"/>
  <c r="K130" i="13" s="1"/>
  <c r="AC129" i="13"/>
  <c r="Z129" i="13"/>
  <c r="W129" i="13"/>
  <c r="X129" i="13" s="1"/>
  <c r="V129" i="13"/>
  <c r="U129" i="13"/>
  <c r="AA129" i="13" s="1"/>
  <c r="M129" i="13"/>
  <c r="J129" i="13"/>
  <c r="G129" i="13"/>
  <c r="H129" i="13" s="1"/>
  <c r="F129" i="13"/>
  <c r="E129" i="13"/>
  <c r="K129" i="13" s="1"/>
  <c r="AC128" i="13"/>
  <c r="Z128" i="13"/>
  <c r="W128" i="13"/>
  <c r="X128" i="13" s="1"/>
  <c r="V128" i="13"/>
  <c r="U128" i="13"/>
  <c r="AA128" i="13" s="1"/>
  <c r="M128" i="13"/>
  <c r="J128" i="13"/>
  <c r="G128" i="13"/>
  <c r="H128" i="13" s="1"/>
  <c r="F128" i="13"/>
  <c r="E128" i="13"/>
  <c r="K128" i="13" s="1"/>
  <c r="AC127" i="13"/>
  <c r="Z127" i="13"/>
  <c r="W127" i="13"/>
  <c r="X127" i="13" s="1"/>
  <c r="V127" i="13"/>
  <c r="U127" i="13"/>
  <c r="AA127" i="13" s="1"/>
  <c r="M127" i="13"/>
  <c r="J127" i="13"/>
  <c r="G127" i="13"/>
  <c r="H127" i="13" s="1"/>
  <c r="F127" i="13"/>
  <c r="E127" i="13"/>
  <c r="K127" i="13" s="1"/>
  <c r="AC126" i="13"/>
  <c r="Z126" i="13"/>
  <c r="W126" i="13"/>
  <c r="X126" i="13" s="1"/>
  <c r="V126" i="13"/>
  <c r="U126" i="13"/>
  <c r="AA126" i="13" s="1"/>
  <c r="M126" i="13"/>
  <c r="J126" i="13"/>
  <c r="G126" i="13"/>
  <c r="H126" i="13" s="1"/>
  <c r="F126" i="13"/>
  <c r="E126" i="13"/>
  <c r="K126" i="13" s="1"/>
  <c r="AC125" i="13"/>
  <c r="Z125" i="13"/>
  <c r="W125" i="13"/>
  <c r="X125" i="13" s="1"/>
  <c r="V125" i="13"/>
  <c r="U125" i="13"/>
  <c r="AA125" i="13" s="1"/>
  <c r="M125" i="13"/>
  <c r="J125" i="13"/>
  <c r="G125" i="13"/>
  <c r="H125" i="13" s="1"/>
  <c r="F125" i="13"/>
  <c r="E125" i="13"/>
  <c r="K125" i="13" s="1"/>
  <c r="AC122" i="13"/>
  <c r="Z122" i="13"/>
  <c r="W122" i="13"/>
  <c r="X122" i="13" s="1"/>
  <c r="V122" i="13"/>
  <c r="U122" i="13"/>
  <c r="AA122" i="13" s="1"/>
  <c r="M122" i="13"/>
  <c r="J122" i="13"/>
  <c r="G122" i="13"/>
  <c r="H122" i="13" s="1"/>
  <c r="F122" i="13"/>
  <c r="E122" i="13"/>
  <c r="K122" i="13" s="1"/>
  <c r="L122" i="13" s="1"/>
  <c r="AC113" i="13"/>
  <c r="AD113" i="13" s="1"/>
  <c r="Z113" i="13"/>
  <c r="W113" i="13"/>
  <c r="X113" i="13" s="1"/>
  <c r="V113" i="13"/>
  <c r="U113" i="13"/>
  <c r="AA113" i="13" s="1"/>
  <c r="AB113" i="13" s="1"/>
  <c r="M113" i="13"/>
  <c r="N125" i="13" s="1"/>
  <c r="J113" i="13"/>
  <c r="G113" i="13"/>
  <c r="H113" i="13" s="1"/>
  <c r="F113" i="13"/>
  <c r="E113" i="13"/>
  <c r="K113" i="13" s="1"/>
  <c r="L113" i="13" s="1"/>
  <c r="AC112" i="13"/>
  <c r="Z112" i="13"/>
  <c r="W112" i="13"/>
  <c r="X112" i="13" s="1"/>
  <c r="V112" i="13"/>
  <c r="U112" i="13"/>
  <c r="AA112" i="13" s="1"/>
  <c r="AB112" i="13" s="1"/>
  <c r="M112" i="13"/>
  <c r="N112" i="13" s="1"/>
  <c r="J112" i="13"/>
  <c r="G112" i="13"/>
  <c r="H112" i="13" s="1"/>
  <c r="F112" i="13"/>
  <c r="E112" i="13"/>
  <c r="K112" i="13" s="1"/>
  <c r="L112" i="13" s="1"/>
  <c r="AC111" i="13"/>
  <c r="AD111" i="13" s="1"/>
  <c r="Z111" i="13"/>
  <c r="X111" i="13"/>
  <c r="W111" i="13"/>
  <c r="V111" i="13"/>
  <c r="U111" i="13"/>
  <c r="AA111" i="13" s="1"/>
  <c r="M111" i="13"/>
  <c r="N111" i="13" s="1"/>
  <c r="J111" i="13"/>
  <c r="G111" i="13"/>
  <c r="H111" i="13" s="1"/>
  <c r="F111" i="13"/>
  <c r="E111" i="13"/>
  <c r="K111" i="13" s="1"/>
  <c r="L111" i="13" s="1"/>
  <c r="AC110" i="13"/>
  <c r="AD110" i="13" s="1"/>
  <c r="Z110" i="13"/>
  <c r="X110" i="13"/>
  <c r="W110" i="13"/>
  <c r="V110" i="13"/>
  <c r="U110" i="13"/>
  <c r="AA110" i="13" s="1"/>
  <c r="M110" i="13"/>
  <c r="N110" i="13" s="1"/>
  <c r="K110" i="13"/>
  <c r="L110" i="13" s="1"/>
  <c r="J110" i="13"/>
  <c r="H110" i="13"/>
  <c r="G110" i="13"/>
  <c r="F110" i="13"/>
  <c r="E110" i="13"/>
  <c r="AD109" i="13"/>
  <c r="AC109" i="13"/>
  <c r="AA109" i="13"/>
  <c r="AB109" i="13" s="1"/>
  <c r="Z109" i="13"/>
  <c r="X109" i="13"/>
  <c r="W109" i="13"/>
  <c r="V109" i="13"/>
  <c r="U109" i="13"/>
  <c r="M109" i="13"/>
  <c r="N109" i="13" s="1"/>
  <c r="K109" i="13"/>
  <c r="L109" i="13" s="1"/>
  <c r="J109" i="13"/>
  <c r="H109" i="13"/>
  <c r="G109" i="13"/>
  <c r="F109" i="13"/>
  <c r="E109" i="13"/>
  <c r="AD108" i="13"/>
  <c r="AC108" i="13"/>
  <c r="AA108" i="13"/>
  <c r="AB108" i="13" s="1"/>
  <c r="Z108" i="13"/>
  <c r="X108" i="13"/>
  <c r="W108" i="13"/>
  <c r="V108" i="13"/>
  <c r="U108" i="13"/>
  <c r="M108" i="13"/>
  <c r="N108" i="13" s="1"/>
  <c r="K108" i="13"/>
  <c r="J108" i="13"/>
  <c r="H108" i="13"/>
  <c r="G108" i="13"/>
  <c r="F108" i="13"/>
  <c r="E108" i="13"/>
  <c r="AD107" i="13"/>
  <c r="AC107" i="13"/>
  <c r="Z107" i="13"/>
  <c r="W107" i="13"/>
  <c r="X107" i="13" s="1"/>
  <c r="V107" i="13"/>
  <c r="U107" i="13"/>
  <c r="AA107" i="13" s="1"/>
  <c r="AB107" i="13" s="1"/>
  <c r="M107" i="13"/>
  <c r="N107" i="13" s="1"/>
  <c r="J107" i="13"/>
  <c r="G107" i="13"/>
  <c r="H107" i="13" s="1"/>
  <c r="F107" i="13"/>
  <c r="E107" i="13"/>
  <c r="K107" i="13" s="1"/>
  <c r="L107" i="13" s="1"/>
  <c r="AC106" i="13"/>
  <c r="AD106" i="13" s="1"/>
  <c r="Z106" i="13"/>
  <c r="W106" i="13"/>
  <c r="X106" i="13" s="1"/>
  <c r="V106" i="13"/>
  <c r="U106" i="13"/>
  <c r="AA106" i="13" s="1"/>
  <c r="AB106" i="13" s="1"/>
  <c r="M106" i="13"/>
  <c r="N106" i="13" s="1"/>
  <c r="J106" i="13"/>
  <c r="G106" i="13"/>
  <c r="H106" i="13" s="1"/>
  <c r="F106" i="13"/>
  <c r="E106" i="13"/>
  <c r="K106" i="13" s="1"/>
  <c r="L106" i="13" s="1"/>
  <c r="AC105" i="13"/>
  <c r="AD105" i="13" s="1"/>
  <c r="Z105" i="13"/>
  <c r="W105" i="13"/>
  <c r="X105" i="13" s="1"/>
  <c r="V105" i="13"/>
  <c r="U105" i="13"/>
  <c r="AA105" i="13" s="1"/>
  <c r="AB105" i="13" s="1"/>
  <c r="M105" i="13"/>
  <c r="N105" i="13" s="1"/>
  <c r="J105" i="13"/>
  <c r="G105" i="13"/>
  <c r="H105" i="13" s="1"/>
  <c r="F105" i="13"/>
  <c r="E105" i="13"/>
  <c r="K105" i="13" s="1"/>
  <c r="L105" i="13" s="1"/>
  <c r="AC104" i="13"/>
  <c r="AD104" i="13" s="1"/>
  <c r="Z104" i="13"/>
  <c r="X104" i="13"/>
  <c r="W104" i="13"/>
  <c r="V104" i="13"/>
  <c r="U104" i="13"/>
  <c r="AA104" i="13" s="1"/>
  <c r="AB104" i="13" s="1"/>
  <c r="N104" i="13"/>
  <c r="M104" i="13"/>
  <c r="K104" i="13"/>
  <c r="J104" i="13"/>
  <c r="H104" i="13"/>
  <c r="G104" i="13"/>
  <c r="F104" i="13"/>
  <c r="E104" i="13"/>
  <c r="AD103" i="13"/>
  <c r="AC103" i="13"/>
  <c r="Z103" i="13"/>
  <c r="W103" i="13"/>
  <c r="X103" i="13" s="1"/>
  <c r="V103" i="13"/>
  <c r="U103" i="13"/>
  <c r="AA103" i="13" s="1"/>
  <c r="AB103" i="13" s="1"/>
  <c r="M103" i="13"/>
  <c r="N103" i="13" s="1"/>
  <c r="K103" i="13"/>
  <c r="L103" i="13" s="1"/>
  <c r="J103" i="13"/>
  <c r="H103" i="13"/>
  <c r="G103" i="13"/>
  <c r="F103" i="13"/>
  <c r="E103" i="13"/>
  <c r="AD102" i="13"/>
  <c r="AC102" i="13"/>
  <c r="Z102" i="13"/>
  <c r="W102" i="13"/>
  <c r="X102" i="13" s="1"/>
  <c r="V102" i="13"/>
  <c r="U102" i="13"/>
  <c r="AA102" i="13" s="1"/>
  <c r="AB102" i="13" s="1"/>
  <c r="M102" i="13"/>
  <c r="N102" i="13" s="1"/>
  <c r="J102" i="13"/>
  <c r="G102" i="13"/>
  <c r="H102" i="13" s="1"/>
  <c r="F102" i="13"/>
  <c r="E102" i="13"/>
  <c r="K102" i="13" s="1"/>
  <c r="L102" i="13" s="1"/>
  <c r="G74" i="13"/>
  <c r="F74" i="13"/>
  <c r="D74" i="13"/>
  <c r="K74" i="13" s="1"/>
  <c r="L74" i="13" s="1"/>
  <c r="C74" i="13"/>
  <c r="E74" i="13" s="1"/>
  <c r="F73" i="13"/>
  <c r="G73" i="13" s="1"/>
  <c r="C73" i="13"/>
  <c r="E73" i="13" s="1"/>
  <c r="G72" i="13"/>
  <c r="F72" i="13"/>
  <c r="D72" i="13"/>
  <c r="K72" i="13" s="1"/>
  <c r="L72" i="13" s="1"/>
  <c r="C72" i="13"/>
  <c r="E72" i="13" s="1"/>
  <c r="F71" i="13"/>
  <c r="G71" i="13" s="1"/>
  <c r="C71" i="13"/>
  <c r="E71" i="13" s="1"/>
  <c r="G70" i="13"/>
  <c r="F70" i="13"/>
  <c r="D70" i="13"/>
  <c r="K70" i="13" s="1"/>
  <c r="L70" i="13" s="1"/>
  <c r="C70" i="13"/>
  <c r="E70" i="13" s="1"/>
  <c r="F69" i="13"/>
  <c r="G69" i="13" s="1"/>
  <c r="C69" i="13"/>
  <c r="E69" i="13" s="1"/>
  <c r="G68" i="13"/>
  <c r="F68" i="13"/>
  <c r="D68" i="13"/>
  <c r="K68" i="13" s="1"/>
  <c r="L68" i="13" s="1"/>
  <c r="C68" i="13"/>
  <c r="E68" i="13" s="1"/>
  <c r="F67" i="13"/>
  <c r="G67" i="13" s="1"/>
  <c r="C67" i="13"/>
  <c r="E67" i="13" s="1"/>
  <c r="G66" i="13"/>
  <c r="F66" i="13"/>
  <c r="D66" i="13"/>
  <c r="K66" i="13" s="1"/>
  <c r="L66" i="13" s="1"/>
  <c r="C66" i="13"/>
  <c r="E66" i="13" s="1"/>
  <c r="I65" i="13"/>
  <c r="B65" i="13"/>
  <c r="F65" i="13" s="1"/>
  <c r="J64" i="13"/>
  <c r="J65" i="13" s="1"/>
  <c r="F64" i="13"/>
  <c r="G64" i="13" s="1"/>
  <c r="D64" i="13"/>
  <c r="K64" i="13" s="1"/>
  <c r="C64" i="13"/>
  <c r="E64" i="13" s="1"/>
  <c r="F63" i="13"/>
  <c r="G63" i="13" s="1"/>
  <c r="C63" i="13"/>
  <c r="C65" i="13" s="1"/>
  <c r="G16" i="13"/>
  <c r="F16" i="13"/>
  <c r="D16" i="13"/>
  <c r="K16" i="13" s="1"/>
  <c r="L16" i="13" s="1"/>
  <c r="C16" i="13"/>
  <c r="E16" i="13" s="1"/>
  <c r="F15" i="13"/>
  <c r="G15" i="13" s="1"/>
  <c r="C15" i="13"/>
  <c r="E15" i="13" s="1"/>
  <c r="G14" i="13"/>
  <c r="F14" i="13"/>
  <c r="D14" i="13"/>
  <c r="K14" i="13" s="1"/>
  <c r="L14" i="13" s="1"/>
  <c r="C14" i="13"/>
  <c r="E14" i="13" s="1"/>
  <c r="F13" i="13"/>
  <c r="G13" i="13" s="1"/>
  <c r="C13" i="13"/>
  <c r="E13" i="13" s="1"/>
  <c r="G12" i="13"/>
  <c r="F12" i="13"/>
  <c r="D12" i="13"/>
  <c r="K12" i="13" s="1"/>
  <c r="L12" i="13" s="1"/>
  <c r="C12" i="13"/>
  <c r="E12" i="13" s="1"/>
  <c r="F11" i="13"/>
  <c r="G11" i="13" s="1"/>
  <c r="C11" i="13"/>
  <c r="E11" i="13" s="1"/>
  <c r="G10" i="13"/>
  <c r="F10" i="13"/>
  <c r="D10" i="13"/>
  <c r="K10" i="13" s="1"/>
  <c r="L10" i="13" s="1"/>
  <c r="C10" i="13"/>
  <c r="E10" i="13" s="1"/>
  <c r="F9" i="13"/>
  <c r="G9" i="13" s="1"/>
  <c r="C9" i="13"/>
  <c r="E9" i="13" s="1"/>
  <c r="G8" i="13"/>
  <c r="F8" i="13"/>
  <c r="D8" i="13"/>
  <c r="K8" i="13" s="1"/>
  <c r="L8" i="13" s="1"/>
  <c r="C8" i="13"/>
  <c r="E8" i="13" s="1"/>
  <c r="I7" i="13"/>
  <c r="B7" i="13"/>
  <c r="F7" i="13" s="1"/>
  <c r="J6" i="13"/>
  <c r="J7" i="13" s="1"/>
  <c r="F6" i="13"/>
  <c r="G6" i="13" s="1"/>
  <c r="D6" i="13"/>
  <c r="K6" i="13" s="1"/>
  <c r="C6" i="13"/>
  <c r="E6" i="13" s="1"/>
  <c r="F5" i="13"/>
  <c r="G5" i="13" s="1"/>
  <c r="C5" i="13"/>
  <c r="C7" i="13" s="1"/>
  <c r="G7" i="13" l="1"/>
  <c r="L125" i="13"/>
  <c r="L129" i="13"/>
  <c r="L142" i="13"/>
  <c r="L146" i="13"/>
  <c r="G65" i="13"/>
  <c r="L108" i="13"/>
  <c r="B157" i="13" s="1"/>
  <c r="J8" i="13"/>
  <c r="D11" i="13"/>
  <c r="K11" i="13" s="1"/>
  <c r="J12" i="13"/>
  <c r="D15" i="13"/>
  <c r="K15" i="13" s="1"/>
  <c r="J16" i="13"/>
  <c r="J66" i="13"/>
  <c r="D69" i="13"/>
  <c r="K69" i="13" s="1"/>
  <c r="J70" i="13"/>
  <c r="D73" i="13"/>
  <c r="K73" i="13" s="1"/>
  <c r="J74" i="13"/>
  <c r="AB111" i="13"/>
  <c r="N126" i="13"/>
  <c r="N127" i="13"/>
  <c r="N128" i="13"/>
  <c r="N129" i="13"/>
  <c r="N130" i="13"/>
  <c r="N138" i="13"/>
  <c r="N141" i="13"/>
  <c r="N142" i="13"/>
  <c r="N143" i="13"/>
  <c r="N144" i="13"/>
  <c r="N145" i="13"/>
  <c r="N146" i="13"/>
  <c r="J73" i="13"/>
  <c r="J5" i="13"/>
  <c r="J9" i="13"/>
  <c r="J13" i="13"/>
  <c r="J63" i="13"/>
  <c r="J67" i="13"/>
  <c r="J71" i="13"/>
  <c r="L104" i="13"/>
  <c r="B155" i="13" s="1"/>
  <c r="AB122" i="13"/>
  <c r="AB125" i="13"/>
  <c r="AB126" i="13"/>
  <c r="AB130" i="13"/>
  <c r="AB143" i="13"/>
  <c r="J11" i="13"/>
  <c r="J15" i="13"/>
  <c r="J69" i="13"/>
  <c r="D5" i="13"/>
  <c r="D7" i="13" s="1"/>
  <c r="D9" i="13"/>
  <c r="K9" i="13" s="1"/>
  <c r="L9" i="13" s="1"/>
  <c r="J10" i="13"/>
  <c r="D13" i="13"/>
  <c r="K13" i="13" s="1"/>
  <c r="L13" i="13" s="1"/>
  <c r="J14" i="13"/>
  <c r="D63" i="13"/>
  <c r="D65" i="13" s="1"/>
  <c r="D67" i="13"/>
  <c r="K67" i="13" s="1"/>
  <c r="L67" i="13" s="1"/>
  <c r="J68" i="13"/>
  <c r="D71" i="13"/>
  <c r="K71" i="13" s="1"/>
  <c r="L71" i="13" s="1"/>
  <c r="J72" i="13"/>
  <c r="AB110" i="13"/>
  <c r="AD122" i="13"/>
  <c r="AD125" i="13"/>
  <c r="AD129" i="13"/>
  <c r="AD142" i="13"/>
  <c r="AD146" i="13"/>
  <c r="L11" i="13"/>
  <c r="L15" i="13"/>
  <c r="L69" i="13"/>
  <c r="L73" i="13"/>
  <c r="K7" i="13"/>
  <c r="L7" i="13" s="1"/>
  <c r="K65" i="13"/>
  <c r="L65" i="13" s="1"/>
  <c r="E5" i="13"/>
  <c r="E7" i="13" s="1"/>
  <c r="K5" i="13"/>
  <c r="E63" i="13"/>
  <c r="E65" i="13" s="1"/>
  <c r="K63" i="13"/>
  <c r="AD112" i="13"/>
  <c r="L126" i="13"/>
  <c r="AD126" i="13"/>
  <c r="AB127" i="13"/>
  <c r="L130" i="13"/>
  <c r="AD130" i="13"/>
  <c r="AB138" i="13"/>
  <c r="L143" i="13"/>
  <c r="AD143" i="13"/>
  <c r="AB144" i="13"/>
  <c r="B158" i="13"/>
  <c r="L127" i="13"/>
  <c r="AD127" i="13"/>
  <c r="AB128" i="13"/>
  <c r="L138" i="13"/>
  <c r="AD138" i="13"/>
  <c r="AB141" i="13"/>
  <c r="L144" i="13"/>
  <c r="AD144" i="13"/>
  <c r="AB145" i="13"/>
  <c r="B154" i="13"/>
  <c r="B156" i="13"/>
  <c r="L128" i="13"/>
  <c r="AD128" i="13"/>
  <c r="AB129" i="13"/>
  <c r="L141" i="13"/>
  <c r="AD141" i="13"/>
  <c r="AB142" i="13"/>
  <c r="L145" i="13"/>
  <c r="AD145" i="13"/>
  <c r="AB146" i="13"/>
  <c r="N113" i="13"/>
  <c r="N122" i="13"/>
  <c r="J28" i="3" l="1"/>
  <c r="K28" i="3" s="1"/>
  <c r="H106" i="5"/>
  <c r="K22" i="4"/>
  <c r="N23" i="4"/>
  <c r="N24" i="4"/>
  <c r="N25" i="4"/>
  <c r="N26" i="4"/>
  <c r="N27" i="4"/>
  <c r="N22" i="4"/>
  <c r="B133" i="5"/>
  <c r="E34" i="10" l="1"/>
  <c r="E36" i="10"/>
  <c r="E35" i="10"/>
  <c r="C21" i="10" l="1"/>
  <c r="C18" i="10"/>
  <c r="C15" i="10"/>
  <c r="C12" i="10"/>
  <c r="F2" i="8"/>
  <c r="E86" i="1" l="1"/>
  <c r="B86" i="1"/>
  <c r="B87" i="1"/>
  <c r="H86" i="1"/>
  <c r="I86" i="1"/>
  <c r="J86" i="1"/>
  <c r="H87" i="1"/>
  <c r="I87" i="1"/>
  <c r="J87" i="1"/>
  <c r="H88" i="1"/>
  <c r="I88" i="1"/>
  <c r="J88" i="1"/>
  <c r="H89" i="1"/>
  <c r="I89" i="1"/>
  <c r="H90" i="1"/>
  <c r="I90" i="1"/>
  <c r="J90" i="1"/>
  <c r="J83" i="1"/>
  <c r="J82" i="1"/>
  <c r="J81" i="1"/>
  <c r="J80" i="1"/>
  <c r="J79" i="1"/>
  <c r="J89" i="1" s="1"/>
  <c r="J78" i="1"/>
  <c r="J77" i="1"/>
  <c r="J76" i="1"/>
  <c r="J75" i="1"/>
  <c r="J74" i="1"/>
  <c r="J73" i="1"/>
  <c r="J72" i="1"/>
  <c r="I83" i="1"/>
  <c r="I82" i="1"/>
  <c r="I81" i="1"/>
  <c r="I80" i="1"/>
  <c r="I79" i="1"/>
  <c r="I78" i="1"/>
  <c r="I77" i="1"/>
  <c r="I76" i="1"/>
  <c r="I75" i="1"/>
  <c r="I74" i="1"/>
  <c r="I73" i="1"/>
  <c r="I72" i="1"/>
  <c r="H72" i="1"/>
  <c r="H83" i="1"/>
  <c r="H82" i="1"/>
  <c r="H81" i="1"/>
  <c r="H80" i="1"/>
  <c r="H79" i="1"/>
  <c r="H78" i="1"/>
  <c r="H77" i="1"/>
  <c r="H76" i="1"/>
  <c r="H75" i="1"/>
  <c r="H74" i="1"/>
  <c r="H73" i="1"/>
  <c r="D82" i="1" a="1"/>
  <c r="D82" i="1" s="1"/>
  <c r="D90" i="1" s="1"/>
  <c r="E90" i="1"/>
  <c r="C90" i="1"/>
  <c r="B90" i="1"/>
  <c r="C87" i="1"/>
  <c r="D87" i="1"/>
  <c r="E87" i="1"/>
  <c r="F87" i="1"/>
  <c r="G87" i="1"/>
  <c r="B88" i="1"/>
  <c r="C88" i="1"/>
  <c r="D88" i="1"/>
  <c r="E88" i="1"/>
  <c r="F88" i="1"/>
  <c r="G88" i="1"/>
  <c r="B89" i="1"/>
  <c r="C89" i="1"/>
  <c r="D89" i="1"/>
  <c r="E89" i="1"/>
  <c r="F89" i="1"/>
  <c r="F90" i="1"/>
  <c r="G90" i="1"/>
  <c r="C86" i="1"/>
  <c r="D86" i="1"/>
  <c r="F86" i="1"/>
  <c r="G86" i="1"/>
  <c r="G83" i="1" a="1"/>
  <c r="G83" i="1" s="1"/>
  <c r="G82" i="1" a="1"/>
  <c r="G82" i="1" s="1"/>
  <c r="G81" i="1" a="1"/>
  <c r="G81" i="1" s="1"/>
  <c r="G80" i="1" a="1"/>
  <c r="G80" i="1" s="1"/>
  <c r="G79" i="1" a="1"/>
  <c r="G79" i="1" s="1"/>
  <c r="G89" i="1" s="1"/>
  <c r="G78" i="1" a="1"/>
  <c r="G78" i="1" s="1"/>
  <c r="G77" i="1" a="1"/>
  <c r="G77" i="1" s="1"/>
  <c r="G76" i="1" a="1"/>
  <c r="G76" i="1" s="1"/>
  <c r="G75" i="1" a="1"/>
  <c r="G75" i="1" s="1"/>
  <c r="G74" i="1" a="1"/>
  <c r="G74" i="1" s="1"/>
  <c r="G73" i="1" a="1"/>
  <c r="G73" i="1" s="1"/>
  <c r="G72" i="1" a="1"/>
  <c r="G72" i="1" s="1"/>
  <c r="F72" i="1" a="1"/>
  <c r="F72" i="1"/>
  <c r="F83" i="1" a="1"/>
  <c r="F83" i="1"/>
  <c r="F82" i="1" a="1"/>
  <c r="F82" i="1" s="1"/>
  <c r="F81" i="1" a="1"/>
  <c r="F81" i="1" s="1"/>
  <c r="F80" i="1" a="1"/>
  <c r="F80" i="1" s="1"/>
  <c r="F79" i="1" a="1"/>
  <c r="F79" i="1" s="1"/>
  <c r="F78" i="1" a="1"/>
  <c r="F78" i="1" s="1"/>
  <c r="F77" i="1" a="1"/>
  <c r="F77" i="1"/>
  <c r="F76" i="1" a="1"/>
  <c r="F76" i="1" s="1"/>
  <c r="F75" i="1" a="1"/>
  <c r="F75" i="1"/>
  <c r="F74" i="1" a="1"/>
  <c r="F74" i="1" s="1"/>
  <c r="F73" i="1" a="1"/>
  <c r="F73" i="1"/>
  <c r="E83" i="1"/>
  <c r="E82" i="1"/>
  <c r="E81" i="1"/>
  <c r="E80" i="1"/>
  <c r="E78" i="1"/>
  <c r="E77" i="1"/>
  <c r="E76" i="1"/>
  <c r="E75" i="1"/>
  <c r="E74" i="1"/>
  <c r="E73" i="1"/>
  <c r="E72" i="1"/>
  <c r="D83" i="1" a="1"/>
  <c r="D83" i="1" s="1"/>
  <c r="D81" i="1" a="1"/>
  <c r="D81" i="1" s="1"/>
  <c r="D80" i="1" a="1"/>
  <c r="D80" i="1"/>
  <c r="D79" i="1" a="1"/>
  <c r="D79" i="1" s="1"/>
  <c r="D78" i="1" a="1"/>
  <c r="D78" i="1" s="1"/>
  <c r="D77" i="1" a="1"/>
  <c r="D77" i="1"/>
  <c r="D76" i="1" a="1"/>
  <c r="D76" i="1" s="1"/>
  <c r="D75" i="1" a="1"/>
  <c r="D75" i="1" s="1"/>
  <c r="D74" i="1" a="1"/>
  <c r="D74" i="1" s="1"/>
  <c r="D73" i="1" a="1"/>
  <c r="D73" i="1" s="1"/>
  <c r="D72" i="1" a="1"/>
  <c r="D72" i="1" s="1"/>
  <c r="C72" i="1" a="1"/>
  <c r="C72" i="1" s="1"/>
  <c r="B72" i="1"/>
  <c r="C77" i="1" a="1"/>
  <c r="C77" i="1" s="1"/>
  <c r="C83" i="1" a="1"/>
  <c r="C83" i="1" s="1"/>
  <c r="C82" i="1" a="1"/>
  <c r="C82" i="1" s="1"/>
  <c r="C81" i="1" a="1"/>
  <c r="C81" i="1" s="1"/>
  <c r="C80" i="1" a="1"/>
  <c r="C80" i="1" s="1"/>
  <c r="C79" i="1" a="1"/>
  <c r="C79" i="1" s="1"/>
  <c r="C78" i="1" a="1"/>
  <c r="C78" i="1" s="1"/>
  <c r="C76" i="1" a="1"/>
  <c r="C76" i="1" s="1"/>
  <c r="C75" i="1" a="1"/>
  <c r="C75" i="1" s="1"/>
  <c r="C74" i="1" a="1"/>
  <c r="C74" i="1" s="1"/>
  <c r="C73" i="1" a="1"/>
  <c r="C73" i="1" s="1"/>
  <c r="B83" i="1"/>
  <c r="B82" i="1"/>
  <c r="B81" i="1"/>
  <c r="B80" i="1"/>
  <c r="B79" i="1"/>
  <c r="B78" i="1"/>
  <c r="B77" i="1"/>
  <c r="B76" i="1"/>
  <c r="B75" i="1"/>
  <c r="B74" i="1"/>
  <c r="B73" i="1"/>
  <c r="H116" i="8" l="1"/>
  <c r="G116" i="8"/>
  <c r="F116" i="8"/>
  <c r="I115" i="8"/>
  <c r="F115" i="8"/>
  <c r="I114" i="8"/>
  <c r="F114" i="8"/>
  <c r="H113" i="8"/>
  <c r="G113" i="8"/>
  <c r="F113" i="8"/>
  <c r="I112" i="8"/>
  <c r="F112" i="8"/>
  <c r="I111" i="8"/>
  <c r="F111" i="8"/>
  <c r="I110" i="8"/>
  <c r="F110" i="8"/>
  <c r="I109" i="8"/>
  <c r="F109" i="8"/>
  <c r="I108" i="8"/>
  <c r="F108" i="8"/>
  <c r="H107" i="8"/>
  <c r="G107" i="8"/>
  <c r="F107" i="8"/>
  <c r="I106" i="8"/>
  <c r="F106" i="8"/>
  <c r="I105" i="8"/>
  <c r="F105" i="8"/>
  <c r="I104" i="8"/>
  <c r="F104" i="8"/>
  <c r="I103" i="8"/>
  <c r="F103" i="8"/>
  <c r="H102" i="8"/>
  <c r="G102" i="8"/>
  <c r="F102" i="8"/>
  <c r="I101" i="8"/>
  <c r="F101" i="8"/>
  <c r="I100" i="8"/>
  <c r="F100" i="8"/>
  <c r="I99" i="8"/>
  <c r="F99" i="8"/>
  <c r="I98" i="8"/>
  <c r="F98" i="8"/>
  <c r="I97" i="8"/>
  <c r="F97" i="8"/>
  <c r="I95" i="8"/>
  <c r="F95" i="8"/>
  <c r="I94" i="8"/>
  <c r="F94" i="8"/>
  <c r="H93" i="8"/>
  <c r="G93" i="8"/>
  <c r="F93" i="8"/>
  <c r="I92" i="8"/>
  <c r="F92" i="8"/>
  <c r="I91" i="8"/>
  <c r="F91" i="8"/>
  <c r="H90" i="8"/>
  <c r="G90" i="8"/>
  <c r="F90" i="8"/>
  <c r="I89" i="8"/>
  <c r="F89" i="8"/>
  <c r="I88" i="8"/>
  <c r="F88" i="8"/>
  <c r="I87" i="8"/>
  <c r="F87" i="8"/>
  <c r="I86" i="8"/>
  <c r="F86" i="8"/>
  <c r="H85" i="8"/>
  <c r="G85" i="8"/>
  <c r="F85" i="8"/>
  <c r="I84" i="8"/>
  <c r="F84" i="8"/>
  <c r="I83" i="8"/>
  <c r="F83" i="8"/>
  <c r="I82" i="8"/>
  <c r="F82" i="8"/>
  <c r="I81" i="8"/>
  <c r="F81" i="8"/>
  <c r="I80" i="8"/>
  <c r="F80" i="8"/>
  <c r="I79" i="8"/>
  <c r="F79" i="8"/>
  <c r="I78" i="8"/>
  <c r="F78" i="8"/>
  <c r="I77" i="8"/>
  <c r="F77" i="8"/>
  <c r="I76" i="8"/>
  <c r="F76" i="8"/>
  <c r="I75" i="8"/>
  <c r="F75" i="8"/>
  <c r="I74" i="8"/>
  <c r="F74" i="8"/>
  <c r="I73" i="8"/>
  <c r="F73" i="8"/>
  <c r="I72" i="8"/>
  <c r="F72" i="8"/>
  <c r="H71" i="8"/>
  <c r="G71" i="8"/>
  <c r="F71" i="8"/>
  <c r="I70" i="8"/>
  <c r="F70" i="8"/>
  <c r="I69" i="8"/>
  <c r="F69" i="8"/>
  <c r="H68" i="8"/>
  <c r="G68" i="8"/>
  <c r="F68" i="8"/>
  <c r="I67" i="8"/>
  <c r="F67" i="8"/>
  <c r="I66" i="8"/>
  <c r="F66" i="8"/>
  <c r="H65" i="8"/>
  <c r="G65" i="8"/>
  <c r="F65" i="8"/>
  <c r="I64" i="8"/>
  <c r="F64" i="8"/>
  <c r="I63" i="8"/>
  <c r="F63" i="8"/>
  <c r="H62" i="8"/>
  <c r="G62" i="8"/>
  <c r="F62" i="8"/>
  <c r="I61" i="8"/>
  <c r="F61" i="8"/>
  <c r="I60" i="8"/>
  <c r="F60" i="8"/>
  <c r="I59" i="8"/>
  <c r="F59" i="8"/>
  <c r="I58" i="8"/>
  <c r="F58" i="8"/>
  <c r="I57" i="8"/>
  <c r="F57" i="8"/>
  <c r="I56" i="8"/>
  <c r="F56" i="8"/>
  <c r="H55" i="8"/>
  <c r="G55" i="8"/>
  <c r="F55" i="8"/>
  <c r="I54" i="8"/>
  <c r="F54" i="8"/>
  <c r="I53" i="8"/>
  <c r="F53" i="8"/>
  <c r="I52" i="8"/>
  <c r="F52" i="8"/>
  <c r="I51" i="8"/>
  <c r="F51" i="8"/>
  <c r="I50" i="8"/>
  <c r="F50" i="8"/>
  <c r="I49" i="8"/>
  <c r="F49" i="8"/>
  <c r="I48" i="8"/>
  <c r="F48" i="8"/>
  <c r="I47" i="8"/>
  <c r="F47" i="8"/>
  <c r="I46" i="8"/>
  <c r="F46" i="8"/>
  <c r="I45" i="8"/>
  <c r="F45" i="8"/>
  <c r="I44" i="8"/>
  <c r="F44" i="8"/>
  <c r="I43" i="8"/>
  <c r="F43" i="8"/>
  <c r="I42" i="8"/>
  <c r="F42" i="8"/>
  <c r="I41" i="8"/>
  <c r="F41" i="8"/>
  <c r="I40" i="8"/>
  <c r="F40" i="8"/>
  <c r="I39" i="8"/>
  <c r="F39" i="8"/>
  <c r="H38" i="8"/>
  <c r="G38" i="8"/>
  <c r="F38" i="8"/>
  <c r="I37" i="8"/>
  <c r="F37" i="8"/>
  <c r="I36" i="8"/>
  <c r="F36" i="8"/>
  <c r="I35" i="8"/>
  <c r="F35" i="8"/>
  <c r="I34" i="8"/>
  <c r="F34" i="8"/>
  <c r="I33" i="8"/>
  <c r="F33" i="8"/>
  <c r="I32" i="8"/>
  <c r="F32" i="8"/>
  <c r="I31" i="8"/>
  <c r="F31" i="8"/>
  <c r="I30" i="8"/>
  <c r="F30" i="8"/>
  <c r="I29" i="8"/>
  <c r="F29" i="8"/>
  <c r="I28" i="8"/>
  <c r="F28" i="8"/>
  <c r="I27" i="8"/>
  <c r="F27" i="8"/>
  <c r="I26" i="8"/>
  <c r="F26" i="8"/>
  <c r="H25" i="8"/>
  <c r="G25" i="8"/>
  <c r="F25" i="8"/>
  <c r="I24" i="8"/>
  <c r="F24" i="8"/>
  <c r="I23" i="8"/>
  <c r="F23" i="8"/>
  <c r="I22" i="8"/>
  <c r="F22" i="8"/>
  <c r="I21" i="8"/>
  <c r="F21" i="8"/>
  <c r="H20" i="8"/>
  <c r="G20" i="8"/>
  <c r="F20" i="8"/>
  <c r="I19" i="8"/>
  <c r="F19" i="8"/>
  <c r="I18" i="8"/>
  <c r="F18" i="8"/>
  <c r="I17" i="8"/>
  <c r="F17" i="8"/>
  <c r="I16" i="8"/>
  <c r="F16" i="8"/>
  <c r="I15" i="8"/>
  <c r="F15" i="8"/>
  <c r="I14" i="8"/>
  <c r="F14" i="8"/>
  <c r="I13" i="8"/>
  <c r="F13" i="8"/>
  <c r="H12" i="8"/>
  <c r="G12" i="8"/>
  <c r="F12" i="8"/>
  <c r="I11" i="8"/>
  <c r="F11" i="8"/>
  <c r="I10" i="8"/>
  <c r="F10" i="8"/>
  <c r="I9" i="8"/>
  <c r="F9" i="8"/>
  <c r="I8" i="8"/>
  <c r="F8" i="8"/>
  <c r="I7" i="8"/>
  <c r="F7" i="8"/>
  <c r="I6" i="8"/>
  <c r="F6" i="8"/>
  <c r="I96" i="8"/>
  <c r="F96" i="8"/>
  <c r="I5" i="8"/>
  <c r="F5" i="8"/>
  <c r="I4" i="8"/>
  <c r="F4" i="8"/>
  <c r="I3" i="8"/>
  <c r="F3" i="8"/>
  <c r="I2" i="8"/>
  <c r="I85" i="8" l="1"/>
  <c r="I102" i="8"/>
  <c r="I38" i="8"/>
  <c r="I107" i="8"/>
  <c r="I25" i="8"/>
  <c r="I20" i="8"/>
  <c r="I116" i="8"/>
  <c r="I68" i="8"/>
  <c r="I113" i="8"/>
  <c r="I65" i="8"/>
  <c r="I90" i="8"/>
  <c r="I93" i="8"/>
  <c r="I12" i="8"/>
  <c r="I55" i="8"/>
  <c r="I62" i="8"/>
  <c r="I71" i="8"/>
  <c r="Q8" i="7"/>
  <c r="Q9" i="7"/>
  <c r="Q10" i="7"/>
  <c r="Q11" i="7"/>
  <c r="Q12" i="7"/>
  <c r="Q7" i="7"/>
  <c r="P8" i="7"/>
  <c r="P9" i="7"/>
  <c r="P10" i="7"/>
  <c r="P11" i="7"/>
  <c r="P12" i="7"/>
  <c r="P7" i="7"/>
  <c r="P22" i="4"/>
  <c r="Q22" i="4" s="1"/>
  <c r="N8" i="7"/>
  <c r="N9" i="7"/>
  <c r="N10" i="7"/>
  <c r="N11" i="7"/>
  <c r="N12" i="7"/>
  <c r="N7" i="7"/>
  <c r="J12" i="7"/>
  <c r="G12" i="7"/>
  <c r="J11" i="7"/>
  <c r="G11" i="7"/>
  <c r="J10" i="7"/>
  <c r="G10" i="7"/>
  <c r="J9" i="7"/>
  <c r="G9" i="7"/>
  <c r="J8" i="7"/>
  <c r="G8" i="7"/>
  <c r="J7" i="7"/>
  <c r="G7" i="7"/>
  <c r="R9" i="3" l="1"/>
  <c r="M9" i="4" l="1"/>
  <c r="M10" i="4"/>
  <c r="M11" i="4"/>
  <c r="M12" i="4"/>
  <c r="M13" i="4"/>
  <c r="M8" i="4"/>
  <c r="L9" i="4"/>
  <c r="L10" i="4"/>
  <c r="L11" i="4"/>
  <c r="L12" i="4"/>
  <c r="L13" i="4"/>
  <c r="L8" i="4"/>
  <c r="K8" i="4"/>
  <c r="K9" i="4"/>
  <c r="K10" i="4"/>
  <c r="K11" i="4"/>
  <c r="K12" i="4"/>
  <c r="K13" i="4"/>
  <c r="E13" i="4"/>
  <c r="E12" i="4"/>
  <c r="E11" i="4"/>
  <c r="E10" i="4"/>
  <c r="E9" i="4"/>
  <c r="E8" i="4"/>
  <c r="K118" i="5" l="1"/>
  <c r="H118" i="5"/>
  <c r="I118" i="5" s="1"/>
  <c r="G118" i="5"/>
  <c r="F118" i="5"/>
  <c r="K117" i="5"/>
  <c r="H117" i="5"/>
  <c r="I117" i="5" s="1"/>
  <c r="G117" i="5"/>
  <c r="F117" i="5"/>
  <c r="K116" i="5"/>
  <c r="H116" i="5"/>
  <c r="I116" i="5" s="1"/>
  <c r="G116" i="5"/>
  <c r="F116" i="5"/>
  <c r="K115" i="5"/>
  <c r="H115" i="5"/>
  <c r="I115" i="5" s="1"/>
  <c r="G115" i="5"/>
  <c r="F115" i="5"/>
  <c r="K114" i="5"/>
  <c r="H114" i="5"/>
  <c r="I114" i="5" s="1"/>
  <c r="G114" i="5"/>
  <c r="F114" i="5"/>
  <c r="K113" i="5"/>
  <c r="H113" i="5"/>
  <c r="I113" i="5" s="1"/>
  <c r="G113" i="5"/>
  <c r="F113" i="5"/>
  <c r="K112" i="5"/>
  <c r="H112" i="5"/>
  <c r="I112" i="5" s="1"/>
  <c r="G112" i="5"/>
  <c r="F112" i="5"/>
  <c r="K111" i="5"/>
  <c r="H111" i="5"/>
  <c r="I111" i="5" s="1"/>
  <c r="G111" i="5"/>
  <c r="F111" i="5"/>
  <c r="K110" i="5"/>
  <c r="H110" i="5"/>
  <c r="I110" i="5" s="1"/>
  <c r="G110" i="5"/>
  <c r="F110" i="5"/>
  <c r="K109" i="5"/>
  <c r="H109" i="5"/>
  <c r="I109" i="5" s="1"/>
  <c r="G109" i="5"/>
  <c r="F109" i="5"/>
  <c r="K108" i="5"/>
  <c r="H108" i="5"/>
  <c r="I108" i="5" s="1"/>
  <c r="G108" i="5"/>
  <c r="F108" i="5"/>
  <c r="K107" i="5"/>
  <c r="H107" i="5"/>
  <c r="I107" i="5" s="1"/>
  <c r="G107" i="5"/>
  <c r="F107" i="5"/>
  <c r="K106" i="5"/>
  <c r="I106" i="5"/>
  <c r="G106" i="5"/>
  <c r="F106" i="5"/>
  <c r="S74" i="5"/>
  <c r="I74" i="5"/>
  <c r="J74" i="5" s="1"/>
  <c r="E74" i="5"/>
  <c r="F74" i="5" s="1"/>
  <c r="D74" i="5"/>
  <c r="S73" i="5"/>
  <c r="I73" i="5"/>
  <c r="J73" i="5" s="1"/>
  <c r="E73" i="5"/>
  <c r="D73" i="5"/>
  <c r="S72" i="5"/>
  <c r="I72" i="5"/>
  <c r="J72" i="5" s="1"/>
  <c r="E72" i="5"/>
  <c r="F72" i="5" s="1"/>
  <c r="D72" i="5"/>
  <c r="S71" i="5"/>
  <c r="I71" i="5"/>
  <c r="J71" i="5" s="1"/>
  <c r="E71" i="5"/>
  <c r="F71" i="5" s="1"/>
  <c r="D71" i="5"/>
  <c r="S70" i="5"/>
  <c r="I70" i="5"/>
  <c r="J70" i="5" s="1"/>
  <c r="E70" i="5"/>
  <c r="F70" i="5" s="1"/>
  <c r="D70" i="5"/>
  <c r="S69" i="5"/>
  <c r="I69" i="5"/>
  <c r="J69" i="5" s="1"/>
  <c r="E69" i="5"/>
  <c r="D69" i="5"/>
  <c r="S68" i="5"/>
  <c r="I68" i="5"/>
  <c r="J68" i="5" s="1"/>
  <c r="E68" i="5"/>
  <c r="F68" i="5" s="1"/>
  <c r="D68" i="5"/>
  <c r="S67" i="5"/>
  <c r="I67" i="5"/>
  <c r="J67" i="5" s="1"/>
  <c r="E67" i="5"/>
  <c r="D67" i="5"/>
  <c r="S66" i="5"/>
  <c r="I66" i="5"/>
  <c r="J66" i="5" s="1"/>
  <c r="E66" i="5"/>
  <c r="F66" i="5" s="1"/>
  <c r="D66" i="5"/>
  <c r="R65" i="5"/>
  <c r="S65" i="5" s="1"/>
  <c r="L65" i="5"/>
  <c r="C65" i="5"/>
  <c r="I65" i="5" s="1"/>
  <c r="S64" i="5"/>
  <c r="I64" i="5"/>
  <c r="J64" i="5" s="1"/>
  <c r="E64" i="5"/>
  <c r="D64" i="5"/>
  <c r="S63" i="5"/>
  <c r="I63" i="5"/>
  <c r="J63" i="5" s="1"/>
  <c r="E63" i="5"/>
  <c r="F63" i="5" s="1"/>
  <c r="D63" i="5"/>
  <c r="D65" i="5" s="1"/>
  <c r="S16" i="5"/>
  <c r="I16" i="5"/>
  <c r="J16" i="5" s="1"/>
  <c r="E16" i="5"/>
  <c r="D16" i="5"/>
  <c r="S15" i="5"/>
  <c r="I15" i="5"/>
  <c r="J15" i="5" s="1"/>
  <c r="E15" i="5"/>
  <c r="F15" i="5" s="1"/>
  <c r="D15" i="5"/>
  <c r="S14" i="5"/>
  <c r="I14" i="5"/>
  <c r="J14" i="5" s="1"/>
  <c r="E14" i="5"/>
  <c r="F14" i="5" s="1"/>
  <c r="D14" i="5"/>
  <c r="S13" i="5"/>
  <c r="I13" i="5"/>
  <c r="J13" i="5" s="1"/>
  <c r="E13" i="5"/>
  <c r="F13" i="5" s="1"/>
  <c r="D13" i="5"/>
  <c r="S12" i="5"/>
  <c r="I12" i="5"/>
  <c r="J12" i="5" s="1"/>
  <c r="E12" i="5"/>
  <c r="D12" i="5"/>
  <c r="S11" i="5"/>
  <c r="I11" i="5"/>
  <c r="J11" i="5" s="1"/>
  <c r="E11" i="5"/>
  <c r="D11" i="5"/>
  <c r="S10" i="5"/>
  <c r="I10" i="5"/>
  <c r="J10" i="5" s="1"/>
  <c r="E10" i="5"/>
  <c r="D10" i="5"/>
  <c r="S9" i="5"/>
  <c r="I9" i="5"/>
  <c r="J9" i="5" s="1"/>
  <c r="E9" i="5"/>
  <c r="F9" i="5" s="1"/>
  <c r="D9" i="5"/>
  <c r="S8" i="5"/>
  <c r="I8" i="5"/>
  <c r="J8" i="5" s="1"/>
  <c r="E8" i="5"/>
  <c r="F8" i="5" s="1"/>
  <c r="D8" i="5"/>
  <c r="R7" i="5"/>
  <c r="S7" i="5" s="1"/>
  <c r="L7" i="5"/>
  <c r="C7" i="5"/>
  <c r="I7" i="5" s="1"/>
  <c r="S6" i="5"/>
  <c r="I6" i="5"/>
  <c r="J6" i="5" s="1"/>
  <c r="E6" i="5"/>
  <c r="F6" i="5" s="1"/>
  <c r="D6" i="5"/>
  <c r="S5" i="5"/>
  <c r="I5" i="5"/>
  <c r="J5" i="5" s="1"/>
  <c r="J7" i="5" s="1"/>
  <c r="E5" i="5"/>
  <c r="D5" i="5"/>
  <c r="E7" i="5" l="1"/>
  <c r="H67" i="5"/>
  <c r="H68" i="5"/>
  <c r="F67" i="5"/>
  <c r="F5" i="5"/>
  <c r="F7" i="5" s="1"/>
  <c r="H71" i="5"/>
  <c r="H16" i="5"/>
  <c r="H64" i="5"/>
  <c r="L107" i="5"/>
  <c r="L108" i="5"/>
  <c r="L111" i="5"/>
  <c r="H8" i="5"/>
  <c r="H10" i="5"/>
  <c r="H11" i="5"/>
  <c r="H12" i="5"/>
  <c r="H14" i="5"/>
  <c r="H15" i="5"/>
  <c r="H69" i="5"/>
  <c r="H72" i="5"/>
  <c r="H73" i="5"/>
  <c r="L114" i="5"/>
  <c r="L110" i="5"/>
  <c r="L116" i="5"/>
  <c r="L109" i="5"/>
  <c r="B131" i="5" s="1"/>
  <c r="L112" i="5"/>
  <c r="D7" i="5"/>
  <c r="H5" i="5"/>
  <c r="J65" i="5"/>
  <c r="L118" i="5"/>
  <c r="H6" i="5"/>
  <c r="H9" i="5"/>
  <c r="F12" i="5"/>
  <c r="H13" i="5"/>
  <c r="F16" i="5"/>
  <c r="H63" i="5"/>
  <c r="H66" i="5"/>
  <c r="F69" i="5"/>
  <c r="H70" i="5"/>
  <c r="F73" i="5"/>
  <c r="H74" i="5"/>
  <c r="F11" i="5"/>
  <c r="E65" i="5"/>
  <c r="L106" i="5"/>
  <c r="F10" i="5"/>
  <c r="F64" i="5"/>
  <c r="F65" i="5" s="1"/>
  <c r="L113" i="5"/>
  <c r="L115" i="5"/>
  <c r="L117" i="5"/>
  <c r="B128" i="5" l="1"/>
  <c r="B132" i="5"/>
  <c r="B130" i="5"/>
  <c r="H65" i="5"/>
  <c r="B127" i="5"/>
  <c r="B126" i="5"/>
  <c r="H7" i="5"/>
  <c r="P27" i="4" l="1"/>
  <c r="L27" i="4"/>
  <c r="M27" i="4" s="1"/>
  <c r="K27" i="4"/>
  <c r="H27" i="4"/>
  <c r="E27" i="4"/>
  <c r="P26" i="4"/>
  <c r="L26" i="4"/>
  <c r="M26" i="4" s="1"/>
  <c r="K26" i="4"/>
  <c r="H26" i="4"/>
  <c r="E26" i="4"/>
  <c r="P25" i="4"/>
  <c r="L25" i="4"/>
  <c r="M25" i="4" s="1"/>
  <c r="K25" i="4"/>
  <c r="H25" i="4"/>
  <c r="E25" i="4"/>
  <c r="P24" i="4"/>
  <c r="L24" i="4"/>
  <c r="M24" i="4" s="1"/>
  <c r="K24" i="4"/>
  <c r="H24" i="4"/>
  <c r="E24" i="4"/>
  <c r="P23" i="4"/>
  <c r="L23" i="4"/>
  <c r="M23" i="4" s="1"/>
  <c r="K23" i="4"/>
  <c r="H23" i="4"/>
  <c r="E23" i="4"/>
  <c r="L22" i="4"/>
  <c r="M22" i="4" s="1"/>
  <c r="H22" i="4"/>
  <c r="E22" i="4"/>
  <c r="J30" i="3"/>
  <c r="P30" i="3" s="1"/>
  <c r="I30" i="3" s="1"/>
  <c r="AC39" i="3"/>
  <c r="Z39" i="3"/>
  <c r="AD39" i="3" s="1"/>
  <c r="V39" i="3"/>
  <c r="AA39" i="3" s="1"/>
  <c r="U39" i="3" s="1"/>
  <c r="R39" i="3"/>
  <c r="O39" i="3"/>
  <c r="S39" i="3" s="1"/>
  <c r="J39" i="3"/>
  <c r="K39" i="3" s="1"/>
  <c r="M39" i="3" s="1"/>
  <c r="N39" i="3" s="1"/>
  <c r="G39" i="3"/>
  <c r="D39" i="3"/>
  <c r="X38" i="3"/>
  <c r="AC38" i="3" s="1"/>
  <c r="R38" i="3"/>
  <c r="O38" i="3"/>
  <c r="S38" i="3" s="1"/>
  <c r="J38" i="3"/>
  <c r="P38" i="3" s="1"/>
  <c r="I38" i="3" s="1"/>
  <c r="G38" i="3"/>
  <c r="D38" i="3"/>
  <c r="AC37" i="3"/>
  <c r="Z37" i="3"/>
  <c r="AD37" i="3" s="1"/>
  <c r="V37" i="3"/>
  <c r="AA37" i="3" s="1"/>
  <c r="U37" i="3" s="1"/>
  <c r="R37" i="3"/>
  <c r="O37" i="3"/>
  <c r="S37" i="3" s="1"/>
  <c r="J37" i="3"/>
  <c r="P37" i="3" s="1"/>
  <c r="I37" i="3" s="1"/>
  <c r="G37" i="3"/>
  <c r="D37" i="3"/>
  <c r="AC36" i="3"/>
  <c r="Z36" i="3"/>
  <c r="AD36" i="3" s="1"/>
  <c r="V36" i="3"/>
  <c r="AA36" i="3" s="1"/>
  <c r="U36" i="3" s="1"/>
  <c r="R36" i="3"/>
  <c r="O36" i="3"/>
  <c r="S36" i="3" s="1"/>
  <c r="J36" i="3"/>
  <c r="P36" i="3" s="1"/>
  <c r="I36" i="3" s="1"/>
  <c r="G36" i="3"/>
  <c r="D36" i="3"/>
  <c r="AC35" i="3"/>
  <c r="Z35" i="3"/>
  <c r="AD35" i="3" s="1"/>
  <c r="V35" i="3"/>
  <c r="AA35" i="3" s="1"/>
  <c r="U35" i="3" s="1"/>
  <c r="R35" i="3"/>
  <c r="O35" i="3"/>
  <c r="S35" i="3" s="1"/>
  <c r="J35" i="3"/>
  <c r="K35" i="3" s="1"/>
  <c r="M35" i="3" s="1"/>
  <c r="G35" i="3"/>
  <c r="D35" i="3"/>
  <c r="X34" i="3"/>
  <c r="Z34" i="3" s="1"/>
  <c r="AD34" i="3" s="1"/>
  <c r="R34" i="3"/>
  <c r="O34" i="3"/>
  <c r="S34" i="3" s="1"/>
  <c r="J34" i="3"/>
  <c r="P34" i="3" s="1"/>
  <c r="I34" i="3" s="1"/>
  <c r="G34" i="3"/>
  <c r="D34" i="3"/>
  <c r="AC33" i="3"/>
  <c r="Z33" i="3"/>
  <c r="AD33" i="3" s="1"/>
  <c r="V33" i="3"/>
  <c r="AA33" i="3" s="1"/>
  <c r="U33" i="3" s="1"/>
  <c r="R33" i="3"/>
  <c r="O33" i="3"/>
  <c r="S33" i="3" s="1"/>
  <c r="J33" i="3"/>
  <c r="K33" i="3" s="1"/>
  <c r="M33" i="3" s="1"/>
  <c r="N33" i="3" s="1"/>
  <c r="G33" i="3"/>
  <c r="D33" i="3"/>
  <c r="AC32" i="3"/>
  <c r="Z32" i="3"/>
  <c r="AD32" i="3" s="1"/>
  <c r="V32" i="3"/>
  <c r="W32" i="3" s="1"/>
  <c r="Y32" i="3" s="1"/>
  <c r="R32" i="3"/>
  <c r="O32" i="3"/>
  <c r="S32" i="3" s="1"/>
  <c r="J32" i="3"/>
  <c r="K32" i="3" s="1"/>
  <c r="M32" i="3" s="1"/>
  <c r="N32" i="3" s="1"/>
  <c r="G32" i="3"/>
  <c r="D32" i="3"/>
  <c r="AC31" i="3"/>
  <c r="Z31" i="3"/>
  <c r="AD31" i="3" s="1"/>
  <c r="V31" i="3"/>
  <c r="W31" i="3" s="1"/>
  <c r="Y31" i="3" s="1"/>
  <c r="R31" i="3"/>
  <c r="O31" i="3"/>
  <c r="S31" i="3" s="1"/>
  <c r="J31" i="3"/>
  <c r="P31" i="3" s="1"/>
  <c r="I31" i="3" s="1"/>
  <c r="G31" i="3"/>
  <c r="D31" i="3"/>
  <c r="AC30" i="3"/>
  <c r="Z30" i="3"/>
  <c r="AD30" i="3" s="1"/>
  <c r="V30" i="3"/>
  <c r="AA30" i="3" s="1"/>
  <c r="U30" i="3" s="1"/>
  <c r="R30" i="3"/>
  <c r="G30" i="3"/>
  <c r="D30" i="3"/>
  <c r="AC29" i="3"/>
  <c r="Z29" i="3"/>
  <c r="AD29" i="3" s="1"/>
  <c r="V29" i="3"/>
  <c r="W29" i="3" s="1"/>
  <c r="Y29" i="3" s="1"/>
  <c r="R29" i="3"/>
  <c r="O29" i="3"/>
  <c r="S29" i="3" s="1"/>
  <c r="J29" i="3"/>
  <c r="K29" i="3" s="1"/>
  <c r="M29" i="3" s="1"/>
  <c r="G29" i="3"/>
  <c r="D29" i="3"/>
  <c r="AC28" i="3"/>
  <c r="Z28" i="3"/>
  <c r="AD28" i="3" s="1"/>
  <c r="V28" i="3"/>
  <c r="W28" i="3" s="1"/>
  <c r="Y28" i="3" s="1"/>
  <c r="R28" i="3"/>
  <c r="O28" i="3"/>
  <c r="S28" i="3" s="1"/>
  <c r="P28" i="3"/>
  <c r="I28" i="3" s="1"/>
  <c r="G28" i="3"/>
  <c r="D28" i="3"/>
  <c r="AC20" i="3"/>
  <c r="Z20" i="3"/>
  <c r="AD20" i="3" s="1"/>
  <c r="V20" i="3"/>
  <c r="R20" i="3"/>
  <c r="O20" i="3"/>
  <c r="S20" i="3" s="1"/>
  <c r="J20" i="3"/>
  <c r="K20" i="3" s="1"/>
  <c r="M20" i="3" s="1"/>
  <c r="G20" i="3"/>
  <c r="D20" i="3"/>
  <c r="AC19" i="3"/>
  <c r="Z19" i="3"/>
  <c r="AD19" i="3" s="1"/>
  <c r="V19" i="3"/>
  <c r="R19" i="3"/>
  <c r="O19" i="3"/>
  <c r="S19" i="3" s="1"/>
  <c r="J19" i="3"/>
  <c r="P19" i="3" s="1"/>
  <c r="I19" i="3" s="1"/>
  <c r="G19" i="3"/>
  <c r="D19" i="3"/>
  <c r="AC18" i="3"/>
  <c r="Z18" i="3"/>
  <c r="AD18" i="3" s="1"/>
  <c r="V18" i="3"/>
  <c r="R18" i="3"/>
  <c r="O18" i="3"/>
  <c r="S18" i="3" s="1"/>
  <c r="J18" i="3"/>
  <c r="P18" i="3" s="1"/>
  <c r="I18" i="3" s="1"/>
  <c r="G18" i="3"/>
  <c r="D18" i="3"/>
  <c r="AC17" i="3"/>
  <c r="Z17" i="3"/>
  <c r="AD17" i="3" s="1"/>
  <c r="V17" i="3"/>
  <c r="R17" i="3"/>
  <c r="O17" i="3"/>
  <c r="S17" i="3" s="1"/>
  <c r="J17" i="3"/>
  <c r="K17" i="3" s="1"/>
  <c r="M17" i="3" s="1"/>
  <c r="N17" i="3" s="1"/>
  <c r="G17" i="3"/>
  <c r="D17" i="3"/>
  <c r="AC16" i="3"/>
  <c r="Z16" i="3"/>
  <c r="AD16" i="3" s="1"/>
  <c r="V16" i="3"/>
  <c r="R16" i="3"/>
  <c r="O16" i="3"/>
  <c r="S16" i="3" s="1"/>
  <c r="J16" i="3"/>
  <c r="K16" i="3" s="1"/>
  <c r="M16" i="3" s="1"/>
  <c r="N16" i="3" s="1"/>
  <c r="G16" i="3"/>
  <c r="D16" i="3"/>
  <c r="AC15" i="3"/>
  <c r="Z15" i="3"/>
  <c r="AD15" i="3" s="1"/>
  <c r="V15" i="3"/>
  <c r="R15" i="3"/>
  <c r="O15" i="3"/>
  <c r="S15" i="3" s="1"/>
  <c r="J15" i="3"/>
  <c r="P15" i="3" s="1"/>
  <c r="I15" i="3" s="1"/>
  <c r="G15" i="3"/>
  <c r="D15" i="3"/>
  <c r="AC14" i="3"/>
  <c r="Z14" i="3"/>
  <c r="AD14" i="3" s="1"/>
  <c r="V14" i="3"/>
  <c r="R14" i="3"/>
  <c r="O14" i="3"/>
  <c r="S14" i="3" s="1"/>
  <c r="J14" i="3"/>
  <c r="P14" i="3" s="1"/>
  <c r="I14" i="3" s="1"/>
  <c r="G14" i="3"/>
  <c r="D14" i="3"/>
  <c r="AC13" i="3"/>
  <c r="Z13" i="3"/>
  <c r="AD13" i="3" s="1"/>
  <c r="V13" i="3"/>
  <c r="R13" i="3"/>
  <c r="O13" i="3"/>
  <c r="S13" i="3" s="1"/>
  <c r="J13" i="3"/>
  <c r="K13" i="3" s="1"/>
  <c r="M13" i="3" s="1"/>
  <c r="N13" i="3" s="1"/>
  <c r="G13" i="3"/>
  <c r="D13" i="3"/>
  <c r="AC12" i="3"/>
  <c r="Z12" i="3"/>
  <c r="AD12" i="3" s="1"/>
  <c r="V12" i="3"/>
  <c r="R12" i="3"/>
  <c r="O12" i="3"/>
  <c r="S12" i="3" s="1"/>
  <c r="J12" i="3"/>
  <c r="K12" i="3" s="1"/>
  <c r="M12" i="3" s="1"/>
  <c r="N12" i="3" s="1"/>
  <c r="G12" i="3"/>
  <c r="D12" i="3"/>
  <c r="AC11" i="3"/>
  <c r="Z11" i="3"/>
  <c r="AD11" i="3" s="1"/>
  <c r="V11" i="3"/>
  <c r="R11" i="3"/>
  <c r="O11" i="3"/>
  <c r="S11" i="3" s="1"/>
  <c r="J11" i="3"/>
  <c r="P11" i="3" s="1"/>
  <c r="I11" i="3" s="1"/>
  <c r="G11" i="3"/>
  <c r="D11" i="3"/>
  <c r="AC10" i="3"/>
  <c r="Z10" i="3"/>
  <c r="AD10" i="3" s="1"/>
  <c r="V10" i="3"/>
  <c r="R10" i="3"/>
  <c r="O10" i="3"/>
  <c r="S10" i="3" s="1"/>
  <c r="J10" i="3"/>
  <c r="P10" i="3" s="1"/>
  <c r="I10" i="3" s="1"/>
  <c r="G10" i="3"/>
  <c r="AC9" i="3"/>
  <c r="AE9" i="3" s="1"/>
  <c r="Z9" i="3"/>
  <c r="AD9" i="3" s="1"/>
  <c r="V9" i="3"/>
  <c r="O9" i="3"/>
  <c r="S9" i="3" s="1"/>
  <c r="T9" i="3" s="1"/>
  <c r="AF9" i="3" s="1"/>
  <c r="J9" i="3"/>
  <c r="G9" i="3"/>
  <c r="D9" i="3"/>
  <c r="N29" i="3" l="1"/>
  <c r="N35" i="3"/>
  <c r="N20" i="3"/>
  <c r="T39" i="3"/>
  <c r="T28" i="3"/>
  <c r="AA9" i="3"/>
  <c r="U9" i="3" s="1"/>
  <c r="P9" i="3"/>
  <c r="I9" i="3" s="1"/>
  <c r="AA10" i="3"/>
  <c r="U10" i="3" s="1"/>
  <c r="W11" i="3"/>
  <c r="Y11" i="3" s="1"/>
  <c r="AA11" i="3"/>
  <c r="W12" i="3"/>
  <c r="Y12" i="3" s="1"/>
  <c r="AA12" i="3"/>
  <c r="U12" i="3" s="1"/>
  <c r="AA13" i="3"/>
  <c r="U13" i="3" s="1"/>
  <c r="AA14" i="3"/>
  <c r="U14" i="3" s="1"/>
  <c r="W15" i="3"/>
  <c r="Y15" i="3" s="1"/>
  <c r="AA15" i="3"/>
  <c r="U15" i="3" s="1"/>
  <c r="W16" i="3"/>
  <c r="Y16" i="3" s="1"/>
  <c r="AA16" i="3"/>
  <c r="U16" i="3" s="1"/>
  <c r="AA17" i="3"/>
  <c r="U17" i="3" s="1"/>
  <c r="AA18" i="3"/>
  <c r="U18" i="3" s="1"/>
  <c r="W19" i="3"/>
  <c r="Y19" i="3" s="1"/>
  <c r="AA19" i="3"/>
  <c r="W20" i="3"/>
  <c r="Y20" i="3" s="1"/>
  <c r="AA20" i="3"/>
  <c r="U20" i="3" s="1"/>
  <c r="AE39" i="3"/>
  <c r="AE13" i="3"/>
  <c r="T14" i="3"/>
  <c r="T15" i="3"/>
  <c r="T16" i="3"/>
  <c r="T17" i="3"/>
  <c r="T18" i="3"/>
  <c r="Q23" i="4"/>
  <c r="Q27" i="4"/>
  <c r="Q24" i="4"/>
  <c r="Q25" i="4"/>
  <c r="Q26" i="4"/>
  <c r="T19" i="3"/>
  <c r="T20" i="3"/>
  <c r="AE35" i="3"/>
  <c r="W13" i="3"/>
  <c r="Y13" i="3" s="1"/>
  <c r="P29" i="3"/>
  <c r="I29" i="3" s="1"/>
  <c r="T10" i="3"/>
  <c r="T11" i="3"/>
  <c r="T12" i="3"/>
  <c r="T13" i="3"/>
  <c r="V38" i="3"/>
  <c r="AA38" i="3" s="1"/>
  <c r="U38" i="3" s="1"/>
  <c r="T36" i="3"/>
  <c r="O30" i="3"/>
  <c r="S30" i="3" s="1"/>
  <c r="T31" i="3"/>
  <c r="T33" i="3"/>
  <c r="T34" i="3"/>
  <c r="AE18" i="3"/>
  <c r="AE20" i="3"/>
  <c r="AE29" i="3"/>
  <c r="AE36" i="3"/>
  <c r="AE37" i="3"/>
  <c r="AE11" i="3"/>
  <c r="AE12" i="3"/>
  <c r="T29" i="3"/>
  <c r="T37" i="3"/>
  <c r="AF37" i="3" s="1"/>
  <c r="T38" i="3"/>
  <c r="W9" i="3"/>
  <c r="Y9" i="3" s="1"/>
  <c r="W10" i="3"/>
  <c r="Y10" i="3" s="1"/>
  <c r="AE14" i="3"/>
  <c r="AE16" i="3"/>
  <c r="AE17" i="3"/>
  <c r="T30" i="3"/>
  <c r="AE30" i="3"/>
  <c r="AE32" i="3"/>
  <c r="AE33" i="3"/>
  <c r="K18" i="3"/>
  <c r="M18" i="3" s="1"/>
  <c r="N18" i="3" s="1"/>
  <c r="W35" i="3"/>
  <c r="Y35" i="3" s="1"/>
  <c r="K36" i="3"/>
  <c r="M36" i="3" s="1"/>
  <c r="N36" i="3" s="1"/>
  <c r="K10" i="3"/>
  <c r="M10" i="3" s="1"/>
  <c r="N10" i="3" s="1"/>
  <c r="AE10" i="3"/>
  <c r="AE28" i="3"/>
  <c r="T32" i="3"/>
  <c r="AF32" i="3" s="1"/>
  <c r="K15" i="3"/>
  <c r="M15" i="3" s="1"/>
  <c r="N15" i="3" s="1"/>
  <c r="K14" i="3"/>
  <c r="M14" i="3" s="1"/>
  <c r="N14" i="3" s="1"/>
  <c r="K19" i="3"/>
  <c r="M19" i="3" s="1"/>
  <c r="N19" i="3" s="1"/>
  <c r="K38" i="3"/>
  <c r="M38" i="3" s="1"/>
  <c r="N38" i="3" s="1"/>
  <c r="AE38" i="3"/>
  <c r="K31" i="3"/>
  <c r="M31" i="3" s="1"/>
  <c r="N31" i="3" s="1"/>
  <c r="T35" i="3"/>
  <c r="W37" i="3"/>
  <c r="Y37" i="3" s="1"/>
  <c r="W39" i="3"/>
  <c r="Y39" i="3" s="1"/>
  <c r="K9" i="3"/>
  <c r="M9" i="3" s="1"/>
  <c r="N9" i="3" s="1"/>
  <c r="P12" i="3"/>
  <c r="I12" i="3" s="1"/>
  <c r="W18" i="3"/>
  <c r="Y18" i="3" s="1"/>
  <c r="U19" i="3"/>
  <c r="K11" i="3"/>
  <c r="M11" i="3" s="1"/>
  <c r="N11" i="3" s="1"/>
  <c r="W14" i="3"/>
  <c r="Y14" i="3" s="1"/>
  <c r="AE15" i="3"/>
  <c r="W17" i="3"/>
  <c r="Y17" i="3" s="1"/>
  <c r="AE19" i="3"/>
  <c r="M28" i="3"/>
  <c r="N28" i="3" s="1"/>
  <c r="W30" i="3"/>
  <c r="Y30" i="3" s="1"/>
  <c r="AE31" i="3"/>
  <c r="P20" i="3"/>
  <c r="I20" i="3" s="1"/>
  <c r="AA28" i="3"/>
  <c r="U28" i="3" s="1"/>
  <c r="AA31" i="3"/>
  <c r="U31" i="3" s="1"/>
  <c r="U11" i="3"/>
  <c r="P16" i="3"/>
  <c r="I16" i="3" s="1"/>
  <c r="P32" i="3"/>
  <c r="I32" i="3" s="1"/>
  <c r="P35" i="3"/>
  <c r="I35" i="3" s="1"/>
  <c r="W33" i="3"/>
  <c r="Y33" i="3" s="1"/>
  <c r="K34" i="3"/>
  <c r="M34" i="3" s="1"/>
  <c r="N34" i="3" s="1"/>
  <c r="V34" i="3"/>
  <c r="W36" i="3"/>
  <c r="Y36" i="3" s="1"/>
  <c r="K37" i="3"/>
  <c r="M37" i="3" s="1"/>
  <c r="N37" i="3" s="1"/>
  <c r="Z38" i="3"/>
  <c r="AD38" i="3" s="1"/>
  <c r="P13" i="3"/>
  <c r="I13" i="3" s="1"/>
  <c r="P17" i="3"/>
  <c r="I17" i="3" s="1"/>
  <c r="AA29" i="3"/>
  <c r="U29" i="3" s="1"/>
  <c r="AA32" i="3"/>
  <c r="U32" i="3" s="1"/>
  <c r="P33" i="3"/>
  <c r="I33" i="3" s="1"/>
  <c r="AC34" i="3"/>
  <c r="AE34" i="3" s="1"/>
  <c r="P39" i="3"/>
  <c r="I39" i="3" s="1"/>
  <c r="AF28" i="3" l="1"/>
  <c r="AF39" i="3"/>
  <c r="AF30" i="3"/>
  <c r="AF29" i="3"/>
  <c r="AF11" i="3"/>
  <c r="AF18" i="3"/>
  <c r="AF34" i="3"/>
  <c r="AF14" i="3"/>
  <c r="AF20" i="3"/>
  <c r="AF38" i="3"/>
  <c r="AF31" i="3"/>
  <c r="AF13" i="3"/>
  <c r="AF19" i="3"/>
  <c r="AF16" i="3"/>
  <c r="AF36" i="3"/>
  <c r="AF33" i="3"/>
  <c r="B51" i="3" s="1"/>
  <c r="AF10" i="3"/>
  <c r="AF17" i="3"/>
  <c r="AF35" i="3"/>
  <c r="B52" i="3" s="1"/>
  <c r="AF12" i="3"/>
  <c r="AF15" i="3"/>
  <c r="W38" i="3"/>
  <c r="Y38" i="3" s="1"/>
  <c r="K30" i="3"/>
  <c r="M30" i="3" s="1"/>
  <c r="N30" i="3" s="1"/>
  <c r="AA34" i="3"/>
  <c r="U34" i="3" s="1"/>
  <c r="W34" i="3"/>
  <c r="Y34" i="3" s="1"/>
  <c r="B53" i="3" l="1"/>
  <c r="B50" i="3"/>
  <c r="B49" i="3"/>
  <c r="E39" i="1"/>
  <c r="F39" i="1"/>
  <c r="G39" i="1"/>
  <c r="H39" i="1"/>
  <c r="I39" i="1"/>
  <c r="J39" i="1"/>
  <c r="K39" i="1"/>
  <c r="E79" i="1" s="1"/>
  <c r="L39" i="1"/>
  <c r="M39" i="1"/>
  <c r="N39" i="1"/>
  <c r="O39" i="1"/>
  <c r="E35" i="1"/>
  <c r="F35" i="1"/>
  <c r="G35" i="1"/>
  <c r="H35" i="1"/>
  <c r="I35" i="1"/>
  <c r="J35" i="1"/>
  <c r="K35" i="1"/>
  <c r="L35" i="1"/>
  <c r="M35" i="1"/>
  <c r="N35" i="1"/>
  <c r="O35" i="1"/>
  <c r="M24" i="1"/>
  <c r="N28" i="1"/>
  <c r="N27" i="1"/>
  <c r="N25" i="1"/>
  <c r="N24" i="1"/>
  <c r="M28" i="1"/>
  <c r="M27" i="1"/>
  <c r="M25" i="1"/>
  <c r="E28" i="1"/>
  <c r="F28" i="1"/>
  <c r="G28" i="1"/>
  <c r="H28" i="1"/>
  <c r="I28" i="1"/>
  <c r="J28" i="1"/>
  <c r="E27" i="1"/>
  <c r="F27" i="1"/>
  <c r="G27" i="1"/>
  <c r="H27" i="1"/>
  <c r="I27" i="1"/>
  <c r="J27" i="1"/>
  <c r="E25" i="1"/>
  <c r="F25" i="1"/>
  <c r="G25" i="1"/>
  <c r="H25" i="1"/>
  <c r="I25" i="1"/>
  <c r="J25" i="1"/>
  <c r="E24" i="1"/>
  <c r="F24" i="1"/>
  <c r="G24" i="1"/>
  <c r="H24" i="1"/>
  <c r="I24" i="1"/>
  <c r="J24" i="1"/>
  <c r="D25" i="1"/>
  <c r="D27" i="1"/>
  <c r="D28" i="1"/>
  <c r="D24" i="1"/>
  <c r="D39" i="1" l="1"/>
  <c r="D35" i="1"/>
  <c r="C55" i="1" l="1"/>
  <c r="C54" i="1"/>
  <c r="C52" i="1"/>
  <c r="C51" i="1"/>
  <c r="C47" i="1"/>
  <c r="C46" i="1"/>
  <c r="C44" i="1"/>
  <c r="C43" i="1"/>
  <c r="C38" i="1"/>
  <c r="C37" i="1"/>
  <c r="C34" i="1"/>
  <c r="C33" i="1"/>
  <c r="C28" i="1"/>
  <c r="C27" i="1"/>
  <c r="C25" i="1"/>
  <c r="C24" i="1"/>
  <c r="C19" i="1"/>
  <c r="C18" i="1"/>
  <c r="C16" i="1"/>
  <c r="C15" i="1"/>
  <c r="C10" i="1"/>
  <c r="C9" i="1"/>
  <c r="C6" i="1"/>
  <c r="C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<sst xmlns="http://schemas.openxmlformats.org/spreadsheetml/2006/main" count="1486" uniqueCount="600">
  <si>
    <t>Re</t>
  </si>
  <si>
    <t>Temnodontosaurus</t>
  </si>
  <si>
    <t>Stenopterygius</t>
  </si>
  <si>
    <t>Ophthalmosaurus</t>
  </si>
  <si>
    <t>Tursiops</t>
  </si>
  <si>
    <t>Length (m)</t>
  </si>
  <si>
    <t>COEFFICIENTS</t>
  </si>
  <si>
    <t>FORCES (Newtons)</t>
  </si>
  <si>
    <t>Total Drag, D</t>
  </si>
  <si>
    <t>Skin friction drag, Df</t>
  </si>
  <si>
    <t xml:space="preserve">Pressure drag, Dp </t>
  </si>
  <si>
    <r>
      <t>Velocity, v (m</t>
    </r>
    <r>
      <rPr>
        <vertAlign val="super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)</t>
    </r>
  </si>
  <si>
    <r>
      <t>Total Drag coefficient (C</t>
    </r>
    <r>
      <rPr>
        <b/>
        <vertAlign val="subscript"/>
        <sz val="11"/>
        <color rgb="FF000000"/>
        <rFont val="Arial"/>
        <family val="2"/>
      </rPr>
      <t>d</t>
    </r>
    <r>
      <rPr>
        <b/>
        <sz val="11"/>
        <color rgb="FF000000"/>
        <rFont val="Arial"/>
        <family val="2"/>
      </rPr>
      <t>)</t>
    </r>
  </si>
  <si>
    <t>PARAMETERS OF MODELS</t>
  </si>
  <si>
    <r>
      <t>Skin friction drag coefficient (C</t>
    </r>
    <r>
      <rPr>
        <b/>
        <vertAlign val="subscript"/>
        <sz val="11"/>
        <color rgb="FF000000"/>
        <rFont val="Arial"/>
        <family val="2"/>
      </rPr>
      <t>f</t>
    </r>
    <r>
      <rPr>
        <b/>
        <sz val="11"/>
        <color rgb="FF000000"/>
        <rFont val="Arial"/>
        <family val="2"/>
      </rPr>
      <t>)</t>
    </r>
  </si>
  <si>
    <r>
      <t>Pressure drag coefficient (C</t>
    </r>
    <r>
      <rPr>
        <b/>
        <vertAlign val="subscript"/>
        <sz val="11"/>
        <color rgb="FF000000"/>
        <rFont val="Arial"/>
        <family val="2"/>
      </rPr>
      <t>p</t>
    </r>
    <r>
      <rPr>
        <b/>
        <sz val="11"/>
        <color rgb="FF000000"/>
        <rFont val="Arial"/>
        <family val="2"/>
      </rPr>
      <t>)</t>
    </r>
  </si>
  <si>
    <t>Wetted surface area, S (m^2) NO FINS</t>
  </si>
  <si>
    <t>Wetted surface area, S (m^2) + FINS</t>
  </si>
  <si>
    <t>SIMULATION RESULTS</t>
  </si>
  <si>
    <t>Orcinus</t>
  </si>
  <si>
    <t>Megaptera</t>
  </si>
  <si>
    <t>Meyerasaurus</t>
  </si>
  <si>
    <t>Liopleurodon</t>
  </si>
  <si>
    <t>NO FINS</t>
  </si>
  <si>
    <t>+LIMBS</t>
  </si>
  <si>
    <t>Peloneustes</t>
  </si>
  <si>
    <t>Dolichorhynchops</t>
  </si>
  <si>
    <t>Hydrotherosaurus</t>
  </si>
  <si>
    <t>Thalassomedon</t>
  </si>
  <si>
    <t>NO LIMBS</t>
  </si>
  <si>
    <t>Contents</t>
  </si>
  <si>
    <t>Description</t>
  </si>
  <si>
    <t>Drag-to-vol_Same volume</t>
  </si>
  <si>
    <t>Drag-to-vol_Life-size</t>
  </si>
  <si>
    <t>Plesios-ichthyos-cetacean Drag</t>
  </si>
  <si>
    <r>
      <t>Computed drag forces and drag coefficients for an array of plesiosaurs, ichthyosaurs and modern cetaceans at Reynolds numbers 5 x 10</t>
    </r>
    <r>
      <rPr>
        <vertAlign val="superscript"/>
        <sz val="12"/>
        <color theme="1"/>
        <rFont val="Calibri (Body)"/>
      </rPr>
      <t>6</t>
    </r>
    <r>
      <rPr>
        <sz val="12"/>
        <color theme="1"/>
        <rFont val="Calibri"/>
        <family val="2"/>
        <scheme val="minor"/>
      </rPr>
      <t xml:space="preserve"> and 10</t>
    </r>
    <r>
      <rPr>
        <vertAlign val="superscript"/>
        <sz val="12"/>
        <color theme="1"/>
        <rFont val="Calibri (Body)"/>
      </rPr>
      <t>7</t>
    </r>
  </si>
  <si>
    <t>SAME BODY VOLUME, SAME VELOCITY</t>
  </si>
  <si>
    <t>Velocity =</t>
  </si>
  <si>
    <t>m/s</t>
  </si>
  <si>
    <t>Re  =</t>
  </si>
  <si>
    <t>Variable</t>
  </si>
  <si>
    <t>Parameters of scaled models (L= 1 m)</t>
  </si>
  <si>
    <t xml:space="preserve">Volume (m^3) </t>
  </si>
  <si>
    <t>(constant)</t>
  </si>
  <si>
    <t>Maximum diameter</t>
  </si>
  <si>
    <t>FR</t>
  </si>
  <si>
    <t>Wetted area (m^2)</t>
  </si>
  <si>
    <t>Volume (m^3)</t>
  </si>
  <si>
    <t>Mass (kg)</t>
  </si>
  <si>
    <t>V/A</t>
  </si>
  <si>
    <t>Drag (N)</t>
  </si>
  <si>
    <t>D/V</t>
  </si>
  <si>
    <t>Relative to Tursiops FULL</t>
  </si>
  <si>
    <t>Relative</t>
  </si>
  <si>
    <t>NA</t>
  </si>
  <si>
    <t>Stenopteryigius</t>
  </si>
  <si>
    <t>FULL MODEL (+LIMBS)</t>
  </si>
  <si>
    <t>Length</t>
  </si>
  <si>
    <t>Velocity for a 1m model</t>
  </si>
  <si>
    <t>1 m/s</t>
  </si>
  <si>
    <t>Re =</t>
  </si>
  <si>
    <t>Re for 1 m/s</t>
  </si>
  <si>
    <t>Neck 2X</t>
  </si>
  <si>
    <t>Neck 3X</t>
  </si>
  <si>
    <t>Neck 4X</t>
  </si>
  <si>
    <t>Neck 5X</t>
  </si>
  <si>
    <t>Neck 7X</t>
  </si>
  <si>
    <t>Neck 0.87X (Meyerasaurus)</t>
  </si>
  <si>
    <t>Volume of trunk (m^3) =</t>
  </si>
  <si>
    <t>Volume (total) =</t>
  </si>
  <si>
    <t>FULL MODELS (WITH FINS) ANIMALS AT REAL SIZES SWIMMING AT 1 m/s</t>
  </si>
  <si>
    <t>"Real size"</t>
  </si>
  <si>
    <t>Different Reynolds numbers</t>
  </si>
  <si>
    <t>"Small" (1m)</t>
  </si>
  <si>
    <t>Wetted area (A)</t>
  </si>
  <si>
    <t>Volume (V)</t>
  </si>
  <si>
    <t>Re for this speed (m/s)</t>
  </si>
  <si>
    <t>Velocity for 1m model (m/s)</t>
  </si>
  <si>
    <t xml:space="preserve">Drag (N) </t>
  </si>
  <si>
    <t>Cartorhynchus short</t>
  </si>
  <si>
    <t>Cartorhynchus long</t>
  </si>
  <si>
    <t>Cartorhynchus</t>
  </si>
  <si>
    <t>Utatsusaurus</t>
  </si>
  <si>
    <t>Chaohusaurus</t>
  </si>
  <si>
    <t>Mixosaurus</t>
  </si>
  <si>
    <t>Shonisaurus</t>
  </si>
  <si>
    <t>Guizhouichthyosaurus</t>
  </si>
  <si>
    <t>FULL MODELS (WITH FINS) ANIMALS AT REAL SIZES SWIMMING AT SOMETHING CLOSER TO THEIR OPTIMAL SWIMMING SPEEDS</t>
  </si>
  <si>
    <t>"closer to optimal speed"</t>
  </si>
  <si>
    <t>Volume of trunk  (m^3)</t>
  </si>
  <si>
    <t>Drag/Volume of trunk</t>
  </si>
  <si>
    <t>Relative Drag/Volume of trunk</t>
  </si>
  <si>
    <t>Rhomaleosaurus</t>
  </si>
  <si>
    <t>Plesiosaurus</t>
  </si>
  <si>
    <t>Kronosaurus</t>
  </si>
  <si>
    <t>Polycotylus</t>
  </si>
  <si>
    <t>Styxosaurus</t>
  </si>
  <si>
    <t>Albertonectes</t>
  </si>
  <si>
    <t>Aristonectes</t>
  </si>
  <si>
    <t>Total length (m)</t>
  </si>
  <si>
    <t>Rhomaleosaurus cramptoni</t>
  </si>
  <si>
    <t>NMING F8785</t>
  </si>
  <si>
    <t>Rhomaleosaurus zetlandicus</t>
  </si>
  <si>
    <t>average</t>
  </si>
  <si>
    <t>Plesiosaurus dolichodeirus</t>
  </si>
  <si>
    <t>NHMUK 22656</t>
  </si>
  <si>
    <t>NHMUK R1313</t>
  </si>
  <si>
    <t>OXFUM J 10304</t>
  </si>
  <si>
    <t>Plesiosaurus sp</t>
  </si>
  <si>
    <t>Dolichorhynchops osborni</t>
  </si>
  <si>
    <t>KUVP 1300</t>
  </si>
  <si>
    <t>FSHM VP 404</t>
  </si>
  <si>
    <t>Polycotylus latipinnis</t>
  </si>
  <si>
    <t>SDSM 23020</t>
  </si>
  <si>
    <t>LACM 129629</t>
  </si>
  <si>
    <t>Kronosaurus  queenslandicus</t>
  </si>
  <si>
    <t>MCZ 1285</t>
  </si>
  <si>
    <t>Kronosaurus boyacensis</t>
  </si>
  <si>
    <t>MJACM1</t>
  </si>
  <si>
    <t>Styxosaurus browni</t>
  </si>
  <si>
    <t>AMNH 5835</t>
  </si>
  <si>
    <t>Volume of trunk =</t>
  </si>
  <si>
    <t>Drag per unit volume</t>
  </si>
  <si>
    <t>COTdrag</t>
  </si>
  <si>
    <t>Normalised to Tursiops</t>
  </si>
  <si>
    <t>FULL MODELS (WITH LIMBS)</t>
  </si>
  <si>
    <t>BODY LENGTH = Life-size scale</t>
  </si>
  <si>
    <t>Absolute (J/kg m)</t>
  </si>
  <si>
    <t>Cd</t>
  </si>
  <si>
    <t>Cf</t>
  </si>
  <si>
    <t>Cp</t>
  </si>
  <si>
    <t>DRAG COEFFICIENT FOR PLESIOSAUR MODELS OF VARIABLE NECK LENGTH. NO LIMBS</t>
  </si>
  <si>
    <t>5 m/s</t>
  </si>
  <si>
    <t>Changes relative to short neck</t>
  </si>
  <si>
    <t>5 x 10^6</t>
  </si>
  <si>
    <t>Variable NeckLength</t>
  </si>
  <si>
    <t>Calculations of the drag per unit of trunk volume in an array of plesiosaurs at their life-size dimensions, compared at the same speed</t>
  </si>
  <si>
    <t xml:space="preserve">Velocity = </t>
  </si>
  <si>
    <t xml:space="preserve">Volume (body) = </t>
  </si>
  <si>
    <t xml:space="preserve">Volume (trunk) = </t>
  </si>
  <si>
    <t>Constant</t>
  </si>
  <si>
    <t xml:space="preserve">Cd </t>
  </si>
  <si>
    <t>Variation in Cd</t>
  </si>
  <si>
    <r>
      <t xml:space="preserve">DRAG PER UNIT OF TRUNK VOLUME. CONSTANT </t>
    </r>
    <r>
      <rPr>
        <b/>
        <sz val="12"/>
        <color rgb="FFFF0000"/>
        <rFont val="Calibri (Body)_x0000_"/>
      </rPr>
      <t>TRUNK VOLUME</t>
    </r>
    <r>
      <rPr>
        <b/>
        <sz val="12"/>
        <color rgb="FFFF0000"/>
        <rFont val="Calibri"/>
        <family val="2"/>
        <scheme val="minor"/>
      </rPr>
      <t>, VARIABLE NECK LENGTH, VARIABLE TOTAL VOLUME. NO LIMBS</t>
    </r>
  </si>
  <si>
    <r>
      <t xml:space="preserve">DRAG COEFFICIENT AND DRAG PER UNIT OF TRUNK VOLUME. CONSTANT </t>
    </r>
    <r>
      <rPr>
        <b/>
        <sz val="12"/>
        <color rgb="FFFF0000"/>
        <rFont val="Calibri (Body)_x0000_"/>
      </rPr>
      <t>TRUNK VOLUME</t>
    </r>
    <r>
      <rPr>
        <b/>
        <sz val="12"/>
        <color rgb="FFFF0000"/>
        <rFont val="Calibri"/>
        <family val="2"/>
        <scheme val="minor"/>
      </rPr>
      <t>, VARIABLE NECK THICKNESS, VARIABLE TOTAL VOLUME. NO LIMBS</t>
    </r>
  </si>
  <si>
    <t>%variation of thickness at half neck</t>
  </si>
  <si>
    <t>Ratio of neck /trunk length</t>
  </si>
  <si>
    <t>Neck 2X - Thick 1</t>
  </si>
  <si>
    <t>Neck 2X - Thick 2</t>
  </si>
  <si>
    <t>Neck 2X - Thick 3</t>
  </si>
  <si>
    <t>Neck 2X - Thin 1</t>
  </si>
  <si>
    <t>Neck 2X - Thin 2</t>
  </si>
  <si>
    <t>Taxon</t>
  </si>
  <si>
    <t>Group</t>
  </si>
  <si>
    <t>Specimen</t>
  </si>
  <si>
    <t>FAD</t>
  </si>
  <si>
    <t>LAD</t>
  </si>
  <si>
    <t>Age</t>
  </si>
  <si>
    <t>Neck length (cm)</t>
  </si>
  <si>
    <t>Trunk length (cm)</t>
  </si>
  <si>
    <t>Albertonectes vanderveldi</t>
  </si>
  <si>
    <t>Elasmosauridae</t>
  </si>
  <si>
    <t>TMP 2007.011.0001</t>
  </si>
  <si>
    <t>Kubo et al., 2012</t>
  </si>
  <si>
    <t>Archaeonectrus rostratus</t>
  </si>
  <si>
    <t>Rhomaleosauridae</t>
  </si>
  <si>
    <t>NHMUK 38525</t>
  </si>
  <si>
    <t>Smith, 2007</t>
  </si>
  <si>
    <t>Aristonectes quiriquinensis</t>
  </si>
  <si>
    <t>SGO.PV.957</t>
  </si>
  <si>
    <t xml:space="preserve">Otero, 2018 </t>
  </si>
  <si>
    <t>Fig. 10</t>
  </si>
  <si>
    <t>Attenborosaurus conybeari</t>
  </si>
  <si>
    <t>Pliosauridae_basal</t>
  </si>
  <si>
    <t>NHMUK R1339</t>
  </si>
  <si>
    <t>Smith, 2007; personal observation</t>
  </si>
  <si>
    <t>Fig.3.18</t>
  </si>
  <si>
    <t>LEICS G221.1851</t>
  </si>
  <si>
    <t>O'keefe, 2002; Smith, 2007</t>
  </si>
  <si>
    <t>Avalonnectes arturi</t>
  </si>
  <si>
    <t>NHMUK 14550</t>
  </si>
  <si>
    <t>Benson et al., 2012</t>
  </si>
  <si>
    <t>Fig. 2</t>
  </si>
  <si>
    <t>Bobosaurus forojuliensis</t>
  </si>
  <si>
    <t>Pistosauroidea</t>
  </si>
  <si>
    <t>MFSN 27285</t>
  </si>
  <si>
    <t>Dalla Vecchia, 2006</t>
  </si>
  <si>
    <t>Brancasaurus brancai</t>
  </si>
  <si>
    <t>Leptocleididae</t>
  </si>
  <si>
    <t>GWWU A3.B4</t>
  </si>
  <si>
    <t>Thalassophonea</t>
  </si>
  <si>
    <t>Callawayasaurus colombiensis</t>
  </si>
  <si>
    <t>UCMP 38349</t>
  </si>
  <si>
    <t>Welles, 1962</t>
  </si>
  <si>
    <t>Ceresiosaurus calcagnii</t>
  </si>
  <si>
    <t>Nothosauroidea</t>
  </si>
  <si>
    <t>GPIT-RE-1889</t>
  </si>
  <si>
    <t>PIMUZ T2464</t>
  </si>
  <si>
    <t>Personal observation</t>
  </si>
  <si>
    <t>Colymbosaurus trochanterius</t>
  </si>
  <si>
    <t>Cryptoclididae</t>
  </si>
  <si>
    <t>CAMSM J.29596, J.63919</t>
  </si>
  <si>
    <t>Benson &amp; Bowdler, 2014</t>
  </si>
  <si>
    <t>Corosaurus alcovensis</t>
  </si>
  <si>
    <t>UW 5485</t>
  </si>
  <si>
    <t>Storrs, 1991</t>
  </si>
  <si>
    <t>Cryptoclidus eurymerus</t>
  </si>
  <si>
    <t>GPIT-RE-3183</t>
  </si>
  <si>
    <t>Cyamodus orientalis</t>
  </si>
  <si>
    <t>Placodontia</t>
  </si>
  <si>
    <t>ZMNH M8820</t>
  </si>
  <si>
    <t>Wang et al., 2019</t>
  </si>
  <si>
    <t>Fig. 1</t>
  </si>
  <si>
    <t>Dactylosaurus schroederi</t>
  </si>
  <si>
    <t>Pachypleurosauria</t>
  </si>
  <si>
    <t>SMF R 4097</t>
  </si>
  <si>
    <t>Sues &amp; Carrol, 1985</t>
  </si>
  <si>
    <t>Diandongosaurus acutidentatus</t>
  </si>
  <si>
    <t>Eosauropterygia_basal</t>
  </si>
  <si>
    <t>NMNS 000933-F03498</t>
  </si>
  <si>
    <t>Sato et al., 2014</t>
  </si>
  <si>
    <t>IVPP V 17761</t>
  </si>
  <si>
    <t>Dianopachysaurus dingi</t>
  </si>
  <si>
    <t>LPV 31365</t>
  </si>
  <si>
    <t>Liu et al., 2011</t>
  </si>
  <si>
    <t>Dianmeisaurus gracilis</t>
  </si>
  <si>
    <t>IVPP V 18630</t>
  </si>
  <si>
    <t>Shang &amp; Li., 2015</t>
  </si>
  <si>
    <t>Polycotilidae</t>
  </si>
  <si>
    <t xml:space="preserve">Dolichorhynchops osborni </t>
  </si>
  <si>
    <t xml:space="preserve">Elasmosaurus platyurus </t>
  </si>
  <si>
    <t>ANSP 10081</t>
  </si>
  <si>
    <t>Sachs, 2005; Soul &amp; Benson, 2017</t>
  </si>
  <si>
    <t xml:space="preserve">Eoplesiosaurus antiquior </t>
  </si>
  <si>
    <t>Plesiosauria_basal</t>
  </si>
  <si>
    <t>TTNCM 8348</t>
  </si>
  <si>
    <t>Glyphoderma kangi</t>
  </si>
  <si>
    <t>ZMNH M 8729</t>
  </si>
  <si>
    <t>Zao, 2008</t>
  </si>
  <si>
    <t>Hauffiosaurus longirostris</t>
  </si>
  <si>
    <t>MCZ 1033</t>
  </si>
  <si>
    <t>White, 1940; Fischer et al., 2017</t>
  </si>
  <si>
    <t>Hauffiosaurus tomistomimus</t>
  </si>
  <si>
    <t>MMUM LL 8004</t>
  </si>
  <si>
    <t>Benson et al., 2011; Soul &amp; Benson, 2017</t>
  </si>
  <si>
    <t>Hauffiosaurus zanoni</t>
  </si>
  <si>
    <t>HAUF Uncat.</t>
  </si>
  <si>
    <t>Vincent, 2011</t>
  </si>
  <si>
    <t>Henodus chelyops</t>
  </si>
  <si>
    <t>SMNS 59705</t>
  </si>
  <si>
    <t>Hydrotherosaurus alexandrae</t>
  </si>
  <si>
    <t>UCMP 33912</t>
  </si>
  <si>
    <t>Kaiwhekea katiki</t>
  </si>
  <si>
    <t>OU 12649</t>
  </si>
  <si>
    <t>Cruickshank &amp; Fordyce, 2002</t>
  </si>
  <si>
    <t>Keichosaurus hui</t>
  </si>
  <si>
    <t>GXD 7613</t>
  </si>
  <si>
    <t>SMNS 81780</t>
  </si>
  <si>
    <t>IVPP V 7919</t>
  </si>
  <si>
    <t>Kronosaurus queenslandicus</t>
  </si>
  <si>
    <t>McHenry, 2009</t>
  </si>
  <si>
    <t>MJACM 1</t>
  </si>
  <si>
    <t>Hampe, 1992</t>
  </si>
  <si>
    <t>Tafel 4</t>
  </si>
  <si>
    <t>Lariosaurus balsami</t>
  </si>
  <si>
    <t>GPIT-RE-1887</t>
  </si>
  <si>
    <t>Lariosaurus valceresii</t>
  </si>
  <si>
    <t>P 500</t>
  </si>
  <si>
    <t>Tintori &amp; Renesto, 1990</t>
  </si>
  <si>
    <t>Plate 1</t>
  </si>
  <si>
    <t>Lariosaurus xingyiensis</t>
  </si>
  <si>
    <t>IVPP V11866</t>
  </si>
  <si>
    <t>Libonectes atlasense</t>
  </si>
  <si>
    <t>SMNK-PAL 3978</t>
  </si>
  <si>
    <t>Liopleurodon ferox</t>
  </si>
  <si>
    <t>GPIT-RE-3184</t>
  </si>
  <si>
    <t>Tarlo, 1960; O'Keefe, 2002</t>
  </si>
  <si>
    <t>Lindwurmia thiuda</t>
  </si>
  <si>
    <t>SMH Uncat</t>
  </si>
  <si>
    <t>Luskhan itilensis</t>
  </si>
  <si>
    <t>YKM 68344/1_262</t>
  </si>
  <si>
    <t>Fischer et al., 2017</t>
  </si>
  <si>
    <t>Macroplata tenuiceps</t>
  </si>
  <si>
    <t>NHMUK R5488</t>
  </si>
  <si>
    <t>Ketchum &amp; Smith, 2010</t>
  </si>
  <si>
    <t>Fig. 5; Table 1</t>
  </si>
  <si>
    <t>Manemergus anguirostris</t>
  </si>
  <si>
    <t>Buchy et al., 2005</t>
  </si>
  <si>
    <t>Mauriciosaurus fernandesi</t>
  </si>
  <si>
    <t>INAH CPC RFG 2544.P.F.1</t>
  </si>
  <si>
    <t>Frey et al., 2017</t>
  </si>
  <si>
    <t>Fig. 3</t>
  </si>
  <si>
    <t>Meyerasaurus victor</t>
  </si>
  <si>
    <t>Smith &amp; Vincent 2010; Fraas 1910</t>
  </si>
  <si>
    <t>Microcleidus brachypterygius</t>
  </si>
  <si>
    <t>Microcleididae</t>
  </si>
  <si>
    <t>GPIT-RE-9428 (ex GPIT/477/1/1)</t>
  </si>
  <si>
    <t>Microcleidus sp</t>
  </si>
  <si>
    <t>SMNS 51945</t>
  </si>
  <si>
    <t>Microcleidus homalospondylus</t>
  </si>
  <si>
    <t>NHMUK 36184</t>
  </si>
  <si>
    <t>Watson, 1909; Benson et al., 2012</t>
  </si>
  <si>
    <t>Microcleidus tournemirensis</t>
  </si>
  <si>
    <t>MMM J. T. 86-100</t>
  </si>
  <si>
    <t>Morenosaurus stocki</t>
  </si>
  <si>
    <t>LACM/CIT 2802</t>
  </si>
  <si>
    <t>Welles, 1952</t>
  </si>
  <si>
    <t>Muraenosaurus leedsii</t>
  </si>
  <si>
    <t>LEICT G18.1996</t>
  </si>
  <si>
    <t>O'Keefe 2002; Andrews 1909</t>
  </si>
  <si>
    <t>NHMUK R 2678</t>
  </si>
  <si>
    <t>Andrews, 1910 (M. dubrovensis)</t>
  </si>
  <si>
    <t>Neusticosaurus edwardsii</t>
  </si>
  <si>
    <t>PIMUZ T3460</t>
  </si>
  <si>
    <t>PIMUZ T3935</t>
  </si>
  <si>
    <t>Neusticosaurus peyeri</t>
  </si>
  <si>
    <t>PIMUZ T3393</t>
  </si>
  <si>
    <t>PIMUZ T3615</t>
  </si>
  <si>
    <t>Neusticosaurus pusillus</t>
  </si>
  <si>
    <t>PIMUZ T3934</t>
  </si>
  <si>
    <t>GPIT 1241</t>
  </si>
  <si>
    <t>Nichollssaura borealis</t>
  </si>
  <si>
    <t>TMP 94.122.01</t>
  </si>
  <si>
    <t>Nothosaurus giganteus</t>
  </si>
  <si>
    <t>PIMUZ T4829</t>
  </si>
  <si>
    <t xml:space="preserve">Rieppel, 1996; Personal observation </t>
  </si>
  <si>
    <t>Nothosaurus marchicus</t>
  </si>
  <si>
    <t>MB R 27</t>
  </si>
  <si>
    <t>Klein et al., 2015; Personal observation</t>
  </si>
  <si>
    <t>Nothosaurus youngi</t>
  </si>
  <si>
    <t>WS-30-R24</t>
  </si>
  <si>
    <t>Ji et al., 2014</t>
  </si>
  <si>
    <t>Panzhousaurus rotundirostris</t>
  </si>
  <si>
    <t>GMPKU-P-1059</t>
  </si>
  <si>
    <t>Jiang et al., 2018</t>
  </si>
  <si>
    <t>Paraplacodus broilii</t>
  </si>
  <si>
    <t>PIMUZ T4755</t>
  </si>
  <si>
    <t>Peloneustes philarchus</t>
  </si>
  <si>
    <t>GPIT-RE-3182</t>
  </si>
  <si>
    <t>Placodus gigas</t>
  </si>
  <si>
    <t>GPIT cast of SMF R1035</t>
  </si>
  <si>
    <t>Placodus inexpectatus</t>
  </si>
  <si>
    <t>GMPKU-P-1054</t>
  </si>
  <si>
    <t>Jiang et al., 2008a</t>
  </si>
  <si>
    <t>Plesiopterys wildi</t>
  </si>
  <si>
    <t>SMNS 16812</t>
  </si>
  <si>
    <t>Plesiosauridae</t>
  </si>
  <si>
    <t>NHMUK  22656</t>
  </si>
  <si>
    <t>NHMUK  R1313</t>
  </si>
  <si>
    <t xml:space="preserve">NMW Uncat. </t>
  </si>
  <si>
    <t>O'Keefe &amp; Chiappe, 2011</t>
  </si>
  <si>
    <t>Psephochelys polyosteoderma</t>
  </si>
  <si>
    <t>YGMR TR00005</t>
  </si>
  <si>
    <t>Xiaofeng et al., 2008</t>
  </si>
  <si>
    <t>Fig. 15</t>
  </si>
  <si>
    <t>EBGL 009</t>
  </si>
  <si>
    <t>Psephoderma alpinum</t>
  </si>
  <si>
    <t>MCSNM V527</t>
  </si>
  <si>
    <t>ST82003</t>
  </si>
  <si>
    <t>Renesto &amp; Tintori, 1995</t>
  </si>
  <si>
    <t>Qianxisaurus chajiangensis</t>
  </si>
  <si>
    <t>NMNS KIKO-F044630</t>
  </si>
  <si>
    <t>Cheng et al., 2012</t>
  </si>
  <si>
    <t>WM 851.S</t>
  </si>
  <si>
    <t>Watson, 1910; Vincent &amp; Smith, 2009</t>
  </si>
  <si>
    <t>Sachicasaurus vitae</t>
  </si>
  <si>
    <t>MP111209-1 </t>
  </si>
  <si>
    <t>Paramo-Fonseca, 2018</t>
  </si>
  <si>
    <t>Seelyosaurus guilelmiimperatoris</t>
  </si>
  <si>
    <t>SMNS 51015</t>
  </si>
  <si>
    <t>Serpianosaurus mirigiolensis</t>
  </si>
  <si>
    <t>BES SC 1280</t>
  </si>
  <si>
    <t>PIMUZ T3931</t>
  </si>
  <si>
    <t>Sinocyamodus xinpuensis</t>
  </si>
  <si>
    <t>IVPP V17051</t>
  </si>
  <si>
    <t>Wang et al., 2018</t>
  </si>
  <si>
    <t>Styxosaurus sp</t>
  </si>
  <si>
    <t>SDSM 451</t>
  </si>
  <si>
    <t>Thalassiodracon hawkinsi</t>
  </si>
  <si>
    <t>NHMUK 2020</t>
  </si>
  <si>
    <t>Thalassomedon haningtoni</t>
  </si>
  <si>
    <t>DMNH 1588</t>
  </si>
  <si>
    <t>Trinacromerum bentonianum</t>
  </si>
  <si>
    <t>SM 3025</t>
  </si>
  <si>
    <t>Thurmond, 1968</t>
  </si>
  <si>
    <t>Wangosaurus brevirostris</t>
  </si>
  <si>
    <t>GMPKU-P-1529</t>
  </si>
  <si>
    <t>Ma et al., 2015</t>
  </si>
  <si>
    <t>Wumengosaurus delicatomandibularis</t>
  </si>
  <si>
    <t>GMPKU-P-1210</t>
  </si>
  <si>
    <t>IVPP V15314</t>
  </si>
  <si>
    <t>Wu et al. 2011</t>
  </si>
  <si>
    <t>Yunguisaurus liae</t>
  </si>
  <si>
    <t>NMNS 004529-F003862b</t>
  </si>
  <si>
    <t>ZMNH M8738</t>
  </si>
  <si>
    <t>Sato et al., 2013</t>
  </si>
  <si>
    <t>Image source</t>
  </si>
  <si>
    <t>Bristol cast of NHMUK 2018</t>
  </si>
  <si>
    <t>NeckThickness-sensit test</t>
  </si>
  <si>
    <t>Sauropterygian Neck-Trunk</t>
  </si>
  <si>
    <t>Calculations for the drag per unit of volume and drag-related cost of transport for an array of plesiosaurs, ichthyosaurs and modern cetaceans scaled at the same body volume, compared at the same speed</t>
  </si>
  <si>
    <t>Calculations for the drag coefficient and the drag per unit of trunk volume in hypothetical models of plesiosaurs with varying neck lengths, compared at the same speed</t>
  </si>
  <si>
    <t>Calculations for the drag coefficient and the drag per unit of trunk volume in hypothetical models of a plesiosaur with varying neck thickness, compared at the same speed</t>
  </si>
  <si>
    <t>Neck ratio</t>
  </si>
  <si>
    <t>Dataset of trunk lengths, neck lengths and neck ratio (proportion of neck to trunk) for sauropterygians</t>
  </si>
  <si>
    <t>References</t>
  </si>
  <si>
    <t>List of references for dataset of trunk and neck lengths (number 7)</t>
  </si>
  <si>
    <t>LIFE-SIZE SCALE, SAME VELOCITY</t>
  </si>
  <si>
    <t xml:space="preserve">Stenopterygius </t>
  </si>
  <si>
    <r>
      <t>C</t>
    </r>
    <r>
      <rPr>
        <b/>
        <vertAlign val="subscript"/>
        <sz val="11"/>
        <color rgb="FF000000"/>
        <rFont val="Arial"/>
        <family val="2"/>
      </rPr>
      <t>p</t>
    </r>
    <r>
      <rPr>
        <b/>
        <sz val="11"/>
        <color rgb="FF000000"/>
        <rFont val="Arial"/>
        <family val="2"/>
      </rPr>
      <t xml:space="preserve"> relative to Tursiops</t>
    </r>
  </si>
  <si>
    <r>
      <t>C</t>
    </r>
    <r>
      <rPr>
        <b/>
        <vertAlign val="subscript"/>
        <sz val="11"/>
        <color rgb="FF000000"/>
        <rFont val="Arial"/>
        <family val="2"/>
      </rPr>
      <t>f</t>
    </r>
    <r>
      <rPr>
        <b/>
        <sz val="11"/>
        <color rgb="FF000000"/>
        <rFont val="Arial"/>
        <family val="2"/>
      </rPr>
      <t xml:space="preserve"> relative to Tursiops</t>
    </r>
  </si>
  <si>
    <t>Derived plesiosaurs</t>
  </si>
  <si>
    <t>Short-necked plesiosaurs</t>
  </si>
  <si>
    <t>Long-necked plesiosaurs</t>
  </si>
  <si>
    <t>Parvipelvian ichthyosaurs</t>
  </si>
  <si>
    <t>Modern cetaceans</t>
  </si>
  <si>
    <r>
      <t>% increase in C</t>
    </r>
    <r>
      <rPr>
        <b/>
        <vertAlign val="subscript"/>
        <sz val="11"/>
        <color rgb="FF000000"/>
        <rFont val="Arial"/>
        <family val="2"/>
      </rPr>
      <t>f</t>
    </r>
    <r>
      <rPr>
        <b/>
        <sz val="11"/>
        <color rgb="FF000000"/>
        <rFont val="Arial"/>
        <family val="2"/>
      </rPr>
      <t xml:space="preserve"> relative to model with no limbs</t>
    </r>
  </si>
  <si>
    <r>
      <t>% increase in C</t>
    </r>
    <r>
      <rPr>
        <b/>
        <vertAlign val="subscript"/>
        <sz val="11"/>
        <color rgb="FF000000"/>
        <rFont val="Arial"/>
        <family val="2"/>
      </rPr>
      <t>p</t>
    </r>
    <r>
      <rPr>
        <b/>
        <sz val="11"/>
        <color rgb="FF000000"/>
        <rFont val="Arial"/>
        <family val="2"/>
      </rPr>
      <t xml:space="preserve"> relative to model with no limbs</t>
    </r>
  </si>
  <si>
    <r>
      <t>% of C</t>
    </r>
    <r>
      <rPr>
        <b/>
        <vertAlign val="subscript"/>
        <sz val="11"/>
        <color rgb="FF000000"/>
        <rFont val="Arial"/>
        <family val="2"/>
      </rPr>
      <t>d</t>
    </r>
    <r>
      <rPr>
        <b/>
        <sz val="11"/>
        <color rgb="FF000000"/>
        <rFont val="Arial"/>
        <family val="2"/>
      </rPr>
      <t xml:space="preserve"> contributed by limbs</t>
    </r>
  </si>
  <si>
    <t>Per individual taxon</t>
  </si>
  <si>
    <t>Average per group</t>
  </si>
  <si>
    <t>Average</t>
  </si>
  <si>
    <t>COMPARATIVE TABLE PER GROUP</t>
  </si>
  <si>
    <r>
      <t>Drag power (P</t>
    </r>
    <r>
      <rPr>
        <b/>
        <vertAlign val="subscript"/>
        <sz val="12"/>
        <color theme="1"/>
        <rFont val="Calibri (Body)"/>
      </rPr>
      <t>drag</t>
    </r>
    <r>
      <rPr>
        <b/>
        <sz val="12"/>
        <color theme="1"/>
        <rFont val="Calibri (Body)"/>
      </rPr>
      <t>)</t>
    </r>
  </si>
  <si>
    <t xml:space="preserve">Relative </t>
  </si>
  <si>
    <t>Absolute (J/ m)</t>
  </si>
  <si>
    <t>Upper limit calculation</t>
  </si>
  <si>
    <t>Lower limit calculation</t>
  </si>
  <si>
    <t>Wetted area/Volume</t>
  </si>
  <si>
    <t>% Surface area of fins to wetted area</t>
  </si>
  <si>
    <t>Fossil taxa</t>
  </si>
  <si>
    <t>Extant taxa</t>
  </si>
  <si>
    <t>SMNS 12478</t>
  </si>
  <si>
    <t>Reference / source</t>
  </si>
  <si>
    <t>Min</t>
  </si>
  <si>
    <t>Max</t>
  </si>
  <si>
    <t>Jefferson, 1994</t>
  </si>
  <si>
    <t>Orcinus orca</t>
  </si>
  <si>
    <t>Megaptera novaengliae</t>
  </si>
  <si>
    <t>Tursiops truncatus</t>
  </si>
  <si>
    <t>Heyning, 1988</t>
  </si>
  <si>
    <t>average various specimens</t>
  </si>
  <si>
    <t>Welles, 1943</t>
  </si>
  <si>
    <t>Storrs, 1997</t>
  </si>
  <si>
    <t>Storrs, 1997; O'Keefe 2002</t>
  </si>
  <si>
    <t>Schumacher &amp; Martin, 2015</t>
  </si>
  <si>
    <t>Otero, 2016</t>
  </si>
  <si>
    <t>Total length per taxon</t>
  </si>
  <si>
    <t>Dataset of total body lengths (from tip of the rostrum to end of the tail) of living and extinct taxa for use in simulations at life-size scale (3, 6)</t>
  </si>
  <si>
    <t>Life-size_Neck-trunk effect</t>
  </si>
  <si>
    <t>Otero, 2018</t>
  </si>
  <si>
    <t>Kubo, 2012</t>
  </si>
  <si>
    <t>Basal plesiosaurs</t>
  </si>
  <si>
    <t>Basal plesiosaurs vs. derived plesiosaurs</t>
  </si>
  <si>
    <t>Short-necked (pliosauromorph) vs. Long-necked (plesiosauromorph)</t>
  </si>
  <si>
    <t>Thalassophonean pliosaurs  vs. Elasmosauridae</t>
  </si>
  <si>
    <t>Significance</t>
  </si>
  <si>
    <t>NS</t>
  </si>
  <si>
    <t>t-test</t>
  </si>
  <si>
    <t>Derived plesiosaurs vs. Derived ichthyosaurs</t>
  </si>
  <si>
    <t>Derived plesiosaurs vs. Modern cetaceans</t>
  </si>
  <si>
    <t>Derived ichthyosaurs vs. Modern cetaceans</t>
  </si>
  <si>
    <t>***</t>
  </si>
  <si>
    <t>NMW uncat.</t>
  </si>
  <si>
    <t>Calculations for the drag coefficient, drag-related cost of transport and total drag power for an array of plesiosaurs, ichthyosaurs and modern cetaceans at their life-size dimensions, compared at the same speed</t>
  </si>
  <si>
    <t>Sachs et al., 2016</t>
  </si>
  <si>
    <t>Carpenter, 1996; O'Keefe, 2002</t>
  </si>
  <si>
    <t>Lin &amp; Rieppel, 2000; Xue et al., 2015</t>
  </si>
  <si>
    <t>Rieppel et al., 2003</t>
  </si>
  <si>
    <t>Vincent  &amp; Storrs, 2019</t>
  </si>
  <si>
    <t>SMNS 3861</t>
  </si>
  <si>
    <t>SMNS 51143</t>
  </si>
  <si>
    <t>SMNS 51147</t>
  </si>
  <si>
    <t>Sciau et al., 1990</t>
  </si>
  <si>
    <t>Druckenmiller &amp; Russell, 2008</t>
  </si>
  <si>
    <t>Cheng et al., 2006</t>
  </si>
  <si>
    <t>Jiang et al., 2008b</t>
  </si>
  <si>
    <r>
      <t xml:space="preserve">Andrews, C.W. (1910) A descriptive catalogue of the marine reptiles of the Oxford clay, Part I. </t>
    </r>
    <r>
      <rPr>
        <i/>
        <sz val="12"/>
        <color theme="1"/>
        <rFont val="Calibri"/>
        <family val="2"/>
        <scheme val="minor"/>
      </rPr>
      <t>British Museum of Natural History</t>
    </r>
    <r>
      <rPr>
        <sz val="12"/>
        <color theme="1"/>
        <rFont val="Calibri"/>
        <family val="2"/>
        <scheme val="minor"/>
      </rPr>
      <t>.</t>
    </r>
  </si>
  <si>
    <r>
      <t xml:space="preserve">Benson, R.B.J. &amp; Bowdler, T. (2014) Anatomy of </t>
    </r>
    <r>
      <rPr>
        <i/>
        <sz val="12"/>
        <color theme="1"/>
        <rFont val="Calibri"/>
        <family val="2"/>
        <scheme val="minor"/>
      </rPr>
      <t>Colymbosaurus megadeirus</t>
    </r>
    <r>
      <rPr>
        <sz val="12"/>
        <color theme="1"/>
        <rFont val="Calibri"/>
        <family val="2"/>
        <scheme val="minor"/>
      </rPr>
      <t xml:space="preserve"> (Reptilia, Plesiosauria) from the Kimmeridge Clay Formation of the U.K., and high diversity among Late Jurassic plesiosauroids. </t>
    </r>
    <r>
      <rPr>
        <i/>
        <sz val="12"/>
        <color theme="1"/>
        <rFont val="Calibri"/>
        <family val="2"/>
        <scheme val="minor"/>
      </rPr>
      <t>Journal of Vertebrate Paleontology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34</t>
    </r>
    <r>
      <rPr>
        <sz val="12"/>
        <color theme="1"/>
        <rFont val="Calibri"/>
        <family val="2"/>
        <scheme val="minor"/>
      </rPr>
      <t>, 1053–1071.</t>
    </r>
  </si>
  <si>
    <r>
      <t xml:space="preserve">Benson, R.B.J., Evans, M. &amp; Druckenmiller, P.S. (2012) High Diversity, Low Disparity and Small Body Size in Plesiosaurs (Reptilia, Sauropterygia) from the Triassic–Jurassic Boundary. </t>
    </r>
    <r>
      <rPr>
        <i/>
        <sz val="12"/>
        <color theme="1"/>
        <rFont val="Calibri"/>
        <family val="2"/>
        <scheme val="minor"/>
      </rPr>
      <t>PLoS ONE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7</t>
    </r>
    <r>
      <rPr>
        <sz val="12"/>
        <color theme="1"/>
        <rFont val="Calibri"/>
        <family val="2"/>
        <scheme val="minor"/>
      </rPr>
      <t>, e31838.</t>
    </r>
  </si>
  <si>
    <r>
      <t xml:space="preserve">Benson, R.B.J., Ketchum, H.F., Noe, L.F. &amp; Gómez-Pérez, M. (2011) New information on </t>
    </r>
    <r>
      <rPr>
        <i/>
        <sz val="12"/>
        <color theme="1"/>
        <rFont val="Calibri"/>
        <family val="2"/>
        <scheme val="minor"/>
      </rPr>
      <t>Hauffiosaurus</t>
    </r>
    <r>
      <rPr>
        <sz val="12"/>
        <color theme="1"/>
        <rFont val="Calibri"/>
        <family val="2"/>
        <scheme val="minor"/>
      </rPr>
      <t xml:space="preserve"> (Reptilia, Plesiosauria) based on a new species from the Alum Shale Member (Lower Toarcian: Lower Jurassic) of Yorkshire, UK. </t>
    </r>
    <r>
      <rPr>
        <i/>
        <sz val="12"/>
        <color theme="1"/>
        <rFont val="Calibri"/>
        <family val="2"/>
        <scheme val="minor"/>
      </rPr>
      <t>Palaeontology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54</t>
    </r>
    <r>
      <rPr>
        <sz val="12"/>
        <color theme="1"/>
        <rFont val="Calibri"/>
        <family val="2"/>
        <scheme val="minor"/>
      </rPr>
      <t>, 547–571.</t>
    </r>
  </si>
  <si>
    <r>
      <t xml:space="preserve">Buchy, M.C., Métayer, F. &amp; Frey, E. (2005) Osteology of </t>
    </r>
    <r>
      <rPr>
        <i/>
        <sz val="12"/>
        <color theme="1"/>
        <rFont val="Calibri"/>
        <family val="2"/>
        <scheme val="minor"/>
      </rPr>
      <t>Manemergus anguirostris</t>
    </r>
    <r>
      <rPr>
        <sz val="12"/>
        <color theme="1"/>
        <rFont val="Calibri"/>
        <family val="2"/>
        <scheme val="minor"/>
      </rPr>
      <t xml:space="preserve"> n.gen.et sp.,a new plesiosaur (Reptilia,Sauropterygia) from the Upper Cretaceous of Morocco. </t>
    </r>
    <r>
      <rPr>
        <i/>
        <sz val="12"/>
        <color theme="1"/>
        <rFont val="Calibri"/>
        <family val="2"/>
        <scheme val="minor"/>
      </rPr>
      <t>Palaeontographica Abteilung A</t>
    </r>
    <r>
      <rPr>
        <sz val="12"/>
        <color theme="1"/>
        <rFont val="Calibri"/>
        <family val="2"/>
        <scheme val="minor"/>
      </rPr>
      <t>, 97–120. Schweizerbart’sche Verlagsbuchhandlung.</t>
    </r>
  </si>
  <si>
    <r>
      <t xml:space="preserve">Carpenter, K. (1996) A review of short-necked plesiosaurs from the Cretaceous of the Western Interior, North America. </t>
    </r>
    <r>
      <rPr>
        <i/>
        <sz val="12"/>
        <color theme="1"/>
        <rFont val="Calibri"/>
        <family val="2"/>
        <scheme val="minor"/>
      </rPr>
      <t>Neues Jahrbuch für Geologie und Paläontologie - Abhandlungen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201</t>
    </r>
    <r>
      <rPr>
        <sz val="12"/>
        <color theme="1"/>
        <rFont val="Calibri"/>
        <family val="2"/>
        <scheme val="minor"/>
      </rPr>
      <t>, 259–287.</t>
    </r>
  </si>
  <si>
    <r>
      <t xml:space="preserve">Cheng, Y.-N., Sato, T., Wu, X.-C. &amp; Li, C. (2006) First complete pistosauroid from the Triassic of China. </t>
    </r>
    <r>
      <rPr>
        <i/>
        <sz val="12"/>
        <color theme="1"/>
        <rFont val="Calibri"/>
        <family val="2"/>
        <scheme val="minor"/>
      </rPr>
      <t>Journal of Vertebrate Paleontology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26</t>
    </r>
    <r>
      <rPr>
        <sz val="12"/>
        <color theme="1"/>
        <rFont val="Calibri"/>
        <family val="2"/>
        <scheme val="minor"/>
      </rPr>
      <t>, 501–504.</t>
    </r>
  </si>
  <si>
    <r>
      <t xml:space="preserve">Cheng, Y.-N., Wu, X.-C., Sato, T. &amp; Shan, H.-Y. (2012) A new eosauropterygian (Diapsida, Sauropterygia) from the Triassic of China. </t>
    </r>
    <r>
      <rPr>
        <i/>
        <sz val="12"/>
        <color theme="1"/>
        <rFont val="Calibri"/>
        <family val="2"/>
        <scheme val="minor"/>
      </rPr>
      <t>Journal of Vertebrate Paleontology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32</t>
    </r>
    <r>
      <rPr>
        <sz val="12"/>
        <color theme="1"/>
        <rFont val="Calibri"/>
        <family val="2"/>
        <scheme val="minor"/>
      </rPr>
      <t>, 1335–1349.</t>
    </r>
  </si>
  <si>
    <r>
      <t xml:space="preserve">Cruickshank, A.R.I. &amp; Fordyce, R.E. (2002) A New Marine Reptile (Sauropterygia) from New Zealand: Further Evidence for A Late Cretaceous Austral Radiation of Cryptoclidid Plesiosaurs. </t>
    </r>
    <r>
      <rPr>
        <i/>
        <sz val="12"/>
        <color theme="1"/>
        <rFont val="Calibri"/>
        <family val="2"/>
        <scheme val="minor"/>
      </rPr>
      <t>Palaeontology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45</t>
    </r>
    <r>
      <rPr>
        <sz val="12"/>
        <color theme="1"/>
        <rFont val="Calibri"/>
        <family val="2"/>
        <scheme val="minor"/>
      </rPr>
      <t>, 557–575.</t>
    </r>
  </si>
  <si>
    <r>
      <t xml:space="preserve">Dalla Vecchia, F.M. (2006) A new sauropterygian reptile with plesiosaurian affinity from the Late Triassic of Italy. </t>
    </r>
    <r>
      <rPr>
        <i/>
        <sz val="12"/>
        <color theme="1"/>
        <rFont val="Calibri"/>
        <family val="2"/>
        <scheme val="minor"/>
      </rPr>
      <t>Rivista Italiana di Paleontologia e Stratigrafia (Research In Paleontology and Stratigraphy)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112</t>
    </r>
    <r>
      <rPr>
        <sz val="12"/>
        <color theme="1"/>
        <rFont val="Calibri"/>
        <family val="2"/>
        <scheme val="minor"/>
      </rPr>
      <t>.</t>
    </r>
  </si>
  <si>
    <r>
      <t xml:space="preserve">Diedrich, C.G. (2013) Review of the middle Triassic ‘sea cow’ </t>
    </r>
    <r>
      <rPr>
        <i/>
        <sz val="12"/>
        <color theme="1"/>
        <rFont val="Calibri"/>
        <family val="2"/>
        <scheme val="minor"/>
      </rPr>
      <t>Placodus gigas</t>
    </r>
    <r>
      <rPr>
        <sz val="12"/>
        <color theme="1"/>
        <rFont val="Calibri"/>
        <family val="2"/>
        <scheme val="minor"/>
      </rPr>
      <t xml:space="preserve"> (Reptilia) in Pangea’s shallow marine macroalgae meadows of Europe. </t>
    </r>
    <r>
      <rPr>
        <i/>
        <sz val="12"/>
        <color theme="1"/>
        <rFont val="Calibri"/>
        <family val="2"/>
        <scheme val="minor"/>
      </rPr>
      <t>The Triassic System: New Developments in Stratigraphy and Paleontology: Bulletin 61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61</t>
    </r>
    <r>
      <rPr>
        <sz val="12"/>
        <color theme="1"/>
        <rFont val="Calibri"/>
        <family val="2"/>
        <scheme val="minor"/>
      </rPr>
      <t>, 104.</t>
    </r>
  </si>
  <si>
    <r>
      <t xml:space="preserve">Druckenmiller, P.S. &amp; Russell, A.P. (2008) Skeletal anatomy of an exceptionally complete specimen of a new genus of plesiosaur from the Early Cretaceous (Early Albian) of northeastern Alberta, Canada. </t>
    </r>
    <r>
      <rPr>
        <i/>
        <sz val="12"/>
        <color theme="1"/>
        <rFont val="Calibri"/>
        <family val="2"/>
        <scheme val="minor"/>
      </rPr>
      <t>Palaeontographica Abteilung 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283</t>
    </r>
    <r>
      <rPr>
        <sz val="12"/>
        <color theme="1"/>
        <rFont val="Calibri"/>
        <family val="2"/>
        <scheme val="minor"/>
      </rPr>
      <t>, 1–33.</t>
    </r>
  </si>
  <si>
    <r>
      <t xml:space="preserve">Fischer, V., Benson, R.B.J., Zverkov, N.G., Soul, L.C., Arkhangelsky, M.S., Lambert, O., Stenshin, I.M., Uspensky, G.N. &amp; Druckenmiller, P.S. (2017) Plasticity and Convergence in the Evolution of Short-Necked Plesiosaurs. </t>
    </r>
    <r>
      <rPr>
        <i/>
        <sz val="12"/>
        <color theme="1"/>
        <rFont val="Calibri"/>
        <family val="2"/>
        <scheme val="minor"/>
      </rPr>
      <t>Current Biology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27</t>
    </r>
    <r>
      <rPr>
        <sz val="12"/>
        <color theme="1"/>
        <rFont val="Calibri"/>
        <family val="2"/>
        <scheme val="minor"/>
      </rPr>
      <t>, 1667-1676.e3.</t>
    </r>
  </si>
  <si>
    <r>
      <t xml:space="preserve">Frey, E., Mulder, E.W., Stinnesbeck, W., Rivera-Sylva, H.E., Padilla-Gutiérrez, J.M. &amp; González-González, A.H. (2017) A new polycotylid plesiosaur with extensive soft tissue preservation from the early Late Cretaceous of northeast Mexico. </t>
    </r>
    <r>
      <rPr>
        <i/>
        <sz val="12"/>
        <color theme="1"/>
        <rFont val="Calibri"/>
        <family val="2"/>
        <scheme val="minor"/>
      </rPr>
      <t>Boletín de la Sociedad Geológica Mexicana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69</t>
    </r>
    <r>
      <rPr>
        <sz val="12"/>
        <color theme="1"/>
        <rFont val="Calibri"/>
        <family val="2"/>
        <scheme val="minor"/>
      </rPr>
      <t>, 87–134.</t>
    </r>
  </si>
  <si>
    <r>
      <t xml:space="preserve">Grossman, F. (2007) The taxonomic and phylogenetic position of the Plesiosauroidea from the Lower Jurassic Posidonia Shale of South-West Germany. </t>
    </r>
    <r>
      <rPr>
        <i/>
        <sz val="12"/>
        <color theme="1"/>
        <rFont val="Calibri"/>
        <family val="2"/>
        <scheme val="minor"/>
      </rPr>
      <t>Palaeontology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50</t>
    </r>
    <r>
      <rPr>
        <sz val="12"/>
        <color theme="1"/>
        <rFont val="Calibri"/>
        <family val="2"/>
        <scheme val="minor"/>
      </rPr>
      <t>, 545–564.</t>
    </r>
  </si>
  <si>
    <r>
      <t xml:space="preserve">Hampe, O. (1992) Ein großwüchsiger Pliosauride (Reptilia: Plesiosauria) aus der Unterkreide (oberes Aptium) von Kolumbien. </t>
    </r>
    <r>
      <rPr>
        <i/>
        <sz val="12"/>
        <color theme="1"/>
        <rFont val="Calibri"/>
        <family val="2"/>
        <scheme val="minor"/>
      </rPr>
      <t>Courier Forsch. Inst. Senckenberg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145</t>
    </r>
    <r>
      <rPr>
        <sz val="12"/>
        <color theme="1"/>
        <rFont val="Calibri"/>
        <family val="2"/>
        <scheme val="minor"/>
      </rPr>
      <t>, 1–32.</t>
    </r>
  </si>
  <si>
    <r>
      <t xml:space="preserve">Hampe, O. (2005) Considerations on a </t>
    </r>
    <r>
      <rPr>
        <i/>
        <sz val="12"/>
        <color theme="1"/>
        <rFont val="Calibri"/>
        <family val="2"/>
        <scheme val="minor"/>
      </rPr>
      <t>Brachauchenius</t>
    </r>
    <r>
      <rPr>
        <sz val="12"/>
        <color theme="1"/>
        <rFont val="Calibri"/>
        <family val="2"/>
        <scheme val="minor"/>
      </rPr>
      <t xml:space="preserve"> skeleton (Pliosauroidea) from the lower Paja Formation (late Barremian) of Villa de Leyva area (Colombia). </t>
    </r>
    <r>
      <rPr>
        <i/>
        <sz val="12"/>
        <color theme="1"/>
        <rFont val="Calibri"/>
        <family val="2"/>
        <scheme val="minor"/>
      </rPr>
      <t>Mitteilungen aus dem Museum für Naturkunde in Berlin - Geowissenschaftliche Reihe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8</t>
    </r>
    <r>
      <rPr>
        <sz val="12"/>
        <color theme="1"/>
        <rFont val="Calibri"/>
        <family val="2"/>
        <scheme val="minor"/>
      </rPr>
      <t>, 37–51.</t>
    </r>
  </si>
  <si>
    <r>
      <t xml:space="preserve">Heyning, J.E. &amp; Dahlheim, M.E. (1988) Orcinus orca. </t>
    </r>
    <r>
      <rPr>
        <i/>
        <sz val="12"/>
        <color theme="1"/>
        <rFont val="Calibri"/>
        <family val="2"/>
        <scheme val="minor"/>
      </rPr>
      <t>Mammalian Species</t>
    </r>
    <r>
      <rPr>
        <sz val="12"/>
        <color theme="1"/>
        <rFont val="Calibri"/>
        <family val="2"/>
        <scheme val="minor"/>
      </rPr>
      <t>, 1–9.</t>
    </r>
  </si>
  <si>
    <r>
      <t xml:space="preserve">Jefferson, T.A., Webber, M.A. &amp; Pitman, R. (2015) </t>
    </r>
    <r>
      <rPr>
        <i/>
        <sz val="12"/>
        <color theme="1"/>
        <rFont val="Calibri"/>
        <family val="2"/>
        <scheme val="minor"/>
      </rPr>
      <t>Marine mammals of the world</t>
    </r>
    <r>
      <rPr>
        <sz val="12"/>
        <color theme="1"/>
        <rFont val="Calibri"/>
        <family val="2"/>
        <scheme val="minor"/>
      </rPr>
      <t>, 2nd edition. Academic Press.</t>
    </r>
  </si>
  <si>
    <r>
      <t xml:space="preserve">Ji, C., Jiang, D.-Y., Rieppel, O., Motani, R., Tintori, A. &amp; Sun, Z.-Y. (2014) A new specimen of </t>
    </r>
    <r>
      <rPr>
        <i/>
        <sz val="12"/>
        <color theme="1"/>
        <rFont val="Calibri"/>
        <family val="2"/>
        <scheme val="minor"/>
      </rPr>
      <t>Nothosaurus youngi</t>
    </r>
    <r>
      <rPr>
        <sz val="12"/>
        <color theme="1"/>
        <rFont val="Calibri"/>
        <family val="2"/>
        <scheme val="minor"/>
      </rPr>
      <t xml:space="preserve"> from the Middle Triassic of Guizhou, China. </t>
    </r>
    <r>
      <rPr>
        <i/>
        <sz val="12"/>
        <color theme="1"/>
        <rFont val="Calibri"/>
        <family val="2"/>
        <scheme val="minor"/>
      </rPr>
      <t>Journal of Vertebrate Paleontology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34</t>
    </r>
    <r>
      <rPr>
        <sz val="12"/>
        <color theme="1"/>
        <rFont val="Calibri"/>
        <family val="2"/>
        <scheme val="minor"/>
      </rPr>
      <t>, 465–470.</t>
    </r>
  </si>
  <si>
    <r>
      <t xml:space="preserve">Jiang, D.-Y., Motani, R., Hao, W.-C., Rieppel, O., Sun, Y.-L., Schmitz, L. &amp; Sun, Z.-Y. (2008) First record of Placodontoidea (Reptilia, Sauropterygia, Placodontia) from the Eastern Tethys. </t>
    </r>
    <r>
      <rPr>
        <i/>
        <sz val="12"/>
        <color theme="1"/>
        <rFont val="Calibri"/>
        <family val="2"/>
        <scheme val="minor"/>
      </rPr>
      <t>Journal of Vertebrate Paleontology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28</t>
    </r>
    <r>
      <rPr>
        <sz val="12"/>
        <color theme="1"/>
        <rFont val="Calibri"/>
        <family val="2"/>
        <scheme val="minor"/>
      </rPr>
      <t>, 904–908.</t>
    </r>
  </si>
  <si>
    <r>
      <t xml:space="preserve">Jiang, D., Rieppel, O., Motani, R., Hao, W.-C., Sun, Y.-L., Schmitz, L. &amp; Sun, Z.-Y. (2008) A New Middle Triassic Eosauropterygian (Reptilia, Sauropterygia) from Southwestern China. </t>
    </r>
    <r>
      <rPr>
        <i/>
        <sz val="12"/>
        <color theme="1"/>
        <rFont val="Calibri"/>
        <family val="2"/>
        <scheme val="minor"/>
      </rPr>
      <t>Journal of Vertebrate Paleontology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28</t>
    </r>
    <r>
      <rPr>
        <sz val="12"/>
        <color theme="1"/>
        <rFont val="Calibri"/>
        <family val="2"/>
        <scheme val="minor"/>
      </rPr>
      <t>.</t>
    </r>
  </si>
  <si>
    <r>
      <t xml:space="preserve">Jiang, D.-Y., Lin, W.-B., Rieppel, O., Motani, R. &amp; Sun, Z.-Y. (2018) A new Anisian (Middle Triassic) eosauropterygian (Reptilia, Sauropterygia) from Panzhou, Guizhou Province, China. </t>
    </r>
    <r>
      <rPr>
        <i/>
        <sz val="12"/>
        <color theme="1"/>
        <rFont val="Calibri"/>
        <family val="2"/>
        <scheme val="minor"/>
      </rPr>
      <t>Journal of Vertebrate Paleontology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38</t>
    </r>
    <r>
      <rPr>
        <sz val="12"/>
        <color theme="1"/>
        <rFont val="Calibri"/>
        <family val="2"/>
        <scheme val="minor"/>
      </rPr>
      <t>, (1)-(9).</t>
    </r>
  </si>
  <si>
    <r>
      <t xml:space="preserve">Ketchum, H.F. &amp; Smith, A.S. (2010) The anatomy and taxonomy of </t>
    </r>
    <r>
      <rPr>
        <i/>
        <sz val="12"/>
        <color theme="1"/>
        <rFont val="Calibri"/>
        <family val="2"/>
        <scheme val="minor"/>
      </rPr>
      <t>Macroplata tenuiceps</t>
    </r>
    <r>
      <rPr>
        <sz val="12"/>
        <color theme="1"/>
        <rFont val="Calibri"/>
        <family val="2"/>
        <scheme val="minor"/>
      </rPr>
      <t xml:space="preserve"> (Sauropterygia, Plesiosauria) from the Hettangian (Lower Jurassic) of Warwickshire, United Kingdom. </t>
    </r>
    <r>
      <rPr>
        <i/>
        <sz val="12"/>
        <color theme="1"/>
        <rFont val="Calibri"/>
        <family val="2"/>
        <scheme val="minor"/>
      </rPr>
      <t>Journal of Vertebrate Paleontology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30</t>
    </r>
    <r>
      <rPr>
        <sz val="12"/>
        <color theme="1"/>
        <rFont val="Calibri"/>
        <family val="2"/>
        <scheme val="minor"/>
      </rPr>
      <t>, 1069–1081.</t>
    </r>
  </si>
  <si>
    <r>
      <t xml:space="preserve">Klein, N., Voeten, D.F.A.E., Lankamp, J., Bleeker, R., Sichelschmidt, O.J., Liebrand, M., Nieweg, D.C. &amp; Martin Sander, P. (2015) Postcranial material of </t>
    </r>
    <r>
      <rPr>
        <i/>
        <sz val="12"/>
        <color theme="1"/>
        <rFont val="Calibri"/>
        <family val="2"/>
        <scheme val="minor"/>
      </rPr>
      <t>Nothosaurus marchicus</t>
    </r>
    <r>
      <rPr>
        <sz val="12"/>
        <color theme="1"/>
        <rFont val="Calibri"/>
        <family val="2"/>
        <scheme val="minor"/>
      </rPr>
      <t xml:space="preserve"> from the Lower Muschelkalk (Anisian) of Winterswijk, The Netherlands, with remarks on swimming styles and taphonomy. </t>
    </r>
    <r>
      <rPr>
        <i/>
        <sz val="12"/>
        <color theme="1"/>
        <rFont val="Calibri"/>
        <family val="2"/>
        <scheme val="minor"/>
      </rPr>
      <t>Paläontologische Zeitschrift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89</t>
    </r>
    <r>
      <rPr>
        <sz val="12"/>
        <color theme="1"/>
        <rFont val="Calibri"/>
        <family val="2"/>
        <scheme val="minor"/>
      </rPr>
      <t>, 961–981.</t>
    </r>
  </si>
  <si>
    <r>
      <t xml:space="preserve">Kubo, T., Mitchell, M.T. &amp; Henderson, D.M. (2012) </t>
    </r>
    <r>
      <rPr>
        <i/>
        <sz val="12"/>
        <color theme="1"/>
        <rFont val="Calibri"/>
        <family val="2"/>
        <scheme val="minor"/>
      </rPr>
      <t>Albertonectes vanderveldei</t>
    </r>
    <r>
      <rPr>
        <sz val="12"/>
        <color theme="1"/>
        <rFont val="Calibri"/>
        <family val="2"/>
        <scheme val="minor"/>
      </rPr>
      <t xml:space="preserve"> , a new elasmosaur (Reptilia, Sauropterygia) from the Upper Cretaceous of Alberta. </t>
    </r>
    <r>
      <rPr>
        <i/>
        <sz val="12"/>
        <color theme="1"/>
        <rFont val="Calibri"/>
        <family val="2"/>
        <scheme val="minor"/>
      </rPr>
      <t>Journal of Vertebrate Paleontology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32</t>
    </r>
    <r>
      <rPr>
        <sz val="12"/>
        <color theme="1"/>
        <rFont val="Calibri"/>
        <family val="2"/>
        <scheme val="minor"/>
      </rPr>
      <t>, 557–572.</t>
    </r>
  </si>
  <si>
    <r>
      <t xml:space="preserve">Liu, J., Rieppel, O., Jiang, D.-Y., Aitchison, J.C., Motani, R., Zhang, Q.-Y., Zhou, C.-Y. &amp; Sun, Y.-Y. (2011) A new pachypleurosaur (Reptilia: Sauropterygia) from the lower Middle Triassic of southwestern China and the phylogenetic relationships of Chinese pachypleurosaurs. </t>
    </r>
    <r>
      <rPr>
        <i/>
        <sz val="12"/>
        <color theme="1"/>
        <rFont val="Calibri"/>
        <family val="2"/>
        <scheme val="minor"/>
      </rPr>
      <t>Journal of Vertebrate Paleontology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31</t>
    </r>
    <r>
      <rPr>
        <sz val="12"/>
        <color theme="1"/>
        <rFont val="Calibri"/>
        <family val="2"/>
        <scheme val="minor"/>
      </rPr>
      <t>, 292–302.</t>
    </r>
  </si>
  <si>
    <r>
      <t xml:space="preserve">Ma, L.-T., Jiang, D.-Y., Rieppel, O., Motani, R. &amp; Tintori, A. (2015) A new pistosauroid (Reptilia, Sauropterygia) from the late Ladinian Xingyi marine reptile level, southwestern China. </t>
    </r>
    <r>
      <rPr>
        <i/>
        <sz val="12"/>
        <color theme="1"/>
        <rFont val="Calibri"/>
        <family val="2"/>
        <scheme val="minor"/>
      </rPr>
      <t>Journal of Vertebrate Paleontology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35</t>
    </r>
    <r>
      <rPr>
        <sz val="12"/>
        <color theme="1"/>
        <rFont val="Calibri"/>
        <family val="2"/>
        <scheme val="minor"/>
      </rPr>
      <t>, e881832.</t>
    </r>
  </si>
  <si>
    <t>McHenry, C.R. (2009) Devourer of gods, the palaeoecology of the Cretaceous pliosaur Kronosaurus queenslandicus. Newcastle.</t>
  </si>
  <si>
    <r>
      <t xml:space="preserve">O’Keefe, F.R. (2002) The evolution of plesiosaur and pliosaur morphotypes in the Plesiosauria (Reptilia: Sauropterygia). </t>
    </r>
    <r>
      <rPr>
        <i/>
        <sz val="12"/>
        <color theme="1"/>
        <rFont val="Calibri"/>
        <family val="2"/>
        <scheme val="minor"/>
      </rPr>
      <t>Paleobiology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28</t>
    </r>
    <r>
      <rPr>
        <sz val="12"/>
        <color theme="1"/>
        <rFont val="Calibri"/>
        <family val="2"/>
        <scheme val="minor"/>
      </rPr>
      <t>, 101–112.</t>
    </r>
  </si>
  <si>
    <r>
      <t xml:space="preserve">O’Keefe, F.R. (2004) Preliminary Description and Phylogenetic Position of a New Plesiosaur (Reptilia: Sauropterygia) from the Toarcian of Holzmaden, Germany. </t>
    </r>
    <r>
      <rPr>
        <i/>
        <sz val="12"/>
        <color theme="1"/>
        <rFont val="Calibri"/>
        <family val="2"/>
        <scheme val="minor"/>
      </rPr>
      <t>Journal of Paleontology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75</t>
    </r>
    <r>
      <rPr>
        <sz val="12"/>
        <color theme="1"/>
        <rFont val="Calibri"/>
        <family val="2"/>
        <scheme val="minor"/>
      </rPr>
      <t>, 973–988.</t>
    </r>
  </si>
  <si>
    <r>
      <t xml:space="preserve">O’Keefe, F.R. &amp; Chiappe, L.M. (2011) Viviparity and K-Selected Life History in a Mesozoic Marine Plesiosaur (Reptilia, Sauropterygia). </t>
    </r>
    <r>
      <rPr>
        <i/>
        <sz val="12"/>
        <color theme="1"/>
        <rFont val="Calibri"/>
        <family val="2"/>
        <scheme val="minor"/>
      </rPr>
      <t>Science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333</t>
    </r>
    <r>
      <rPr>
        <sz val="12"/>
        <color theme="1"/>
        <rFont val="Calibri"/>
        <family val="2"/>
        <scheme val="minor"/>
      </rPr>
      <t>, 870–873.</t>
    </r>
  </si>
  <si>
    <r>
      <t xml:space="preserve">Otero, R.A. (2016) Taxonomic reassessment of </t>
    </r>
    <r>
      <rPr>
        <i/>
        <sz val="12"/>
        <color theme="1"/>
        <rFont val="Calibri"/>
        <family val="2"/>
        <scheme val="minor"/>
      </rPr>
      <t>Hydralmosaurus</t>
    </r>
    <r>
      <rPr>
        <sz val="12"/>
        <color theme="1"/>
        <rFont val="Calibri"/>
        <family val="2"/>
        <scheme val="minor"/>
      </rPr>
      <t xml:space="preserve"> as </t>
    </r>
    <r>
      <rPr>
        <i/>
        <sz val="12"/>
        <color theme="1"/>
        <rFont val="Calibri"/>
        <family val="2"/>
        <scheme val="minor"/>
      </rPr>
      <t>Styxosaurus</t>
    </r>
    <r>
      <rPr>
        <sz val="12"/>
        <color theme="1"/>
        <rFont val="Calibri"/>
        <family val="2"/>
        <scheme val="minor"/>
      </rPr>
      <t xml:space="preserve"> : new insights on the elasmosaurid neck evolution throughout the Cretaceous. </t>
    </r>
    <r>
      <rPr>
        <i/>
        <sz val="12"/>
        <color theme="1"/>
        <rFont val="Calibri"/>
        <family val="2"/>
        <scheme val="minor"/>
      </rPr>
      <t>PeerJ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, e1777.</t>
    </r>
  </si>
  <si>
    <r>
      <t xml:space="preserve">Otero, R.A., Soto-Acuña, S. &amp; O’keefe, F.R. (2018) Osteology of </t>
    </r>
    <r>
      <rPr>
        <i/>
        <sz val="12"/>
        <color theme="1"/>
        <rFont val="Calibri"/>
        <family val="2"/>
        <scheme val="minor"/>
      </rPr>
      <t>Aristonectes quiriquinensis</t>
    </r>
    <r>
      <rPr>
        <sz val="12"/>
        <color theme="1"/>
        <rFont val="Calibri"/>
        <family val="2"/>
        <scheme val="minor"/>
      </rPr>
      <t xml:space="preserve"> (Elasmosauridae, Aristonectinae) from the upper Maastrichtian of central Chile. </t>
    </r>
    <r>
      <rPr>
        <i/>
        <sz val="12"/>
        <color theme="1"/>
        <rFont val="Calibri"/>
        <family val="2"/>
        <scheme val="minor"/>
      </rPr>
      <t>Journal of Vertebrate Paleontology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38</t>
    </r>
    <r>
      <rPr>
        <sz val="12"/>
        <color theme="1"/>
        <rFont val="Calibri"/>
        <family val="2"/>
        <scheme val="minor"/>
      </rPr>
      <t>, e1408638.</t>
    </r>
  </si>
  <si>
    <r>
      <t xml:space="preserve">Páramo-Fonseca, M.E., Benavides-Cabra, C.D. &amp; Gutiérrez, I.E. (2018) A new large Pliosaurid from the Barremian (Lower Cretaceous) of Sáchica, Boyacá, Colombia. </t>
    </r>
    <r>
      <rPr>
        <i/>
        <sz val="12"/>
        <color theme="1"/>
        <rFont val="Calibri"/>
        <family val="2"/>
        <scheme val="minor"/>
      </rPr>
      <t>Earth Sciences Research Journal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22</t>
    </r>
    <r>
      <rPr>
        <sz val="12"/>
        <color theme="1"/>
        <rFont val="Calibri"/>
        <family val="2"/>
        <scheme val="minor"/>
      </rPr>
      <t>, 223–238.</t>
    </r>
  </si>
  <si>
    <r>
      <t xml:space="preserve">Páramo-Fonseca, M.E., Gómez-Pérez, M., Noé, L.F. &amp; Etayo-Serna, F. (2016) </t>
    </r>
    <r>
      <rPr>
        <i/>
        <sz val="12"/>
        <color theme="1"/>
        <rFont val="Calibri"/>
        <family val="2"/>
        <scheme val="minor"/>
      </rPr>
      <t>Stenorhynchosaurus munozi</t>
    </r>
    <r>
      <rPr>
        <sz val="12"/>
        <color theme="1"/>
        <rFont val="Calibri"/>
        <family val="2"/>
        <scheme val="minor"/>
      </rPr>
      <t xml:space="preserve">, gen. et sp. nov. a new pliosaurid from the Upper Barremian (Lower Cretaceous) of Villa de Leiva, Colombia, South America. </t>
    </r>
    <r>
      <rPr>
        <i/>
        <sz val="12"/>
        <color theme="1"/>
        <rFont val="Calibri"/>
        <family val="2"/>
        <scheme val="minor"/>
      </rPr>
      <t>Revista de la Academia Colombiana de Ciencias Exactas, Físicas y Naturales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40</t>
    </r>
    <r>
      <rPr>
        <sz val="12"/>
        <color theme="1"/>
        <rFont val="Calibri"/>
        <family val="2"/>
        <scheme val="minor"/>
      </rPr>
      <t>, 84.</t>
    </r>
  </si>
  <si>
    <r>
      <t xml:space="preserve">Renesto, S. &amp; Tintori, A. (1995) Functional morphology and mode of life of the late Triassic placodont Psephoderma alpinum Meyer from the Calcare di Zorzino (Lombardy, Italy). </t>
    </r>
    <r>
      <rPr>
        <i/>
        <sz val="12"/>
        <color theme="1"/>
        <rFont val="Calibri"/>
        <family val="2"/>
        <scheme val="minor"/>
      </rPr>
      <t>Rivista Italiana di Paleontologia e Stratigrafia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101</t>
    </r>
    <r>
      <rPr>
        <sz val="12"/>
        <color theme="1"/>
        <rFont val="Calibri"/>
        <family val="2"/>
        <scheme val="minor"/>
      </rPr>
      <t>, 37–48.</t>
    </r>
  </si>
  <si>
    <r>
      <t xml:space="preserve">Rieppel, O. (1998) The Status of the Sauropterygian reptile genera </t>
    </r>
    <r>
      <rPr>
        <i/>
        <sz val="12"/>
        <color theme="1"/>
        <rFont val="Calibri"/>
        <family val="2"/>
        <scheme val="minor"/>
      </rPr>
      <t>Ceresiosaurus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Lariosaurus</t>
    </r>
    <r>
      <rPr>
        <sz val="12"/>
        <color theme="1"/>
        <rFont val="Calibri"/>
        <family val="2"/>
        <scheme val="minor"/>
      </rPr>
      <t xml:space="preserve">, and </t>
    </r>
    <r>
      <rPr>
        <i/>
        <sz val="12"/>
        <color theme="1"/>
        <rFont val="Calibri"/>
        <family val="2"/>
        <scheme val="minor"/>
      </rPr>
      <t>Silvestrosaurus</t>
    </r>
    <r>
      <rPr>
        <sz val="12"/>
        <color theme="1"/>
        <rFont val="Calibri"/>
        <family val="2"/>
        <scheme val="minor"/>
      </rPr>
      <t xml:space="preserve"> from the Middle Triassic of Europe. </t>
    </r>
    <r>
      <rPr>
        <i/>
        <sz val="12"/>
        <color theme="1"/>
        <rFont val="Calibri"/>
        <family val="2"/>
        <scheme val="minor"/>
      </rPr>
      <t>Fieldiana Geology New Series</t>
    </r>
    <r>
      <rPr>
        <sz val="12"/>
        <color theme="1"/>
        <rFont val="Calibri"/>
        <family val="2"/>
        <scheme val="minor"/>
      </rPr>
      <t>.</t>
    </r>
  </si>
  <si>
    <r>
      <t xml:space="preserve">Rieppel, O. (2000) </t>
    </r>
    <r>
      <rPr>
        <i/>
        <sz val="12"/>
        <color theme="1"/>
        <rFont val="Calibri"/>
        <family val="2"/>
        <scheme val="minor"/>
      </rPr>
      <t>Paraplacodus</t>
    </r>
    <r>
      <rPr>
        <sz val="12"/>
        <color theme="1"/>
        <rFont val="Calibri"/>
        <family val="2"/>
        <scheme val="minor"/>
      </rPr>
      <t xml:space="preserve"> and the phylogeny of the Placodontia (Reptilia: Sauropterygia). </t>
    </r>
    <r>
      <rPr>
        <i/>
        <sz val="12"/>
        <color theme="1"/>
        <rFont val="Calibri"/>
        <family val="2"/>
        <scheme val="minor"/>
      </rPr>
      <t>Zoological Journal of the Linnean Society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130</t>
    </r>
    <r>
      <rPr>
        <sz val="12"/>
        <color theme="1"/>
        <rFont val="Calibri"/>
        <family val="2"/>
        <scheme val="minor"/>
      </rPr>
      <t>, 635–659.</t>
    </r>
  </si>
  <si>
    <r>
      <t xml:space="preserve">Rieppel, O. &amp; Wild, R. (1996) A revision of the genus </t>
    </r>
    <r>
      <rPr>
        <i/>
        <sz val="12"/>
        <color theme="1"/>
        <rFont val="Calibri"/>
        <family val="2"/>
        <scheme val="minor"/>
      </rPr>
      <t>Nothosaurus</t>
    </r>
    <r>
      <rPr>
        <sz val="12"/>
        <color theme="1"/>
        <rFont val="Calibri"/>
        <family val="2"/>
        <scheme val="minor"/>
      </rPr>
      <t xml:space="preserve"> (Reptilia: Sauropterygia) from the Germanic Triassic, with comments on the status of Conchiosaurus clavatus. </t>
    </r>
    <r>
      <rPr>
        <i/>
        <sz val="12"/>
        <color theme="1"/>
        <rFont val="Calibri"/>
        <family val="2"/>
        <scheme val="minor"/>
      </rPr>
      <t>Fieldiana Geology New Series</t>
    </r>
    <r>
      <rPr>
        <sz val="12"/>
        <color theme="1"/>
        <rFont val="Calibri"/>
        <family val="2"/>
        <scheme val="minor"/>
      </rPr>
      <t>, 1–82.</t>
    </r>
  </si>
  <si>
    <r>
      <t xml:space="preserve">Rieppel, O., Jinling, L. &amp; Jun, L. (2003) </t>
    </r>
    <r>
      <rPr>
        <i/>
        <sz val="12"/>
        <color theme="1"/>
        <rFont val="Calibri"/>
        <family val="2"/>
        <scheme val="minor"/>
      </rPr>
      <t>Lariosaurus xingyiensis</t>
    </r>
    <r>
      <rPr>
        <sz val="12"/>
        <color theme="1"/>
        <rFont val="Calibri"/>
        <family val="2"/>
        <scheme val="minor"/>
      </rPr>
      <t xml:space="preserve"> (Reptilia: Sauropterygia) from the Triassic of China. </t>
    </r>
    <r>
      <rPr>
        <i/>
        <sz val="12"/>
        <color theme="1"/>
        <rFont val="Calibri"/>
        <family val="2"/>
        <scheme val="minor"/>
      </rPr>
      <t>Canadian Journal of Earth Sciences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40</t>
    </r>
    <r>
      <rPr>
        <sz val="12"/>
        <color theme="1"/>
        <rFont val="Calibri"/>
        <family val="2"/>
        <scheme val="minor"/>
      </rPr>
      <t>, 621–634.</t>
    </r>
  </si>
  <si>
    <r>
      <t xml:space="preserve">Sachs, S. (2005) Redescription of </t>
    </r>
    <r>
      <rPr>
        <i/>
        <sz val="12"/>
        <color theme="1"/>
        <rFont val="Calibri"/>
        <family val="2"/>
        <scheme val="minor"/>
      </rPr>
      <t>Elasmosaurus platyurus</t>
    </r>
    <r>
      <rPr>
        <sz val="12"/>
        <color theme="1"/>
        <rFont val="Calibri"/>
        <family val="2"/>
        <scheme val="minor"/>
      </rPr>
      <t xml:space="preserve"> Cope 1868 (Plesiosauria: Elasmosauridae) from the Upper Cretaceous (Lower Campanian) of Kansas, U.S.A. </t>
    </r>
    <r>
      <rPr>
        <i/>
        <sz val="12"/>
        <color theme="1"/>
        <rFont val="Calibri"/>
        <family val="2"/>
        <scheme val="minor"/>
      </rPr>
      <t>Paludicola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, 16.</t>
    </r>
  </si>
  <si>
    <r>
      <t xml:space="preserve">Sachs, S. &amp; Kear, B.P. (2017) Redescription of the elasmosaurid plesiosaurian </t>
    </r>
    <r>
      <rPr>
        <i/>
        <sz val="12"/>
        <color theme="1"/>
        <rFont val="Calibri"/>
        <family val="2"/>
        <scheme val="minor"/>
      </rPr>
      <t>Libonectes atlasense</t>
    </r>
    <r>
      <rPr>
        <sz val="12"/>
        <color theme="1"/>
        <rFont val="Calibri"/>
        <family val="2"/>
        <scheme val="minor"/>
      </rPr>
      <t xml:space="preserve"> from the Upper Cretaceous of Morocco. </t>
    </r>
    <r>
      <rPr>
        <i/>
        <sz val="12"/>
        <color theme="1"/>
        <rFont val="Calibri"/>
        <family val="2"/>
        <scheme val="minor"/>
      </rPr>
      <t>Cretaceous Research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74</t>
    </r>
    <r>
      <rPr>
        <sz val="12"/>
        <color theme="1"/>
        <rFont val="Calibri"/>
        <family val="2"/>
        <scheme val="minor"/>
      </rPr>
      <t>, 205–222.</t>
    </r>
  </si>
  <si>
    <r>
      <t xml:space="preserve">Sachs, S., Hornung, J.J. &amp; Kear, B.P. (2016) Reappraisal of Europe’s most complete Early Cretaceous plesiosaurian: Brancasaurus brancai Wegner, 1914 from the “Wealden facies” of Germany. </t>
    </r>
    <r>
      <rPr>
        <i/>
        <sz val="12"/>
        <color theme="1"/>
        <rFont val="Calibri"/>
        <family val="2"/>
        <scheme val="minor"/>
      </rPr>
      <t>PeerJ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, e2813.</t>
    </r>
  </si>
  <si>
    <r>
      <t xml:space="preserve">Sander, P.M. (1989) The Pachypleurosaurids (Reptilia: Nothosauria) from the Middle Triassic of Monte San Giorgio (Switzerland) with the description of a new species. </t>
    </r>
    <r>
      <rPr>
        <i/>
        <sz val="12"/>
        <color theme="1"/>
        <rFont val="Calibri"/>
        <family val="2"/>
        <scheme val="minor"/>
      </rPr>
      <t>Philosophical Transactions of the Royal Society London B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325</t>
    </r>
    <r>
      <rPr>
        <sz val="12"/>
        <color theme="1"/>
        <rFont val="Calibri"/>
        <family val="2"/>
        <scheme val="minor"/>
      </rPr>
      <t>, 561–666.</t>
    </r>
  </si>
  <si>
    <r>
      <t xml:space="preserve">Sato, T., Cheng, Y.-N., Wu, X.-C. &amp; Shan, H.-Y. (2014) </t>
    </r>
    <r>
      <rPr>
        <i/>
        <sz val="12"/>
        <color theme="1"/>
        <rFont val="Calibri"/>
        <family val="2"/>
        <scheme val="minor"/>
      </rPr>
      <t>Diandongosaurus acutidentatus</t>
    </r>
    <r>
      <rPr>
        <sz val="12"/>
        <color theme="1"/>
        <rFont val="Calibri"/>
        <family val="2"/>
        <scheme val="minor"/>
      </rPr>
      <t xml:space="preserve"> Shang, Wu &amp;amp; Li, 2011 (Diapsida: Sauropterygia) and the relationships of Chinese eosauropterygians. </t>
    </r>
    <r>
      <rPr>
        <i/>
        <sz val="12"/>
        <color theme="1"/>
        <rFont val="Calibri"/>
        <family val="2"/>
        <scheme val="minor"/>
      </rPr>
      <t>Geological Magazine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151</t>
    </r>
    <r>
      <rPr>
        <sz val="12"/>
        <color theme="1"/>
        <rFont val="Calibri"/>
        <family val="2"/>
        <scheme val="minor"/>
      </rPr>
      <t>, 121–133.</t>
    </r>
  </si>
  <si>
    <r>
      <t xml:space="preserve">Sato, T., Zhao, L.-J., Wu, X.-C. &amp; Li, C. (2013) Osteology of </t>
    </r>
    <r>
      <rPr>
        <i/>
        <sz val="12"/>
        <color theme="1"/>
        <rFont val="Calibri"/>
        <family val="2"/>
        <scheme val="minor"/>
      </rPr>
      <t>Yunguisaurus</t>
    </r>
    <r>
      <rPr>
        <sz val="12"/>
        <color theme="1"/>
        <rFont val="Calibri"/>
        <family val="2"/>
        <scheme val="minor"/>
      </rPr>
      <t xml:space="preserve"> Cheng et al., 2006 (Reptilia; Sauropterygia), a Triassic Pistosauroid from China. </t>
    </r>
    <r>
      <rPr>
        <i/>
        <sz val="12"/>
        <color theme="1"/>
        <rFont val="Calibri"/>
        <family val="2"/>
        <scheme val="minor"/>
      </rPr>
      <t>Paleontological Research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14</t>
    </r>
    <r>
      <rPr>
        <sz val="12"/>
        <color theme="1"/>
        <rFont val="Calibri"/>
        <family val="2"/>
        <scheme val="minor"/>
      </rPr>
      <t>, 1–22.</t>
    </r>
  </si>
  <si>
    <r>
      <t xml:space="preserve">Schumacher, B.A. &amp; Martin, J.E. (2015) </t>
    </r>
    <r>
      <rPr>
        <i/>
        <sz val="12"/>
        <color theme="1"/>
        <rFont val="Calibri"/>
        <family val="2"/>
        <scheme val="minor"/>
      </rPr>
      <t>Polycotylus latipinnis</t>
    </r>
    <r>
      <rPr>
        <sz val="12"/>
        <color theme="1"/>
        <rFont val="Calibri"/>
        <family val="2"/>
        <scheme val="minor"/>
      </rPr>
      <t xml:space="preserve"> Cope (Plesiosauria, Polycotylidae), a nearly complete skeleton from the Niobrara Formation (early Campanian) of southwestern South Dakota. </t>
    </r>
    <r>
      <rPr>
        <i/>
        <sz val="12"/>
        <color theme="1"/>
        <rFont val="Calibri"/>
        <family val="2"/>
        <scheme val="minor"/>
      </rPr>
      <t>Journal of Vertebrate Paleontology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36</t>
    </r>
    <r>
      <rPr>
        <sz val="12"/>
        <color theme="1"/>
        <rFont val="Calibri"/>
        <family val="2"/>
        <scheme val="minor"/>
      </rPr>
      <t>, e1031341.</t>
    </r>
  </si>
  <si>
    <r>
      <t xml:space="preserve">Sciau, J., Crochet, J.-Y. &amp; Mattei, J. (undated) Le premier squelette de plesiosaure de France sur le Causse du Larzac (Toarcien, Jurassique Inferieur). </t>
    </r>
    <r>
      <rPr>
        <i/>
        <sz val="12"/>
        <color theme="1"/>
        <rFont val="Calibri"/>
        <family val="2"/>
        <scheme val="minor"/>
      </rPr>
      <t>Geobios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23</t>
    </r>
    <r>
      <rPr>
        <sz val="12"/>
        <color theme="1"/>
        <rFont val="Calibri"/>
        <family val="2"/>
        <scheme val="minor"/>
      </rPr>
      <t>, 111–116.</t>
    </r>
  </si>
  <si>
    <r>
      <t xml:space="preserve">Shang, Q.-H. &amp; Li, C. (2015) A new small-sized eosauropterygian (Diapsida: Sauropterygia) from the Middle Triassic of Luoping, Yunnan, southwestern China. </t>
    </r>
    <r>
      <rPr>
        <i/>
        <sz val="12"/>
        <color theme="1"/>
        <rFont val="Calibri"/>
        <family val="2"/>
        <scheme val="minor"/>
      </rPr>
      <t>Vertebrata PalAsiatica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53</t>
    </r>
    <r>
      <rPr>
        <sz val="12"/>
        <color theme="1"/>
        <rFont val="Calibri"/>
        <family val="2"/>
        <scheme val="minor"/>
      </rPr>
      <t>, 265–280.</t>
    </r>
  </si>
  <si>
    <r>
      <t xml:space="preserve">Shang, Q.-H., Wu, X.-C. &amp; Li, C. (2011) A new eosauropterygian from Middle Triassic of eastern Yunnan Province, southwestern China. </t>
    </r>
    <r>
      <rPr>
        <i/>
        <sz val="12"/>
        <color theme="1"/>
        <rFont val="Calibri"/>
        <family val="2"/>
        <scheme val="minor"/>
      </rPr>
      <t>Vertebrata PalAsiatica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49</t>
    </r>
    <r>
      <rPr>
        <sz val="12"/>
        <color theme="1"/>
        <rFont val="Calibri"/>
        <family val="2"/>
        <scheme val="minor"/>
      </rPr>
      <t>, 155–171.</t>
    </r>
  </si>
  <si>
    <t>Smith, A.S. (2007) Anatomy and Systematics of the Rhomaleosauridae (Sauropterygia: Plesiosauria). National University of Ireland.</t>
  </si>
  <si>
    <r>
      <t xml:space="preserve">Smith, Adam.S. &amp; Vincent, P. (2010) A new genus of pliosaur (Reptilia: Sauropterygia) from the Lower Jurassic of Holzmaden, Germany. </t>
    </r>
    <r>
      <rPr>
        <i/>
        <sz val="12"/>
        <color theme="1"/>
        <rFont val="Calibri"/>
        <family val="2"/>
        <scheme val="minor"/>
      </rPr>
      <t>Palaeontology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53</t>
    </r>
    <r>
      <rPr>
        <sz val="12"/>
        <color theme="1"/>
        <rFont val="Calibri"/>
        <family val="2"/>
        <scheme val="minor"/>
      </rPr>
      <t>, 1049–1063.</t>
    </r>
  </si>
  <si>
    <r>
      <t xml:space="preserve">Soul, L.C. &amp; Benson, R.B.J. (2017) Developmental mechanisms of macroevolutionary change in the tetrapod axis: A case study of Sauropterygia. </t>
    </r>
    <r>
      <rPr>
        <i/>
        <sz val="12"/>
        <color theme="1"/>
        <rFont val="Calibri"/>
        <family val="2"/>
        <scheme val="minor"/>
      </rPr>
      <t>Evolution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71</t>
    </r>
    <r>
      <rPr>
        <sz val="12"/>
        <color theme="1"/>
        <rFont val="Calibri"/>
        <family val="2"/>
        <scheme val="minor"/>
      </rPr>
      <t>, 1164–1177.</t>
    </r>
  </si>
  <si>
    <r>
      <t xml:space="preserve">Storrs, G.W. (1991) Anatomy and relationships of </t>
    </r>
    <r>
      <rPr>
        <i/>
        <sz val="12"/>
        <color theme="1"/>
        <rFont val="Calibri"/>
        <family val="2"/>
        <scheme val="minor"/>
      </rPr>
      <t>Corosaurus alcovensis</t>
    </r>
    <r>
      <rPr>
        <sz val="12"/>
        <color theme="1"/>
        <rFont val="Calibri"/>
        <family val="2"/>
        <scheme val="minor"/>
      </rPr>
      <t xml:space="preserve"> (Diapsida: Sauropterygia) and the Triassic Alcova Limestone of Wyoming.</t>
    </r>
  </si>
  <si>
    <r>
      <t xml:space="preserve">Storrs, G.W. (1997) Morphological and taxonomic clarification of the genus Plesiosaurus. In </t>
    </r>
    <r>
      <rPr>
        <i/>
        <sz val="12"/>
        <color theme="1"/>
        <rFont val="Calibri"/>
        <family val="2"/>
        <scheme val="minor"/>
      </rPr>
      <t>Ancient Marine Reptiles</t>
    </r>
    <r>
      <rPr>
        <sz val="12"/>
        <color theme="1"/>
        <rFont val="Calibri"/>
        <family val="2"/>
        <scheme val="minor"/>
      </rPr>
      <t xml:space="preserve"> pp. 145–190. Academic Press, San Diego, California.</t>
    </r>
  </si>
  <si>
    <r>
      <t xml:space="preserve">Sues, H.-D. &amp; Carroll, R.L. (1985) The pachypleurosaurid </t>
    </r>
    <r>
      <rPr>
        <i/>
        <sz val="12"/>
        <color theme="1"/>
        <rFont val="Calibri"/>
        <family val="2"/>
        <scheme val="minor"/>
      </rPr>
      <t>Dactylosaurus schroederi</t>
    </r>
    <r>
      <rPr>
        <sz val="12"/>
        <color theme="1"/>
        <rFont val="Calibri"/>
        <family val="2"/>
        <scheme val="minor"/>
      </rPr>
      <t xml:space="preserve"> (Diapsida: Sauropterygia). </t>
    </r>
    <r>
      <rPr>
        <i/>
        <sz val="12"/>
        <color theme="1"/>
        <rFont val="Calibri"/>
        <family val="2"/>
        <scheme val="minor"/>
      </rPr>
      <t>Canadian Journal of Earth Sciences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22</t>
    </r>
    <r>
      <rPr>
        <sz val="12"/>
        <color theme="1"/>
        <rFont val="Calibri"/>
        <family val="2"/>
        <scheme val="minor"/>
      </rPr>
      <t>, 1602–1608.</t>
    </r>
  </si>
  <si>
    <r>
      <t xml:space="preserve">Tarlo, L.B. (1960) A review of Upper Jurassic pliosaurs. </t>
    </r>
    <r>
      <rPr>
        <i/>
        <sz val="12"/>
        <color theme="1"/>
        <rFont val="Calibri"/>
        <family val="2"/>
        <scheme val="minor"/>
      </rPr>
      <t>Bulletin of the British Museum (Natural History)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, 145–189.</t>
    </r>
  </si>
  <si>
    <r>
      <t xml:space="preserve">Thurmond, J.T. (1968) A New Polycotylid Plesiosaur from the Lake Waco Formation (Cenomanian) of Texas. </t>
    </r>
    <r>
      <rPr>
        <i/>
        <sz val="12"/>
        <color theme="1"/>
        <rFont val="Calibri"/>
        <family val="2"/>
        <scheme val="minor"/>
      </rPr>
      <t>Journal of Paleontology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42</t>
    </r>
    <r>
      <rPr>
        <sz val="12"/>
        <color theme="1"/>
        <rFont val="Calibri"/>
        <family val="2"/>
        <scheme val="minor"/>
      </rPr>
      <t>, 1289–1296.</t>
    </r>
  </si>
  <si>
    <r>
      <t xml:space="preserve">Tintori, A. &amp; Renesto, S. (1990) A new </t>
    </r>
    <r>
      <rPr>
        <i/>
        <sz val="12"/>
        <color theme="1"/>
        <rFont val="Calibri"/>
        <family val="2"/>
        <scheme val="minor"/>
      </rPr>
      <t>Lariosaurus</t>
    </r>
    <r>
      <rPr>
        <sz val="12"/>
        <color theme="1"/>
        <rFont val="Calibri"/>
        <family val="2"/>
        <scheme val="minor"/>
      </rPr>
      <t xml:space="preserve"> fuom the Kalkschieferzone (Uppermost Ladinian) of Valcetesio (Varese, N. Italy). </t>
    </r>
    <r>
      <rPr>
        <i/>
        <sz val="12"/>
        <color theme="1"/>
        <rFont val="Calibri"/>
        <family val="2"/>
        <scheme val="minor"/>
      </rPr>
      <t>Bollettino della Società Paleontologica Italiana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29</t>
    </r>
    <r>
      <rPr>
        <sz val="12"/>
        <color theme="1"/>
        <rFont val="Calibri"/>
        <family val="2"/>
        <scheme val="minor"/>
      </rPr>
      <t>, 309–319.</t>
    </r>
  </si>
  <si>
    <r>
      <t xml:space="preserve">Vincent, P. (2011) Re-examination of Hauffiosaurus zanoni, a Pliosauroid from the Toarcian (Early Jurassic) of Germany. </t>
    </r>
    <r>
      <rPr>
        <i/>
        <sz val="12"/>
        <color theme="1"/>
        <rFont val="Calibri"/>
        <family val="2"/>
        <scheme val="minor"/>
      </rPr>
      <t>Journal of Vertebrate Paleontology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31</t>
    </r>
    <r>
      <rPr>
        <sz val="12"/>
        <color theme="1"/>
        <rFont val="Calibri"/>
        <family val="2"/>
        <scheme val="minor"/>
      </rPr>
      <t>, 340–351.</t>
    </r>
  </si>
  <si>
    <r>
      <t xml:space="preserve">Vincent, P. &amp; Storrs, G.W. (2019) </t>
    </r>
    <r>
      <rPr>
        <i/>
        <sz val="12"/>
        <color theme="1"/>
        <rFont val="Calibri"/>
        <family val="2"/>
        <scheme val="minor"/>
      </rPr>
      <t>Lindwurmia</t>
    </r>
    <r>
      <rPr>
        <sz val="12"/>
        <color theme="1"/>
        <rFont val="Calibri"/>
        <family val="2"/>
        <scheme val="minor"/>
      </rPr>
      <t xml:space="preserve">, a new genus of Plesiosauria (Reptilia: Sauropterygia) from the earliest Jurassic of Halberstadt, northwest Germany. </t>
    </r>
    <r>
      <rPr>
        <i/>
        <sz val="12"/>
        <color theme="1"/>
        <rFont val="Calibri"/>
        <family val="2"/>
        <scheme val="minor"/>
      </rPr>
      <t>The Science of Nature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106</t>
    </r>
    <r>
      <rPr>
        <sz val="12"/>
        <color theme="1"/>
        <rFont val="Calibri"/>
        <family val="2"/>
        <scheme val="minor"/>
      </rPr>
      <t>, 5.</t>
    </r>
  </si>
  <si>
    <r>
      <t xml:space="preserve">Wang, W., Li, C. &amp; Wu, X.-C. (2018) An adult specimen of </t>
    </r>
    <r>
      <rPr>
        <i/>
        <sz val="12"/>
        <color theme="1"/>
        <rFont val="Calibri"/>
        <family val="2"/>
        <scheme val="minor"/>
      </rPr>
      <t>Sinocyamodus xinpuensis</t>
    </r>
    <r>
      <rPr>
        <sz val="12"/>
        <color theme="1"/>
        <rFont val="Calibri"/>
        <family val="2"/>
        <scheme val="minor"/>
      </rPr>
      <t xml:space="preserve"> (Sauropterygia: Placodontia) from Guanling, Guizhou, China. </t>
    </r>
    <r>
      <rPr>
        <i/>
        <sz val="12"/>
        <color theme="1"/>
        <rFont val="Calibri"/>
        <family val="2"/>
        <scheme val="minor"/>
      </rPr>
      <t>Zoological Journal of the Linnean Society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185</t>
    </r>
    <r>
      <rPr>
        <sz val="12"/>
        <color theme="1"/>
        <rFont val="Calibri"/>
        <family val="2"/>
        <scheme val="minor"/>
      </rPr>
      <t>, 910–924.</t>
    </r>
  </si>
  <si>
    <r>
      <t xml:space="preserve">Wang, W., Li, C., Scheyer, T.M. &amp; Zhao, L. (2019) A new species of </t>
    </r>
    <r>
      <rPr>
        <i/>
        <sz val="12"/>
        <color theme="1"/>
        <rFont val="Calibri"/>
        <family val="2"/>
        <scheme val="minor"/>
      </rPr>
      <t>Cyamodus</t>
    </r>
    <r>
      <rPr>
        <sz val="12"/>
        <color theme="1"/>
        <rFont val="Calibri"/>
        <family val="2"/>
        <scheme val="minor"/>
      </rPr>
      <t xml:space="preserve"> (Placodontia, Sauropterygia) from the early Late Triassic of south-west China. </t>
    </r>
    <r>
      <rPr>
        <i/>
        <sz val="12"/>
        <color theme="1"/>
        <rFont val="Calibri"/>
        <family val="2"/>
        <scheme val="minor"/>
      </rPr>
      <t>Journal of Systematic Palaeontology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17</t>
    </r>
    <r>
      <rPr>
        <sz val="12"/>
        <color theme="1"/>
        <rFont val="Calibri"/>
        <family val="2"/>
        <scheme val="minor"/>
      </rPr>
      <t>, 1457–1476.</t>
    </r>
  </si>
  <si>
    <r>
      <t xml:space="preserve">Watson, D.M.S. (1909) A preliminary note on two new genera of Upper Liassic plesiosaurs. </t>
    </r>
    <r>
      <rPr>
        <i/>
        <sz val="12"/>
        <color theme="1"/>
        <rFont val="Calibri"/>
        <family val="2"/>
        <scheme val="minor"/>
      </rPr>
      <t>Memoirs and proceedings of the Manchester Literary &amp; Philosophical Society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54</t>
    </r>
    <r>
      <rPr>
        <sz val="12"/>
        <color theme="1"/>
        <rFont val="Calibri"/>
        <family val="2"/>
        <scheme val="minor"/>
      </rPr>
      <t>, 1–29.</t>
    </r>
  </si>
  <si>
    <r>
      <t xml:space="preserve">Welles, S.P. (1943) Elasmosaurid plesiosaurs with description of new material from California and Colorado. </t>
    </r>
    <r>
      <rPr>
        <i/>
        <sz val="12"/>
        <color theme="1"/>
        <rFont val="Calibri"/>
        <family val="2"/>
        <scheme val="minor"/>
      </rPr>
      <t>Memoirs of the University of California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13</t>
    </r>
    <r>
      <rPr>
        <sz val="12"/>
        <color theme="1"/>
        <rFont val="Calibri"/>
        <family val="2"/>
        <scheme val="minor"/>
      </rPr>
      <t>, 125–254.</t>
    </r>
  </si>
  <si>
    <r>
      <t xml:space="preserve">Welles, S.P. (1952) A review of the North American Cretaceous elasmosaurs. </t>
    </r>
    <r>
      <rPr>
        <i/>
        <sz val="12"/>
        <color theme="1"/>
        <rFont val="Calibri"/>
        <family val="2"/>
        <scheme val="minor"/>
      </rPr>
      <t>University of California Publications in Geological Sciences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29</t>
    </r>
    <r>
      <rPr>
        <sz val="12"/>
        <color theme="1"/>
        <rFont val="Calibri"/>
        <family val="2"/>
        <scheme val="minor"/>
      </rPr>
      <t>, 47–144.</t>
    </r>
  </si>
  <si>
    <r>
      <t xml:space="preserve">Welles, S.P. (1962) A new species of elasmosaur from the Aptian of Colombia and a review of the Cretaceous plesiosaurs.pdf. </t>
    </r>
    <r>
      <rPr>
        <i/>
        <sz val="12"/>
        <color theme="1"/>
        <rFont val="Calibri"/>
        <family val="2"/>
        <scheme val="minor"/>
      </rPr>
      <t>University of California Publications in Geological Sciences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44</t>
    </r>
    <r>
      <rPr>
        <sz val="12"/>
        <color theme="1"/>
        <rFont val="Calibri"/>
        <family val="2"/>
        <scheme val="minor"/>
      </rPr>
      <t>, 1–96.</t>
    </r>
  </si>
  <si>
    <r>
      <t xml:space="preserve">White, T.E. (1940) Holotype of </t>
    </r>
    <r>
      <rPr>
        <i/>
        <sz val="12"/>
        <color theme="1"/>
        <rFont val="Calibri"/>
        <family val="2"/>
        <scheme val="minor"/>
      </rPr>
      <t>Plesiosaurus longirostris</t>
    </r>
    <r>
      <rPr>
        <sz val="12"/>
        <color theme="1"/>
        <rFont val="Calibri"/>
        <family val="2"/>
        <scheme val="minor"/>
      </rPr>
      <t xml:space="preserve"> Blake and classification of the plesiosaurs. </t>
    </r>
    <r>
      <rPr>
        <i/>
        <sz val="12"/>
        <color theme="1"/>
        <rFont val="Calibri"/>
        <family val="2"/>
        <scheme val="minor"/>
      </rPr>
      <t>Journal of Paleontology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14</t>
    </r>
    <r>
      <rPr>
        <sz val="12"/>
        <color theme="1"/>
        <rFont val="Calibri"/>
        <family val="2"/>
        <scheme val="minor"/>
      </rPr>
      <t>, 451–467.</t>
    </r>
  </si>
  <si>
    <r>
      <t xml:space="preserve">Wu, X.-C., Cheng, Y.-N., Li, C., Zhao, L.-J. &amp; Sato, T. (2011) New information on </t>
    </r>
    <r>
      <rPr>
        <i/>
        <sz val="12"/>
        <color theme="1"/>
        <rFont val="Calibri"/>
        <family val="2"/>
        <scheme val="minor"/>
      </rPr>
      <t>Wumengosaurus delicatomandibularis</t>
    </r>
    <r>
      <rPr>
        <sz val="12"/>
        <color theme="1"/>
        <rFont val="Calibri"/>
        <family val="2"/>
        <scheme val="minor"/>
      </rPr>
      <t xml:space="preserve"> Jiang et al., 2008 (Diapsida: Sauropterygia), with a revision of the osteology and phylogeny of the taxon. </t>
    </r>
    <r>
      <rPr>
        <i/>
        <sz val="12"/>
        <color theme="1"/>
        <rFont val="Calibri"/>
        <family val="2"/>
        <scheme val="minor"/>
      </rPr>
      <t>Journal of Vertebrate Paleontology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31</t>
    </r>
    <r>
      <rPr>
        <sz val="12"/>
        <color theme="1"/>
        <rFont val="Calibri"/>
        <family val="2"/>
        <scheme val="minor"/>
      </rPr>
      <t>, 70–83.</t>
    </r>
  </si>
  <si>
    <r>
      <t xml:space="preserve">Xiaofeng, W., Bachmann, G.H., Hagdorn, H., Sander, P.M., Cuny, G., Xiaohong, C., Chuanshang, W., Lide, C., Long, C., Fansong, M. &amp; Guanghong, X. (2008) The Late Triassic black shales of the Guanling area, Guizhou province, South-West China: a unique marine reptile and pelagic crinoid fossil lagërstatte. </t>
    </r>
    <r>
      <rPr>
        <i/>
        <sz val="12"/>
        <color theme="1"/>
        <rFont val="Calibri"/>
        <family val="2"/>
        <scheme val="minor"/>
      </rPr>
      <t>Palaeontology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51</t>
    </r>
    <r>
      <rPr>
        <sz val="12"/>
        <color theme="1"/>
        <rFont val="Calibri"/>
        <family val="2"/>
        <scheme val="minor"/>
      </rPr>
      <t>, 27–61.</t>
    </r>
  </si>
  <si>
    <r>
      <t xml:space="preserve">Xue, Y., Jiang, D., Motani, R., Rieppel, O. &amp; Sun, Y. (2015) New information on sexual dimorphism and allometric growth in </t>
    </r>
    <r>
      <rPr>
        <i/>
        <sz val="12"/>
        <color theme="1"/>
        <rFont val="Calibri"/>
        <family val="2"/>
        <scheme val="minor"/>
      </rPr>
      <t>Keichousaurus hui</t>
    </r>
    <r>
      <rPr>
        <sz val="12"/>
        <color theme="1"/>
        <rFont val="Calibri"/>
        <family val="2"/>
        <scheme val="minor"/>
      </rPr>
      <t xml:space="preserve">, a pachypleurosaur from the Middle Triassic of Guizhou, South China. </t>
    </r>
    <r>
      <rPr>
        <i/>
        <sz val="12"/>
        <color theme="1"/>
        <rFont val="Calibri"/>
        <family val="2"/>
        <scheme val="minor"/>
      </rPr>
      <t>Acta Palaeontologica Polonica</t>
    </r>
    <r>
      <rPr>
        <sz val="12"/>
        <color theme="1"/>
        <rFont val="Calibri"/>
        <family val="2"/>
        <scheme val="minor"/>
      </rPr>
      <t>.</t>
    </r>
  </si>
  <si>
    <r>
      <t xml:space="preserve">Zhao, L.-J., Li, C., Liu, J. &amp; He, T. (2008) A new armored placodont from the middle Triassic of Yunnan province, Southwestern China. </t>
    </r>
    <r>
      <rPr>
        <i/>
        <sz val="12"/>
        <color theme="1"/>
        <rFont val="Calibri"/>
        <family val="2"/>
        <scheme val="minor"/>
      </rPr>
      <t>Vertebrata PalAsiatica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46</t>
    </r>
    <r>
      <rPr>
        <sz val="12"/>
        <color theme="1"/>
        <rFont val="Calibri"/>
        <family val="2"/>
        <scheme val="minor"/>
      </rPr>
      <t>, 171–177.</t>
    </r>
  </si>
  <si>
    <r>
      <t>C</t>
    </r>
    <r>
      <rPr>
        <b/>
        <vertAlign val="subscript"/>
        <sz val="11"/>
        <color theme="1"/>
        <rFont val="Arial"/>
        <family val="2"/>
      </rPr>
      <t>d</t>
    </r>
    <r>
      <rPr>
        <b/>
        <sz val="11"/>
        <color theme="1"/>
        <rFont val="Arial"/>
        <family val="2"/>
      </rPr>
      <t xml:space="preserve"> relative to Tursiops</t>
    </r>
  </si>
  <si>
    <t>Elasmosaurinae</t>
  </si>
  <si>
    <t>Thalassophonean pliosaurs  vs. Elasmosaurinae</t>
  </si>
  <si>
    <t>Carpenter, 1996; photgraphs by M. Everhart</t>
  </si>
  <si>
    <t>Bonner, 1964</t>
  </si>
  <si>
    <t>Shang et al., 2011</t>
  </si>
  <si>
    <t>Welles, 1943; O'Keefe, 2002</t>
  </si>
  <si>
    <t>Cuchy, 2005; Sachs &amp; Kear, 2017</t>
  </si>
  <si>
    <t xml:space="preserve">Personal observation </t>
  </si>
  <si>
    <t>O'keefe, 2002; photographs by NHM</t>
  </si>
  <si>
    <t>Rhomaleosaurus megacephalus</t>
  </si>
  <si>
    <t>Short-necked plesiosaurs (pliosauromorph)</t>
  </si>
  <si>
    <t>Short-necked plesiosaurs (pliosauromorph) excluding basal</t>
  </si>
  <si>
    <t>Long-necked plesiosaurs (plesiosauromorphs)</t>
  </si>
  <si>
    <t>Short-necked (pliosauromorph)* vs. Long-necked (plesiosauromorph)</t>
  </si>
  <si>
    <t>* comparison excluding basal plesiosaurs</t>
  </si>
  <si>
    <t>Homocedasticity    (F-test)</t>
  </si>
  <si>
    <t>t-test          (p-value)</t>
  </si>
  <si>
    <r>
      <t>Relative COT</t>
    </r>
    <r>
      <rPr>
        <b/>
        <vertAlign val="subscript"/>
        <sz val="11"/>
        <color rgb="FF000000"/>
        <rFont val="Arial"/>
        <family val="2"/>
      </rPr>
      <t>drag</t>
    </r>
    <r>
      <rPr>
        <b/>
        <sz val="11"/>
        <color rgb="FF000000"/>
        <rFont val="Arial"/>
        <family val="2"/>
      </rPr>
      <t xml:space="preserve"> (+limbs)</t>
    </r>
  </si>
  <si>
    <r>
      <t>Relative COT</t>
    </r>
    <r>
      <rPr>
        <b/>
        <vertAlign val="subscript"/>
        <sz val="11"/>
        <color theme="1"/>
        <rFont val="Arial"/>
        <family val="2"/>
      </rPr>
      <t>drag</t>
    </r>
    <r>
      <rPr>
        <b/>
        <sz val="11"/>
        <color theme="1"/>
        <rFont val="Arial"/>
        <family val="2"/>
      </rPr>
      <t xml:space="preserve">      (+ limbs)</t>
    </r>
  </si>
  <si>
    <t>Relative Drag/Volume of Trunk</t>
  </si>
  <si>
    <t>Normality test p-value (Shapiro)</t>
  </si>
  <si>
    <t>t-test                (p-value)</t>
  </si>
  <si>
    <t>Short necked plesiosaurs vs. Modern cetaceans</t>
  </si>
  <si>
    <t>Short necked plesiosaurs vs. Parvipelvian ichthyosaurs</t>
  </si>
  <si>
    <t>Derived plesiosaurs vs. Parvipelvian ichthyosaurs</t>
  </si>
  <si>
    <t>Parvipelvian ichthyosaurs vs. Modern cetaceans</t>
  </si>
  <si>
    <t>Gutarra et al., 2019</t>
  </si>
  <si>
    <t>CALCULATIONS FOR 1 m/s</t>
  </si>
  <si>
    <t>CALCULATIONS FOR 2 m/s</t>
  </si>
  <si>
    <r>
      <t>D/V (N/m</t>
    </r>
    <r>
      <rPr>
        <b/>
        <vertAlign val="superscript"/>
        <sz val="12"/>
        <color theme="1"/>
        <rFont val="Calibri"/>
        <family val="2"/>
      </rPr>
      <t>3</t>
    </r>
    <r>
      <rPr>
        <b/>
        <sz val="12"/>
        <color theme="1"/>
        <rFont val="Calibri"/>
        <family val="2"/>
      </rPr>
      <t>)</t>
    </r>
  </si>
  <si>
    <t>Relative A/S</t>
  </si>
  <si>
    <t>Comparison 1</t>
  </si>
  <si>
    <t>Comparison 2</t>
  </si>
  <si>
    <t>Comparison 3</t>
  </si>
  <si>
    <t>Freshwater</t>
  </si>
  <si>
    <t>Sea water</t>
  </si>
  <si>
    <r>
      <t>fluid density (ρ), Kg/m</t>
    </r>
    <r>
      <rPr>
        <vertAlign val="superscript"/>
        <sz val="12"/>
        <color theme="1"/>
        <rFont val="Calibri (Body)"/>
      </rPr>
      <t>3</t>
    </r>
  </si>
  <si>
    <r>
      <t>fluid dynamic viscosity (μ), Ns/m</t>
    </r>
    <r>
      <rPr>
        <vertAlign val="superscript"/>
        <sz val="12"/>
        <color theme="1"/>
        <rFont val="Calibri (Body)"/>
      </rPr>
      <t>2</t>
    </r>
  </si>
  <si>
    <r>
      <t>flow velocity (u), ms</t>
    </r>
    <r>
      <rPr>
        <vertAlign val="superscript"/>
        <sz val="12"/>
        <color theme="1"/>
        <rFont val="Calibri (Body)"/>
      </rPr>
      <t>-1</t>
    </r>
  </si>
  <si>
    <t>body length (l), m</t>
  </si>
  <si>
    <r>
      <t>body Volume (V), m</t>
    </r>
    <r>
      <rPr>
        <vertAlign val="superscript"/>
        <sz val="12"/>
        <color theme="1"/>
        <rFont val="Calibri (Body)"/>
      </rPr>
      <t>3</t>
    </r>
  </si>
  <si>
    <r>
      <rPr>
        <sz val="12"/>
        <color theme="1"/>
        <rFont val="Calibri"/>
        <family val="2"/>
        <scheme val="minor"/>
      </rPr>
      <t>Reynolds number (</t>
    </r>
    <r>
      <rPr>
        <i/>
        <sz val="12"/>
        <color theme="1"/>
        <rFont val="Calibri"/>
        <family val="2"/>
        <scheme val="minor"/>
      </rPr>
      <t>Re</t>
    </r>
    <r>
      <rPr>
        <sz val="12"/>
        <color theme="1"/>
        <rFont val="Calibri"/>
        <family val="2"/>
        <scheme val="minor"/>
      </rPr>
      <t>)</t>
    </r>
  </si>
  <si>
    <t>Drag (D), N</t>
  </si>
  <si>
    <r>
      <t>Drag coefficient (</t>
    </r>
    <r>
      <rPr>
        <b/>
        <i/>
        <sz val="12"/>
        <color theme="1"/>
        <rFont val="Calibri"/>
        <family val="2"/>
        <scheme val="minor"/>
      </rPr>
      <t>C</t>
    </r>
    <r>
      <rPr>
        <b/>
        <i/>
        <vertAlign val="subscript"/>
        <sz val="12"/>
        <color theme="1"/>
        <rFont val="Calibri (Body)"/>
      </rPr>
      <t>d</t>
    </r>
    <r>
      <rPr>
        <b/>
        <sz val="12"/>
        <color theme="1"/>
        <rFont val="Calibri"/>
        <family val="2"/>
        <scheme val="minor"/>
      </rPr>
      <t>)</t>
    </r>
  </si>
  <si>
    <r>
      <t>Drag/Volume (D/V), N/m</t>
    </r>
    <r>
      <rPr>
        <vertAlign val="superscript"/>
        <sz val="12"/>
        <color theme="1"/>
        <rFont val="Calibri (Body)"/>
      </rPr>
      <t>3</t>
    </r>
  </si>
  <si>
    <t>Relative Drag/Volume</t>
  </si>
  <si>
    <t>Calculations of the drag coefficient and drag per unit of volume in two taxa using freshwater and sea water settings in simulations</t>
  </si>
  <si>
    <r>
      <t>COT</t>
    </r>
    <r>
      <rPr>
        <b/>
        <vertAlign val="subscript"/>
        <sz val="12"/>
        <color theme="1"/>
        <rFont val="Calibri (Body)"/>
      </rPr>
      <t>drag</t>
    </r>
  </si>
  <si>
    <t>Sensitivity flow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</si>
</sst>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0000"/>
    <numFmt numFmtId="165" formatCode="0.000000"/>
    <numFmt numFmtId="166" formatCode="0.000"/>
    <numFmt numFmtId="167" formatCode="0E+00"/>
    <numFmt numFmtId="168" formatCode="0.0000"/>
    <numFmt numFmtId="169" formatCode="0.0"/>
    <numFmt numFmtId="170" formatCode="0.00000000"/>
    <numFmt numFmtId="171" formatCode="0.0E+00"/>
  </numFmts>
  <fonts count="8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i/>
      <sz val="11"/>
      <color rgb="FF000000"/>
      <name val="Arial"/>
      <family val="2"/>
    </font>
    <font>
      <sz val="11"/>
      <color rgb="FF000000"/>
      <name val="Arial"/>
      <family val="2"/>
    </font>
    <font>
      <vertAlign val="superscript"/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vertAlign val="subscript"/>
      <sz val="11"/>
      <color rgb="FF000000"/>
      <name val="Arial"/>
      <family val="2"/>
    </font>
    <font>
      <i/>
      <sz val="11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b/>
      <sz val="12"/>
      <color theme="1"/>
      <name val="Calibri"/>
      <family val="2"/>
    </font>
    <font>
      <sz val="12"/>
      <color rgb="FFFF0000"/>
      <name val="Calibri"/>
      <family val="2"/>
      <scheme val="minor"/>
    </font>
    <font>
      <vertAlign val="superscript"/>
      <sz val="12"/>
      <color theme="1"/>
      <name val="Calibri (Body)"/>
    </font>
    <font>
      <b/>
      <sz val="12"/>
      <color rgb="FFFF0000"/>
      <name val="Calibri"/>
      <family val="2"/>
    </font>
    <font>
      <i/>
      <sz val="12"/>
      <color theme="1"/>
      <name val="Calibri"/>
      <family val="2"/>
    </font>
    <font>
      <sz val="12"/>
      <color rgb="FFFF0000"/>
      <name val="Calibri"/>
      <family val="2"/>
    </font>
    <font>
      <i/>
      <sz val="12"/>
      <color theme="1"/>
      <name val="Arial"/>
      <family val="2"/>
    </font>
    <font>
      <sz val="12"/>
      <color rgb="FF000000"/>
      <name val="Calibri"/>
      <family val="2"/>
    </font>
    <font>
      <b/>
      <sz val="12"/>
      <color theme="4"/>
      <name val="Calibri"/>
      <family val="2"/>
    </font>
    <font>
      <sz val="12"/>
      <color theme="1"/>
      <name val="Arial"/>
      <family val="2"/>
    </font>
    <font>
      <i/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b/>
      <i/>
      <sz val="12"/>
      <color rgb="FFFF0000"/>
      <name val="Calibri"/>
      <family val="2"/>
    </font>
    <font>
      <i/>
      <sz val="12"/>
      <color theme="1"/>
      <name val="Calibri (Body)_x0000_"/>
    </font>
    <font>
      <b/>
      <sz val="12"/>
      <color rgb="FFFF0000"/>
      <name val="Calibri (Body)"/>
    </font>
    <font>
      <b/>
      <sz val="12"/>
      <color theme="4"/>
      <name val="Calibri"/>
      <family val="2"/>
      <scheme val="minor"/>
    </font>
    <font>
      <b/>
      <sz val="12"/>
      <color rgb="FFFF0000"/>
      <name val="Calibri (Body)_x0000_"/>
    </font>
    <font>
      <b/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 (Body)_x0000_"/>
    </font>
    <font>
      <sz val="11"/>
      <color theme="1"/>
      <name val="Calibri"/>
      <family val="2"/>
    </font>
    <font>
      <b/>
      <sz val="11"/>
      <color rgb="FFFF0000"/>
      <name val="Calibri"/>
      <family val="2"/>
    </font>
    <font>
      <sz val="12"/>
      <name val="Arial"/>
      <family val="2"/>
    </font>
    <font>
      <b/>
      <sz val="12"/>
      <color rgb="FF0070C0"/>
      <name val="Calibri"/>
      <family val="2"/>
      <scheme val="minor"/>
    </font>
    <font>
      <b/>
      <sz val="10"/>
      <color rgb="FF0070C0"/>
      <name val="Arial"/>
      <family val="2"/>
    </font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b/>
      <sz val="12"/>
      <color rgb="FF0000FF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b/>
      <sz val="10"/>
      <color theme="1"/>
      <name val="Helvetica"/>
      <family val="2"/>
    </font>
    <font>
      <sz val="12"/>
      <color rgb="FFFF0000"/>
      <name val="Arial"/>
      <family val="2"/>
    </font>
    <font>
      <b/>
      <i/>
      <sz val="12"/>
      <color theme="1"/>
      <name val="Calibri"/>
      <family val="2"/>
    </font>
    <font>
      <sz val="12"/>
      <color rgb="FF0070C0"/>
      <name val="Calibri"/>
      <family val="2"/>
      <scheme val="minor"/>
    </font>
    <font>
      <b/>
      <sz val="12"/>
      <name val="Calibri (Body)_x0000_"/>
    </font>
    <font>
      <sz val="10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FF"/>
      <name val="Calibri"/>
      <family val="2"/>
      <scheme val="minor"/>
    </font>
    <font>
      <b/>
      <sz val="12"/>
      <color theme="4"/>
      <name val="Arial"/>
      <family val="2"/>
    </font>
    <font>
      <sz val="12"/>
      <color theme="4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 (Body)_x0000_"/>
    </font>
    <font>
      <sz val="12"/>
      <color theme="1"/>
      <name val="Calibri (Body)"/>
    </font>
    <font>
      <b/>
      <vertAlign val="subscript"/>
      <sz val="12"/>
      <color theme="1"/>
      <name val="Calibri (Body)"/>
    </font>
    <font>
      <b/>
      <sz val="12"/>
      <color theme="1"/>
      <name val="Calibri (Body)"/>
    </font>
    <font>
      <i/>
      <sz val="11"/>
      <color rgb="FF000000"/>
      <name val="Calibri"/>
      <family val="2"/>
      <scheme val="minor"/>
    </font>
    <font>
      <sz val="11"/>
      <color theme="1"/>
      <name val="Calibri (Body)"/>
    </font>
    <font>
      <b/>
      <sz val="11"/>
      <color theme="1"/>
      <name val="Calibri (Body)"/>
    </font>
    <font>
      <b/>
      <sz val="12"/>
      <color theme="1"/>
      <name val="Arial"/>
      <family val="2"/>
    </font>
    <font>
      <b/>
      <vertAlign val="subscript"/>
      <sz val="11"/>
      <color theme="1"/>
      <name val="Arial"/>
      <family val="2"/>
    </font>
    <font>
      <sz val="11"/>
      <color theme="4"/>
      <name val="Calibri"/>
      <family val="2"/>
    </font>
    <font>
      <b/>
      <vertAlign val="superscript"/>
      <sz val="12"/>
      <color theme="1"/>
      <name val="Calibri"/>
      <family val="2"/>
    </font>
    <font>
      <b/>
      <sz val="12"/>
      <color theme="9" tint="-0.249977111117893"/>
      <name val="Calibri (Body)"/>
    </font>
    <font>
      <sz val="12"/>
      <color theme="9" tint="-0.249977111117893"/>
      <name val="Calibri (Body)"/>
    </font>
    <font>
      <b/>
      <i/>
      <vertAlign val="subscript"/>
      <sz val="12"/>
      <color theme="1"/>
      <name val="Calibri (Body)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9" fontId="66" fillId="0" borderId="0" applyFont="0" applyFill="0" applyBorder="0" applyAlignment="0" applyProtection="0"/>
  </cellStyleXfs>
  <cellXfs count="389">
    <xf numFmtId="0" fontId="0" fillId="0" borderId="0" xfId="0"/>
    <xf numFmtId="0" fontId="4" fillId="0" borderId="0" xfId="0" applyFont="1"/>
    <xf numFmtId="166" fontId="0" fillId="0" borderId="0" xfId="0" applyNumberFormat="1" applyFont="1" applyFill="1"/>
    <xf numFmtId="0" fontId="6" fillId="0" borderId="0" xfId="0" applyFont="1"/>
    <xf numFmtId="0" fontId="7" fillId="0" borderId="0" xfId="0" applyFont="1" applyAlignment="1">
      <alignment horizontal="center" wrapText="1"/>
    </xf>
    <xf numFmtId="0" fontId="8" fillId="0" borderId="0" xfId="0" applyFont="1" applyAlignment="1">
      <alignment horizontal="left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165" fontId="6" fillId="0" borderId="0" xfId="0" applyNumberFormat="1" applyFont="1"/>
    <xf numFmtId="165" fontId="6" fillId="0" borderId="0" xfId="0" applyNumberFormat="1" applyFont="1" applyFill="1"/>
    <xf numFmtId="0" fontId="6" fillId="0" borderId="0" xfId="0" applyFont="1" applyFill="1"/>
    <xf numFmtId="0" fontId="11" fillId="0" borderId="0" xfId="0" applyFont="1" applyAlignment="1">
      <alignment horizontal="left"/>
    </xf>
    <xf numFmtId="0" fontId="10" fillId="0" borderId="0" xfId="0" applyFont="1"/>
    <xf numFmtId="0" fontId="10" fillId="0" borderId="0" xfId="0" applyFont="1" applyAlignment="1">
      <alignment horizontal="right"/>
    </xf>
    <xf numFmtId="0" fontId="10" fillId="0" borderId="0" xfId="0" applyFont="1" applyFill="1"/>
    <xf numFmtId="0" fontId="6" fillId="0" borderId="0" xfId="0" applyFont="1" applyFill="1" applyAlignment="1">
      <alignment horizontal="center" wrapText="1"/>
    </xf>
    <xf numFmtId="0" fontId="6" fillId="0" borderId="0" xfId="0" applyFont="1" applyFill="1" applyAlignment="1">
      <alignment horizontal="center"/>
    </xf>
    <xf numFmtId="0" fontId="13" fillId="0" borderId="0" xfId="0" applyFont="1" applyFill="1" applyAlignment="1">
      <alignment horizontal="center" wrapText="1"/>
    </xf>
    <xf numFmtId="0" fontId="14" fillId="2" borderId="0" xfId="0" applyFont="1" applyFill="1"/>
    <xf numFmtId="0" fontId="15" fillId="2" borderId="0" xfId="0" applyFont="1" applyFill="1"/>
    <xf numFmtId="0" fontId="16" fillId="0" borderId="0" xfId="0" applyFont="1"/>
    <xf numFmtId="0" fontId="8" fillId="0" borderId="0" xfId="0" applyFont="1" applyAlignment="1">
      <alignment horizontal="right" wrapText="1"/>
    </xf>
    <xf numFmtId="0" fontId="14" fillId="0" borderId="0" xfId="0" applyFont="1"/>
    <xf numFmtId="0" fontId="16" fillId="2" borderId="0" xfId="0" applyFont="1" applyFill="1"/>
    <xf numFmtId="0" fontId="10" fillId="0" borderId="0" xfId="0" applyFont="1" applyAlignment="1">
      <alignment horizontal="center" vertical="center" wrapText="1"/>
    </xf>
    <xf numFmtId="166" fontId="6" fillId="0" borderId="0" xfId="0" applyNumberFormat="1" applyFont="1"/>
    <xf numFmtId="0" fontId="17" fillId="0" borderId="0" xfId="0" applyFont="1" applyFill="1"/>
    <xf numFmtId="165" fontId="17" fillId="0" borderId="0" xfId="0" applyNumberFormat="1" applyFont="1" applyFill="1"/>
    <xf numFmtId="164" fontId="17" fillId="0" borderId="0" xfId="0" applyNumberFormat="1" applyFont="1"/>
    <xf numFmtId="165" fontId="17" fillId="0" borderId="0" xfId="0" applyNumberFormat="1" applyFont="1"/>
    <xf numFmtId="2" fontId="17" fillId="0" borderId="0" xfId="0" applyNumberFormat="1" applyFont="1"/>
    <xf numFmtId="1" fontId="17" fillId="0" borderId="0" xfId="0" applyNumberFormat="1" applyFont="1" applyFill="1" applyAlignment="1">
      <alignment horizontal="right" vertical="center" wrapText="1"/>
    </xf>
    <xf numFmtId="167" fontId="17" fillId="0" borderId="0" xfId="0" applyNumberFormat="1" applyFont="1" applyFill="1" applyAlignment="1">
      <alignment horizontal="right"/>
    </xf>
    <xf numFmtId="2" fontId="17" fillId="0" borderId="0" xfId="0" applyNumberFormat="1" applyFont="1" applyFill="1"/>
    <xf numFmtId="0" fontId="17" fillId="0" borderId="0" xfId="0" applyFont="1"/>
    <xf numFmtId="1" fontId="17" fillId="0" borderId="0" xfId="0" applyNumberFormat="1" applyFont="1" applyAlignment="1">
      <alignment horizontal="right" vertical="center" wrapText="1"/>
    </xf>
    <xf numFmtId="2" fontId="18" fillId="0" borderId="0" xfId="0" applyNumberFormat="1" applyFont="1" applyFill="1"/>
    <xf numFmtId="164" fontId="19" fillId="0" borderId="0" xfId="0" applyNumberFormat="1" applyFont="1"/>
    <xf numFmtId="168" fontId="17" fillId="0" borderId="0" xfId="0" applyNumberFormat="1" applyFont="1"/>
    <xf numFmtId="0" fontId="0" fillId="0" borderId="0" xfId="0" applyAlignment="1">
      <alignment wrapText="1"/>
    </xf>
    <xf numFmtId="0" fontId="5" fillId="0" borderId="0" xfId="0" applyFont="1"/>
    <xf numFmtId="169" fontId="17" fillId="0" borderId="0" xfId="0" applyNumberFormat="1" applyFont="1"/>
    <xf numFmtId="0" fontId="17" fillId="0" borderId="0" xfId="0" applyFont="1" applyAlignment="1">
      <alignment horizontal="right"/>
    </xf>
    <xf numFmtId="0" fontId="22" fillId="0" borderId="0" xfId="0" applyFont="1"/>
    <xf numFmtId="0" fontId="19" fillId="0" borderId="0" xfId="0" applyFont="1"/>
    <xf numFmtId="169" fontId="22" fillId="0" borderId="0" xfId="0" applyNumberFormat="1" applyFont="1"/>
    <xf numFmtId="0" fontId="17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3" fillId="0" borderId="0" xfId="0" applyFont="1"/>
    <xf numFmtId="0" fontId="19" fillId="0" borderId="0" xfId="0" applyFont="1" applyAlignment="1">
      <alignment horizontal="center" vertical="center" wrapText="1"/>
    </xf>
    <xf numFmtId="166" fontId="24" fillId="0" borderId="0" xfId="0" applyNumberFormat="1" applyFont="1"/>
    <xf numFmtId="0" fontId="19" fillId="0" borderId="0" xfId="0" applyFont="1" applyAlignment="1">
      <alignment wrapText="1"/>
    </xf>
    <xf numFmtId="0" fontId="25" fillId="0" borderId="0" xfId="0" applyFont="1"/>
    <xf numFmtId="0" fontId="18" fillId="0" borderId="0" xfId="0" applyFont="1" applyAlignment="1">
      <alignment horizontal="right"/>
    </xf>
    <xf numFmtId="2" fontId="18" fillId="0" borderId="0" xfId="0" applyNumberFormat="1" applyFont="1" applyAlignment="1">
      <alignment horizontal="right"/>
    </xf>
    <xf numFmtId="166" fontId="18" fillId="0" borderId="0" xfId="0" applyNumberFormat="1" applyFont="1" applyAlignment="1">
      <alignment horizontal="right"/>
    </xf>
    <xf numFmtId="2" fontId="18" fillId="0" borderId="0" xfId="0" applyNumberFormat="1" applyFont="1"/>
    <xf numFmtId="170" fontId="26" fillId="0" borderId="0" xfId="0" applyNumberFormat="1" applyFont="1"/>
    <xf numFmtId="0" fontId="27" fillId="0" borderId="0" xfId="0" applyFont="1"/>
    <xf numFmtId="0" fontId="27" fillId="0" borderId="0" xfId="0" applyFont="1" applyAlignment="1">
      <alignment horizontal="right"/>
    </xf>
    <xf numFmtId="166" fontId="17" fillId="0" borderId="0" xfId="0" applyNumberFormat="1" applyFont="1"/>
    <xf numFmtId="1" fontId="17" fillId="0" borderId="0" xfId="0" applyNumberFormat="1" applyFont="1"/>
    <xf numFmtId="2" fontId="24" fillId="0" borderId="0" xfId="0" applyNumberFormat="1" applyFont="1"/>
    <xf numFmtId="171" fontId="27" fillId="0" borderId="0" xfId="0" applyNumberFormat="1" applyFont="1" applyAlignment="1">
      <alignment horizontal="right"/>
    </xf>
    <xf numFmtId="0" fontId="22" fillId="0" borderId="0" xfId="0" applyFont="1" applyAlignment="1">
      <alignment horizontal="right"/>
    </xf>
    <xf numFmtId="0" fontId="24" fillId="0" borderId="0" xfId="0" applyFont="1"/>
    <xf numFmtId="0" fontId="17" fillId="0" borderId="0" xfId="0" applyFont="1" applyAlignment="1">
      <alignment horizontal="center" vertical="center" wrapText="1"/>
    </xf>
    <xf numFmtId="0" fontId="19" fillId="4" borderId="0" xfId="0" applyFont="1" applyFill="1"/>
    <xf numFmtId="0" fontId="19" fillId="4" borderId="0" xfId="0" applyFont="1" applyFill="1" applyAlignment="1">
      <alignment wrapText="1"/>
    </xf>
    <xf numFmtId="0" fontId="23" fillId="0" borderId="0" xfId="0" applyFont="1" applyAlignment="1">
      <alignment horizontal="right"/>
    </xf>
    <xf numFmtId="166" fontId="26" fillId="0" borderId="0" xfId="0" applyNumberFormat="1" applyFont="1"/>
    <xf numFmtId="171" fontId="17" fillId="0" borderId="0" xfId="0" applyNumberFormat="1" applyFont="1" applyAlignment="1">
      <alignment horizontal="right"/>
    </xf>
    <xf numFmtId="2" fontId="0" fillId="0" borderId="0" xfId="0" applyNumberFormat="1"/>
    <xf numFmtId="2" fontId="17" fillId="4" borderId="0" xfId="0" applyNumberFormat="1" applyFont="1" applyFill="1"/>
    <xf numFmtId="2" fontId="28" fillId="0" borderId="0" xfId="0" applyNumberFormat="1" applyFont="1"/>
    <xf numFmtId="0" fontId="0" fillId="2" borderId="0" xfId="0" applyFill="1"/>
    <xf numFmtId="166" fontId="0" fillId="2" borderId="0" xfId="0" applyNumberFormat="1" applyFill="1"/>
    <xf numFmtId="0" fontId="29" fillId="0" borderId="0" xfId="0" applyFont="1" applyAlignment="1">
      <alignment horizontal="right"/>
    </xf>
    <xf numFmtId="2" fontId="26" fillId="0" borderId="0" xfId="0" applyNumberFormat="1" applyFont="1"/>
    <xf numFmtId="0" fontId="31" fillId="0" borderId="0" xfId="0" applyFont="1" applyAlignment="1">
      <alignment horizontal="right"/>
    </xf>
    <xf numFmtId="166" fontId="17" fillId="0" borderId="0" xfId="0" applyNumberFormat="1" applyFont="1" applyAlignment="1">
      <alignment wrapText="1"/>
    </xf>
    <xf numFmtId="164" fontId="26" fillId="0" borderId="0" xfId="0" applyNumberFormat="1" applyFont="1"/>
    <xf numFmtId="2" fontId="17" fillId="0" borderId="0" xfId="0" applyNumberFormat="1" applyFont="1" applyAlignment="1">
      <alignment wrapText="1"/>
    </xf>
    <xf numFmtId="0" fontId="32" fillId="0" borderId="0" xfId="0" applyFont="1" applyAlignment="1">
      <alignment horizontal="right"/>
    </xf>
    <xf numFmtId="11" fontId="17" fillId="0" borderId="0" xfId="0" applyNumberFormat="1" applyFont="1" applyAlignment="1">
      <alignment horizontal="right"/>
    </xf>
    <xf numFmtId="2" fontId="17" fillId="0" borderId="0" xfId="0" applyNumberFormat="1" applyFont="1" applyAlignment="1">
      <alignment horizontal="right"/>
    </xf>
    <xf numFmtId="166" fontId="17" fillId="0" borderId="0" xfId="0" applyNumberFormat="1" applyFont="1" applyAlignment="1">
      <alignment horizontal="right"/>
    </xf>
    <xf numFmtId="0" fontId="28" fillId="0" borderId="0" xfId="0" applyFont="1"/>
    <xf numFmtId="168" fontId="28" fillId="0" borderId="0" xfId="0" applyNumberFormat="1" applyFont="1"/>
    <xf numFmtId="166" fontId="22" fillId="0" borderId="0" xfId="0" applyNumberFormat="1" applyFont="1"/>
    <xf numFmtId="1" fontId="19" fillId="0" borderId="0" xfId="0" applyNumberFormat="1" applyFont="1"/>
    <xf numFmtId="0" fontId="19" fillId="0" borderId="0" xfId="0" applyFont="1" applyAlignment="1">
      <alignment horizontal="right"/>
    </xf>
    <xf numFmtId="2" fontId="19" fillId="0" borderId="0" xfId="0" applyNumberFormat="1" applyFont="1"/>
    <xf numFmtId="0" fontId="17" fillId="0" borderId="0" xfId="0" applyFont="1" applyFill="1" applyAlignment="1">
      <alignment wrapText="1"/>
    </xf>
    <xf numFmtId="166" fontId="17" fillId="0" borderId="0" xfId="0" applyNumberFormat="1" applyFont="1" applyFill="1" applyAlignment="1">
      <alignment wrapText="1"/>
    </xf>
    <xf numFmtId="2" fontId="17" fillId="0" borderId="0" xfId="0" applyNumberFormat="1" applyFont="1" applyFill="1" applyAlignment="1">
      <alignment wrapText="1"/>
    </xf>
    <xf numFmtId="166" fontId="26" fillId="0" borderId="0" xfId="0" applyNumberFormat="1" applyFont="1" applyFill="1"/>
    <xf numFmtId="168" fontId="17" fillId="0" borderId="0" xfId="0" applyNumberFormat="1" applyFont="1" applyFill="1"/>
    <xf numFmtId="169" fontId="17" fillId="0" borderId="0" xfId="0" applyNumberFormat="1" applyFont="1" applyFill="1"/>
    <xf numFmtId="166" fontId="17" fillId="0" borderId="0" xfId="0" applyNumberFormat="1" applyFont="1" applyFill="1"/>
    <xf numFmtId="168" fontId="26" fillId="0" borderId="0" xfId="0" applyNumberFormat="1" applyFont="1" applyFill="1"/>
    <xf numFmtId="0" fontId="0" fillId="0" borderId="0" xfId="0" applyFill="1"/>
    <xf numFmtId="0" fontId="26" fillId="0" borderId="0" xfId="0" applyFont="1" applyFill="1"/>
    <xf numFmtId="0" fontId="30" fillId="0" borderId="0" xfId="0" applyFont="1" applyFill="1"/>
    <xf numFmtId="2" fontId="18" fillId="0" borderId="0" xfId="0" applyNumberFormat="1" applyFont="1" applyFill="1" applyAlignment="1">
      <alignment horizontal="right"/>
    </xf>
    <xf numFmtId="0" fontId="28" fillId="0" borderId="0" xfId="0" applyFont="1" applyFill="1"/>
    <xf numFmtId="168" fontId="28" fillId="0" borderId="0" xfId="0" applyNumberFormat="1" applyFont="1" applyFill="1"/>
    <xf numFmtId="0" fontId="33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2" fontId="0" fillId="0" borderId="0" xfId="0" applyNumberFormat="1" applyFont="1"/>
    <xf numFmtId="0" fontId="0" fillId="0" borderId="0" xfId="0" applyFont="1" applyFill="1"/>
    <xf numFmtId="168" fontId="0" fillId="0" borderId="0" xfId="0" applyNumberFormat="1" applyFont="1" applyFill="1"/>
    <xf numFmtId="0" fontId="20" fillId="0" borderId="0" xfId="0" applyFont="1"/>
    <xf numFmtId="0" fontId="29" fillId="0" borderId="0" xfId="0" applyFont="1"/>
    <xf numFmtId="169" fontId="0" fillId="0" borderId="0" xfId="0" applyNumberFormat="1"/>
    <xf numFmtId="0" fontId="0" fillId="0" borderId="0" xfId="0" applyAlignment="1">
      <alignment horizontal="right"/>
    </xf>
    <xf numFmtId="0" fontId="36" fillId="0" borderId="0" xfId="0" applyFont="1"/>
    <xf numFmtId="2" fontId="37" fillId="0" borderId="0" xfId="0" applyNumberFormat="1" applyFont="1" applyAlignment="1">
      <alignment horizontal="right"/>
    </xf>
    <xf numFmtId="2" fontId="37" fillId="0" borderId="0" xfId="0" applyNumberFormat="1" applyFont="1"/>
    <xf numFmtId="0" fontId="5" fillId="0" borderId="0" xfId="0" applyFont="1" applyAlignment="1">
      <alignment horizontal="center" vertical="center" wrapText="1"/>
    </xf>
    <xf numFmtId="166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  <xf numFmtId="166" fontId="0" fillId="0" borderId="0" xfId="0" applyNumberFormat="1"/>
    <xf numFmtId="166" fontId="39" fillId="0" borderId="0" xfId="0" applyNumberFormat="1" applyFont="1"/>
    <xf numFmtId="168" fontId="0" fillId="0" borderId="0" xfId="0" applyNumberFormat="1"/>
    <xf numFmtId="0" fontId="39" fillId="0" borderId="0" xfId="0" applyFont="1"/>
    <xf numFmtId="171" fontId="0" fillId="0" borderId="0" xfId="0" applyNumberFormat="1"/>
    <xf numFmtId="2" fontId="20" fillId="0" borderId="0" xfId="0" applyNumberFormat="1" applyFont="1"/>
    <xf numFmtId="0" fontId="19" fillId="0" borderId="0" xfId="0" applyFont="1" applyAlignment="1">
      <alignment horizontal="left" wrapText="1"/>
    </xf>
    <xf numFmtId="2" fontId="19" fillId="4" borderId="0" xfId="0" applyNumberFormat="1" applyFont="1" applyFill="1"/>
    <xf numFmtId="2" fontId="17" fillId="6" borderId="0" xfId="0" applyNumberFormat="1" applyFont="1" applyFill="1"/>
    <xf numFmtId="2" fontId="40" fillId="0" borderId="0" xfId="0" applyNumberFormat="1" applyFont="1"/>
    <xf numFmtId="168" fontId="41" fillId="0" borderId="0" xfId="0" applyNumberFormat="1" applyFont="1"/>
    <xf numFmtId="2" fontId="36" fillId="0" borderId="0" xfId="0" applyNumberFormat="1" applyFont="1"/>
    <xf numFmtId="166" fontId="20" fillId="0" borderId="0" xfId="0" applyNumberFormat="1" applyFont="1"/>
    <xf numFmtId="0" fontId="34" fillId="0" borderId="0" xfId="0" applyFont="1" applyAlignment="1">
      <alignment horizontal="right"/>
    </xf>
    <xf numFmtId="2" fontId="34" fillId="0" borderId="0" xfId="0" applyNumberFormat="1" applyFont="1"/>
    <xf numFmtId="0" fontId="5" fillId="5" borderId="0" xfId="0" applyFont="1" applyFill="1" applyAlignment="1">
      <alignment wrapText="1"/>
    </xf>
    <xf numFmtId="0" fontId="0" fillId="5" borderId="0" xfId="0" applyFill="1" applyAlignment="1">
      <alignment wrapText="1"/>
    </xf>
    <xf numFmtId="0" fontId="36" fillId="0" borderId="0" xfId="0" applyFont="1" applyAlignment="1">
      <alignment wrapText="1"/>
    </xf>
    <xf numFmtId="164" fontId="0" fillId="0" borderId="0" xfId="0" applyNumberFormat="1"/>
    <xf numFmtId="166" fontId="0" fillId="5" borderId="0" xfId="0" applyNumberFormat="1" applyFill="1"/>
    <xf numFmtId="171" fontId="41" fillId="0" borderId="0" xfId="0" applyNumberFormat="1" applyFont="1" applyAlignment="1">
      <alignment horizontal="right"/>
    </xf>
    <xf numFmtId="2" fontId="0" fillId="5" borderId="0" xfId="0" applyNumberFormat="1" applyFill="1"/>
    <xf numFmtId="166" fontId="44" fillId="0" borderId="0" xfId="0" applyNumberFormat="1" applyFont="1"/>
    <xf numFmtId="168" fontId="30" fillId="0" borderId="0" xfId="0" applyNumberFormat="1" applyFont="1"/>
    <xf numFmtId="168" fontId="39" fillId="0" borderId="0" xfId="0" applyNumberFormat="1" applyFont="1"/>
    <xf numFmtId="168" fontId="38" fillId="0" borderId="0" xfId="0" applyNumberFormat="1" applyFont="1"/>
    <xf numFmtId="166" fontId="45" fillId="0" borderId="0" xfId="0" applyNumberFormat="1" applyFont="1"/>
    <xf numFmtId="166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2" fontId="0" fillId="5" borderId="0" xfId="0" applyNumberFormat="1" applyFill="1" applyAlignment="1">
      <alignment wrapText="1"/>
    </xf>
    <xf numFmtId="168" fontId="0" fillId="0" borderId="0" xfId="0" applyNumberFormat="1" applyAlignment="1">
      <alignment wrapText="1"/>
    </xf>
    <xf numFmtId="166" fontId="46" fillId="0" borderId="0" xfId="0" applyNumberFormat="1" applyFont="1" applyAlignment="1">
      <alignment horizontal="right"/>
    </xf>
    <xf numFmtId="2" fontId="38" fillId="0" borderId="0" xfId="0" applyNumberFormat="1" applyFont="1"/>
    <xf numFmtId="2" fontId="44" fillId="0" borderId="0" xfId="0" applyNumberFormat="1" applyFont="1"/>
    <xf numFmtId="2" fontId="45" fillId="0" borderId="0" xfId="0" applyNumberFormat="1" applyFont="1"/>
    <xf numFmtId="169" fontId="45" fillId="0" borderId="0" xfId="0" applyNumberFormat="1" applyFont="1"/>
    <xf numFmtId="0" fontId="47" fillId="0" borderId="0" xfId="0" applyFont="1" applyAlignment="1">
      <alignment horizontal="right"/>
    </xf>
    <xf numFmtId="168" fontId="17" fillId="0" borderId="0" xfId="0" applyNumberFormat="1" applyFont="1" applyAlignment="1">
      <alignment horizontal="right"/>
    </xf>
    <xf numFmtId="0" fontId="48" fillId="0" borderId="0" xfId="0" applyFont="1"/>
    <xf numFmtId="0" fontId="29" fillId="2" borderId="0" xfId="0" applyFont="1" applyFill="1" applyAlignment="1">
      <alignment horizontal="right"/>
    </xf>
    <xf numFmtId="166" fontId="46" fillId="2" borderId="0" xfId="0" applyNumberFormat="1" applyFon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29" fillId="7" borderId="0" xfId="0" applyFont="1" applyFill="1" applyAlignment="1">
      <alignment horizontal="right"/>
    </xf>
    <xf numFmtId="166" fontId="0" fillId="7" borderId="0" xfId="0" applyNumberFormat="1" applyFill="1" applyAlignment="1">
      <alignment horizontal="right"/>
    </xf>
    <xf numFmtId="0" fontId="49" fillId="0" borderId="0" xfId="0" applyFont="1"/>
    <xf numFmtId="0" fontId="0" fillId="7" borderId="0" xfId="0" applyFill="1"/>
    <xf numFmtId="165" fontId="50" fillId="0" borderId="0" xfId="0" applyNumberFormat="1" applyFont="1" applyAlignment="1">
      <alignment horizontal="right"/>
    </xf>
    <xf numFmtId="0" fontId="42" fillId="0" borderId="0" xfId="0" applyFont="1"/>
    <xf numFmtId="0" fontId="41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1" fillId="0" borderId="0" xfId="0" applyFont="1" applyAlignment="1">
      <alignment wrapText="1"/>
    </xf>
    <xf numFmtId="0" fontId="54" fillId="0" borderId="0" xfId="0" applyFont="1" applyAlignment="1">
      <alignment horizontal="right"/>
    </xf>
    <xf numFmtId="2" fontId="41" fillId="0" borderId="0" xfId="0" applyNumberFormat="1" applyFont="1"/>
    <xf numFmtId="169" fontId="41" fillId="0" borderId="0" xfId="0" applyNumberFormat="1" applyFont="1"/>
    <xf numFmtId="166" fontId="41" fillId="0" borderId="0" xfId="0" applyNumberFormat="1" applyFont="1"/>
    <xf numFmtId="0" fontId="46" fillId="0" borderId="0" xfId="0" applyFont="1" applyAlignment="1">
      <alignment wrapText="1"/>
    </xf>
    <xf numFmtId="166" fontId="18" fillId="0" borderId="0" xfId="0" applyNumberFormat="1" applyFont="1"/>
    <xf numFmtId="2" fontId="46" fillId="0" borderId="0" xfId="0" applyNumberFormat="1" applyFont="1"/>
    <xf numFmtId="166" fontId="43" fillId="0" borderId="0" xfId="0" applyNumberFormat="1" applyFont="1"/>
    <xf numFmtId="2" fontId="55" fillId="0" borderId="0" xfId="0" applyNumberFormat="1" applyFont="1"/>
    <xf numFmtId="169" fontId="0" fillId="0" borderId="0" xfId="0" applyNumberFormat="1" applyAlignment="1">
      <alignment horizontal="right"/>
    </xf>
    <xf numFmtId="169" fontId="41" fillId="0" borderId="0" xfId="0" applyNumberFormat="1" applyFont="1" applyAlignment="1">
      <alignment horizontal="right"/>
    </xf>
    <xf numFmtId="0" fontId="52" fillId="0" borderId="0" xfId="0" applyFont="1" applyAlignment="1">
      <alignment horizontal="right"/>
    </xf>
    <xf numFmtId="166" fontId="37" fillId="0" borderId="0" xfId="0" applyNumberFormat="1" applyFont="1"/>
    <xf numFmtId="166" fontId="41" fillId="0" borderId="0" xfId="0" applyNumberFormat="1" applyFont="1" applyAlignment="1">
      <alignment horizontal="right"/>
    </xf>
    <xf numFmtId="0" fontId="41" fillId="0" borderId="0" xfId="0" applyFont="1" applyAlignment="1">
      <alignment wrapText="1"/>
    </xf>
    <xf numFmtId="1" fontId="41" fillId="0" borderId="0" xfId="0" applyNumberFormat="1" applyFont="1"/>
    <xf numFmtId="1" fontId="41" fillId="0" borderId="0" xfId="0" applyNumberFormat="1" applyFont="1" applyAlignment="1">
      <alignment horizontal="right"/>
    </xf>
    <xf numFmtId="164" fontId="41" fillId="0" borderId="0" xfId="0" applyNumberFormat="1" applyFont="1"/>
    <xf numFmtId="0" fontId="56" fillId="0" borderId="0" xfId="0" applyFont="1"/>
    <xf numFmtId="169" fontId="17" fillId="8" borderId="0" xfId="0" applyNumberFormat="1" applyFont="1" applyFill="1"/>
    <xf numFmtId="2" fontId="40" fillId="0" borderId="0" xfId="0" applyNumberFormat="1" applyFont="1" applyAlignment="1">
      <alignment horizontal="right"/>
    </xf>
    <xf numFmtId="169" fontId="0" fillId="0" borderId="0" xfId="0" applyNumberFormat="1" applyFont="1"/>
    <xf numFmtId="171" fontId="24" fillId="0" borderId="0" xfId="0" applyNumberFormat="1" applyFont="1" applyAlignment="1">
      <alignment horizontal="right"/>
    </xf>
    <xf numFmtId="0" fontId="57" fillId="0" borderId="0" xfId="0" applyFont="1"/>
    <xf numFmtId="169" fontId="0" fillId="0" borderId="0" xfId="0" applyNumberFormat="1" applyFont="1" applyAlignment="1">
      <alignment horizontal="right"/>
    </xf>
    <xf numFmtId="169" fontId="17" fillId="0" borderId="0" xfId="0" applyNumberFormat="1" applyFont="1" applyAlignment="1">
      <alignment horizontal="right"/>
    </xf>
    <xf numFmtId="0" fontId="48" fillId="0" borderId="0" xfId="0" applyFont="1" applyAlignment="1">
      <alignment wrapText="1"/>
    </xf>
    <xf numFmtId="0" fontId="28" fillId="0" borderId="0" xfId="0" applyFont="1" applyAlignment="1">
      <alignment horizontal="center" vertical="center" wrapText="1"/>
    </xf>
    <xf numFmtId="169" fontId="0" fillId="3" borderId="0" xfId="0" applyNumberFormat="1" applyFill="1"/>
    <xf numFmtId="2" fontId="5" fillId="0" borderId="0" xfId="0" applyNumberFormat="1" applyFont="1"/>
    <xf numFmtId="169" fontId="59" fillId="0" borderId="0" xfId="0" applyNumberFormat="1" applyFont="1"/>
    <xf numFmtId="2" fontId="19" fillId="9" borderId="0" xfId="0" applyNumberFormat="1" applyFont="1" applyFill="1"/>
    <xf numFmtId="166" fontId="55" fillId="0" borderId="0" xfId="0" applyNumberFormat="1" applyFont="1" applyAlignment="1">
      <alignment horizontal="right"/>
    </xf>
    <xf numFmtId="2" fontId="51" fillId="0" borderId="0" xfId="0" applyNumberFormat="1" applyFont="1"/>
    <xf numFmtId="0" fontId="61" fillId="0" borderId="0" xfId="0" applyFont="1"/>
    <xf numFmtId="0" fontId="37" fillId="0" borderId="0" xfId="0" applyFont="1"/>
    <xf numFmtId="164" fontId="62" fillId="0" borderId="0" xfId="0" applyNumberFormat="1" applyFont="1" applyAlignment="1">
      <alignment horizontal="right"/>
    </xf>
    <xf numFmtId="0" fontId="62" fillId="0" borderId="0" xfId="0" applyFont="1"/>
    <xf numFmtId="165" fontId="63" fillId="0" borderId="0" xfId="0" applyNumberFormat="1" applyFont="1" applyAlignment="1">
      <alignment horizontal="right"/>
    </xf>
    <xf numFmtId="164" fontId="37" fillId="0" borderId="0" xfId="0" applyNumberFormat="1" applyFont="1" applyAlignment="1">
      <alignment horizontal="right"/>
    </xf>
    <xf numFmtId="165" fontId="63" fillId="0" borderId="0" xfId="0" applyNumberFormat="1" applyFont="1" applyAlignment="1">
      <alignment horizontal="left"/>
    </xf>
    <xf numFmtId="0" fontId="39" fillId="10" borderId="0" xfId="0" applyFont="1" applyFill="1"/>
    <xf numFmtId="2" fontId="0" fillId="8" borderId="0" xfId="0" applyNumberFormat="1" applyFill="1"/>
    <xf numFmtId="165" fontId="5" fillId="10" borderId="0" xfId="0" applyNumberFormat="1" applyFont="1" applyFill="1" applyAlignment="1">
      <alignment horizontal="right"/>
    </xf>
    <xf numFmtId="164" fontId="5" fillId="10" borderId="0" xfId="0" applyNumberFormat="1" applyFont="1" applyFill="1" applyAlignment="1">
      <alignment horizontal="right"/>
    </xf>
    <xf numFmtId="165" fontId="5" fillId="8" borderId="0" xfId="0" applyNumberFormat="1" applyFont="1" applyFill="1" applyAlignment="1">
      <alignment horizontal="right"/>
    </xf>
    <xf numFmtId="164" fontId="5" fillId="8" borderId="0" xfId="0" applyNumberFormat="1" applyFont="1" applyFill="1" applyAlignment="1">
      <alignment horizontal="right"/>
    </xf>
    <xf numFmtId="165" fontId="5" fillId="8" borderId="0" xfId="0" applyNumberFormat="1" applyFont="1" applyFill="1" applyAlignment="1">
      <alignment horizontal="left"/>
    </xf>
    <xf numFmtId="165" fontId="63" fillId="8" borderId="0" xfId="0" applyNumberFormat="1" applyFont="1" applyFill="1" applyAlignment="1">
      <alignment horizontal="right"/>
    </xf>
    <xf numFmtId="164" fontId="37" fillId="8" borderId="0" xfId="0" applyNumberFormat="1" applyFont="1" applyFill="1" applyAlignment="1">
      <alignment horizontal="right"/>
    </xf>
    <xf numFmtId="0" fontId="0" fillId="0" borderId="0" xfId="0" applyAlignment="1">
      <alignment wrapText="1"/>
    </xf>
    <xf numFmtId="0" fontId="37" fillId="0" borderId="0" xfId="0" applyFont="1" applyAlignment="1">
      <alignment horizontal="right"/>
    </xf>
    <xf numFmtId="166" fontId="37" fillId="0" borderId="0" xfId="0" applyNumberFormat="1" applyFont="1" applyAlignment="1">
      <alignment horizontal="right"/>
    </xf>
    <xf numFmtId="0" fontId="0" fillId="0" borderId="0" xfId="0" applyAlignment="1">
      <alignment horizontal="center" vertical="center" wrapText="1"/>
    </xf>
    <xf numFmtId="0" fontId="5" fillId="4" borderId="0" xfId="0" applyFont="1" applyFill="1"/>
    <xf numFmtId="0" fontId="5" fillId="4" borderId="0" xfId="0" applyFont="1" applyFill="1" applyAlignment="1">
      <alignment wrapText="1"/>
    </xf>
    <xf numFmtId="9" fontId="0" fillId="0" borderId="0" xfId="0" applyNumberFormat="1"/>
    <xf numFmtId="2" fontId="39" fillId="0" borderId="0" xfId="0" applyNumberFormat="1" applyFont="1"/>
    <xf numFmtId="2" fontId="0" fillId="4" borderId="0" xfId="0" applyNumberFormat="1" applyFill="1"/>
    <xf numFmtId="165" fontId="0" fillId="0" borderId="0" xfId="0" applyNumberFormat="1"/>
    <xf numFmtId="0" fontId="65" fillId="0" borderId="0" xfId="0" applyFont="1"/>
    <xf numFmtId="0" fontId="36" fillId="0" borderId="0" xfId="0" applyFont="1" applyFill="1"/>
    <xf numFmtId="0" fontId="64" fillId="0" borderId="0" xfId="0" applyFont="1" applyAlignment="1">
      <alignment horizontal="right"/>
    </xf>
    <xf numFmtId="0" fontId="5" fillId="8" borderId="0" xfId="0" applyFont="1" applyFill="1" applyAlignment="1">
      <alignment horizontal="center" wrapText="1"/>
    </xf>
    <xf numFmtId="0" fontId="23" fillId="0" borderId="0" xfId="0" applyFont="1" applyFill="1"/>
    <xf numFmtId="168" fontId="34" fillId="0" borderId="0" xfId="0" applyNumberFormat="1" applyFont="1"/>
    <xf numFmtId="2" fontId="0" fillId="0" borderId="0" xfId="0" applyNumberFormat="1" applyFill="1"/>
    <xf numFmtId="166" fontId="0" fillId="0" borderId="0" xfId="0" applyNumberFormat="1" applyFill="1"/>
    <xf numFmtId="2" fontId="5" fillId="4" borderId="0" xfId="0" applyNumberFormat="1" applyFont="1" applyFill="1"/>
    <xf numFmtId="166" fontId="5" fillId="0" borderId="0" xfId="0" applyNumberFormat="1" applyFont="1"/>
    <xf numFmtId="0" fontId="17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17" fillId="10" borderId="0" xfId="0" applyFont="1" applyFill="1" applyAlignment="1">
      <alignment horizontal="right"/>
    </xf>
    <xf numFmtId="0" fontId="17" fillId="10" borderId="0" xfId="0" applyFont="1" applyFill="1" applyAlignment="1">
      <alignment horizontal="left"/>
    </xf>
    <xf numFmtId="169" fontId="0" fillId="10" borderId="0" xfId="0" applyNumberFormat="1" applyFill="1"/>
    <xf numFmtId="2" fontId="17" fillId="10" borderId="0" xfId="0" applyNumberFormat="1" applyFont="1" applyFill="1"/>
    <xf numFmtId="0" fontId="17" fillId="10" borderId="0" xfId="0" applyFont="1" applyFill="1"/>
    <xf numFmtId="169" fontId="0" fillId="10" borderId="0" xfId="0" applyNumberFormat="1" applyFill="1" applyAlignment="1">
      <alignment horizontal="right"/>
    </xf>
    <xf numFmtId="0" fontId="0" fillId="10" borderId="0" xfId="0" applyFill="1"/>
    <xf numFmtId="0" fontId="66" fillId="0" borderId="0" xfId="0" applyFont="1"/>
    <xf numFmtId="0" fontId="58" fillId="10" borderId="0" xfId="0" applyFont="1" applyFill="1" applyAlignment="1">
      <alignment horizontal="left"/>
    </xf>
    <xf numFmtId="2" fontId="17" fillId="10" borderId="0" xfId="0" applyNumberFormat="1" applyFont="1" applyFill="1" applyAlignment="1">
      <alignment horizontal="right"/>
    </xf>
    <xf numFmtId="169" fontId="17" fillId="10" borderId="0" xfId="0" applyNumberFormat="1" applyFont="1" applyFill="1" applyAlignment="1">
      <alignment horizontal="right"/>
    </xf>
    <xf numFmtId="166" fontId="17" fillId="10" borderId="0" xfId="0" applyNumberFormat="1" applyFont="1" applyFill="1" applyAlignment="1">
      <alignment horizontal="right"/>
    </xf>
    <xf numFmtId="0" fontId="40" fillId="10" borderId="0" xfId="0" applyFont="1" applyFill="1" applyAlignment="1">
      <alignment horizontal="right"/>
    </xf>
    <xf numFmtId="0" fontId="40" fillId="10" borderId="0" xfId="0" applyFont="1" applyFill="1" applyAlignment="1">
      <alignment horizontal="left"/>
    </xf>
    <xf numFmtId="169" fontId="40" fillId="10" borderId="0" xfId="0" applyNumberFormat="1" applyFont="1" applyFill="1" applyAlignment="1">
      <alignment horizontal="right"/>
    </xf>
    <xf numFmtId="2" fontId="40" fillId="10" borderId="0" xfId="0" applyNumberFormat="1" applyFont="1" applyFill="1"/>
    <xf numFmtId="0" fontId="40" fillId="10" borderId="0" xfId="0" applyFont="1" applyFill="1"/>
    <xf numFmtId="169" fontId="66" fillId="0" borderId="0" xfId="0" applyNumberFormat="1" applyFont="1"/>
    <xf numFmtId="169" fontId="67" fillId="10" borderId="0" xfId="0" applyNumberFormat="1" applyFont="1" applyFill="1"/>
    <xf numFmtId="0" fontId="68" fillId="0" borderId="0" xfId="0" applyFont="1" applyAlignment="1">
      <alignment horizontal="left"/>
    </xf>
    <xf numFmtId="0" fontId="68" fillId="10" borderId="0" xfId="0" applyFont="1" applyFill="1" applyAlignment="1">
      <alignment horizontal="left"/>
    </xf>
    <xf numFmtId="0" fontId="68" fillId="0" borderId="0" xfId="0" applyFont="1"/>
    <xf numFmtId="164" fontId="17" fillId="0" borderId="0" xfId="0" applyNumberFormat="1" applyFont="1" applyFill="1"/>
    <xf numFmtId="0" fontId="13" fillId="0" borderId="0" xfId="0" applyFont="1" applyAlignment="1">
      <alignment horizontal="right"/>
    </xf>
    <xf numFmtId="0" fontId="10" fillId="0" borderId="0" xfId="0" applyFont="1" applyAlignment="1">
      <alignment wrapText="1"/>
    </xf>
    <xf numFmtId="164" fontId="6" fillId="0" borderId="0" xfId="0" applyNumberFormat="1" applyFont="1"/>
    <xf numFmtId="2" fontId="6" fillId="0" borderId="0" xfId="0" applyNumberFormat="1" applyFont="1"/>
    <xf numFmtId="0" fontId="11" fillId="0" borderId="0" xfId="0" applyFont="1" applyAlignment="1">
      <alignment horizontal="left" wrapText="1"/>
    </xf>
    <xf numFmtId="0" fontId="6" fillId="0" borderId="0" xfId="0" applyFont="1" applyAlignment="1">
      <alignment horizontal="right"/>
    </xf>
    <xf numFmtId="169" fontId="6" fillId="0" borderId="0" xfId="0" applyNumberFormat="1" applyFont="1"/>
    <xf numFmtId="49" fontId="10" fillId="0" borderId="0" xfId="0" applyNumberFormat="1" applyFont="1" applyAlignment="1"/>
    <xf numFmtId="0" fontId="19" fillId="0" borderId="0" xfId="0" applyFont="1" applyAlignment="1">
      <alignment wrapText="1"/>
    </xf>
    <xf numFmtId="49" fontId="10" fillId="0" borderId="0" xfId="0" applyNumberFormat="1" applyFont="1" applyAlignment="1">
      <alignment horizontal="center" wrapText="1"/>
    </xf>
    <xf numFmtId="0" fontId="19" fillId="9" borderId="0" xfId="0" applyFont="1" applyFill="1" applyAlignment="1">
      <alignment wrapText="1"/>
    </xf>
    <xf numFmtId="0" fontId="5" fillId="9" borderId="0" xfId="0" applyFont="1" applyFill="1" applyAlignment="1">
      <alignment wrapText="1"/>
    </xf>
    <xf numFmtId="169" fontId="28" fillId="0" borderId="0" xfId="0" applyNumberFormat="1" applyFont="1"/>
    <xf numFmtId="0" fontId="53" fillId="0" borderId="0" xfId="0" applyFont="1" applyAlignment="1">
      <alignment wrapText="1"/>
    </xf>
    <xf numFmtId="0" fontId="53" fillId="10" borderId="0" xfId="0" applyFont="1" applyFill="1" applyAlignment="1">
      <alignment wrapText="1"/>
    </xf>
    <xf numFmtId="0" fontId="71" fillId="0" borderId="0" xfId="0" applyFont="1" applyAlignment="1">
      <alignment horizontal="right"/>
    </xf>
    <xf numFmtId="169" fontId="41" fillId="10" borderId="0" xfId="0" applyNumberFormat="1" applyFont="1" applyFill="1"/>
    <xf numFmtId="166" fontId="41" fillId="10" borderId="0" xfId="0" applyNumberFormat="1" applyFont="1" applyFill="1"/>
    <xf numFmtId="2" fontId="51" fillId="10" borderId="0" xfId="0" applyNumberFormat="1" applyFont="1" applyFill="1"/>
    <xf numFmtId="2" fontId="41" fillId="0" borderId="0" xfId="0" applyNumberFormat="1" applyFont="1" applyAlignment="1">
      <alignment horizontal="right"/>
    </xf>
    <xf numFmtId="2" fontId="72" fillId="0" borderId="0" xfId="0" applyNumberFormat="1" applyFont="1" applyAlignment="1">
      <alignment horizontal="right"/>
    </xf>
    <xf numFmtId="2" fontId="68" fillId="0" borderId="0" xfId="0" applyNumberFormat="1" applyFont="1"/>
    <xf numFmtId="0" fontId="72" fillId="0" borderId="0" xfId="0" applyFont="1"/>
    <xf numFmtId="0" fontId="73" fillId="0" borderId="0" xfId="0" applyFont="1"/>
    <xf numFmtId="0" fontId="73" fillId="0" borderId="0" xfId="0" applyFont="1" applyAlignment="1">
      <alignment wrapText="1"/>
    </xf>
    <xf numFmtId="0" fontId="5" fillId="10" borderId="0" xfId="0" applyFont="1" applyFill="1" applyAlignment="1">
      <alignment wrapText="1"/>
    </xf>
    <xf numFmtId="0" fontId="60" fillId="10" borderId="0" xfId="0" applyFont="1" applyFill="1" applyAlignment="1">
      <alignment wrapText="1"/>
    </xf>
    <xf numFmtId="169" fontId="17" fillId="10" borderId="0" xfId="0" applyNumberFormat="1" applyFont="1" applyFill="1"/>
    <xf numFmtId="166" fontId="17" fillId="10" borderId="0" xfId="0" applyNumberFormat="1" applyFont="1" applyFill="1"/>
    <xf numFmtId="2" fontId="60" fillId="10" borderId="0" xfId="0" applyNumberFormat="1" applyFont="1" applyFill="1"/>
    <xf numFmtId="166" fontId="22" fillId="10" borderId="0" xfId="0" applyNumberFormat="1" applyFont="1" applyFill="1"/>
    <xf numFmtId="169" fontId="17" fillId="9" borderId="0" xfId="0" applyNumberFormat="1" applyFont="1" applyFill="1"/>
    <xf numFmtId="1" fontId="41" fillId="2" borderId="0" xfId="0" applyNumberFormat="1" applyFont="1" applyFill="1"/>
    <xf numFmtId="0" fontId="19" fillId="10" borderId="0" xfId="0" applyFont="1" applyFill="1"/>
    <xf numFmtId="0" fontId="19" fillId="10" borderId="0" xfId="0" applyFont="1" applyFill="1" applyAlignment="1">
      <alignment wrapText="1"/>
    </xf>
    <xf numFmtId="0" fontId="70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74" fillId="0" borderId="0" xfId="0" applyFont="1"/>
    <xf numFmtId="169" fontId="23" fillId="0" borderId="0" xfId="0" applyNumberFormat="1" applyFont="1"/>
    <xf numFmtId="169" fontId="23" fillId="0" borderId="0" xfId="0" applyNumberFormat="1" applyFont="1" applyAlignment="1">
      <alignment horizontal="right"/>
    </xf>
    <xf numFmtId="166" fontId="58" fillId="0" borderId="0" xfId="0" applyNumberFormat="1" applyFont="1"/>
    <xf numFmtId="0" fontId="58" fillId="0" borderId="0" xfId="0" applyFont="1"/>
    <xf numFmtId="169" fontId="19" fillId="0" borderId="0" xfId="0" applyNumberFormat="1" applyFont="1"/>
    <xf numFmtId="0" fontId="29" fillId="0" borderId="0" xfId="0" applyFont="1" applyFill="1" applyAlignment="1">
      <alignment horizontal="right"/>
    </xf>
    <xf numFmtId="169" fontId="17" fillId="0" borderId="0" xfId="0" applyNumberFormat="1" applyFont="1" applyFill="1" applyAlignment="1">
      <alignment horizontal="right"/>
    </xf>
    <xf numFmtId="0" fontId="23" fillId="0" borderId="0" xfId="0" applyFont="1" applyFill="1" applyAlignment="1">
      <alignment horizontal="right"/>
    </xf>
    <xf numFmtId="166" fontId="17" fillId="0" borderId="0" xfId="0" applyNumberFormat="1" applyFont="1" applyFill="1" applyAlignment="1">
      <alignment horizontal="right"/>
    </xf>
    <xf numFmtId="169" fontId="17" fillId="0" borderId="0" xfId="0" applyNumberFormat="1" applyFont="1" applyFill="1" applyAlignment="1">
      <alignment horizontal="left"/>
    </xf>
    <xf numFmtId="169" fontId="28" fillId="0" borderId="0" xfId="0" applyNumberFormat="1" applyFont="1" applyFill="1" applyAlignment="1">
      <alignment horizontal="right"/>
    </xf>
    <xf numFmtId="2" fontId="0" fillId="0" borderId="0" xfId="0" applyNumberFormat="1" applyFont="1" applyFill="1"/>
    <xf numFmtId="169" fontId="0" fillId="0" borderId="0" xfId="0" applyNumberFormat="1" applyFont="1" applyFill="1" applyAlignment="1">
      <alignment horizontal="right"/>
    </xf>
    <xf numFmtId="166" fontId="58" fillId="0" borderId="0" xfId="0" applyNumberFormat="1" applyFont="1" applyFill="1"/>
    <xf numFmtId="0" fontId="47" fillId="0" borderId="0" xfId="0" applyFont="1" applyFill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right"/>
    </xf>
    <xf numFmtId="0" fontId="14" fillId="0" borderId="0" xfId="0" applyFont="1" applyFill="1"/>
    <xf numFmtId="0" fontId="15" fillId="0" borderId="0" xfId="0" applyFont="1" applyFill="1"/>
    <xf numFmtId="1" fontId="41" fillId="0" borderId="0" xfId="0" applyNumberFormat="1" applyFont="1" applyFill="1"/>
    <xf numFmtId="0" fontId="6" fillId="0" borderId="0" xfId="0" applyFont="1" applyFill="1" applyAlignment="1">
      <alignment horizontal="right" textRotation="90"/>
    </xf>
    <xf numFmtId="0" fontId="41" fillId="0" borderId="0" xfId="0" applyFont="1" applyFill="1"/>
    <xf numFmtId="2" fontId="17" fillId="0" borderId="0" xfId="0" applyNumberFormat="1" applyFont="1" applyFill="1" applyAlignment="1">
      <alignment horizontal="right"/>
    </xf>
    <xf numFmtId="169" fontId="22" fillId="9" borderId="0" xfId="0" applyNumberFormat="1" applyFont="1" applyFill="1"/>
    <xf numFmtId="0" fontId="6" fillId="0" borderId="0" xfId="0" applyFont="1" applyFill="1" applyAlignment="1">
      <alignment horizontal="right"/>
    </xf>
    <xf numFmtId="169" fontId="0" fillId="0" borderId="0" xfId="0" applyNumberFormat="1" applyFont="1" applyFill="1" applyAlignment="1"/>
    <xf numFmtId="169" fontId="17" fillId="0" borderId="0" xfId="0" applyNumberFormat="1" applyFont="1" applyFill="1" applyAlignment="1"/>
    <xf numFmtId="0" fontId="17" fillId="0" borderId="0" xfId="0" applyFont="1" applyFill="1" applyAlignment="1"/>
    <xf numFmtId="0" fontId="0" fillId="0" borderId="0" xfId="0" applyFill="1" applyAlignment="1"/>
    <xf numFmtId="169" fontId="0" fillId="0" borderId="0" xfId="0" applyNumberFormat="1" applyFont="1" applyAlignment="1"/>
    <xf numFmtId="169" fontId="17" fillId="0" borderId="0" xfId="0" applyNumberFormat="1" applyFont="1" applyAlignment="1"/>
    <xf numFmtId="2" fontId="17" fillId="8" borderId="0" xfId="0" applyNumberFormat="1" applyFont="1" applyFill="1"/>
    <xf numFmtId="0" fontId="0" fillId="10" borderId="0" xfId="0" applyFont="1" applyFill="1"/>
    <xf numFmtId="2" fontId="0" fillId="10" borderId="0" xfId="0" applyNumberFormat="1" applyFont="1" applyFill="1"/>
    <xf numFmtId="169" fontId="0" fillId="10" borderId="0" xfId="0" applyNumberFormat="1" applyFont="1" applyFill="1"/>
    <xf numFmtId="0" fontId="0" fillId="10" borderId="0" xfId="0" applyFont="1" applyFill="1" applyAlignment="1">
      <alignment horizontal="right"/>
    </xf>
    <xf numFmtId="0" fontId="17" fillId="0" borderId="0" xfId="0" applyFont="1" applyFill="1" applyAlignment="1">
      <alignment horizontal="left"/>
    </xf>
    <xf numFmtId="169" fontId="5" fillId="0" borderId="0" xfId="0" applyNumberFormat="1" applyFont="1" applyAlignment="1">
      <alignment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wrapText="1"/>
    </xf>
    <xf numFmtId="49" fontId="11" fillId="0" borderId="0" xfId="0" applyNumberFormat="1" applyFont="1" applyAlignment="1">
      <alignment horizontal="center" wrapText="1"/>
    </xf>
    <xf numFmtId="11" fontId="0" fillId="0" borderId="0" xfId="0" applyNumberFormat="1"/>
    <xf numFmtId="11" fontId="17" fillId="0" borderId="0" xfId="0" applyNumberFormat="1" applyFont="1"/>
    <xf numFmtId="0" fontId="17" fillId="0" borderId="0" xfId="0" applyFont="1" applyFill="1" applyAlignment="1">
      <alignment wrapText="1"/>
    </xf>
    <xf numFmtId="0" fontId="55" fillId="0" borderId="0" xfId="0" applyFont="1"/>
    <xf numFmtId="0" fontId="76" fillId="0" borderId="0" xfId="0" applyFont="1"/>
    <xf numFmtId="0" fontId="17" fillId="0" borderId="0" xfId="0" applyFont="1" applyFill="1" applyAlignment="1">
      <alignment wrapText="1"/>
    </xf>
    <xf numFmtId="0" fontId="78" fillId="0" borderId="0" xfId="0" applyFont="1" applyAlignment="1">
      <alignment wrapText="1"/>
    </xf>
    <xf numFmtId="166" fontId="79" fillId="0" borderId="0" xfId="0" applyNumberFormat="1" applyFont="1"/>
    <xf numFmtId="0" fontId="79" fillId="0" borderId="0" xfId="0" applyFont="1"/>
    <xf numFmtId="0" fontId="0" fillId="0" borderId="0" xfId="0" applyAlignment="1">
      <alignment wrapText="1"/>
    </xf>
    <xf numFmtId="0" fontId="0" fillId="0" borderId="0" xfId="0"/>
    <xf numFmtId="2" fontId="72" fillId="0" borderId="0" xfId="0" applyNumberFormat="1" applyFont="1"/>
    <xf numFmtId="165" fontId="5" fillId="0" borderId="0" xfId="0" applyNumberFormat="1" applyFont="1"/>
    <xf numFmtId="165" fontId="5" fillId="0" borderId="0" xfId="5" applyNumberFormat="1" applyFont="1"/>
    <xf numFmtId="168" fontId="5" fillId="0" borderId="0" xfId="0" applyNumberFormat="1" applyFont="1"/>
    <xf numFmtId="1" fontId="0" fillId="0" borderId="0" xfId="0" applyNumberFormat="1" applyFont="1"/>
    <xf numFmtId="171" fontId="0" fillId="0" borderId="0" xfId="0" applyNumberFormat="1" applyFont="1"/>
    <xf numFmtId="0" fontId="17" fillId="0" borderId="0" xfId="0" applyFont="1" applyFill="1" applyAlignment="1">
      <alignment horizontal="center" vertical="center" wrapText="1"/>
    </xf>
    <xf numFmtId="0" fontId="19" fillId="0" borderId="0" xfId="0" applyFont="1" applyFill="1" applyAlignment="1">
      <alignment wrapText="1"/>
    </xf>
    <xf numFmtId="0" fontId="10" fillId="0" borderId="0" xfId="0" applyFont="1" applyAlignment="1">
      <alignment horizontal="right" wrapText="1"/>
    </xf>
    <xf numFmtId="0" fontId="5" fillId="0" borderId="0" xfId="0" applyFont="1" applyAlignment="1">
      <alignment horizontal="right" wrapText="1"/>
    </xf>
    <xf numFmtId="0" fontId="0" fillId="0" borderId="0" xfId="0" applyAlignment="1">
      <alignment wrapText="1"/>
    </xf>
    <xf numFmtId="49" fontId="10" fillId="0" borderId="0" xfId="0" applyNumberFormat="1" applyFont="1" applyFill="1" applyAlignment="1">
      <alignment horizontal="center" vertical="center" wrapText="1"/>
    </xf>
    <xf numFmtId="0" fontId="10" fillId="0" borderId="0" xfId="0" applyFont="1" applyFill="1" applyAlignment="1">
      <alignment horizontal="center" vertical="center" wrapText="1"/>
    </xf>
    <xf numFmtId="49" fontId="70" fillId="10" borderId="0" xfId="0" applyNumberFormat="1" applyFont="1" applyFill="1" applyAlignment="1">
      <alignment horizontal="center" wrapText="1"/>
    </xf>
    <xf numFmtId="49" fontId="68" fillId="10" borderId="0" xfId="0" applyNumberFormat="1" applyFont="1" applyFill="1" applyAlignment="1">
      <alignment horizontal="center" wrapText="1"/>
    </xf>
    <xf numFmtId="49" fontId="70" fillId="9" borderId="0" xfId="0" applyNumberFormat="1" applyFont="1" applyFill="1" applyAlignment="1">
      <alignment wrapText="1"/>
    </xf>
    <xf numFmtId="49" fontId="68" fillId="9" borderId="0" xfId="0" applyNumberFormat="1" applyFont="1" applyFill="1" applyAlignment="1">
      <alignment wrapText="1"/>
    </xf>
    <xf numFmtId="0" fontId="0" fillId="0" borderId="0" xfId="0" applyFont="1"/>
    <xf numFmtId="0" fontId="19" fillId="0" borderId="0" xfId="0" applyFont="1" applyFill="1" applyAlignment="1">
      <alignment wrapText="1"/>
    </xf>
    <xf numFmtId="0" fontId="17" fillId="0" borderId="0" xfId="0" applyFont="1" applyFill="1" applyAlignment="1">
      <alignment wrapText="1"/>
    </xf>
    <xf numFmtId="0" fontId="5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46" fillId="0" borderId="0" xfId="0" applyFont="1" applyFill="1" applyAlignment="1">
      <alignment wrapText="1"/>
    </xf>
    <xf numFmtId="166" fontId="18" fillId="0" borderId="0" xfId="0" applyNumberFormat="1" applyFont="1" applyFill="1"/>
    <xf numFmtId="0" fontId="5" fillId="0" borderId="0" xfId="0" applyFont="1" applyFill="1" applyAlignment="1">
      <alignment horizontal="center" wrapText="1"/>
    </xf>
    <xf numFmtId="171" fontId="17" fillId="0" borderId="0" xfId="0" applyNumberFormat="1" applyFont="1" applyFill="1" applyAlignment="1">
      <alignment horizontal="right"/>
    </xf>
    <xf numFmtId="2" fontId="24" fillId="0" borderId="0" xfId="0" applyNumberFormat="1" applyFont="1" applyFill="1"/>
    <xf numFmtId="2" fontId="28" fillId="0" borderId="0" xfId="0" applyNumberFormat="1" applyFont="1" applyFill="1"/>
  </cellXfs>
  <cellStyles count="6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  <cellStyle name="Per cent" xfId="5" builtinId="5"/>
  </cellStyles>
  <dxfs count="0"/>
  <tableStyles count="0" defaultTableStyle="TableStyleMedium9" defaultPivotStyle="PivotStyleMedium7"/>
  <colors>
    <mruColors>
      <color rgb="FFF5D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RDUV / Relavtive COTdrag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1D-C047-B0C8-9B3F96AD3E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8256624"/>
        <c:axId val="738515072"/>
      </c:scatterChart>
      <c:valAx>
        <c:axId val="738256624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515072"/>
        <c:crosses val="autoZero"/>
        <c:crossBetween val="midCat"/>
      </c:valAx>
      <c:valAx>
        <c:axId val="738515072"/>
        <c:scaling>
          <c:logBase val="10"/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25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Relative</a:t>
            </a:r>
            <a:r>
              <a:rPr lang="en-US" baseline="0"/>
              <a:t> </a:t>
            </a:r>
            <a:r>
              <a:rPr lang="en-US"/>
              <a:t>COTnet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32-5142-8075-B5E5617AF3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8256624"/>
        <c:axId val="738515072"/>
      </c:scatterChart>
      <c:valAx>
        <c:axId val="738256624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515072"/>
        <c:crosses val="autoZero"/>
        <c:crossBetween val="midCat"/>
      </c:valAx>
      <c:valAx>
        <c:axId val="73851507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25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</a:t>
            </a:r>
            <a:r>
              <a:rPr lang="en-US" baseline="0"/>
              <a:t>DUV / Relative </a:t>
            </a:r>
            <a:r>
              <a:rPr lang="en-US"/>
              <a:t>COTdrag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30B9-ED49-8522-1E1971098B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744677200"/>
        <c:axId val="656338864"/>
      </c:barChart>
      <c:catAx>
        <c:axId val="744677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338864"/>
        <c:crosses val="autoZero"/>
        <c:auto val="1"/>
        <c:lblAlgn val="ctr"/>
        <c:lblOffset val="100"/>
        <c:noMultiLvlLbl val="0"/>
      </c:catAx>
      <c:valAx>
        <c:axId val="656338864"/>
        <c:scaling>
          <c:orientation val="minMax"/>
          <c:max val="35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677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Relative COTnet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2394-2748-94BE-01EA259773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744677200"/>
        <c:axId val="656338864"/>
      </c:barChart>
      <c:catAx>
        <c:axId val="744677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338864"/>
        <c:crosses val="autoZero"/>
        <c:auto val="1"/>
        <c:lblAlgn val="ctr"/>
        <c:lblOffset val="100"/>
        <c:noMultiLvlLbl val="0"/>
      </c:catAx>
      <c:valAx>
        <c:axId val="6563388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677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RDUV / Relavtive COTdrag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CD-1D44-808B-83FE97FA0F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8256624"/>
        <c:axId val="738515072"/>
      </c:scatterChart>
      <c:valAx>
        <c:axId val="738256624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515072"/>
        <c:crosses val="autoZero"/>
        <c:crossBetween val="midCat"/>
      </c:valAx>
      <c:valAx>
        <c:axId val="738515072"/>
        <c:scaling>
          <c:logBase val="10"/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25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</a:t>
            </a:r>
            <a:r>
              <a:rPr lang="en-US" baseline="0"/>
              <a:t>DUV / Relative </a:t>
            </a:r>
            <a:r>
              <a:rPr lang="en-US"/>
              <a:t>COTdrag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97E5-D145-A47A-A31F84D41B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744677200"/>
        <c:axId val="656338864"/>
      </c:barChart>
      <c:catAx>
        <c:axId val="744677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338864"/>
        <c:crosses val="autoZero"/>
        <c:auto val="1"/>
        <c:lblAlgn val="ctr"/>
        <c:lblOffset val="100"/>
        <c:noMultiLvlLbl val="0"/>
      </c:catAx>
      <c:valAx>
        <c:axId val="656338864"/>
        <c:scaling>
          <c:orientation val="minMax"/>
          <c:max val="1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677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Relative </a:t>
            </a:r>
            <a:r>
              <a:rPr lang="en-US"/>
              <a:t>COTnet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DC0F-8A4B-854C-F4BC7CD449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744677200"/>
        <c:axId val="656338864"/>
      </c:barChart>
      <c:catAx>
        <c:axId val="744677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338864"/>
        <c:crosses val="autoZero"/>
        <c:auto val="1"/>
        <c:lblAlgn val="ctr"/>
        <c:lblOffset val="100"/>
        <c:noMultiLvlLbl val="0"/>
      </c:catAx>
      <c:valAx>
        <c:axId val="656338864"/>
        <c:scaling>
          <c:orientation val="minMax"/>
          <c:max val="10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677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RDUV / Relavtive COTdrag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99-5340-8EEC-390649AF87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8256624"/>
        <c:axId val="738515072"/>
      </c:scatterChart>
      <c:valAx>
        <c:axId val="738256624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515072"/>
        <c:crosses val="autoZero"/>
        <c:crossBetween val="midCat"/>
      </c:valAx>
      <c:valAx>
        <c:axId val="738515072"/>
        <c:scaling>
          <c:logBase val="10"/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25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Relative</a:t>
            </a:r>
            <a:r>
              <a:rPr lang="en-US" baseline="0"/>
              <a:t> </a:t>
            </a:r>
            <a:r>
              <a:rPr lang="en-US"/>
              <a:t>COTnet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C0-6F44-9289-FB1507CFDF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8256624"/>
        <c:axId val="738515072"/>
      </c:scatterChart>
      <c:valAx>
        <c:axId val="738256624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515072"/>
        <c:crosses val="autoZero"/>
        <c:crossBetween val="midCat"/>
      </c:valAx>
      <c:valAx>
        <c:axId val="73851507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25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</a:t>
            </a:r>
            <a:r>
              <a:rPr lang="en-US" baseline="0"/>
              <a:t>DUV / Relative </a:t>
            </a:r>
            <a:r>
              <a:rPr lang="en-US"/>
              <a:t>COTdrag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91AD-B341-9888-63E8150B21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744677200"/>
        <c:axId val="656338864"/>
      </c:barChart>
      <c:catAx>
        <c:axId val="744677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338864"/>
        <c:crosses val="autoZero"/>
        <c:auto val="1"/>
        <c:lblAlgn val="ctr"/>
        <c:lblOffset val="100"/>
        <c:noMultiLvlLbl val="0"/>
      </c:catAx>
      <c:valAx>
        <c:axId val="656338864"/>
        <c:scaling>
          <c:orientation val="minMax"/>
          <c:max val="35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677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Relative COTnet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D26B-C643-9844-A1ECAD4B90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744677200"/>
        <c:axId val="656338864"/>
      </c:barChart>
      <c:catAx>
        <c:axId val="744677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338864"/>
        <c:crosses val="autoZero"/>
        <c:auto val="1"/>
        <c:lblAlgn val="ctr"/>
        <c:lblOffset val="100"/>
        <c:noMultiLvlLbl val="0"/>
      </c:catAx>
      <c:valAx>
        <c:axId val="6563388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677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RDUV / Relavtive COTdrag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C5-4044-AA3E-F5A63A628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8256624"/>
        <c:axId val="738515072"/>
      </c:scatterChart>
      <c:valAx>
        <c:axId val="738256624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515072"/>
        <c:crosses val="autoZero"/>
        <c:crossBetween val="midCat"/>
      </c:valAx>
      <c:valAx>
        <c:axId val="738515072"/>
        <c:scaling>
          <c:logBase val="10"/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25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</a:t>
            </a:r>
            <a:r>
              <a:rPr lang="en-US" baseline="0"/>
              <a:t>DUV / Relative </a:t>
            </a:r>
            <a:r>
              <a:rPr lang="en-US"/>
              <a:t>COTdrag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E2F5-264C-B1F5-04A68FCF0C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744677200"/>
        <c:axId val="656338864"/>
      </c:barChart>
      <c:catAx>
        <c:axId val="744677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338864"/>
        <c:crosses val="autoZero"/>
        <c:auto val="1"/>
        <c:lblAlgn val="ctr"/>
        <c:lblOffset val="100"/>
        <c:noMultiLvlLbl val="0"/>
      </c:catAx>
      <c:valAx>
        <c:axId val="656338864"/>
        <c:scaling>
          <c:orientation val="minMax"/>
          <c:max val="1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677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Relative </a:t>
            </a:r>
            <a:r>
              <a:rPr lang="en-US"/>
              <a:t>COTnet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C13C-9C4F-A027-FD6D01EA64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744677200"/>
        <c:axId val="656338864"/>
      </c:barChart>
      <c:catAx>
        <c:axId val="744677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338864"/>
        <c:crosses val="autoZero"/>
        <c:auto val="1"/>
        <c:lblAlgn val="ctr"/>
        <c:lblOffset val="100"/>
        <c:noMultiLvlLbl val="0"/>
      </c:catAx>
      <c:valAx>
        <c:axId val="656338864"/>
        <c:scaling>
          <c:orientation val="minMax"/>
          <c:max val="10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677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38</xdr:row>
      <xdr:rowOff>65507</xdr:rowOff>
    </xdr:from>
    <xdr:to>
      <xdr:col>4</xdr:col>
      <xdr:colOff>347579</xdr:colOff>
      <xdr:row>55</xdr:row>
      <xdr:rowOff>40105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C30851-B3CE-124B-971D-D470695619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481264</xdr:colOff>
      <xdr:row>38</xdr:row>
      <xdr:rowOff>80212</xdr:rowOff>
    </xdr:from>
    <xdr:to>
      <xdr:col>11</xdr:col>
      <xdr:colOff>668421</xdr:colOff>
      <xdr:row>55</xdr:row>
      <xdr:rowOff>13367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E9D21AC-D1AE-6944-88DF-430679C60F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18</xdr:row>
      <xdr:rowOff>105609</xdr:rowOff>
    </xdr:from>
    <xdr:to>
      <xdr:col>4</xdr:col>
      <xdr:colOff>347578</xdr:colOff>
      <xdr:row>37</xdr:row>
      <xdr:rowOff>187158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B67DEC0-E622-E34D-8B5F-850FFEF45D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507999</xdr:colOff>
      <xdr:row>18</xdr:row>
      <xdr:rowOff>93578</xdr:rowOff>
    </xdr:from>
    <xdr:to>
      <xdr:col>11</xdr:col>
      <xdr:colOff>655052</xdr:colOff>
      <xdr:row>37</xdr:row>
      <xdr:rowOff>160422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F31E4E1-6D78-7546-AA52-DF6DEF2036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0</xdr:colOff>
      <xdr:row>18</xdr:row>
      <xdr:rowOff>53474</xdr:rowOff>
    </xdr:from>
    <xdr:to>
      <xdr:col>16</xdr:col>
      <xdr:colOff>0</xdr:colOff>
      <xdr:row>35</xdr:row>
      <xdr:rowOff>1334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EEB88C1-4D51-B946-9672-E63EEC8B54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374316</xdr:colOff>
      <xdr:row>74</xdr:row>
      <xdr:rowOff>187158</xdr:rowOff>
    </xdr:from>
    <xdr:to>
      <xdr:col>5</xdr:col>
      <xdr:colOff>494633</xdr:colOff>
      <xdr:row>94</xdr:row>
      <xdr:rowOff>148390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1FC0DF4-C02A-CC43-B5D2-C7B575DD69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1002632</xdr:colOff>
      <xdr:row>75</xdr:row>
      <xdr:rowOff>40105</xdr:rowOff>
    </xdr:from>
    <xdr:to>
      <xdr:col>12</xdr:col>
      <xdr:colOff>0</xdr:colOff>
      <xdr:row>95</xdr:row>
      <xdr:rowOff>1338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3CA8CAD-2DB5-944A-986C-F5AD2B0C6D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367630</xdr:colOff>
      <xdr:row>38</xdr:row>
      <xdr:rowOff>65507</xdr:rowOff>
    </xdr:from>
    <xdr:to>
      <xdr:col>7</xdr:col>
      <xdr:colOff>347579</xdr:colOff>
      <xdr:row>55</xdr:row>
      <xdr:rowOff>40105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A22F6F-25CE-2B47-8026-32FBC7ED09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481264</xdr:colOff>
      <xdr:row>38</xdr:row>
      <xdr:rowOff>80212</xdr:rowOff>
    </xdr:from>
    <xdr:to>
      <xdr:col>13</xdr:col>
      <xdr:colOff>0</xdr:colOff>
      <xdr:row>55</xdr:row>
      <xdr:rowOff>13367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D54C1B2-33C3-9842-B2FF-7B1FD9D05A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307472</xdr:colOff>
      <xdr:row>18</xdr:row>
      <xdr:rowOff>105609</xdr:rowOff>
    </xdr:from>
    <xdr:to>
      <xdr:col>7</xdr:col>
      <xdr:colOff>347578</xdr:colOff>
      <xdr:row>37</xdr:row>
      <xdr:rowOff>187158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70DC78B-903A-4645-AA17-1EC164EDD4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507999</xdr:colOff>
      <xdr:row>18</xdr:row>
      <xdr:rowOff>93578</xdr:rowOff>
    </xdr:from>
    <xdr:to>
      <xdr:col>13</xdr:col>
      <xdr:colOff>0</xdr:colOff>
      <xdr:row>37</xdr:row>
      <xdr:rowOff>160422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48951FF-08CD-2D41-B84E-2CA126EE9A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0</xdr:colOff>
      <xdr:row>18</xdr:row>
      <xdr:rowOff>53474</xdr:rowOff>
    </xdr:from>
    <xdr:to>
      <xdr:col>16</xdr:col>
      <xdr:colOff>46791</xdr:colOff>
      <xdr:row>35</xdr:row>
      <xdr:rowOff>1334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1E96DF5-9D3E-D545-A8EC-2926237E14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374316</xdr:colOff>
      <xdr:row>74</xdr:row>
      <xdr:rowOff>187158</xdr:rowOff>
    </xdr:from>
    <xdr:to>
      <xdr:col>8</xdr:col>
      <xdr:colOff>494633</xdr:colOff>
      <xdr:row>94</xdr:row>
      <xdr:rowOff>148390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52DE6DE-A3A6-A547-BF9A-DFFB0FB9A3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1002632</xdr:colOff>
      <xdr:row>75</xdr:row>
      <xdr:rowOff>40105</xdr:rowOff>
    </xdr:from>
    <xdr:to>
      <xdr:col>13</xdr:col>
      <xdr:colOff>0</xdr:colOff>
      <xdr:row>95</xdr:row>
      <xdr:rowOff>1338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AE0BBF0-28C4-E54E-A77A-4B62F17B4E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73CB1-47E2-1346-A911-E2052C8C41DD}">
  <sheetPr>
    <pageSetUpPr fitToPage="1"/>
  </sheetPr>
  <dimension ref="A2:D12"/>
  <sheetViews>
    <sheetView tabSelected="1" workbookViewId="0"/>
  </sheetViews>
  <sheetFormatPr baseColWidth="10" defaultRowHeight="16"/>
  <cols>
    <col min="1" max="1" width="5.5" customWidth="1"/>
    <col min="2" max="2" width="28" customWidth="1"/>
  </cols>
  <sheetData>
    <row r="2" spans="1:4">
      <c r="B2" s="40" t="s">
        <v>30</v>
      </c>
      <c r="C2" s="40" t="s">
        <v>31</v>
      </c>
    </row>
    <row r="3" spans="1:4" ht="19">
      <c r="A3">
        <v>1</v>
      </c>
      <c r="B3" t="s">
        <v>34</v>
      </c>
      <c r="C3" t="s">
        <v>35</v>
      </c>
    </row>
    <row r="4" spans="1:4" s="101" customFormat="1">
      <c r="A4" s="101">
        <v>2</v>
      </c>
      <c r="B4" s="111" t="s">
        <v>32</v>
      </c>
      <c r="C4" s="111" t="s">
        <v>400</v>
      </c>
    </row>
    <row r="5" spans="1:4">
      <c r="A5">
        <v>3</v>
      </c>
      <c r="B5" s="111" t="s">
        <v>33</v>
      </c>
      <c r="C5" s="111" t="s">
        <v>464</v>
      </c>
      <c r="D5" s="113"/>
    </row>
    <row r="6" spans="1:4">
      <c r="A6">
        <v>4</v>
      </c>
      <c r="B6" s="111" t="s">
        <v>599</v>
      </c>
      <c r="C6" s="111" t="s">
        <v>597</v>
      </c>
      <c r="D6" s="113"/>
    </row>
    <row r="7" spans="1:4">
      <c r="A7">
        <v>5</v>
      </c>
      <c r="B7" t="s">
        <v>135</v>
      </c>
      <c r="C7" s="111" t="s">
        <v>401</v>
      </c>
    </row>
    <row r="8" spans="1:4">
      <c r="A8">
        <v>6</v>
      </c>
      <c r="B8" t="s">
        <v>398</v>
      </c>
      <c r="C8" s="111" t="s">
        <v>402</v>
      </c>
    </row>
    <row r="9" spans="1:4">
      <c r="A9">
        <v>7</v>
      </c>
      <c r="B9" t="s">
        <v>449</v>
      </c>
      <c r="C9" s="111" t="s">
        <v>136</v>
      </c>
    </row>
    <row r="10" spans="1:4">
      <c r="A10">
        <v>8</v>
      </c>
      <c r="B10" t="s">
        <v>447</v>
      </c>
      <c r="C10" s="111" t="s">
        <v>448</v>
      </c>
    </row>
    <row r="11" spans="1:4">
      <c r="A11">
        <v>9</v>
      </c>
      <c r="B11" t="s">
        <v>399</v>
      </c>
      <c r="C11" s="111" t="s">
        <v>404</v>
      </c>
    </row>
    <row r="12" spans="1:4">
      <c r="A12">
        <v>10</v>
      </c>
      <c r="B12" t="s">
        <v>405</v>
      </c>
      <c r="C12" s="111" t="s">
        <v>406</v>
      </c>
    </row>
  </sheetData>
  <pageMargins left="0.7" right="0.7" top="0.75" bottom="0.75" header="0.3" footer="0.3"/>
  <pageSetup paperSize="9" scale="3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R94"/>
  <sheetViews>
    <sheetView workbookViewId="0">
      <selection sqref="A1:O91"/>
    </sheetView>
  </sheetViews>
  <sheetFormatPr baseColWidth="10" defaultRowHeight="16"/>
  <cols>
    <col min="1" max="1" width="22.5" style="3" customWidth="1"/>
    <col min="2" max="2" width="11.83203125" style="3" customWidth="1"/>
    <col min="3" max="3" width="12" style="3" customWidth="1"/>
    <col min="4" max="4" width="13.5" style="3" customWidth="1"/>
    <col min="5" max="5" width="14" style="3" customWidth="1"/>
    <col min="6" max="6" width="13.5" style="3" customWidth="1"/>
    <col min="7" max="8" width="16" style="3" customWidth="1"/>
    <col min="9" max="9" width="15.1640625" style="3" customWidth="1"/>
    <col min="10" max="10" width="18.1640625" style="3" customWidth="1"/>
    <col min="11" max="14" width="17.1640625" style="3" customWidth="1"/>
    <col min="15" max="15" width="14.5" style="3" customWidth="1"/>
  </cols>
  <sheetData>
    <row r="1" spans="1:18" ht="18">
      <c r="A1" s="22" t="s">
        <v>18</v>
      </c>
      <c r="D1" s="10"/>
    </row>
    <row r="2" spans="1:18">
      <c r="D2" s="14"/>
    </row>
    <row r="3" spans="1:18" s="20" customFormat="1" ht="19">
      <c r="A3" s="18" t="s">
        <v>7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</row>
    <row r="4" spans="1:18" ht="17">
      <c r="A4" s="11" t="s">
        <v>8</v>
      </c>
      <c r="B4" s="5"/>
      <c r="P4" s="1"/>
    </row>
    <row r="5" spans="1:18" ht="37" customHeight="1">
      <c r="A5" s="10"/>
      <c r="B5" s="15" t="s">
        <v>11</v>
      </c>
      <c r="C5" s="16" t="s">
        <v>0</v>
      </c>
      <c r="D5" s="17" t="s">
        <v>21</v>
      </c>
      <c r="E5" s="17" t="s">
        <v>22</v>
      </c>
      <c r="F5" s="4" t="s">
        <v>25</v>
      </c>
      <c r="G5" s="17" t="s">
        <v>26</v>
      </c>
      <c r="H5" s="17" t="s">
        <v>27</v>
      </c>
      <c r="I5" s="17" t="s">
        <v>28</v>
      </c>
      <c r="J5" s="17" t="s">
        <v>1</v>
      </c>
      <c r="K5" s="17" t="s">
        <v>2</v>
      </c>
      <c r="L5" s="17" t="s">
        <v>3</v>
      </c>
      <c r="M5" s="17" t="s">
        <v>19</v>
      </c>
      <c r="N5" s="17" t="s">
        <v>20</v>
      </c>
      <c r="O5" s="17" t="s">
        <v>4</v>
      </c>
      <c r="P5" s="1"/>
    </row>
    <row r="6" spans="1:18" ht="17">
      <c r="A6" s="373" t="s">
        <v>23</v>
      </c>
      <c r="B6" s="31">
        <v>5</v>
      </c>
      <c r="C6" s="32">
        <f t="shared" ref="C6:C7" si="0">B6*998.2*1/0.0010016</f>
        <v>4983027.1565495208</v>
      </c>
      <c r="D6" s="30">
        <v>15.512453199999999</v>
      </c>
      <c r="E6" s="30">
        <v>19.2760532</v>
      </c>
      <c r="F6" s="30">
        <v>18.0869018</v>
      </c>
      <c r="G6" s="30">
        <v>16.890462400000001</v>
      </c>
      <c r="H6" s="30">
        <v>7.5700877999999996</v>
      </c>
      <c r="I6" s="30">
        <v>8.8236445999999997</v>
      </c>
      <c r="J6" s="33">
        <v>14.5951608</v>
      </c>
      <c r="K6" s="33">
        <v>17.393574999999998</v>
      </c>
      <c r="L6" s="33">
        <v>19.660417200000001</v>
      </c>
      <c r="M6" s="30">
        <v>24.213457999999999</v>
      </c>
      <c r="N6" s="30">
        <v>22.531488</v>
      </c>
      <c r="O6" s="33">
        <v>20.019390000000001</v>
      </c>
      <c r="P6" s="1"/>
    </row>
    <row r="7" spans="1:18" ht="17">
      <c r="A7" s="373"/>
      <c r="B7" s="31">
        <v>10</v>
      </c>
      <c r="C7" s="32">
        <f t="shared" si="0"/>
        <v>9966054.3130990416</v>
      </c>
      <c r="D7" s="30">
        <v>55.771520000000002</v>
      </c>
      <c r="E7" s="30">
        <v>69.160032000000001</v>
      </c>
      <c r="F7" s="30">
        <v>64.998946000000004</v>
      </c>
      <c r="G7" s="30">
        <v>60.673445999999998</v>
      </c>
      <c r="H7" s="30">
        <v>27.108785999999998</v>
      </c>
      <c r="I7" s="30">
        <v>31.689436000000001</v>
      </c>
      <c r="J7" s="33">
        <v>52.154077999999998</v>
      </c>
      <c r="K7" s="33">
        <v>62.105814000000002</v>
      </c>
      <c r="L7" s="33">
        <v>69.819336000000007</v>
      </c>
      <c r="M7" s="30">
        <v>87.111305999999999</v>
      </c>
      <c r="N7" s="30">
        <v>81.322941999999998</v>
      </c>
      <c r="O7" s="33">
        <v>71.693404000000001</v>
      </c>
      <c r="P7" s="1"/>
    </row>
    <row r="8" spans="1:18" ht="17">
      <c r="A8" s="14"/>
      <c r="B8" s="26"/>
      <c r="C8" s="26"/>
      <c r="D8" s="33"/>
      <c r="E8" s="33"/>
      <c r="F8" s="30"/>
      <c r="G8" s="33"/>
      <c r="H8" s="33"/>
      <c r="I8" s="33"/>
      <c r="J8" s="27"/>
      <c r="K8" s="27"/>
      <c r="L8" s="27"/>
      <c r="M8" s="33"/>
      <c r="N8" s="33"/>
      <c r="O8" s="27"/>
      <c r="P8" s="1"/>
      <c r="R8" s="2"/>
    </row>
    <row r="9" spans="1:18" ht="17">
      <c r="A9" s="372" t="s">
        <v>24</v>
      </c>
      <c r="B9" s="31">
        <v>5</v>
      </c>
      <c r="C9" s="32">
        <f t="shared" ref="C9:C10" si="1">B9*998.2*1/0.0010016</f>
        <v>4983027.1565495208</v>
      </c>
      <c r="D9" s="30">
        <v>34.168925899999998</v>
      </c>
      <c r="E9" s="30">
        <v>36.656835999999998</v>
      </c>
      <c r="F9" s="30">
        <v>34.730060000000002</v>
      </c>
      <c r="G9" s="30">
        <v>31.67417</v>
      </c>
      <c r="H9" s="30">
        <v>13.8143706</v>
      </c>
      <c r="I9" s="30">
        <v>14.5806504</v>
      </c>
      <c r="J9" s="33">
        <v>18.187855800000001</v>
      </c>
      <c r="K9" s="33">
        <v>25.928474000000001</v>
      </c>
      <c r="L9" s="33">
        <v>25.018969999999999</v>
      </c>
      <c r="M9" s="30">
        <v>30.020531999999999</v>
      </c>
      <c r="N9" s="30">
        <v>29.733423999999999</v>
      </c>
      <c r="O9" s="33">
        <v>23.667415999999999</v>
      </c>
      <c r="P9" s="1"/>
    </row>
    <row r="10" spans="1:18" ht="17">
      <c r="A10" s="372"/>
      <c r="B10" s="31">
        <v>10</v>
      </c>
      <c r="C10" s="32">
        <f t="shared" si="1"/>
        <v>9966054.3130990416</v>
      </c>
      <c r="D10" s="30">
        <v>128.677144</v>
      </c>
      <c r="E10" s="30">
        <v>131.761312</v>
      </c>
      <c r="F10" s="30">
        <v>125.291662</v>
      </c>
      <c r="G10" s="30">
        <v>113.79159</v>
      </c>
      <c r="H10" s="30">
        <v>49.706826</v>
      </c>
      <c r="I10" s="30">
        <v>52.500385999999999</v>
      </c>
      <c r="J10" s="33">
        <v>64.488442000000006</v>
      </c>
      <c r="K10" s="33">
        <v>90.651508000000007</v>
      </c>
      <c r="L10" s="33">
        <v>89.678433999999996</v>
      </c>
      <c r="M10" s="30">
        <v>107.573702</v>
      </c>
      <c r="N10" s="30">
        <v>106.89649</v>
      </c>
      <c r="O10" s="33">
        <v>83.928963999999993</v>
      </c>
      <c r="P10" s="1"/>
    </row>
    <row r="11" spans="1:18" ht="17">
      <c r="A11" s="12"/>
      <c r="D11" s="8"/>
      <c r="E11" s="8"/>
      <c r="F11" s="8"/>
      <c r="G11" s="8"/>
      <c r="H11" s="8"/>
      <c r="I11" s="9"/>
      <c r="J11" s="8"/>
      <c r="K11" s="8"/>
      <c r="L11" s="8"/>
      <c r="M11" s="8"/>
      <c r="N11" s="8"/>
      <c r="O11" s="8"/>
      <c r="P11" s="1"/>
      <c r="R11" s="2"/>
    </row>
    <row r="12" spans="1:18" ht="17">
      <c r="A12" s="12"/>
      <c r="I12" s="10"/>
      <c r="P12" s="1"/>
    </row>
    <row r="13" spans="1:18" ht="17">
      <c r="A13" s="11" t="s">
        <v>9</v>
      </c>
      <c r="B13" s="5"/>
      <c r="I13" s="10"/>
      <c r="P13" s="1"/>
    </row>
    <row r="14" spans="1:18" ht="32">
      <c r="A14" s="12"/>
      <c r="B14" s="6" t="s">
        <v>11</v>
      </c>
      <c r="C14" s="7" t="s">
        <v>0</v>
      </c>
      <c r="D14" s="17" t="s">
        <v>21</v>
      </c>
      <c r="E14" s="17" t="s">
        <v>22</v>
      </c>
      <c r="F14" s="4" t="s">
        <v>25</v>
      </c>
      <c r="G14" s="17" t="s">
        <v>26</v>
      </c>
      <c r="H14" s="17" t="s">
        <v>27</v>
      </c>
      <c r="I14" s="17" t="s">
        <v>28</v>
      </c>
      <c r="J14" s="17" t="s">
        <v>1</v>
      </c>
      <c r="K14" s="17" t="s">
        <v>2</v>
      </c>
      <c r="L14" s="17" t="s">
        <v>3</v>
      </c>
      <c r="M14" s="17" t="s">
        <v>19</v>
      </c>
      <c r="N14" s="17" t="s">
        <v>20</v>
      </c>
      <c r="O14" s="17" t="s">
        <v>4</v>
      </c>
    </row>
    <row r="15" spans="1:18">
      <c r="A15" s="373" t="s">
        <v>29</v>
      </c>
      <c r="B15" s="35">
        <v>5</v>
      </c>
      <c r="C15" s="32">
        <f t="shared" ref="C15:C16" si="2">B15*998.2*1/0.0010016</f>
        <v>4983027.1565495208</v>
      </c>
      <c r="D15" s="30">
        <v>12.5943054</v>
      </c>
      <c r="E15" s="30">
        <v>16.2742994</v>
      </c>
      <c r="F15" s="30">
        <v>14.6277934</v>
      </c>
      <c r="G15" s="30">
        <v>13.564755</v>
      </c>
      <c r="H15" s="30">
        <v>6.7940598000000003</v>
      </c>
      <c r="I15" s="30">
        <v>7.7775632000000003</v>
      </c>
      <c r="J15" s="36">
        <v>12.3747758</v>
      </c>
      <c r="K15" s="30">
        <v>14.408073399999999</v>
      </c>
      <c r="L15" s="30">
        <v>16.107994999999999</v>
      </c>
      <c r="M15" s="30">
        <v>19.531694399999999</v>
      </c>
      <c r="N15" s="30">
        <v>17.647501200000001</v>
      </c>
      <c r="O15" s="30">
        <v>16.340214599999999</v>
      </c>
    </row>
    <row r="16" spans="1:18">
      <c r="A16" s="373"/>
      <c r="B16" s="35">
        <v>10</v>
      </c>
      <c r="C16" s="32">
        <f t="shared" si="2"/>
        <v>9966054.3130990416</v>
      </c>
      <c r="D16" s="30">
        <v>45.426566000000001</v>
      </c>
      <c r="E16" s="30">
        <v>58.592571999999997</v>
      </c>
      <c r="F16" s="30">
        <v>52.761161999999999</v>
      </c>
      <c r="G16" s="30">
        <v>48.955066000000002</v>
      </c>
      <c r="H16" s="30">
        <v>24.319735999999999</v>
      </c>
      <c r="I16" s="30">
        <v>27.959009999999999</v>
      </c>
      <c r="J16" s="36">
        <v>44.334878000000003</v>
      </c>
      <c r="K16" s="30">
        <v>51.666665999999999</v>
      </c>
      <c r="L16" s="30">
        <v>57.331992</v>
      </c>
      <c r="M16" s="30">
        <v>70.239193999999998</v>
      </c>
      <c r="N16" s="30">
        <v>63.609389999999998</v>
      </c>
      <c r="O16" s="30">
        <v>58.72542</v>
      </c>
    </row>
    <row r="17" spans="1:15">
      <c r="A17" s="12"/>
      <c r="B17" s="34"/>
      <c r="C17" s="34"/>
      <c r="D17" s="30"/>
      <c r="E17" s="30"/>
      <c r="F17" s="30"/>
      <c r="G17" s="30"/>
      <c r="H17" s="30"/>
      <c r="I17" s="33"/>
      <c r="J17" s="29"/>
      <c r="K17" s="29"/>
      <c r="L17" s="29"/>
      <c r="M17" s="30"/>
      <c r="N17" s="30"/>
      <c r="O17" s="29"/>
    </row>
    <row r="18" spans="1:15" ht="16" customHeight="1">
      <c r="A18" s="372" t="s">
        <v>24</v>
      </c>
      <c r="B18" s="35">
        <v>5</v>
      </c>
      <c r="C18" s="32">
        <f t="shared" ref="C18:C19" si="3">B18*998.2*1/0.0010016</f>
        <v>4983027.1565495208</v>
      </c>
      <c r="D18" s="30">
        <v>22.6123476528</v>
      </c>
      <c r="E18" s="30">
        <v>25.444806</v>
      </c>
      <c r="F18" s="30">
        <v>23.22109</v>
      </c>
      <c r="G18" s="30">
        <v>22.61645</v>
      </c>
      <c r="H18" s="30">
        <v>9.6962651999999991</v>
      </c>
      <c r="I18" s="30">
        <v>10.309424999999999</v>
      </c>
      <c r="J18" s="36">
        <v>14.8380276</v>
      </c>
      <c r="K18" s="30">
        <v>16.6798374</v>
      </c>
      <c r="L18" s="33">
        <v>18.041457000000001</v>
      </c>
      <c r="M18" s="30">
        <v>23.211286000000001</v>
      </c>
      <c r="N18" s="30">
        <v>21.49071</v>
      </c>
      <c r="O18" s="33">
        <v>19.087426600000001</v>
      </c>
    </row>
    <row r="19" spans="1:15">
      <c r="A19" s="372"/>
      <c r="B19" s="35">
        <v>10</v>
      </c>
      <c r="C19" s="32">
        <f t="shared" si="3"/>
        <v>9966054.3130990416</v>
      </c>
      <c r="D19" s="30">
        <v>82.254326000000006</v>
      </c>
      <c r="E19" s="30">
        <v>91.789137999999994</v>
      </c>
      <c r="F19" s="30">
        <v>83.783770000000004</v>
      </c>
      <c r="G19" s="30">
        <v>81.549288000000004</v>
      </c>
      <c r="H19" s="30">
        <v>34.858620000000002</v>
      </c>
      <c r="I19" s="30">
        <v>37.077930000000002</v>
      </c>
      <c r="J19" s="36">
        <v>52.444581999999997</v>
      </c>
      <c r="K19" s="30">
        <v>59.094169999999998</v>
      </c>
      <c r="L19" s="33">
        <v>64.987921999999998</v>
      </c>
      <c r="M19" s="30">
        <v>83.538787999999997</v>
      </c>
      <c r="N19" s="30">
        <v>77.535120000000006</v>
      </c>
      <c r="O19" s="33">
        <v>67.907542000000007</v>
      </c>
    </row>
    <row r="20" spans="1:15">
      <c r="A20" s="12"/>
    </row>
    <row r="21" spans="1:15">
      <c r="A21" s="12"/>
    </row>
    <row r="22" spans="1:15">
      <c r="A22" s="11" t="s">
        <v>10</v>
      </c>
      <c r="B22" s="5"/>
    </row>
    <row r="23" spans="1:15" ht="32">
      <c r="A23" s="12"/>
      <c r="B23" s="6" t="s">
        <v>11</v>
      </c>
      <c r="C23" s="7" t="s">
        <v>0</v>
      </c>
      <c r="D23" s="17" t="s">
        <v>21</v>
      </c>
      <c r="E23" s="17" t="s">
        <v>22</v>
      </c>
      <c r="F23" s="4" t="s">
        <v>25</v>
      </c>
      <c r="G23" s="17" t="s">
        <v>26</v>
      </c>
      <c r="H23" s="17" t="s">
        <v>27</v>
      </c>
      <c r="I23" s="17" t="s">
        <v>28</v>
      </c>
      <c r="J23" s="17" t="s">
        <v>1</v>
      </c>
      <c r="K23" s="17" t="s">
        <v>2</v>
      </c>
      <c r="L23" s="17" t="s">
        <v>3</v>
      </c>
      <c r="M23" s="17" t="s">
        <v>19</v>
      </c>
      <c r="N23" s="17" t="s">
        <v>20</v>
      </c>
      <c r="O23" s="17" t="s">
        <v>4</v>
      </c>
    </row>
    <row r="24" spans="1:15">
      <c r="A24" s="373" t="s">
        <v>29</v>
      </c>
      <c r="B24" s="35">
        <v>5</v>
      </c>
      <c r="C24" s="32">
        <f t="shared" ref="C24:C25" si="4">B24*998.2*1/0.0010016</f>
        <v>4983027.1565495208</v>
      </c>
      <c r="D24" s="30">
        <f>+D6-D15</f>
        <v>2.9181477999999998</v>
      </c>
      <c r="E24" s="30">
        <f t="shared" ref="E24:J24" si="5">+E6-E15</f>
        <v>3.0017537999999995</v>
      </c>
      <c r="F24" s="30">
        <f t="shared" si="5"/>
        <v>3.4591083999999999</v>
      </c>
      <c r="G24" s="30">
        <f t="shared" si="5"/>
        <v>3.3257074000000006</v>
      </c>
      <c r="H24" s="30">
        <f t="shared" si="5"/>
        <v>0.77602799999999927</v>
      </c>
      <c r="I24" s="30">
        <f t="shared" si="5"/>
        <v>1.0460813999999994</v>
      </c>
      <c r="J24" s="30">
        <f t="shared" si="5"/>
        <v>2.2203850000000003</v>
      </c>
      <c r="K24" s="30">
        <v>2.9855015999999992</v>
      </c>
      <c r="L24" s="30">
        <v>3.5524222000000023</v>
      </c>
      <c r="M24" s="30">
        <f>+M6-M15</f>
        <v>4.6817636</v>
      </c>
      <c r="N24" s="30">
        <f t="shared" ref="N24" si="6">+N6-N15</f>
        <v>4.8839867999999989</v>
      </c>
      <c r="O24" s="30">
        <v>3.6791754000000019</v>
      </c>
    </row>
    <row r="25" spans="1:15">
      <c r="A25" s="373"/>
      <c r="B25" s="35">
        <v>10</v>
      </c>
      <c r="C25" s="32">
        <f t="shared" si="4"/>
        <v>9966054.3130990416</v>
      </c>
      <c r="D25" s="30">
        <f t="shared" ref="D25:J28" si="7">+D7-D16</f>
        <v>10.344954000000001</v>
      </c>
      <c r="E25" s="30">
        <f t="shared" si="7"/>
        <v>10.567460000000004</v>
      </c>
      <c r="F25" s="30">
        <f t="shared" si="7"/>
        <v>12.237784000000005</v>
      </c>
      <c r="G25" s="30">
        <f t="shared" si="7"/>
        <v>11.718379999999996</v>
      </c>
      <c r="H25" s="30">
        <f t="shared" si="7"/>
        <v>2.7890499999999996</v>
      </c>
      <c r="I25" s="30">
        <f t="shared" si="7"/>
        <v>3.7304260000000014</v>
      </c>
      <c r="J25" s="30">
        <f t="shared" si="7"/>
        <v>7.819199999999995</v>
      </c>
      <c r="K25" s="30">
        <v>10.439148000000003</v>
      </c>
      <c r="L25" s="30">
        <v>12.487344000000007</v>
      </c>
      <c r="M25" s="30">
        <f t="shared" ref="M25:N25" si="8">+M7-M16</f>
        <v>16.872112000000001</v>
      </c>
      <c r="N25" s="30">
        <f t="shared" si="8"/>
        <v>17.713552</v>
      </c>
      <c r="O25" s="30">
        <v>12.967984000000001</v>
      </c>
    </row>
    <row r="26" spans="1:15">
      <c r="A26" s="12"/>
      <c r="B26" s="34"/>
      <c r="C26" s="34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</row>
    <row r="27" spans="1:15" ht="16" customHeight="1">
      <c r="A27" s="372" t="s">
        <v>24</v>
      </c>
      <c r="B27" s="35">
        <v>5</v>
      </c>
      <c r="C27" s="32">
        <f t="shared" ref="C27:C28" si="9">B27*998.2*1/0.0010016</f>
        <v>4983027.1565495208</v>
      </c>
      <c r="D27" s="30">
        <f t="shared" si="7"/>
        <v>11.556578247199997</v>
      </c>
      <c r="E27" s="30">
        <f t="shared" si="7"/>
        <v>11.212029999999999</v>
      </c>
      <c r="F27" s="30">
        <f t="shared" si="7"/>
        <v>11.508970000000001</v>
      </c>
      <c r="G27" s="30">
        <f t="shared" si="7"/>
        <v>9.0577199999999998</v>
      </c>
      <c r="H27" s="30">
        <f t="shared" si="7"/>
        <v>4.118105400000001</v>
      </c>
      <c r="I27" s="30">
        <f t="shared" si="7"/>
        <v>4.2712254000000005</v>
      </c>
      <c r="J27" s="30">
        <f t="shared" si="7"/>
        <v>3.349828200000001</v>
      </c>
      <c r="K27" s="30">
        <v>9.2486366000000011</v>
      </c>
      <c r="L27" s="30">
        <v>6.9775129999999983</v>
      </c>
      <c r="M27" s="30">
        <f t="shared" ref="M27:N27" si="10">+M9-M18</f>
        <v>6.8092459999999981</v>
      </c>
      <c r="N27" s="30">
        <f t="shared" si="10"/>
        <v>8.2427139999999994</v>
      </c>
      <c r="O27" s="30">
        <v>4.5799893999999988</v>
      </c>
    </row>
    <row r="28" spans="1:15">
      <c r="A28" s="372"/>
      <c r="B28" s="35">
        <v>10</v>
      </c>
      <c r="C28" s="32">
        <f t="shared" si="9"/>
        <v>9966054.3130990416</v>
      </c>
      <c r="D28" s="30">
        <f t="shared" si="7"/>
        <v>46.422817999999992</v>
      </c>
      <c r="E28" s="30">
        <f t="shared" si="7"/>
        <v>39.97217400000001</v>
      </c>
      <c r="F28" s="30">
        <f t="shared" si="7"/>
        <v>41.507891999999998</v>
      </c>
      <c r="G28" s="30">
        <f t="shared" si="7"/>
        <v>32.242301999999995</v>
      </c>
      <c r="H28" s="30">
        <f t="shared" si="7"/>
        <v>14.848205999999998</v>
      </c>
      <c r="I28" s="30">
        <f t="shared" si="7"/>
        <v>15.422455999999997</v>
      </c>
      <c r="J28" s="30">
        <f t="shared" si="7"/>
        <v>12.043860000000009</v>
      </c>
      <c r="K28" s="30">
        <v>31.557338000000009</v>
      </c>
      <c r="L28" s="30">
        <v>24.690511999999998</v>
      </c>
      <c r="M28" s="30">
        <f t="shared" ref="M28:N28" si="11">+M10-M19</f>
        <v>24.034914000000001</v>
      </c>
      <c r="N28" s="30">
        <f t="shared" si="11"/>
        <v>29.361369999999994</v>
      </c>
      <c r="O28" s="30">
        <v>16.021421999999987</v>
      </c>
    </row>
    <row r="30" spans="1:15" s="20" customFormat="1" ht="19">
      <c r="A30" s="18" t="s">
        <v>6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</row>
    <row r="31" spans="1:15">
      <c r="A31" s="11" t="s">
        <v>12</v>
      </c>
      <c r="B31" s="5"/>
    </row>
    <row r="32" spans="1:15" ht="32">
      <c r="A32" s="12"/>
      <c r="B32" s="6" t="s">
        <v>11</v>
      </c>
      <c r="C32" s="7" t="s">
        <v>0</v>
      </c>
      <c r="D32" s="17" t="s">
        <v>21</v>
      </c>
      <c r="E32" s="17" t="s">
        <v>22</v>
      </c>
      <c r="F32" s="4" t="s">
        <v>25</v>
      </c>
      <c r="G32" s="17" t="s">
        <v>26</v>
      </c>
      <c r="H32" s="17" t="s">
        <v>27</v>
      </c>
      <c r="I32" s="17" t="s">
        <v>28</v>
      </c>
      <c r="J32" s="17" t="s">
        <v>1</v>
      </c>
      <c r="K32" s="17" t="s">
        <v>2</v>
      </c>
      <c r="L32" s="17" t="s">
        <v>3</v>
      </c>
      <c r="M32" s="17" t="s">
        <v>19</v>
      </c>
      <c r="N32" s="17" t="s">
        <v>20</v>
      </c>
      <c r="O32" s="17" t="s">
        <v>4</v>
      </c>
    </row>
    <row r="33" spans="1:15">
      <c r="A33" s="373" t="s">
        <v>29</v>
      </c>
      <c r="B33" s="35">
        <v>5</v>
      </c>
      <c r="C33" s="32">
        <f t="shared" ref="C33:C34" si="12">B33*998.2*1/0.0010016</f>
        <v>4983027.1565495208</v>
      </c>
      <c r="D33" s="270">
        <v>4.0899999999999999E-3</v>
      </c>
      <c r="E33" s="270">
        <v>3.9589999999999998E-3</v>
      </c>
      <c r="F33" s="270">
        <v>4.1159999999999999E-3</v>
      </c>
      <c r="G33" s="270">
        <v>4.1390000000000003E-3</v>
      </c>
      <c r="H33" s="270">
        <v>3.787E-3</v>
      </c>
      <c r="I33" s="270">
        <v>3.8300000000000001E-3</v>
      </c>
      <c r="J33" s="270">
        <v>4.0833338815487903E-3</v>
      </c>
      <c r="K33" s="270">
        <v>4.2776400213711506E-3</v>
      </c>
      <c r="L33" s="270">
        <v>4.4536860319574984E-3</v>
      </c>
      <c r="M33" s="270">
        <v>4.2339999999999999E-3</v>
      </c>
      <c r="N33" s="270">
        <v>4.3030000000000004E-3</v>
      </c>
      <c r="O33" s="270">
        <v>4.2154194631203743E-3</v>
      </c>
    </row>
    <row r="34" spans="1:15">
      <c r="A34" s="373"/>
      <c r="B34" s="35">
        <v>10</v>
      </c>
      <c r="C34" s="32">
        <f t="shared" si="12"/>
        <v>9966054.3130990416</v>
      </c>
      <c r="D34" s="270">
        <v>3.676E-3</v>
      </c>
      <c r="E34" s="270">
        <v>3.5509999999999999E-3</v>
      </c>
      <c r="F34" s="270">
        <v>3.6979999999999999E-3</v>
      </c>
      <c r="G34" s="270">
        <v>3.7169999999999998E-3</v>
      </c>
      <c r="H34" s="270">
        <v>3.3899999999999998E-3</v>
      </c>
      <c r="I34" s="270">
        <v>3.4390000000000002E-3</v>
      </c>
      <c r="J34" s="270">
        <v>3.6478274661821191E-3</v>
      </c>
      <c r="K34" s="270">
        <v>3.8184547386927751E-3</v>
      </c>
      <c r="L34" s="270">
        <v>3.9540539544571226E-3</v>
      </c>
      <c r="M34" s="270">
        <v>3.8080000000000002E-3</v>
      </c>
      <c r="N34" s="270">
        <v>3.882E-3</v>
      </c>
      <c r="O34" s="270">
        <v>3.7740631782356019E-3</v>
      </c>
    </row>
    <row r="35" spans="1:15">
      <c r="A35" s="24"/>
      <c r="B35" s="35"/>
      <c r="C35" s="32"/>
      <c r="D35" s="37">
        <f>+AVERAGE(D33:D34)</f>
        <v>3.8830000000000002E-3</v>
      </c>
      <c r="E35" s="37">
        <f t="shared" ref="E35:O35" si="13">+AVERAGE(E33:E34)</f>
        <v>3.7549999999999997E-3</v>
      </c>
      <c r="F35" s="37">
        <f t="shared" si="13"/>
        <v>3.9069999999999999E-3</v>
      </c>
      <c r="G35" s="37">
        <f t="shared" si="13"/>
        <v>3.9280000000000001E-3</v>
      </c>
      <c r="H35" s="37">
        <f t="shared" si="13"/>
        <v>3.5884999999999997E-3</v>
      </c>
      <c r="I35" s="37">
        <f t="shared" si="13"/>
        <v>3.6345000000000001E-3</v>
      </c>
      <c r="J35" s="37">
        <f t="shared" si="13"/>
        <v>3.8655806738654547E-3</v>
      </c>
      <c r="K35" s="37">
        <f t="shared" si="13"/>
        <v>4.0480473800319633E-3</v>
      </c>
      <c r="L35" s="37">
        <f t="shared" si="13"/>
        <v>4.2038699932073105E-3</v>
      </c>
      <c r="M35" s="37">
        <f t="shared" si="13"/>
        <v>4.0210000000000003E-3</v>
      </c>
      <c r="N35" s="37">
        <f t="shared" si="13"/>
        <v>4.0925000000000007E-3</v>
      </c>
      <c r="O35" s="37">
        <f t="shared" si="13"/>
        <v>3.9947413206779881E-3</v>
      </c>
    </row>
    <row r="36" spans="1:15">
      <c r="A36" s="12"/>
      <c r="B36" s="34"/>
      <c r="C36" s="34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</row>
    <row r="37" spans="1:15">
      <c r="A37" s="372" t="s">
        <v>24</v>
      </c>
      <c r="B37" s="35">
        <v>5</v>
      </c>
      <c r="C37" s="32">
        <f t="shared" ref="C37:C38" si="14">B37*998.2*1/0.0010016</f>
        <v>4983027.1565495208</v>
      </c>
      <c r="D37" s="270">
        <v>5.9020000000000001E-3</v>
      </c>
      <c r="E37" s="270">
        <v>5.3330000000000001E-3</v>
      </c>
      <c r="F37" s="270">
        <v>5.7320000000000001E-3</v>
      </c>
      <c r="G37" s="270">
        <v>5.326E-3</v>
      </c>
      <c r="H37" s="270">
        <v>5.3499999999999997E-3</v>
      </c>
      <c r="I37" s="270">
        <v>5.2370000000000003E-3</v>
      </c>
      <c r="J37" s="270">
        <v>4.6144200397829141E-3</v>
      </c>
      <c r="K37" s="270">
        <v>5.0350000000000004E-3</v>
      </c>
      <c r="L37" s="270">
        <v>5.1756334414363699E-3</v>
      </c>
      <c r="M37" s="270">
        <v>4.6480000000000002E-3</v>
      </c>
      <c r="N37" s="270">
        <v>5.0299999999999997E-3</v>
      </c>
      <c r="O37" s="270">
        <v>4.66518120020215E-3</v>
      </c>
    </row>
    <row r="38" spans="1:15">
      <c r="A38" s="372"/>
      <c r="B38" s="35">
        <v>10</v>
      </c>
      <c r="C38" s="32">
        <f t="shared" si="14"/>
        <v>9966054.3130990416</v>
      </c>
      <c r="D38" s="270">
        <v>5.5570000000000003E-3</v>
      </c>
      <c r="E38" s="270">
        <v>4.7930000000000004E-3</v>
      </c>
      <c r="F38" s="270">
        <v>5.1700000000000001E-3</v>
      </c>
      <c r="G38" s="270">
        <v>4.7840000000000001E-3</v>
      </c>
      <c r="H38" s="270">
        <v>4.8129999999999996E-3</v>
      </c>
      <c r="I38" s="270">
        <v>4.7140000000000003E-3</v>
      </c>
      <c r="J38" s="270">
        <v>4.0903221684215497E-3</v>
      </c>
      <c r="K38" s="270">
        <v>4.555E-3</v>
      </c>
      <c r="L38" s="270">
        <v>4.6379077754404438E-3</v>
      </c>
      <c r="M38" s="270">
        <v>4.1640000000000002E-3</v>
      </c>
      <c r="N38" s="270">
        <v>4.5209999999999998E-3</v>
      </c>
      <c r="O38" s="270">
        <v>4.1358953698752239E-3</v>
      </c>
    </row>
    <row r="39" spans="1:15">
      <c r="A39" s="24"/>
      <c r="B39" s="35"/>
      <c r="C39" s="32"/>
      <c r="D39" s="37">
        <f>+AVERAGE(D37:D38)</f>
        <v>5.7295000000000002E-3</v>
      </c>
      <c r="E39" s="37">
        <f t="shared" ref="E39:O39" si="15">+AVERAGE(E37:E38)</f>
        <v>5.0629999999999998E-3</v>
      </c>
      <c r="F39" s="37">
        <f t="shared" si="15"/>
        <v>5.4510000000000001E-3</v>
      </c>
      <c r="G39" s="37">
        <f t="shared" si="15"/>
        <v>5.0550000000000005E-3</v>
      </c>
      <c r="H39" s="37">
        <f t="shared" si="15"/>
        <v>5.0814999999999992E-3</v>
      </c>
      <c r="I39" s="37">
        <f t="shared" si="15"/>
        <v>4.9755000000000008E-3</v>
      </c>
      <c r="J39" s="37">
        <f t="shared" si="15"/>
        <v>4.3523711041022319E-3</v>
      </c>
      <c r="K39" s="37">
        <f t="shared" si="15"/>
        <v>4.7950000000000007E-3</v>
      </c>
      <c r="L39" s="37">
        <f t="shared" si="15"/>
        <v>4.9067706084384068E-3</v>
      </c>
      <c r="M39" s="37">
        <f t="shared" si="15"/>
        <v>4.4060000000000002E-3</v>
      </c>
      <c r="N39" s="37">
        <f t="shared" si="15"/>
        <v>4.7755000000000002E-3</v>
      </c>
      <c r="O39" s="37">
        <f t="shared" si="15"/>
        <v>4.4005382850386869E-3</v>
      </c>
    </row>
    <row r="40" spans="1:15">
      <c r="A40" s="12"/>
    </row>
    <row r="41" spans="1:15">
      <c r="A41" s="11" t="s">
        <v>14</v>
      </c>
      <c r="B41" s="5"/>
    </row>
    <row r="42" spans="1:15" ht="32">
      <c r="A42" s="12"/>
      <c r="B42" s="6" t="s">
        <v>11</v>
      </c>
      <c r="C42" s="7" t="s">
        <v>0</v>
      </c>
      <c r="D42" s="17" t="s">
        <v>21</v>
      </c>
      <c r="E42" s="17" t="s">
        <v>22</v>
      </c>
      <c r="F42" s="4" t="s">
        <v>25</v>
      </c>
      <c r="G42" s="17" t="s">
        <v>26</v>
      </c>
      <c r="H42" s="17" t="s">
        <v>27</v>
      </c>
      <c r="I42" s="17" t="s">
        <v>28</v>
      </c>
      <c r="J42" s="17" t="s">
        <v>1</v>
      </c>
      <c r="K42" s="17" t="s">
        <v>2</v>
      </c>
      <c r="L42" s="17" t="s">
        <v>3</v>
      </c>
      <c r="M42" s="17" t="s">
        <v>19</v>
      </c>
      <c r="N42" s="17" t="s">
        <v>20</v>
      </c>
      <c r="O42" s="17" t="s">
        <v>4</v>
      </c>
    </row>
    <row r="43" spans="1:15">
      <c r="A43" s="373" t="s">
        <v>29</v>
      </c>
      <c r="B43" s="35">
        <v>5</v>
      </c>
      <c r="C43" s="32">
        <f t="shared" ref="C43:C44" si="16">B43*998.2*1/0.0010016</f>
        <v>4983027.1565495208</v>
      </c>
      <c r="D43" s="27">
        <v>3.32E-3</v>
      </c>
      <c r="E43" s="27">
        <v>3.3419999999999999E-3</v>
      </c>
      <c r="F43" s="27">
        <v>3.3289999999999999E-3</v>
      </c>
      <c r="G43" s="27">
        <v>3.3240000000000001E-3</v>
      </c>
      <c r="H43" s="27">
        <v>3.398E-3</v>
      </c>
      <c r="I43" s="27">
        <v>3.3760000000000001E-3</v>
      </c>
      <c r="J43" s="27">
        <v>3.4621298109103419E-3</v>
      </c>
      <c r="K43" s="27">
        <v>3.5434090695382124E-3</v>
      </c>
      <c r="L43" s="27">
        <v>3.6489537126577977E-3</v>
      </c>
      <c r="M43" s="27">
        <v>3.4150000000000001E-3</v>
      </c>
      <c r="N43" s="27">
        <v>3.3700000000000002E-3</v>
      </c>
      <c r="O43" s="27">
        <v>3.4407071672215637E-3</v>
      </c>
    </row>
    <row r="44" spans="1:15">
      <c r="A44" s="373"/>
      <c r="B44" s="35">
        <v>10</v>
      </c>
      <c r="C44" s="32">
        <f t="shared" si="16"/>
        <v>9966054.3130990416</v>
      </c>
      <c r="D44" s="27">
        <v>2.9940000000000001E-3</v>
      </c>
      <c r="E44" s="27">
        <v>3.0079999999999998E-3</v>
      </c>
      <c r="F44" s="27">
        <v>3.0019999999999999E-3</v>
      </c>
      <c r="G44" s="27">
        <v>2.9989999999999999E-3</v>
      </c>
      <c r="H44" s="27">
        <v>3.0409999999999999E-3</v>
      </c>
      <c r="I44" s="27">
        <v>3.0339999999999998E-3</v>
      </c>
      <c r="J44" s="27">
        <v>3.1009269433970896E-3</v>
      </c>
      <c r="K44" s="27">
        <v>3.1766241018941783E-3</v>
      </c>
      <c r="L44" s="27">
        <v>3.2468625838049238E-3</v>
      </c>
      <c r="M44" s="27">
        <v>3.0709999999999999E-3</v>
      </c>
      <c r="N44" s="27">
        <v>3.0370000000000002E-3</v>
      </c>
      <c r="O44" s="27">
        <v>3.0914063621308953E-3</v>
      </c>
    </row>
    <row r="45" spans="1:15">
      <c r="A45" s="12"/>
      <c r="B45" s="34"/>
      <c r="C45" s="34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</row>
    <row r="46" spans="1:15">
      <c r="A46" s="372" t="s">
        <v>24</v>
      </c>
      <c r="B46" s="35">
        <v>5</v>
      </c>
      <c r="C46" s="32">
        <f t="shared" ref="C46:C47" si="17">B46*998.2*1/0.0010016</f>
        <v>4983027.1565495208</v>
      </c>
      <c r="D46" s="27">
        <v>3.9060000000000002E-3</v>
      </c>
      <c r="E46" s="27">
        <v>3.702E-3</v>
      </c>
      <c r="F46" s="27">
        <v>3.833E-3</v>
      </c>
      <c r="G46" s="27">
        <v>3.803E-3</v>
      </c>
      <c r="H46" s="27">
        <v>3.7550000000000001E-3</v>
      </c>
      <c r="I46" s="27">
        <v>3.7030000000000001E-3</v>
      </c>
      <c r="J46" s="27">
        <v>3.7645389682654058E-3</v>
      </c>
      <c r="K46" s="27">
        <v>3.6579999999999998E-3</v>
      </c>
      <c r="L46" s="27">
        <v>3.7322067287916482E-3</v>
      </c>
      <c r="M46" s="27">
        <v>3.594E-3</v>
      </c>
      <c r="N46" s="27">
        <v>3.6359999999999999E-3</v>
      </c>
      <c r="O46" s="27">
        <v>3.7624007510815073E-3</v>
      </c>
    </row>
    <row r="47" spans="1:15">
      <c r="A47" s="372"/>
      <c r="B47" s="35">
        <v>10</v>
      </c>
      <c r="C47" s="32">
        <f t="shared" si="17"/>
        <v>9966054.3130990416</v>
      </c>
      <c r="D47" s="27">
        <v>3.552E-3</v>
      </c>
      <c r="E47" s="27">
        <v>3.339E-3</v>
      </c>
      <c r="F47" s="27">
        <v>3.457E-3</v>
      </c>
      <c r="G47" s="27">
        <v>3.4280000000000001E-3</v>
      </c>
      <c r="H47" s="27">
        <v>3.375E-3</v>
      </c>
      <c r="I47" s="27">
        <v>3.3289999999999999E-3</v>
      </c>
      <c r="J47" s="27">
        <v>3.3264136908161307E-3</v>
      </c>
      <c r="K47" s="27">
        <v>3.2889999999999998E-3</v>
      </c>
      <c r="L47" s="27">
        <v>3.3609863075164431E-3</v>
      </c>
      <c r="M47" s="27">
        <v>3.2339999999999999E-3</v>
      </c>
      <c r="N47" s="27">
        <v>3.2789999999999998E-3</v>
      </c>
      <c r="O47" s="27">
        <v>3.346383359830432E-3</v>
      </c>
    </row>
    <row r="48" spans="1:15">
      <c r="A48" s="12"/>
    </row>
    <row r="49" spans="1:15">
      <c r="A49" s="11" t="s">
        <v>15</v>
      </c>
      <c r="B49" s="5"/>
    </row>
    <row r="50" spans="1:15" ht="32">
      <c r="A50" s="12"/>
      <c r="B50" s="6" t="s">
        <v>11</v>
      </c>
      <c r="C50" s="7" t="s">
        <v>0</v>
      </c>
      <c r="D50" s="17" t="s">
        <v>21</v>
      </c>
      <c r="E50" s="17" t="s">
        <v>22</v>
      </c>
      <c r="F50" s="4" t="s">
        <v>25</v>
      </c>
      <c r="G50" s="17" t="s">
        <v>26</v>
      </c>
      <c r="H50" s="17" t="s">
        <v>27</v>
      </c>
      <c r="I50" s="17" t="s">
        <v>28</v>
      </c>
      <c r="J50" s="17" t="s">
        <v>1</v>
      </c>
      <c r="K50" s="17" t="s">
        <v>2</v>
      </c>
      <c r="L50" s="17" t="s">
        <v>3</v>
      </c>
      <c r="M50" s="17" t="s">
        <v>19</v>
      </c>
      <c r="N50" s="17" t="s">
        <v>20</v>
      </c>
      <c r="O50" s="17" t="s">
        <v>4</v>
      </c>
    </row>
    <row r="51" spans="1:15">
      <c r="A51" s="373" t="s">
        <v>29</v>
      </c>
      <c r="B51" s="35">
        <v>5</v>
      </c>
      <c r="C51" s="32">
        <f t="shared" ref="C51:C52" si="18">B51*998.2*1/0.0010016</f>
        <v>4983027.1565495208</v>
      </c>
      <c r="D51" s="27">
        <v>7.6999999999999996E-4</v>
      </c>
      <c r="E51" s="27">
        <v>6.2E-4</v>
      </c>
      <c r="F51" s="27">
        <v>7.9000000000000001E-4</v>
      </c>
      <c r="G51" s="27">
        <v>8.0999999999999996E-4</v>
      </c>
      <c r="H51" s="27">
        <v>3.8999999999999999E-4</v>
      </c>
      <c r="I51" s="27">
        <v>4.4999999999999999E-4</v>
      </c>
      <c r="J51" s="27">
        <v>6.2120407063844842E-4</v>
      </c>
      <c r="K51" s="27">
        <v>7.342309518329382E-4</v>
      </c>
      <c r="L51" s="27">
        <v>8.0486165134661903E-4</v>
      </c>
      <c r="M51" s="27">
        <v>8.1999999999999998E-4</v>
      </c>
      <c r="N51" s="27">
        <v>9.3000000000000005E-4</v>
      </c>
      <c r="O51" s="27">
        <v>7.7471229589881055E-4</v>
      </c>
    </row>
    <row r="52" spans="1:15">
      <c r="A52" s="373"/>
      <c r="B52" s="35">
        <v>10</v>
      </c>
      <c r="C52" s="32">
        <f t="shared" si="18"/>
        <v>9966054.3130990416</v>
      </c>
      <c r="D52" s="27">
        <v>6.8000000000000005E-4</v>
      </c>
      <c r="E52" s="27">
        <v>5.4000000000000001E-4</v>
      </c>
      <c r="F52" s="27">
        <v>6.9999999999999999E-4</v>
      </c>
      <c r="G52" s="27">
        <v>7.2000000000000005E-4</v>
      </c>
      <c r="H52" s="27">
        <v>3.5E-4</v>
      </c>
      <c r="I52" s="27">
        <v>4.0000000000000002E-4</v>
      </c>
      <c r="J52" s="27">
        <v>5.4690052278502958E-4</v>
      </c>
      <c r="K52" s="27">
        <v>6.4183063679859684E-4</v>
      </c>
      <c r="L52" s="27">
        <v>7.073050264671029E-4</v>
      </c>
      <c r="M52" s="27">
        <v>7.3999999999999999E-4</v>
      </c>
      <c r="N52" s="27">
        <v>8.4999999999999995E-4</v>
      </c>
      <c r="O52" s="27">
        <v>6.8265681610470662E-4</v>
      </c>
    </row>
    <row r="53" spans="1:15">
      <c r="A53" s="12"/>
      <c r="B53" s="34"/>
      <c r="C53" s="34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</row>
    <row r="54" spans="1:15">
      <c r="A54" s="372" t="s">
        <v>24</v>
      </c>
      <c r="B54" s="35">
        <v>5</v>
      </c>
      <c r="C54" s="32">
        <f t="shared" ref="C54:C55" si="19">B54*998.2*1/0.0010016</f>
        <v>4983027.1565495208</v>
      </c>
      <c r="D54" s="27">
        <v>1.9959999999999999E-3</v>
      </c>
      <c r="E54" s="27">
        <v>1.6299999999999999E-3</v>
      </c>
      <c r="F54" s="27">
        <v>1.9E-3</v>
      </c>
      <c r="G54" s="27">
        <v>1.5200000000000001E-3</v>
      </c>
      <c r="H54" s="27">
        <v>1.5900000000000001E-3</v>
      </c>
      <c r="I54" s="27">
        <v>1.5299999999999999E-3</v>
      </c>
      <c r="J54" s="27">
        <v>8.4988107151750831E-4</v>
      </c>
      <c r="K54" s="27">
        <v>1.3770000000000006E-3</v>
      </c>
      <c r="L54" s="27">
        <v>1.443426712644726E-3</v>
      </c>
      <c r="M54" s="27">
        <v>1.0499999999999999E-3</v>
      </c>
      <c r="N54" s="27">
        <v>1.39E-3</v>
      </c>
      <c r="O54" s="27">
        <v>9.0278044912064448E-4</v>
      </c>
    </row>
    <row r="55" spans="1:15">
      <c r="A55" s="372"/>
      <c r="B55" s="35">
        <v>10</v>
      </c>
      <c r="C55" s="32">
        <f t="shared" si="19"/>
        <v>9966054.3130990416</v>
      </c>
      <c r="D55" s="27">
        <v>2.0050000000000003E-3</v>
      </c>
      <c r="E55" s="27">
        <v>1.4499999999999999E-3</v>
      </c>
      <c r="F55" s="27">
        <v>1.7099999999999999E-3</v>
      </c>
      <c r="G55" s="27">
        <v>1.3600000000000001E-3</v>
      </c>
      <c r="H55" s="27">
        <v>1.4400000000000001E-3</v>
      </c>
      <c r="I55" s="27">
        <v>1.3799999999999999E-3</v>
      </c>
      <c r="J55" s="27">
        <v>7.639084776054233E-4</v>
      </c>
      <c r="K55" s="27">
        <v>1.266E-3</v>
      </c>
      <c r="L55" s="27">
        <v>1.2769214679240006E-3</v>
      </c>
      <c r="M55" s="27">
        <v>9.3000000000000005E-4</v>
      </c>
      <c r="N55" s="27">
        <v>1.24E-3</v>
      </c>
      <c r="O55" s="27">
        <v>7.8951201004479185E-4</v>
      </c>
    </row>
    <row r="56" spans="1:15"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8" spans="1:15" s="23" customFormat="1" ht="19">
      <c r="A58" s="18" t="s">
        <v>13</v>
      </c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</row>
    <row r="59" spans="1:15" ht="31">
      <c r="D59" s="17" t="s">
        <v>21</v>
      </c>
      <c r="E59" s="17" t="s">
        <v>22</v>
      </c>
      <c r="F59" s="4" t="s">
        <v>25</v>
      </c>
      <c r="G59" s="17" t="s">
        <v>26</v>
      </c>
      <c r="H59" s="17" t="s">
        <v>27</v>
      </c>
      <c r="I59" s="17" t="s">
        <v>28</v>
      </c>
      <c r="J59" s="17" t="s">
        <v>1</v>
      </c>
      <c r="K59" s="17" t="s">
        <v>2</v>
      </c>
      <c r="L59" s="17" t="s">
        <v>3</v>
      </c>
      <c r="M59" s="17" t="s">
        <v>19</v>
      </c>
      <c r="N59" s="17" t="s">
        <v>20</v>
      </c>
      <c r="O59" s="17" t="s">
        <v>4</v>
      </c>
    </row>
    <row r="60" spans="1:15">
      <c r="A60" s="369" t="s">
        <v>5</v>
      </c>
      <c r="B60" s="370"/>
      <c r="C60" s="371"/>
      <c r="D60" s="21">
        <v>1</v>
      </c>
      <c r="E60" s="21">
        <v>1</v>
      </c>
      <c r="F60" s="21">
        <v>1</v>
      </c>
      <c r="G60" s="21">
        <v>1</v>
      </c>
      <c r="H60" s="21">
        <v>1</v>
      </c>
      <c r="I60" s="21">
        <v>1</v>
      </c>
      <c r="J60" s="21">
        <v>1</v>
      </c>
      <c r="K60" s="21">
        <v>1</v>
      </c>
      <c r="L60" s="21">
        <v>1</v>
      </c>
      <c r="M60" s="21"/>
      <c r="N60" s="21"/>
      <c r="O60" s="21">
        <v>1</v>
      </c>
    </row>
    <row r="61" spans="1:15">
      <c r="A61" s="369" t="s">
        <v>16</v>
      </c>
      <c r="B61" s="370"/>
      <c r="C61" s="370"/>
      <c r="D61" s="38">
        <v>0.30398929000000002</v>
      </c>
      <c r="E61" s="38">
        <v>0.39025384000000002</v>
      </c>
      <c r="F61" s="38">
        <v>0.35178556</v>
      </c>
      <c r="G61" s="38">
        <v>0.32704390999999999</v>
      </c>
      <c r="H61" s="38">
        <v>0.16022427</v>
      </c>
      <c r="I61" s="38">
        <v>0.18464</v>
      </c>
      <c r="J61" s="38">
        <v>0.28646159999999998</v>
      </c>
      <c r="K61" s="38">
        <v>0.32588</v>
      </c>
      <c r="L61" s="38">
        <v>0.35373315</v>
      </c>
      <c r="M61" s="38">
        <v>0.45800000000000002</v>
      </c>
      <c r="N61" s="38">
        <v>0.41889999999999999</v>
      </c>
      <c r="O61" s="38">
        <v>0.38061199000000001</v>
      </c>
    </row>
    <row r="62" spans="1:15">
      <c r="A62" s="369" t="s">
        <v>17</v>
      </c>
      <c r="B62" s="370"/>
      <c r="C62" s="370"/>
      <c r="D62" s="38">
        <v>0.46397877999999998</v>
      </c>
      <c r="E62" s="38">
        <v>0.55084005000000003</v>
      </c>
      <c r="F62" s="38">
        <v>0.48585999000000002</v>
      </c>
      <c r="G62" s="38">
        <v>0.47660048999999999</v>
      </c>
      <c r="H62" s="38">
        <v>0.20693346000000001</v>
      </c>
      <c r="I62" s="38">
        <v>0.22313092000000001</v>
      </c>
      <c r="J62" s="38">
        <v>0.31589066999999998</v>
      </c>
      <c r="K62" s="38">
        <v>0.35819917000000001</v>
      </c>
      <c r="L62" s="38">
        <v>0.38727143000000003</v>
      </c>
      <c r="M62" s="38">
        <v>0.51758999999999999</v>
      </c>
      <c r="N62" s="38">
        <v>0.47399999999999998</v>
      </c>
      <c r="O62" s="38">
        <v>0.40699999999999997</v>
      </c>
    </row>
    <row r="64" spans="1:15">
      <c r="A64" s="369"/>
    </row>
    <row r="65" spans="1:15">
      <c r="A65" s="369"/>
    </row>
    <row r="66" spans="1:15">
      <c r="B66" s="13"/>
    </row>
    <row r="67" spans="1:15">
      <c r="B67" s="13"/>
    </row>
    <row r="68" spans="1:15" s="23" customFormat="1" ht="19">
      <c r="A68" s="18" t="s">
        <v>422</v>
      </c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</row>
    <row r="69" spans="1:15">
      <c r="A69" s="369"/>
    </row>
    <row r="70" spans="1:15">
      <c r="A70" s="369"/>
      <c r="B70" s="12" t="s">
        <v>29</v>
      </c>
      <c r="E70" s="278" t="s">
        <v>24</v>
      </c>
    </row>
    <row r="71" spans="1:15" ht="60" customHeight="1">
      <c r="A71" s="13" t="s">
        <v>419</v>
      </c>
      <c r="B71" s="272" t="s">
        <v>550</v>
      </c>
      <c r="C71" s="275" t="s">
        <v>410</v>
      </c>
      <c r="D71" s="275" t="s">
        <v>409</v>
      </c>
      <c r="E71" s="272" t="s">
        <v>550</v>
      </c>
      <c r="F71" s="275" t="s">
        <v>410</v>
      </c>
      <c r="G71" s="275" t="s">
        <v>409</v>
      </c>
      <c r="H71" s="275" t="s">
        <v>418</v>
      </c>
      <c r="I71" s="275" t="s">
        <v>416</v>
      </c>
      <c r="J71" s="275" t="s">
        <v>417</v>
      </c>
      <c r="K71" s="275"/>
    </row>
    <row r="72" spans="1:15">
      <c r="A72" s="271" t="s">
        <v>21</v>
      </c>
      <c r="B72" s="274">
        <f>+D35/$O$35</f>
        <v>0.97202789574894843</v>
      </c>
      <c r="C72" s="274" cm="1">
        <f t="array" ref="C72">+AVERAGE(D43:D44/$O$43:$O$44)</f>
        <v>0.96670458261832914</v>
      </c>
      <c r="D72" s="274" cm="1">
        <f t="array" ref="D72">+AVERAGE(D51:D52/$O$51:$O$52)</f>
        <v>0.99501274175307919</v>
      </c>
      <c r="E72" s="274">
        <f>+D39/$O$39</f>
        <v>1.3019998074961936</v>
      </c>
      <c r="F72" s="274" cm="1">
        <f t="array" ref="F72">+AVERAGE(D46:D47/$O$46:$O$47)</f>
        <v>1.0498056783555973</v>
      </c>
      <c r="G72" s="274" cm="1">
        <f t="array" ref="G72">+AVERAGE(D54:D55/$O$54:$O$55)</f>
        <v>2.3752453428764895</v>
      </c>
      <c r="H72" s="277">
        <f>+(D39-D35)/D39*100</f>
        <v>32.227943101492279</v>
      </c>
      <c r="I72" s="277">
        <f>+((AVERAGE(D46:D47)-AVERAGE(D43:D44))/AVERAGE(D46:D47)*100)</f>
        <v>15.339233038348082</v>
      </c>
      <c r="J72" s="277">
        <f>+((AVERAGE(D54:D55)-AVERAGE(D51:D52))/AVERAGE(D54:D55)*100)</f>
        <v>63.759060234941266</v>
      </c>
      <c r="M72" s="273"/>
    </row>
    <row r="73" spans="1:15">
      <c r="A73" s="271" t="s">
        <v>22</v>
      </c>
      <c r="B73" s="274">
        <f>+E35/$O$35</f>
        <v>0.93998577093414915</v>
      </c>
      <c r="C73" s="274" cm="1">
        <f t="array" ref="C73">+AVERAGE(E43:E44/$O$43:$O$44)</f>
        <v>0.97216594141099244</v>
      </c>
      <c r="D73" s="274" cm="1">
        <f t="array" ref="D73">+AVERAGE(E51:E52/$O$51:$O$52)</f>
        <v>0.7956620671606327</v>
      </c>
      <c r="E73" s="274">
        <f>+E39/$O$39</f>
        <v>1.1505410638543028</v>
      </c>
      <c r="F73" s="274" cm="1">
        <f t="array" ref="F73">+AVERAGE(E46:E47/$O$46:$O$47)</f>
        <v>0.99086992538197305</v>
      </c>
      <c r="G73" s="274" cm="1">
        <f t="array" ref="G73">+AVERAGE(E54:E55/$O$54:$O$55)</f>
        <v>1.8210553134949388</v>
      </c>
      <c r="H73" s="277">
        <f>+(E39-E35)/E39*100</f>
        <v>25.834485482915269</v>
      </c>
      <c r="I73" s="277">
        <f>+((AVERAGE(E46:E47)-AVERAGE(E43:E44))/AVERAGE(E46:E47)*100)</f>
        <v>9.8139468825451015</v>
      </c>
      <c r="J73" s="277">
        <f>+((AVERAGE(E54:E55)-AVERAGE(E51:E52))/AVERAGE(E54:E55)*100)</f>
        <v>62.337662337662337</v>
      </c>
    </row>
    <row r="74" spans="1:15">
      <c r="A74" s="271" t="s">
        <v>25</v>
      </c>
      <c r="B74" s="274">
        <f>+F35/$O$35</f>
        <v>0.97803579415172326</v>
      </c>
      <c r="C74" s="274" cm="1">
        <f t="array" ref="C74">+AVERAGE(F43:F44/$O$43:$O$44)</f>
        <v>0.96930636277228432</v>
      </c>
      <c r="D74" s="274" cm="1">
        <f t="array" ref="D74">+AVERAGE(F51:F52/$O$51:$O$52)</f>
        <v>1.0225694082902839</v>
      </c>
      <c r="E74" s="274">
        <f>+F39/$O$39</f>
        <v>1.2387120954117725</v>
      </c>
      <c r="F74" s="274" cm="1">
        <f t="array" ref="F74">+AVERAGE(F46:F47/$O$46:$O$47)</f>
        <v>1.0259099970750385</v>
      </c>
      <c r="G74" s="274" cm="1">
        <f t="array" ref="G74">+AVERAGE(F54:F55/$O$54:$O$55)</f>
        <v>2.1352520056839008</v>
      </c>
      <c r="H74" s="277">
        <f>+(F39-F35)/F39*100</f>
        <v>28.325077967345447</v>
      </c>
      <c r="I74" s="277">
        <f>+((AVERAGE(F46:F47)-AVERAGE(F43:F44))/AVERAGE(F46:F47)*100)</f>
        <v>13.155006858710561</v>
      </c>
      <c r="J74" s="277">
        <f>+((AVERAGE(F54:F55)-AVERAGE(F51:F52))/AVERAGE(F54:F55)*100)</f>
        <v>58.725761772853183</v>
      </c>
    </row>
    <row r="75" spans="1:15">
      <c r="A75" s="271" t="s">
        <v>26</v>
      </c>
      <c r="B75" s="274">
        <f>+G35/$O$35</f>
        <v>0.98329270525415136</v>
      </c>
      <c r="C75" s="274" cm="1">
        <f t="array" ref="C75">+AVERAGE(G43:G44/$O$43:$O$44)</f>
        <v>0.96809455189850835</v>
      </c>
      <c r="D75" s="274" cm="1">
        <f t="array" ref="D75">+AVERAGE(G51:G52/$O$51:$O$52)</f>
        <v>1.0501260748274888</v>
      </c>
      <c r="E75" s="274">
        <f>+G39/$O$39</f>
        <v>1.1487231044407469</v>
      </c>
      <c r="F75" s="274" cm="1">
        <f t="array" ref="F75">+AVERAGE(G46:G47/$O$46:$O$47)</f>
        <v>1.0175901448164426</v>
      </c>
      <c r="G75" s="274" cm="1">
        <f t="array" ref="G75">+AVERAGE(G54:G55/$O$54:$O$55)</f>
        <v>1.7031351838352013</v>
      </c>
      <c r="H75" s="277">
        <f>+(G39-G35)/G39*100</f>
        <v>22.294757665677555</v>
      </c>
      <c r="I75" s="277">
        <f>+((AVERAGE(G46:G47)-AVERAGE(G43:G44))/AVERAGE(G46:G47)*100)</f>
        <v>12.557046051721739</v>
      </c>
      <c r="J75" s="277">
        <f>+((AVERAGE(G54:G55)-AVERAGE(G51:G52))/AVERAGE(G54:G55)*100)</f>
        <v>46.875</v>
      </c>
    </row>
    <row r="76" spans="1:15">
      <c r="A76" s="271" t="s">
        <v>27</v>
      </c>
      <c r="B76" s="274">
        <f>+H35/$O$35</f>
        <v>0.89830597576489857</v>
      </c>
      <c r="C76" s="274" cm="1">
        <f t="array" ref="C76">+AVERAGE(H43:H44/$O$43:$O$44)</f>
        <v>0.98564117998624745</v>
      </c>
      <c r="D76" s="274" cm="1">
        <f t="array" ref="D76">+AVERAGE(H51:H52/$O$51:$O$52)</f>
        <v>0.5080576997291355</v>
      </c>
      <c r="E76" s="274">
        <f>+H39/$O$39</f>
        <v>1.154745094998151</v>
      </c>
      <c r="F76" s="274" cm="1">
        <f t="array" ref="F76">+AVERAGE(H46:H47/$O$46:$O$47)</f>
        <v>1.0032922419457186</v>
      </c>
      <c r="G76" s="274" cm="1">
        <f t="array" ref="G76">+AVERAGE(H54:H55/$O$54:$O$55)</f>
        <v>1.7925685070048052</v>
      </c>
      <c r="H76" s="277">
        <f>+(H39-H35)/H39*100</f>
        <v>29.38108826134015</v>
      </c>
      <c r="I76" s="277">
        <f>+((AVERAGE(H46:H47)-AVERAGE(H43:H44))/AVERAGE(H46:H47)*100)</f>
        <v>9.6914446002805015</v>
      </c>
      <c r="J76" s="277">
        <f>+((AVERAGE(H54:H55)-AVERAGE(H51:H52))/AVERAGE(H54:H55)*100)</f>
        <v>75.577557755775587</v>
      </c>
    </row>
    <row r="77" spans="1:15">
      <c r="A77" s="271" t="s">
        <v>28</v>
      </c>
      <c r="B77" s="274">
        <f>+I35/$O$35</f>
        <v>0.90982111437021718</v>
      </c>
      <c r="C77" s="274" cm="1">
        <f t="array" ref="C77">+AVERAGE(I43:I44/$O$43:$O$44)</f>
        <v>0.98131199198901065</v>
      </c>
      <c r="D77" s="274" cm="1">
        <f t="array" ref="D77">+AVERAGE(I51:I52/$O$51:$O$52)</f>
        <v>0.58340337490416039</v>
      </c>
      <c r="E77" s="274">
        <f>+I39/$O$39</f>
        <v>1.1306571327685333</v>
      </c>
      <c r="F77" s="274" cm="1">
        <f t="array" ref="F77">+AVERAGE(I46:I47/$O$46:$O$47)</f>
        <v>0.98950866886360733</v>
      </c>
      <c r="G77" s="274" cm="1">
        <f t="array" ref="G77">+AVERAGE(I54:I55/$O$54:$O$55)</f>
        <v>1.7213396807650581</v>
      </c>
      <c r="H77" s="277">
        <f>+(I39-I35)/I39*100</f>
        <v>26.952065119083517</v>
      </c>
      <c r="I77" s="277">
        <f>+((AVERAGE(I46:I47)-AVERAGE(I43:I44))/AVERAGE(I46:I47)*100)</f>
        <v>8.8452787258248033</v>
      </c>
      <c r="J77" s="277">
        <f>+((AVERAGE(I54:I55)-AVERAGE(I51:I52))/AVERAGE(I54:I55)*100)</f>
        <v>70.790378006872842</v>
      </c>
    </row>
    <row r="78" spans="1:15">
      <c r="A78" s="271" t="s">
        <v>1</v>
      </c>
      <c r="B78" s="274">
        <f>+J35/$O$35</f>
        <v>0.96766733151306727</v>
      </c>
      <c r="C78" s="274" cm="1">
        <f t="array" ref="C78">+AVERAGE(J43:J44/$O$43:$O$44)</f>
        <v>1.0046529626759773</v>
      </c>
      <c r="D78" s="274" cm="1">
        <f t="array" ref="D78">+AVERAGE(J51:J52/$O$51:$O$52)</f>
        <v>0.8014933421800875</v>
      </c>
      <c r="E78" s="274">
        <f>+J39/$O$39</f>
        <v>0.98905425249901413</v>
      </c>
      <c r="F78" s="274" cm="1">
        <f t="array" ref="F78">+AVERAGE(J46:J47/$O$46:$O$47)</f>
        <v>0.99730038708528246</v>
      </c>
      <c r="G78" s="274" cm="1">
        <f t="array" ref="G78">+AVERAGE(J54:J55/$O$54:$O$55)</f>
        <v>0.9544871864861395</v>
      </c>
      <c r="H78" s="277">
        <f>+(J39-J35)/J39*100</f>
        <v>11.184488146655589</v>
      </c>
      <c r="I78" s="277">
        <f>+((AVERAGE(J46:J47)-AVERAGE(J43:J44))/AVERAGE(J46:J47)*100)</f>
        <v>7.4446400949809934</v>
      </c>
      <c r="J78" s="277">
        <f>+((AVERAGE(J54:J55)-AVERAGE(J51:J52))/AVERAGE(J54:J55)*100)</f>
        <v>27.617290987023441</v>
      </c>
    </row>
    <row r="79" spans="1:15">
      <c r="A79" s="271" t="s">
        <v>408</v>
      </c>
      <c r="B79" s="274">
        <f>+K35/$O$35</f>
        <v>1.0133440578687904</v>
      </c>
      <c r="C79" s="274" cm="1">
        <f t="array" ref="C79">+AVERAGE(K43:K44/$O$43:$O$44)</f>
        <v>1.0287075391897669</v>
      </c>
      <c r="D79" s="274" cm="1">
        <f t="array" ref="D79">+AVERAGE(K51:K52/$O$51:$O$52)</f>
        <v>0.94397088651227834</v>
      </c>
      <c r="E79" s="274">
        <f>+K39/$O$39</f>
        <v>1.0896394235001743</v>
      </c>
      <c r="F79" s="274" cm="1">
        <f t="array" ref="F79">+AVERAGE(K46:K47/$O$46:$O$47)</f>
        <v>0.97755184311198506</v>
      </c>
      <c r="G79" s="274" cm="1">
        <f t="array" ref="G79">+AVERAGE(K54:K55/$O$54:$O$55)</f>
        <v>1.5644049748243107</v>
      </c>
      <c r="H79" s="277">
        <f>+(K39-K35)/K39*100</f>
        <v>15.577739728217669</v>
      </c>
      <c r="I79" s="277">
        <f>+((AVERAGE(K46:K47)-AVERAGE(K43:K44))/AVERAGE(K46:K47)*100)</f>
        <v>3.2671200312020865</v>
      </c>
      <c r="J79" s="277">
        <f>+((AVERAGE(K54:K55)-AVERAGE(K51:K52))/AVERAGE(K54:K55)*100)</f>
        <v>47.935619045344879</v>
      </c>
    </row>
    <row r="80" spans="1:15">
      <c r="A80" s="271" t="s">
        <v>3</v>
      </c>
      <c r="B80" s="274">
        <f>+L35/$O$35</f>
        <v>1.0523509924026393</v>
      </c>
      <c r="C80" s="274" cm="1">
        <f t="array" ref="C80">+AVERAGE(L43:L44/$O$43:$O$44)</f>
        <v>1.0554054570588796</v>
      </c>
      <c r="D80" s="274" cm="1">
        <f t="array" ref="D80">+AVERAGE(L51:L52/$O$51:$O$52)</f>
        <v>1.0375115695815151</v>
      </c>
      <c r="E80" s="274">
        <f>+L39/$O$39</f>
        <v>1.1150387272213607</v>
      </c>
      <c r="F80" s="274" cm="1">
        <f t="array" ref="F80">+AVERAGE(L46:L47/$O$46:$O$47)</f>
        <v>0.99816929949442712</v>
      </c>
      <c r="G80" s="274" cm="1">
        <f t="array" ref="G80">+AVERAGE(L54:L55/$O$54:$O$55)</f>
        <v>1.6081116391843027</v>
      </c>
      <c r="H80" s="277">
        <f>+(L39-L35)/L39*100</f>
        <v>14.325116687180866</v>
      </c>
      <c r="I80" s="277">
        <f>+((AVERAGE(L46:L47)-AVERAGE(L43:L44))/AVERAGE(L46:L47)*100)</f>
        <v>2.7826218578156965</v>
      </c>
      <c r="J80" s="277">
        <f>+((AVERAGE(L54:L55)-AVERAGE(L51:L52))/AVERAGE(L54:L55)*100)</f>
        <v>44.412752433124851</v>
      </c>
    </row>
    <row r="81" spans="1:10">
      <c r="A81" s="271" t="s">
        <v>19</v>
      </c>
      <c r="B81" s="274">
        <f>+M35/$O$35</f>
        <v>1.0065733115649038</v>
      </c>
      <c r="C81" s="274" cm="1">
        <f t="array" ref="C81">+AVERAGE(M43:M44/$O$43:$O$44)</f>
        <v>0.99296376292129218</v>
      </c>
      <c r="D81" s="274" cm="1">
        <f t="array" ref="D81">+AVERAGE(M51:M52/$O$51:$O$52)</f>
        <v>1.0712287325326804</v>
      </c>
      <c r="E81" s="274">
        <f>+M39/$O$39</f>
        <v>1.0012411470160099</v>
      </c>
      <c r="F81" s="274" cm="1">
        <f t="array" ref="F81">+AVERAGE(M46:M47/$O$46:$O$47)</f>
        <v>0.96082880822766592</v>
      </c>
      <c r="G81" s="274" cm="1">
        <f t="array" ref="G81">+AVERAGE(M54:M55/$O$54:$O$55)</f>
        <v>1.1705081485167805</v>
      </c>
      <c r="H81" s="277">
        <f>+(M39-M35)/M39*100</f>
        <v>8.7380844303222869</v>
      </c>
      <c r="I81" s="277">
        <f>+((AVERAGE(M46:M47)-AVERAGE(M43:M44))/AVERAGE(M46:M47)*100)</f>
        <v>5.0087873462214327</v>
      </c>
      <c r="J81" s="277">
        <f>+((AVERAGE(M54:M55)-AVERAGE(M51:M52))/AVERAGE(M54:M55)*100)</f>
        <v>21.212121212121211</v>
      </c>
    </row>
    <row r="82" spans="1:10">
      <c r="A82" s="271" t="s">
        <v>20</v>
      </c>
      <c r="B82" s="274">
        <f>+N35/$O$35</f>
        <v>1.0244718422231707</v>
      </c>
      <c r="C82" s="274" cm="1">
        <f t="array" ref="C82">+AVERAGE(N43:N44/$O$43:$O$44)</f>
        <v>0.98092529426188146</v>
      </c>
      <c r="D82" s="274" cm="1">
        <f t="array" ref="D82">+AVERAGE(N51:N52/$O$51:$O$52)</f>
        <v>1.2227903984873065</v>
      </c>
      <c r="E82" s="274">
        <f>+N39/$O$39</f>
        <v>1.0852081474296313</v>
      </c>
      <c r="F82" s="274" cm="1">
        <f t="array" ref="F82">+AVERAGE(N46:N47/$O$46:$O$47)</f>
        <v>0.97313402756101386</v>
      </c>
      <c r="G82" s="274" cm="1">
        <f t="array" ref="G82">+AVERAGE(N54:N55/$O$54:$O$55)</f>
        <v>1.5551390862056489</v>
      </c>
      <c r="H82" s="277">
        <f>+(N39-N35)/N39*100</f>
        <v>14.302167312323308</v>
      </c>
      <c r="I82" s="277">
        <f>+((AVERAGE(N46:N47)-AVERAGE(N43:N44))/AVERAGE(N46:N47)*100)</f>
        <v>7.3463485177150973</v>
      </c>
      <c r="J82" s="277">
        <f>+((AVERAGE(N54:N55)-AVERAGE(N51:N52))/AVERAGE(N54:N55)*100)</f>
        <v>32.319391634980995</v>
      </c>
    </row>
    <row r="83" spans="1:10">
      <c r="A83" s="271" t="s">
        <v>4</v>
      </c>
      <c r="B83" s="274">
        <f>+O35/$O$35</f>
        <v>1</v>
      </c>
      <c r="C83" s="274" cm="1">
        <f t="array" ref="C83">+AVERAGE(O43:O44/$O$43:$O$44)</f>
        <v>1</v>
      </c>
      <c r="D83" s="274" cm="1">
        <f t="array" ref="D83">+AVERAGE(O51:O52/$O$51:$O$52)</f>
        <v>1</v>
      </c>
      <c r="E83" s="274">
        <f>+O39/$O$39</f>
        <v>1</v>
      </c>
      <c r="F83" s="274" cm="1">
        <f t="array" ref="F83">+AVERAGE(O46:O47/$O$46:$O$47)</f>
        <v>1</v>
      </c>
      <c r="G83" s="274" cm="1">
        <f t="array" ref="G83">+AVERAGE(O54:O55/$O$54:$O$55)</f>
        <v>1</v>
      </c>
      <c r="H83" s="277">
        <f>+(O39-O35)/O39*100</f>
        <v>9.2215301419001605</v>
      </c>
      <c r="I83" s="277">
        <f>+((AVERAGE(O46:O47)-AVERAGE(O43:O44))/AVERAGE(O46:O47)*100)</f>
        <v>8.1120846063435099</v>
      </c>
      <c r="J83" s="277">
        <f>+((AVERAGE(O54:O55)-AVERAGE(O51:O52))/AVERAGE(O54:O55)*100)</f>
        <v>13.881959107574879</v>
      </c>
    </row>
    <row r="85" spans="1:10">
      <c r="A85" s="13" t="s">
        <v>420</v>
      </c>
      <c r="B85" s="272"/>
    </row>
    <row r="86" spans="1:10">
      <c r="A86" s="276" t="s">
        <v>411</v>
      </c>
      <c r="B86" s="274">
        <f>+AVERAGE(B72:B74)</f>
        <v>0.96334982027827365</v>
      </c>
      <c r="C86" s="274">
        <f t="shared" ref="C86:G86" si="20">+AVERAGE(C73:C75)</f>
        <v>0.96985561869392845</v>
      </c>
      <c r="D86" s="274">
        <f t="shared" si="20"/>
        <v>0.95611918342613522</v>
      </c>
      <c r="E86" s="274">
        <f>+AVERAGE(E73:E75)</f>
        <v>1.1793254212356075</v>
      </c>
      <c r="F86" s="274">
        <f t="shared" si="20"/>
        <v>1.0114566890911514</v>
      </c>
      <c r="G86" s="274">
        <f t="shared" si="20"/>
        <v>1.8864808343380137</v>
      </c>
      <c r="H86" s="277">
        <f t="shared" ref="H86:J86" si="21">+AVERAGE(H73:H75)</f>
        <v>25.484773705312758</v>
      </c>
      <c r="I86" s="277">
        <f t="shared" si="21"/>
        <v>11.841999930992467</v>
      </c>
      <c r="J86" s="277">
        <f t="shared" si="21"/>
        <v>55.979474703505169</v>
      </c>
    </row>
    <row r="87" spans="1:10">
      <c r="A87" s="276" t="s">
        <v>412</v>
      </c>
      <c r="B87" s="274">
        <f>+AVERAGE(B73:B75)</f>
        <v>0.96710475678000785</v>
      </c>
      <c r="C87" s="274">
        <f t="shared" ref="C87:G87" si="22">+AVERAGE(C73:C75)</f>
        <v>0.96985561869392845</v>
      </c>
      <c r="D87" s="274">
        <f t="shared" si="22"/>
        <v>0.95611918342613522</v>
      </c>
      <c r="E87" s="274">
        <f t="shared" si="22"/>
        <v>1.1793254212356075</v>
      </c>
      <c r="F87" s="274">
        <f t="shared" si="22"/>
        <v>1.0114566890911514</v>
      </c>
      <c r="G87" s="274">
        <f t="shared" si="22"/>
        <v>1.8864808343380137</v>
      </c>
      <c r="H87" s="277">
        <f t="shared" ref="H87:J87" si="23">+AVERAGE(H73:H75)</f>
        <v>25.484773705312758</v>
      </c>
      <c r="I87" s="277">
        <f t="shared" si="23"/>
        <v>11.841999930992467</v>
      </c>
      <c r="J87" s="277">
        <f t="shared" si="23"/>
        <v>55.979474703505169</v>
      </c>
    </row>
    <row r="88" spans="1:10">
      <c r="A88" s="276" t="s">
        <v>413</v>
      </c>
      <c r="B88" s="274">
        <f t="shared" ref="B88:G88" si="24">+AVERAGE(B76:B77)</f>
        <v>0.90406354506755782</v>
      </c>
      <c r="C88" s="274">
        <f t="shared" si="24"/>
        <v>0.9834765859876291</v>
      </c>
      <c r="D88" s="274">
        <f t="shared" si="24"/>
        <v>0.54573053731664789</v>
      </c>
      <c r="E88" s="274">
        <f t="shared" si="24"/>
        <v>1.1427011138833421</v>
      </c>
      <c r="F88" s="274">
        <f t="shared" si="24"/>
        <v>0.99640045540466304</v>
      </c>
      <c r="G88" s="274">
        <f t="shared" si="24"/>
        <v>1.7569540938849317</v>
      </c>
      <c r="H88" s="277">
        <f t="shared" ref="H88:J88" si="25">+AVERAGE(H76:H77)</f>
        <v>28.166576690211834</v>
      </c>
      <c r="I88" s="277">
        <f t="shared" si="25"/>
        <v>9.2683616630526515</v>
      </c>
      <c r="J88" s="277">
        <f t="shared" si="25"/>
        <v>73.183967881324207</v>
      </c>
    </row>
    <row r="89" spans="1:10">
      <c r="A89" s="276" t="s">
        <v>414</v>
      </c>
      <c r="B89" s="274">
        <f t="shared" ref="B89:G89" si="26">+AVERAGE(B78:B80)</f>
        <v>1.0111207939281657</v>
      </c>
      <c r="C89" s="274">
        <f t="shared" si="26"/>
        <v>1.0295886529748746</v>
      </c>
      <c r="D89" s="274">
        <f t="shared" si="26"/>
        <v>0.92765859942462703</v>
      </c>
      <c r="E89" s="274">
        <f t="shared" si="26"/>
        <v>1.0645774677401831</v>
      </c>
      <c r="F89" s="274">
        <f t="shared" si="26"/>
        <v>0.99100717656389825</v>
      </c>
      <c r="G89" s="274">
        <f t="shared" si="26"/>
        <v>1.3756679334982511</v>
      </c>
      <c r="H89" s="277">
        <f t="shared" ref="H89:J89" si="27">+AVERAGE(H78:H80)</f>
        <v>13.69578152068471</v>
      </c>
      <c r="I89" s="277">
        <f t="shared" si="27"/>
        <v>4.4981273279995921</v>
      </c>
      <c r="J89" s="277">
        <f t="shared" si="27"/>
        <v>39.988554155164387</v>
      </c>
    </row>
    <row r="90" spans="1:10">
      <c r="A90" s="276" t="s">
        <v>415</v>
      </c>
      <c r="B90" s="274">
        <f>+AVERAGE(B81:B83)</f>
        <v>1.0103483845960248</v>
      </c>
      <c r="C90" s="274">
        <f>+AVERAGE(C81:C83)</f>
        <v>0.99129635239439118</v>
      </c>
      <c r="D90" s="274">
        <f>+AVERAGE(D81:D83)</f>
        <v>1.0980063770066624</v>
      </c>
      <c r="E90" s="274">
        <f>+AVERAGE(E81:E83)</f>
        <v>1.0288164314818804</v>
      </c>
      <c r="F90" s="274">
        <f t="shared" ref="F90:G90" si="28">+AVERAGE(F81:F83)</f>
        <v>0.97798761192955996</v>
      </c>
      <c r="G90" s="274">
        <f t="shared" si="28"/>
        <v>1.2418824115741431</v>
      </c>
      <c r="H90" s="277">
        <f t="shared" ref="H90:J90" si="29">+AVERAGE(H81:H83)</f>
        <v>10.753927294848586</v>
      </c>
      <c r="I90" s="277">
        <f t="shared" si="29"/>
        <v>6.8224068234266797</v>
      </c>
      <c r="J90" s="277">
        <f t="shared" si="29"/>
        <v>22.471157318225693</v>
      </c>
    </row>
    <row r="93" spans="1:10">
      <c r="E93" s="274"/>
    </row>
    <row r="94" spans="1:10">
      <c r="E94" s="274"/>
    </row>
  </sheetData>
  <mergeCells count="17">
    <mergeCell ref="A54:A55"/>
    <mergeCell ref="A27:A28"/>
    <mergeCell ref="A6:A7"/>
    <mergeCell ref="A9:A10"/>
    <mergeCell ref="A15:A16"/>
    <mergeCell ref="A18:A19"/>
    <mergeCell ref="A24:A25"/>
    <mergeCell ref="A33:A34"/>
    <mergeCell ref="A37:A38"/>
    <mergeCell ref="A43:A44"/>
    <mergeCell ref="A46:A47"/>
    <mergeCell ref="A51:A52"/>
    <mergeCell ref="A64:A65"/>
    <mergeCell ref="A60:C60"/>
    <mergeCell ref="A61:C61"/>
    <mergeCell ref="A62:C62"/>
    <mergeCell ref="A69:A70"/>
  </mergeCells>
  <phoneticPr fontId="3" type="noConversion"/>
  <pageMargins left="0.25" right="0.25" top="0.75" bottom="0.75" header="0.3" footer="0.3"/>
  <pageSetup paperSize="9" scale="56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3259C-5A08-6D45-855B-135DB373BA17}">
  <sheetPr>
    <pageSetUpPr fitToPage="1"/>
  </sheetPr>
  <dimension ref="A1:AF60"/>
  <sheetViews>
    <sheetView zoomScale="92" zoomScaleNormal="92" workbookViewId="0">
      <selection activeCell="V49" sqref="V49"/>
    </sheetView>
  </sheetViews>
  <sheetFormatPr baseColWidth="10" defaultRowHeight="16"/>
  <cols>
    <col min="1" max="1" width="47.6640625" style="34" customWidth="1"/>
    <col min="2" max="2" width="11" style="34" customWidth="1"/>
    <col min="3" max="3" width="12.5" style="34" customWidth="1"/>
    <col min="4" max="4" width="12" style="34" customWidth="1"/>
    <col min="5" max="5" width="12.1640625" style="34" customWidth="1"/>
    <col min="6" max="6" width="10.83203125" style="34" customWidth="1"/>
    <col min="7" max="7" width="12" style="34" customWidth="1"/>
    <col min="8" max="8" width="10.83203125" style="34" customWidth="1"/>
    <col min="9" max="9" width="14.33203125" style="34" customWidth="1"/>
    <col min="10" max="10" width="10.5" style="34" customWidth="1"/>
    <col min="11" max="12" width="10.83203125" style="34" customWidth="1"/>
    <col min="13" max="14" width="12.6640625" style="34" customWidth="1"/>
    <col min="15" max="20" width="10.83203125" style="34" customWidth="1"/>
    <col min="21" max="21" width="12.83203125" style="34" customWidth="1"/>
    <col min="22" max="22" width="11.6640625" style="108" bestFit="1" customWidth="1"/>
    <col min="23" max="27" width="10.83203125" style="108"/>
    <col min="28" max="28" width="10.83203125" style="34"/>
    <col min="29" max="31" width="10.83203125" style="108"/>
  </cols>
  <sheetData>
    <row r="1" spans="1:32">
      <c r="A1" s="107" t="s">
        <v>36</v>
      </c>
    </row>
    <row r="3" spans="1:32" ht="28" customHeight="1">
      <c r="A3" s="107" t="s">
        <v>29</v>
      </c>
      <c r="C3" s="44"/>
      <c r="D3" s="44"/>
      <c r="E3" s="44"/>
      <c r="F3" s="44"/>
      <c r="G3" s="43"/>
      <c r="K3" s="45"/>
      <c r="R3" s="46"/>
      <c r="V3" s="47"/>
      <c r="W3" s="109"/>
    </row>
    <row r="4" spans="1:32">
      <c r="A4" s="48"/>
      <c r="B4" s="49"/>
      <c r="C4" s="49"/>
      <c r="D4" s="49"/>
      <c r="E4" s="49"/>
      <c r="F4" s="49"/>
      <c r="G4" s="49"/>
      <c r="I4" s="50"/>
      <c r="J4" s="49"/>
      <c r="K4" s="51"/>
      <c r="L4" s="51"/>
      <c r="M4" s="279"/>
      <c r="N4" s="279"/>
      <c r="O4" s="51"/>
      <c r="P4" s="51"/>
      <c r="Q4" s="51"/>
      <c r="R4" s="51"/>
      <c r="S4" s="51"/>
      <c r="T4" s="51"/>
      <c r="U4" s="51"/>
      <c r="W4" s="52"/>
    </row>
    <row r="5" spans="1:32">
      <c r="B5" s="53"/>
      <c r="C5" s="53"/>
      <c r="D5" s="53"/>
      <c r="E5" s="53"/>
      <c r="F5" s="54"/>
      <c r="G5" s="55"/>
      <c r="H5" s="57"/>
      <c r="I5" s="58" t="s">
        <v>37</v>
      </c>
      <c r="J5" s="59">
        <v>1</v>
      </c>
      <c r="K5" s="58" t="s">
        <v>38</v>
      </c>
      <c r="Q5" s="43"/>
      <c r="R5" s="48"/>
      <c r="S5" s="48"/>
      <c r="U5" s="58" t="s">
        <v>37</v>
      </c>
      <c r="V5" s="59">
        <v>1</v>
      </c>
      <c r="W5" s="58" t="s">
        <v>38</v>
      </c>
      <c r="Z5" s="30"/>
      <c r="AA5" s="61"/>
      <c r="AB5" s="28"/>
      <c r="AC5" s="62"/>
      <c r="AD5" s="30"/>
      <c r="AE5" s="30"/>
    </row>
    <row r="6" spans="1:32">
      <c r="I6" s="58" t="s">
        <v>39</v>
      </c>
      <c r="J6" s="63" t="s">
        <v>40</v>
      </c>
      <c r="K6" s="58"/>
      <c r="R6" s="171"/>
      <c r="S6" s="171"/>
      <c r="T6" s="171"/>
      <c r="U6" s="58" t="s">
        <v>39</v>
      </c>
      <c r="V6" s="63" t="s">
        <v>40</v>
      </c>
      <c r="W6" s="58"/>
      <c r="Z6" s="30"/>
      <c r="AA6" s="61"/>
      <c r="AB6" s="28"/>
      <c r="AC6" s="171"/>
      <c r="AD6" s="171"/>
      <c r="AE6" s="171"/>
    </row>
    <row r="7" spans="1:32" ht="16" customHeight="1">
      <c r="B7" s="44" t="s">
        <v>41</v>
      </c>
      <c r="C7" s="44"/>
      <c r="D7" s="44"/>
      <c r="E7" s="44"/>
      <c r="H7" s="48"/>
      <c r="I7" s="43" t="s">
        <v>42</v>
      </c>
      <c r="J7" s="64">
        <v>0.1</v>
      </c>
      <c r="K7" s="43" t="s">
        <v>43</v>
      </c>
      <c r="P7" s="46"/>
      <c r="Q7" s="46"/>
      <c r="R7"/>
      <c r="S7" s="374" t="s">
        <v>598</v>
      </c>
      <c r="T7" s="375"/>
      <c r="U7" s="43" t="s">
        <v>42</v>
      </c>
      <c r="V7" s="64">
        <v>0.5</v>
      </c>
      <c r="W7" s="43" t="s">
        <v>43</v>
      </c>
      <c r="Z7" s="34"/>
      <c r="AA7" s="46"/>
      <c r="AB7" s="65"/>
      <c r="AC7"/>
      <c r="AD7" s="374" t="s">
        <v>598</v>
      </c>
      <c r="AE7" s="375"/>
    </row>
    <row r="8" spans="1:32" ht="68">
      <c r="A8" s="66"/>
      <c r="B8" s="49" t="s">
        <v>5</v>
      </c>
      <c r="C8" s="49" t="s">
        <v>44</v>
      </c>
      <c r="D8" s="49" t="s">
        <v>45</v>
      </c>
      <c r="E8" s="49" t="s">
        <v>46</v>
      </c>
      <c r="F8" s="49" t="s">
        <v>47</v>
      </c>
      <c r="G8" s="49" t="s">
        <v>48</v>
      </c>
      <c r="H8" s="49" t="s">
        <v>429</v>
      </c>
      <c r="I8" s="51" t="s">
        <v>58</v>
      </c>
      <c r="J8" s="49" t="s">
        <v>5</v>
      </c>
      <c r="K8" s="49" t="s">
        <v>46</v>
      </c>
      <c r="L8" s="49" t="s">
        <v>47</v>
      </c>
      <c r="M8" s="279" t="s">
        <v>428</v>
      </c>
      <c r="N8" s="356" t="s">
        <v>581</v>
      </c>
      <c r="O8" s="49" t="s">
        <v>48</v>
      </c>
      <c r="P8" s="51" t="s">
        <v>0</v>
      </c>
      <c r="Q8" s="44" t="s">
        <v>50</v>
      </c>
      <c r="R8" s="304" t="s">
        <v>580</v>
      </c>
      <c r="S8" s="305" t="s">
        <v>127</v>
      </c>
      <c r="T8" s="305" t="s">
        <v>52</v>
      </c>
      <c r="U8" s="51" t="s">
        <v>58</v>
      </c>
      <c r="V8" s="49" t="s">
        <v>5</v>
      </c>
      <c r="W8" s="49" t="s">
        <v>46</v>
      </c>
      <c r="X8" s="49" t="s">
        <v>47</v>
      </c>
      <c r="Y8" s="279" t="s">
        <v>428</v>
      </c>
      <c r="Z8" s="49" t="s">
        <v>48</v>
      </c>
      <c r="AA8" s="51" t="s">
        <v>0</v>
      </c>
      <c r="AB8" s="44" t="s">
        <v>50</v>
      </c>
      <c r="AC8" s="304" t="s">
        <v>51</v>
      </c>
      <c r="AD8" s="305" t="s">
        <v>127</v>
      </c>
      <c r="AE8" s="305" t="s">
        <v>52</v>
      </c>
      <c r="AF8" s="40" t="s">
        <v>421</v>
      </c>
    </row>
    <row r="9" spans="1:32" ht="17">
      <c r="A9" s="69" t="s">
        <v>21</v>
      </c>
      <c r="B9" s="93">
        <v>1</v>
      </c>
      <c r="C9" s="94">
        <v>0.193</v>
      </c>
      <c r="D9" s="95">
        <f>+B9/C9</f>
        <v>5.1813471502590671</v>
      </c>
      <c r="E9" s="96">
        <v>0.30398929000000002</v>
      </c>
      <c r="F9" s="97">
        <v>9.2753333600000005E-3</v>
      </c>
      <c r="G9" s="98">
        <f>+F9*1025</f>
        <v>9.5072166940000002</v>
      </c>
      <c r="H9" s="93" t="s">
        <v>54</v>
      </c>
      <c r="I9" s="30">
        <f>+P9*0.000001004/1</f>
        <v>2.2095663519691655</v>
      </c>
      <c r="J9" s="60">
        <f t="shared" ref="J9:J20" si="0">+(L9/F9)^0.333333333333333</f>
        <v>2.2091412796750327</v>
      </c>
      <c r="K9" s="70">
        <f t="shared" ref="K9:K20" si="1">+E9*J9^2</f>
        <v>1.4835605107749064</v>
      </c>
      <c r="L9" s="60">
        <v>0.1</v>
      </c>
      <c r="M9" s="41">
        <f>+K9/L9</f>
        <v>14.835605107749062</v>
      </c>
      <c r="N9" s="357">
        <f>+M9/$M$20</f>
        <v>0.92216184806687318</v>
      </c>
      <c r="O9" s="30">
        <f t="shared" ref="O9:O20" si="2">+L9*1025</f>
        <v>102.5</v>
      </c>
      <c r="P9" s="71">
        <f>J9*998.2*$J$5/0.001002</f>
        <v>2200763.2987740692</v>
      </c>
      <c r="Q9" s="110">
        <v>3.48</v>
      </c>
      <c r="R9" s="251">
        <f>+Q9/L9</f>
        <v>34.799999999999997</v>
      </c>
      <c r="S9" s="299">
        <f t="shared" ref="S9:S20" si="3">+Q9/O9</f>
        <v>3.3951219512195124E-2</v>
      </c>
      <c r="T9" s="299">
        <f t="shared" ref="T9:T20" si="4">+S9/$S$39</f>
        <v>0.77447384072170999</v>
      </c>
      <c r="U9" s="30">
        <f>+AA9*0.000001004/1</f>
        <v>3.7783053144534482</v>
      </c>
      <c r="V9" s="30">
        <f t="shared" ref="V9:V20" si="5">+(X9/F9)^0.333333333333333</f>
        <v>3.777578451054882</v>
      </c>
      <c r="W9" s="70">
        <f t="shared" ref="W9:W20" si="6">+E9*V9^2</f>
        <v>4.3379572492179621</v>
      </c>
      <c r="X9" s="60">
        <v>0.5</v>
      </c>
      <c r="Y9" s="41">
        <f>+W9/X9</f>
        <v>8.6759144984359242</v>
      </c>
      <c r="Z9" s="30">
        <f t="shared" ref="Z9:Z20" si="7">+X9*1025</f>
        <v>512.5</v>
      </c>
      <c r="AA9" s="71">
        <f t="shared" ref="AA9:AA20" si="8">V9*998.2*$V$5/0.001002</f>
        <v>3763252.3052325179</v>
      </c>
      <c r="AB9" s="30">
        <v>9.2880488000000003</v>
      </c>
      <c r="AC9" s="251">
        <f t="shared" ref="AC9:AC20" si="9">+AB9/X9</f>
        <v>18.576097600000001</v>
      </c>
      <c r="AD9" s="299">
        <f t="shared" ref="AD9:AD20" si="10">+AB9/Z9</f>
        <v>1.8123022048780489E-2</v>
      </c>
      <c r="AE9" s="299">
        <f t="shared" ref="AE9:AE20" si="11">+AC9/$AC$39</f>
        <v>0.77881297719652953</v>
      </c>
      <c r="AF9" s="123">
        <f t="shared" ref="AF9:AF20" si="12">+AVERAGE(T9,AE9)</f>
        <v>0.77664340895911976</v>
      </c>
    </row>
    <row r="10" spans="1:32" ht="17">
      <c r="A10" s="69" t="s">
        <v>22</v>
      </c>
      <c r="B10" s="93">
        <v>1</v>
      </c>
      <c r="C10" s="99">
        <v>0.22</v>
      </c>
      <c r="D10" s="95">
        <v>4.53</v>
      </c>
      <c r="E10" s="99">
        <v>0.39025384000000002</v>
      </c>
      <c r="F10" s="100">
        <v>1.4229991000000001E-2</v>
      </c>
      <c r="G10" s="98">
        <f>+F10*1025</f>
        <v>14.585740775000001</v>
      </c>
      <c r="H10" s="93" t="s">
        <v>54</v>
      </c>
      <c r="I10" s="30">
        <f t="shared" ref="I10:I20" si="13">+P10*0.000001004/1</f>
        <v>1.9157934393119183</v>
      </c>
      <c r="J10" s="60">
        <f t="shared" si="0"/>
        <v>1.9154248825081781</v>
      </c>
      <c r="K10" s="70">
        <f t="shared" si="1"/>
        <v>1.4317837689209305</v>
      </c>
      <c r="L10" s="60">
        <v>0.1</v>
      </c>
      <c r="M10" s="41">
        <f t="shared" ref="M10:M19" si="14">+K10/L10</f>
        <v>14.317837689209304</v>
      </c>
      <c r="N10" s="357">
        <f t="shared" ref="N10:N20" si="15">+M10/$M$20</f>
        <v>0.88997810119024301</v>
      </c>
      <c r="O10" s="30">
        <f>+L10*1025</f>
        <v>102.5</v>
      </c>
      <c r="P10" s="71">
        <f t="shared" ref="P10:P20" si="16">J10*998.2*$J$5/0.001002</f>
        <v>1908160.7961274085</v>
      </c>
      <c r="Q10" s="110">
        <v>3.35</v>
      </c>
      <c r="R10" s="251">
        <f t="shared" ref="R10:R20" si="17">+Q10/L10</f>
        <v>33.5</v>
      </c>
      <c r="S10" s="299">
        <f t="shared" si="3"/>
        <v>3.2682926829268294E-2</v>
      </c>
      <c r="T10" s="299">
        <f t="shared" si="4"/>
        <v>0.745542346671761</v>
      </c>
      <c r="U10" s="30">
        <f t="shared" ref="U10:U20" si="18">+AA10*0.000001004/1</f>
        <v>3.2759607000244011</v>
      </c>
      <c r="V10" s="30">
        <f t="shared" si="5"/>
        <v>3.2753304767550211</v>
      </c>
      <c r="W10" s="70">
        <f t="shared" si="6"/>
        <v>4.1865611376100675</v>
      </c>
      <c r="X10" s="60">
        <v>0.5</v>
      </c>
      <c r="Y10" s="41">
        <f t="shared" ref="Y10:Y20" si="19">+W10/X10</f>
        <v>8.3731222752201351</v>
      </c>
      <c r="Z10" s="30">
        <f t="shared" si="7"/>
        <v>512.5</v>
      </c>
      <c r="AA10" s="71">
        <f t="shared" si="8"/>
        <v>3262909.0637693238</v>
      </c>
      <c r="AB10" s="30">
        <v>8.9061901999999993</v>
      </c>
      <c r="AC10" s="251">
        <f t="shared" si="9"/>
        <v>17.812380399999999</v>
      </c>
      <c r="AD10" s="299">
        <f t="shared" si="10"/>
        <v>1.7377932097560975E-2</v>
      </c>
      <c r="AE10" s="299">
        <f t="shared" si="11"/>
        <v>0.74679371894994295</v>
      </c>
      <c r="AF10" s="123">
        <f t="shared" si="12"/>
        <v>0.74616803281085198</v>
      </c>
    </row>
    <row r="11" spans="1:32" ht="17">
      <c r="A11" s="69" t="s">
        <v>25</v>
      </c>
      <c r="B11" s="93">
        <v>1</v>
      </c>
      <c r="C11" s="94">
        <v>0.215</v>
      </c>
      <c r="D11" s="95">
        <f t="shared" ref="D11:D20" si="20">+B11/C11</f>
        <v>4.6511627906976747</v>
      </c>
      <c r="E11" s="96">
        <v>0.35178556</v>
      </c>
      <c r="F11" s="97">
        <v>1.2261284399999999E-2</v>
      </c>
      <c r="G11" s="98">
        <f>+F11*1025</f>
        <v>12.567816509999998</v>
      </c>
      <c r="H11" s="93" t="s">
        <v>54</v>
      </c>
      <c r="I11" s="30">
        <f t="shared" si="13"/>
        <v>2.0132833480237218</v>
      </c>
      <c r="J11" s="60">
        <f t="shared" si="0"/>
        <v>2.0128960362913895</v>
      </c>
      <c r="K11" s="70">
        <f t="shared" si="1"/>
        <v>1.4253473020598668</v>
      </c>
      <c r="L11" s="60">
        <v>0.1</v>
      </c>
      <c r="M11" s="41">
        <f t="shared" si="14"/>
        <v>14.253473020598667</v>
      </c>
      <c r="N11" s="357">
        <f t="shared" si="15"/>
        <v>0.88597727740684407</v>
      </c>
      <c r="O11" s="30">
        <f t="shared" si="2"/>
        <v>102.5</v>
      </c>
      <c r="P11" s="71">
        <f t="shared" si="16"/>
        <v>2005262.2988284081</v>
      </c>
      <c r="Q11" s="74">
        <v>3.4181054</v>
      </c>
      <c r="R11" s="251">
        <f t="shared" si="17"/>
        <v>34.181053999999996</v>
      </c>
      <c r="S11" s="299">
        <f t="shared" si="3"/>
        <v>3.3347369756097561E-2</v>
      </c>
      <c r="T11" s="299">
        <f t="shared" si="4"/>
        <v>0.76069920032460248</v>
      </c>
      <c r="U11" s="30">
        <f t="shared" si="18"/>
        <v>3.4426660989652906</v>
      </c>
      <c r="V11" s="30">
        <f t="shared" si="5"/>
        <v>3.4420038052191368</v>
      </c>
      <c r="W11" s="70">
        <f t="shared" si="6"/>
        <v>4.1677407943368951</v>
      </c>
      <c r="X11" s="60">
        <v>0.5</v>
      </c>
      <c r="Y11" s="41">
        <f t="shared" si="19"/>
        <v>8.3354815886737903</v>
      </c>
      <c r="Z11" s="30">
        <f t="shared" si="7"/>
        <v>512.5</v>
      </c>
      <c r="AA11" s="71">
        <f t="shared" si="8"/>
        <v>3428950.2977741938</v>
      </c>
      <c r="AB11" s="30">
        <v>9.1145198000000001</v>
      </c>
      <c r="AC11" s="251">
        <f t="shared" si="9"/>
        <v>18.2290396</v>
      </c>
      <c r="AD11" s="299">
        <f t="shared" si="10"/>
        <v>1.7784428878048781E-2</v>
      </c>
      <c r="AE11" s="299">
        <f t="shared" si="11"/>
        <v>0.76426238212214359</v>
      </c>
      <c r="AF11" s="123">
        <f t="shared" si="12"/>
        <v>0.76248079122337309</v>
      </c>
    </row>
    <row r="12" spans="1:32" ht="17">
      <c r="A12" s="69" t="s">
        <v>26</v>
      </c>
      <c r="B12" s="93">
        <v>1</v>
      </c>
      <c r="C12" s="94">
        <v>0.20100000000000001</v>
      </c>
      <c r="D12" s="95">
        <f t="shared" si="20"/>
        <v>4.9751243781094523</v>
      </c>
      <c r="E12" s="99">
        <v>0.32704390999999999</v>
      </c>
      <c r="F12" s="100">
        <v>1.0385606699999999E-2</v>
      </c>
      <c r="G12" s="98">
        <f t="shared" ref="G12:G20" si="21">+F12*1025</f>
        <v>10.645246867499999</v>
      </c>
      <c r="H12" s="93" t="s">
        <v>54</v>
      </c>
      <c r="I12" s="30">
        <f t="shared" si="13"/>
        <v>2.1278430906896832</v>
      </c>
      <c r="J12" s="60">
        <f t="shared" si="0"/>
        <v>2.1274337401656274</v>
      </c>
      <c r="K12" s="70">
        <f t="shared" si="1"/>
        <v>1.4801923377783393</v>
      </c>
      <c r="L12" s="60">
        <v>0.1</v>
      </c>
      <c r="M12" s="41">
        <f t="shared" si="14"/>
        <v>14.801923377783393</v>
      </c>
      <c r="N12" s="357">
        <f t="shared" si="15"/>
        <v>0.92006823569813956</v>
      </c>
      <c r="O12" s="30">
        <f t="shared" si="2"/>
        <v>102.5</v>
      </c>
      <c r="P12" s="71">
        <f t="shared" si="16"/>
        <v>2119365.6281769751</v>
      </c>
      <c r="Q12" s="110">
        <v>3.5220313999999999</v>
      </c>
      <c r="R12" s="251">
        <f t="shared" si="17"/>
        <v>35.220313999999995</v>
      </c>
      <c r="S12" s="299">
        <f t="shared" si="3"/>
        <v>3.4361281951219513E-2</v>
      </c>
      <c r="T12" s="299">
        <f t="shared" si="4"/>
        <v>0.78382792686794867</v>
      </c>
      <c r="U12" s="30">
        <f t="shared" si="18"/>
        <v>3.6385605033815591</v>
      </c>
      <c r="V12" s="30">
        <f t="shared" si="5"/>
        <v>3.6378605238316637</v>
      </c>
      <c r="W12" s="70">
        <f t="shared" si="6"/>
        <v>4.3281086516306315</v>
      </c>
      <c r="X12" s="60">
        <v>0.5</v>
      </c>
      <c r="Y12" s="41">
        <f t="shared" si="19"/>
        <v>8.656217303261263</v>
      </c>
      <c r="Z12" s="30">
        <f t="shared" si="7"/>
        <v>512.5</v>
      </c>
      <c r="AA12" s="71">
        <f t="shared" si="8"/>
        <v>3624064.2463959749</v>
      </c>
      <c r="AB12" s="30">
        <v>9.4432531999999991</v>
      </c>
      <c r="AC12" s="251">
        <f t="shared" si="9"/>
        <v>18.886506399999998</v>
      </c>
      <c r="AD12" s="299">
        <f t="shared" si="10"/>
        <v>1.8425859902439022E-2</v>
      </c>
      <c r="AE12" s="299">
        <f t="shared" si="11"/>
        <v>0.79182703466336801</v>
      </c>
      <c r="AF12" s="123">
        <f t="shared" si="12"/>
        <v>0.78782748076565834</v>
      </c>
    </row>
    <row r="13" spans="1:32" ht="17">
      <c r="A13" s="69" t="s">
        <v>27</v>
      </c>
      <c r="B13" s="26">
        <v>1</v>
      </c>
      <c r="C13" s="111">
        <v>0.115</v>
      </c>
      <c r="D13" s="95">
        <f t="shared" si="20"/>
        <v>8.695652173913043</v>
      </c>
      <c r="E13" s="2">
        <v>0.16022427</v>
      </c>
      <c r="F13" s="112">
        <v>2.6682060999999998E-3</v>
      </c>
      <c r="G13" s="98">
        <f t="shared" si="21"/>
        <v>2.7349112524999999</v>
      </c>
      <c r="H13" s="93" t="s">
        <v>54</v>
      </c>
      <c r="I13" s="30">
        <f t="shared" si="13"/>
        <v>3.3471648274481125</v>
      </c>
      <c r="J13" s="60">
        <f t="shared" si="0"/>
        <v>3.3465209060601997</v>
      </c>
      <c r="K13" s="70">
        <f t="shared" si="1"/>
        <v>1.7943839930233965</v>
      </c>
      <c r="L13" s="60">
        <v>0.1</v>
      </c>
      <c r="M13" s="41">
        <f t="shared" si="14"/>
        <v>17.943839930233963</v>
      </c>
      <c r="N13" s="357">
        <f t="shared" si="15"/>
        <v>1.1153656673456256</v>
      </c>
      <c r="O13" s="30">
        <f t="shared" si="2"/>
        <v>102.5</v>
      </c>
      <c r="P13" s="71">
        <f t="shared" si="16"/>
        <v>3333829.5094104703</v>
      </c>
      <c r="Q13" s="74">
        <v>3.6192883999999999</v>
      </c>
      <c r="R13" s="251">
        <f t="shared" si="17"/>
        <v>36.192883999999999</v>
      </c>
      <c r="S13" s="299">
        <f t="shared" si="3"/>
        <v>3.5310130731707315E-2</v>
      </c>
      <c r="T13" s="299">
        <f t="shared" si="4"/>
        <v>0.80547246776653225</v>
      </c>
      <c r="U13" s="30">
        <f t="shared" si="18"/>
        <v>5.7235713444985272</v>
      </c>
      <c r="V13" s="30">
        <f t="shared" si="5"/>
        <v>5.7224702544136461</v>
      </c>
      <c r="W13" s="70">
        <f t="shared" si="6"/>
        <v>5.2468106247656392</v>
      </c>
      <c r="X13" s="60">
        <v>0.5</v>
      </c>
      <c r="Y13" s="41">
        <f t="shared" si="19"/>
        <v>10.493621249531278</v>
      </c>
      <c r="Z13" s="30">
        <f t="shared" si="7"/>
        <v>512.5</v>
      </c>
      <c r="AA13" s="71">
        <f t="shared" si="8"/>
        <v>5700768.2714128755</v>
      </c>
      <c r="AB13" s="30">
        <v>9.6565791999999995</v>
      </c>
      <c r="AC13" s="251">
        <f t="shared" si="9"/>
        <v>19.313158399999999</v>
      </c>
      <c r="AD13" s="299">
        <f t="shared" si="10"/>
        <v>1.8842105756097561E-2</v>
      </c>
      <c r="AE13" s="299">
        <f t="shared" si="11"/>
        <v>0.80971465140084975</v>
      </c>
      <c r="AF13" s="123">
        <f t="shared" si="12"/>
        <v>0.80759355958369095</v>
      </c>
    </row>
    <row r="14" spans="1:32" ht="17">
      <c r="A14" s="77" t="s">
        <v>28</v>
      </c>
      <c r="B14" s="26">
        <v>1</v>
      </c>
      <c r="C14" s="2">
        <v>0.12712000000000001</v>
      </c>
      <c r="D14" s="95">
        <f t="shared" si="20"/>
        <v>7.8665827564505975</v>
      </c>
      <c r="E14" s="2">
        <v>0.18464</v>
      </c>
      <c r="F14" s="112">
        <v>3.5607E-3</v>
      </c>
      <c r="G14" s="98">
        <f>+F14*1025</f>
        <v>3.6497174999999999</v>
      </c>
      <c r="H14" s="93" t="s">
        <v>54</v>
      </c>
      <c r="I14" s="30">
        <f t="shared" si="13"/>
        <v>3.0402205853014057</v>
      </c>
      <c r="J14" s="60">
        <f t="shared" si="0"/>
        <v>3.0396357132799285</v>
      </c>
      <c r="K14" s="70">
        <f t="shared" si="1"/>
        <v>1.7059600961506534</v>
      </c>
      <c r="L14" s="60">
        <v>0.1</v>
      </c>
      <c r="M14" s="41">
        <f t="shared" si="14"/>
        <v>17.059600961506533</v>
      </c>
      <c r="N14" s="357">
        <f t="shared" si="15"/>
        <v>1.0604025272773772</v>
      </c>
      <c r="O14" s="30">
        <f t="shared" si="2"/>
        <v>102.5</v>
      </c>
      <c r="P14" s="71">
        <f t="shared" si="16"/>
        <v>3028108.152690643</v>
      </c>
      <c r="Q14" s="74">
        <v>3.5475354000000001</v>
      </c>
      <c r="R14" s="251">
        <f t="shared" si="17"/>
        <v>35.475353999999996</v>
      </c>
      <c r="S14" s="299">
        <f t="shared" si="3"/>
        <v>3.4610101463414637E-2</v>
      </c>
      <c r="T14" s="299">
        <f t="shared" si="4"/>
        <v>0.78950384090064019</v>
      </c>
      <c r="U14" s="30">
        <f t="shared" si="18"/>
        <v>5.1987040734567511</v>
      </c>
      <c r="V14" s="30">
        <f t="shared" si="5"/>
        <v>5.19770395636814</v>
      </c>
      <c r="W14" s="70">
        <f t="shared" si="6"/>
        <v>4.9882575818278312</v>
      </c>
      <c r="X14" s="60">
        <v>0.5</v>
      </c>
      <c r="Y14" s="41">
        <f t="shared" si="19"/>
        <v>9.9765151636556624</v>
      </c>
      <c r="Z14" s="30">
        <f t="shared" si="7"/>
        <v>512.5</v>
      </c>
      <c r="AA14" s="71">
        <f t="shared" si="8"/>
        <v>5177992.1050366042</v>
      </c>
      <c r="AB14" s="30">
        <v>9.4817643999999994</v>
      </c>
      <c r="AC14" s="251">
        <f t="shared" si="9"/>
        <v>18.963528799999999</v>
      </c>
      <c r="AD14" s="299">
        <f t="shared" si="10"/>
        <v>1.8501003707317071E-2</v>
      </c>
      <c r="AE14" s="299">
        <f t="shared" si="11"/>
        <v>0.79505624060029323</v>
      </c>
      <c r="AF14" s="123">
        <f t="shared" si="12"/>
        <v>0.79228004075046665</v>
      </c>
    </row>
    <row r="15" spans="1:32" ht="17">
      <c r="A15" s="69" t="s">
        <v>1</v>
      </c>
      <c r="B15" s="93">
        <v>1</v>
      </c>
      <c r="C15" s="94">
        <v>0.17391304347826086</v>
      </c>
      <c r="D15" s="95">
        <f t="shared" si="20"/>
        <v>5.75</v>
      </c>
      <c r="E15" s="99">
        <v>0.28646159999999998</v>
      </c>
      <c r="F15" s="97">
        <v>7.3000000000000001E-3</v>
      </c>
      <c r="G15" s="98">
        <f t="shared" si="21"/>
        <v>7.4824999999999999</v>
      </c>
      <c r="H15" s="93" t="s">
        <v>54</v>
      </c>
      <c r="I15" s="30">
        <f t="shared" si="13"/>
        <v>2.3931831521014066</v>
      </c>
      <c r="J15" s="60">
        <f t="shared" si="0"/>
        <v>2.3927227559463704</v>
      </c>
      <c r="K15" s="70">
        <f t="shared" si="1"/>
        <v>1.6400276618329854</v>
      </c>
      <c r="L15" s="60">
        <v>0.1</v>
      </c>
      <c r="M15" s="41">
        <f t="shared" si="14"/>
        <v>16.400276618329855</v>
      </c>
      <c r="N15" s="357">
        <f t="shared" si="15"/>
        <v>1.0194197867444881</v>
      </c>
      <c r="O15" s="30">
        <f t="shared" si="2"/>
        <v>102.5</v>
      </c>
      <c r="P15" s="71">
        <f t="shared" si="16"/>
        <v>2383648.557869927</v>
      </c>
      <c r="Q15" s="30">
        <v>3.7909299999999999</v>
      </c>
      <c r="R15" s="251">
        <f t="shared" si="17"/>
        <v>37.909299999999995</v>
      </c>
      <c r="S15" s="299">
        <f t="shared" si="3"/>
        <v>3.6984682926829264E-2</v>
      </c>
      <c r="T15" s="299">
        <f t="shared" si="4"/>
        <v>0.84367129799056073</v>
      </c>
      <c r="U15" s="30">
        <f t="shared" si="18"/>
        <v>4.0922856260853226</v>
      </c>
      <c r="V15" s="30">
        <f t="shared" si="5"/>
        <v>4.0914983597342678</v>
      </c>
      <c r="W15" s="70">
        <f t="shared" si="6"/>
        <v>4.795469974359416</v>
      </c>
      <c r="X15" s="60">
        <v>0.5</v>
      </c>
      <c r="Y15" s="41">
        <f t="shared" si="19"/>
        <v>9.590939948718832</v>
      </c>
      <c r="Z15" s="30">
        <f t="shared" si="7"/>
        <v>512.5</v>
      </c>
      <c r="AA15" s="71">
        <f t="shared" si="8"/>
        <v>4075981.6992881699</v>
      </c>
      <c r="AB15" s="30">
        <v>10.094227200000001</v>
      </c>
      <c r="AC15" s="251">
        <f t="shared" si="9"/>
        <v>20.188454400000001</v>
      </c>
      <c r="AD15" s="299">
        <f t="shared" si="10"/>
        <v>1.9696053073170731E-2</v>
      </c>
      <c r="AE15" s="299">
        <f t="shared" si="11"/>
        <v>0.84641191141568817</v>
      </c>
      <c r="AF15" s="123">
        <f t="shared" si="12"/>
        <v>0.84504160470312439</v>
      </c>
    </row>
    <row r="16" spans="1:32" ht="17">
      <c r="A16" s="69" t="s">
        <v>55</v>
      </c>
      <c r="B16" s="93">
        <v>1</v>
      </c>
      <c r="C16" s="94">
        <v>0.17513134851138354</v>
      </c>
      <c r="D16" s="95">
        <f t="shared" si="20"/>
        <v>5.71</v>
      </c>
      <c r="E16" s="99">
        <v>0.32588</v>
      </c>
      <c r="F16" s="97">
        <v>9.3650000000000001E-3</v>
      </c>
      <c r="G16" s="98">
        <f t="shared" si="21"/>
        <v>9.5991250000000008</v>
      </c>
      <c r="H16" s="93" t="s">
        <v>54</v>
      </c>
      <c r="I16" s="30">
        <f t="shared" si="13"/>
        <v>2.2024917799829753</v>
      </c>
      <c r="J16" s="60">
        <f t="shared" si="0"/>
        <v>2.2020680686819354</v>
      </c>
      <c r="K16" s="70">
        <f t="shared" si="1"/>
        <v>1.5802259395359068</v>
      </c>
      <c r="L16" s="60">
        <v>0.1</v>
      </c>
      <c r="M16" s="41">
        <f t="shared" si="14"/>
        <v>15.802259395359068</v>
      </c>
      <c r="N16" s="357">
        <f t="shared" si="15"/>
        <v>0.98224781677728323</v>
      </c>
      <c r="O16" s="30">
        <f t="shared" si="2"/>
        <v>102.5</v>
      </c>
      <c r="P16" s="71">
        <f t="shared" si="16"/>
        <v>2193716.9123336407</v>
      </c>
      <c r="Q16" s="30">
        <v>3.8948580000000002</v>
      </c>
      <c r="R16" s="251">
        <f t="shared" si="17"/>
        <v>38.94858</v>
      </c>
      <c r="S16" s="299">
        <f t="shared" si="3"/>
        <v>3.799861463414634E-2</v>
      </c>
      <c r="T16" s="299">
        <f t="shared" si="4"/>
        <v>0.86680046963381541</v>
      </c>
      <c r="U16" s="30">
        <f t="shared" si="18"/>
        <v>3.7662079665240289</v>
      </c>
      <c r="V16" s="30">
        <f t="shared" si="5"/>
        <v>3.7654834303909155</v>
      </c>
      <c r="W16" s="70">
        <f t="shared" si="6"/>
        <v>4.6206086775870769</v>
      </c>
      <c r="X16" s="60">
        <v>0.5</v>
      </c>
      <c r="Y16" s="41">
        <f t="shared" si="19"/>
        <v>9.2412173551741539</v>
      </c>
      <c r="Z16" s="30">
        <f t="shared" si="7"/>
        <v>512.5</v>
      </c>
      <c r="AA16" s="71">
        <f t="shared" si="8"/>
        <v>3751203.1539083952</v>
      </c>
      <c r="AB16" s="30">
        <v>10.3802816</v>
      </c>
      <c r="AC16" s="251">
        <f t="shared" si="9"/>
        <v>20.7605632</v>
      </c>
      <c r="AD16" s="299">
        <f t="shared" si="10"/>
        <v>2.0254207999999999E-2</v>
      </c>
      <c r="AE16" s="299">
        <f t="shared" si="11"/>
        <v>0.87039788346443181</v>
      </c>
      <c r="AF16" s="123">
        <f t="shared" si="12"/>
        <v>0.86859917654912366</v>
      </c>
    </row>
    <row r="17" spans="1:32" ht="17">
      <c r="A17" s="69" t="s">
        <v>3</v>
      </c>
      <c r="B17" s="93">
        <v>1</v>
      </c>
      <c r="C17" s="94">
        <v>0.21299999999999999</v>
      </c>
      <c r="D17" s="95">
        <f t="shared" si="20"/>
        <v>4.694835680751174</v>
      </c>
      <c r="E17" s="99">
        <v>0.35373315</v>
      </c>
      <c r="F17" s="97">
        <v>1.0562999999999999E-2</v>
      </c>
      <c r="G17" s="98">
        <f t="shared" si="21"/>
        <v>10.827074999999999</v>
      </c>
      <c r="H17" s="93" t="s">
        <v>54</v>
      </c>
      <c r="I17" s="30">
        <f t="shared" si="13"/>
        <v>2.1158642313143168</v>
      </c>
      <c r="J17" s="60">
        <f t="shared" si="0"/>
        <v>2.1154571852611044</v>
      </c>
      <c r="K17" s="70">
        <f t="shared" si="1"/>
        <v>1.583012126139635</v>
      </c>
      <c r="L17" s="60">
        <v>0.1</v>
      </c>
      <c r="M17" s="41">
        <f t="shared" si="14"/>
        <v>15.83012126139635</v>
      </c>
      <c r="N17" s="357">
        <f t="shared" si="15"/>
        <v>0.98397967400109887</v>
      </c>
      <c r="O17" s="30">
        <f t="shared" si="2"/>
        <v>102.5</v>
      </c>
      <c r="P17" s="71">
        <f t="shared" si="16"/>
        <v>2107434.4933409528</v>
      </c>
      <c r="Q17" s="78">
        <v>4.0358359999999998</v>
      </c>
      <c r="R17" s="251">
        <f t="shared" si="17"/>
        <v>40.358359999999998</v>
      </c>
      <c r="S17" s="299">
        <f t="shared" si="3"/>
        <v>3.9374009756097561E-2</v>
      </c>
      <c r="T17" s="299">
        <f t="shared" si="4"/>
        <v>0.89817511708130549</v>
      </c>
      <c r="U17" s="30">
        <f t="shared" si="18"/>
        <v>3.6180769419810583</v>
      </c>
      <c r="V17" s="30">
        <f t="shared" si="5"/>
        <v>3.6173809030208761</v>
      </c>
      <c r="W17" s="70">
        <f t="shared" si="6"/>
        <v>4.6287555366383515</v>
      </c>
      <c r="X17" s="60">
        <v>0.5</v>
      </c>
      <c r="Y17" s="41">
        <f t="shared" si="19"/>
        <v>9.257511073276703</v>
      </c>
      <c r="Z17" s="30">
        <f t="shared" si="7"/>
        <v>512.5</v>
      </c>
      <c r="AA17" s="71">
        <f t="shared" si="8"/>
        <v>3603662.2928098189</v>
      </c>
      <c r="AB17" s="30">
        <v>10.711873000000001</v>
      </c>
      <c r="AC17" s="251">
        <f t="shared" si="9"/>
        <v>21.423746000000001</v>
      </c>
      <c r="AD17" s="299">
        <f t="shared" si="10"/>
        <v>2.0901215609756101E-2</v>
      </c>
      <c r="AE17" s="299">
        <f t="shared" si="11"/>
        <v>0.89820218240898142</v>
      </c>
      <c r="AF17" s="123">
        <f t="shared" si="12"/>
        <v>0.89818864974514345</v>
      </c>
    </row>
    <row r="18" spans="1:32" ht="17" customHeight="1">
      <c r="A18" s="69" t="s">
        <v>19</v>
      </c>
      <c r="B18" s="93">
        <v>1</v>
      </c>
      <c r="C18" s="94">
        <v>0.21099999999999999</v>
      </c>
      <c r="D18" s="95">
        <f t="shared" si="20"/>
        <v>4.7393364928909953</v>
      </c>
      <c r="E18" s="102">
        <v>0.45800000000000002</v>
      </c>
      <c r="F18" s="100">
        <v>1.5299999999999999E-2</v>
      </c>
      <c r="G18" s="98">
        <f>+F18*1025</f>
        <v>15.682499999999999</v>
      </c>
      <c r="H18" s="93" t="s">
        <v>54</v>
      </c>
      <c r="I18" s="30">
        <f t="shared" si="13"/>
        <v>1.8700494029177765</v>
      </c>
      <c r="J18" s="60">
        <f t="shared" si="0"/>
        <v>1.8696896462672772</v>
      </c>
      <c r="K18" s="70">
        <f t="shared" si="1"/>
        <v>1.6010486329984477</v>
      </c>
      <c r="L18" s="60">
        <v>0.1</v>
      </c>
      <c r="M18" s="41">
        <f t="shared" si="14"/>
        <v>16.010486329984477</v>
      </c>
      <c r="N18" s="357">
        <f t="shared" si="15"/>
        <v>0.99519093122774605</v>
      </c>
      <c r="O18" s="30">
        <f>+L18*1025</f>
        <v>102.5</v>
      </c>
      <c r="P18" s="71">
        <f t="shared" si="16"/>
        <v>1862599.0068902157</v>
      </c>
      <c r="Q18" s="78">
        <v>4.0054156000000001</v>
      </c>
      <c r="R18" s="251">
        <f t="shared" si="17"/>
        <v>40.054155999999999</v>
      </c>
      <c r="S18" s="299">
        <f t="shared" si="3"/>
        <v>3.907722536585366E-2</v>
      </c>
      <c r="T18" s="299">
        <f t="shared" si="4"/>
        <v>0.89140505845363571</v>
      </c>
      <c r="U18" s="30">
        <f t="shared" si="18"/>
        <v>3.197739498086515</v>
      </c>
      <c r="V18" s="30">
        <f t="shared" si="5"/>
        <v>3.1971243228675039</v>
      </c>
      <c r="W18" s="70">
        <f t="shared" si="6"/>
        <v>4.6814946026289155</v>
      </c>
      <c r="X18" s="60">
        <v>0.5</v>
      </c>
      <c r="Y18" s="41">
        <f t="shared" si="19"/>
        <v>9.362989205257831</v>
      </c>
      <c r="Z18" s="30">
        <f t="shared" si="7"/>
        <v>512.5</v>
      </c>
      <c r="AA18" s="71">
        <f t="shared" si="8"/>
        <v>3184999.5000861702</v>
      </c>
      <c r="AB18" s="30">
        <v>10.6754078</v>
      </c>
      <c r="AC18" s="251">
        <f t="shared" si="9"/>
        <v>21.350815600000001</v>
      </c>
      <c r="AD18" s="299">
        <f t="shared" si="10"/>
        <v>2.0830064000000002E-2</v>
      </c>
      <c r="AE18" s="299">
        <f t="shared" si="11"/>
        <v>0.89514453579368081</v>
      </c>
      <c r="AF18" s="123">
        <f t="shared" si="12"/>
        <v>0.89327479712365832</v>
      </c>
    </row>
    <row r="19" spans="1:32" ht="17">
      <c r="A19" s="69" t="s">
        <v>20</v>
      </c>
      <c r="B19" s="93">
        <v>1</v>
      </c>
      <c r="C19" s="94">
        <v>0.19600000000000001</v>
      </c>
      <c r="D19" s="95">
        <f t="shared" si="20"/>
        <v>5.1020408163265305</v>
      </c>
      <c r="E19" s="103">
        <v>0.41889999999999999</v>
      </c>
      <c r="F19" s="103">
        <v>1.32E-2</v>
      </c>
      <c r="G19" s="98">
        <f>+F19*1025</f>
        <v>13.53</v>
      </c>
      <c r="H19" s="93" t="s">
        <v>54</v>
      </c>
      <c r="I19" s="30">
        <f t="shared" si="13"/>
        <v>1.9643803435442679</v>
      </c>
      <c r="J19" s="60">
        <f t="shared" si="0"/>
        <v>1.9640024396816225</v>
      </c>
      <c r="K19" s="70">
        <f t="shared" si="1"/>
        <v>1.6158253087502703</v>
      </c>
      <c r="L19" s="60">
        <v>0.1</v>
      </c>
      <c r="M19" s="41">
        <f t="shared" si="14"/>
        <v>16.1582530875027</v>
      </c>
      <c r="N19" s="357">
        <f t="shared" si="15"/>
        <v>1.0043759199899962</v>
      </c>
      <c r="O19" s="30">
        <f t="shared" si="2"/>
        <v>102.5</v>
      </c>
      <c r="P19" s="71">
        <f t="shared" si="16"/>
        <v>1956554.1270361233</v>
      </c>
      <c r="Q19" s="74">
        <v>4.0519220000000002</v>
      </c>
      <c r="R19" s="251">
        <f t="shared" si="17"/>
        <v>40.519219999999997</v>
      </c>
      <c r="S19" s="299">
        <f t="shared" si="3"/>
        <v>3.9530946341463417E-2</v>
      </c>
      <c r="T19" s="299">
        <f t="shared" si="4"/>
        <v>0.90175505564505531</v>
      </c>
      <c r="U19" s="30">
        <f t="shared" si="18"/>
        <v>3.359043137585203</v>
      </c>
      <c r="V19" s="30">
        <f t="shared" si="5"/>
        <v>3.3583969310699233</v>
      </c>
      <c r="W19" s="70">
        <f t="shared" si="6"/>
        <v>4.7247018646390675</v>
      </c>
      <c r="X19" s="60">
        <v>0.5</v>
      </c>
      <c r="Y19" s="41">
        <f t="shared" si="19"/>
        <v>9.449403729278135</v>
      </c>
      <c r="Z19" s="30">
        <f t="shared" si="7"/>
        <v>512.5</v>
      </c>
      <c r="AA19" s="71">
        <f t="shared" si="8"/>
        <v>3345660.4956027917</v>
      </c>
      <c r="AB19" s="30">
        <v>10.8499646</v>
      </c>
      <c r="AC19" s="251">
        <f t="shared" si="9"/>
        <v>21.6999292</v>
      </c>
      <c r="AD19" s="299">
        <f t="shared" si="10"/>
        <v>2.1170662634146343E-2</v>
      </c>
      <c r="AE19" s="299">
        <f t="shared" si="11"/>
        <v>0.90978131301409104</v>
      </c>
      <c r="AF19" s="123">
        <f t="shared" si="12"/>
        <v>0.90576818432957318</v>
      </c>
    </row>
    <row r="20" spans="1:32" ht="17">
      <c r="A20" s="69" t="s">
        <v>4</v>
      </c>
      <c r="B20" s="93">
        <v>1</v>
      </c>
      <c r="C20" s="94">
        <v>0.2061855670103093</v>
      </c>
      <c r="D20" s="95">
        <f t="shared" si="20"/>
        <v>4.8499999999999996</v>
      </c>
      <c r="E20" s="99">
        <v>0.38061199000000001</v>
      </c>
      <c r="F20" s="97">
        <v>1.15073819E-2</v>
      </c>
      <c r="G20" s="98">
        <f t="shared" si="21"/>
        <v>11.7950664475</v>
      </c>
      <c r="H20" s="93" t="s">
        <v>54</v>
      </c>
      <c r="I20" s="30">
        <f t="shared" si="13"/>
        <v>2.0563232281975981</v>
      </c>
      <c r="J20" s="60">
        <f t="shared" si="0"/>
        <v>2.0559276365326045</v>
      </c>
      <c r="K20" s="70">
        <f t="shared" si="1"/>
        <v>1.6087853925912163</v>
      </c>
      <c r="L20" s="60">
        <v>0.1</v>
      </c>
      <c r="M20" s="41">
        <f>+K20/L20</f>
        <v>16.087853925912164</v>
      </c>
      <c r="N20" s="357">
        <f t="shared" si="15"/>
        <v>1</v>
      </c>
      <c r="O20" s="30">
        <f t="shared" si="2"/>
        <v>102.5</v>
      </c>
      <c r="P20" s="71">
        <f t="shared" si="16"/>
        <v>2048130.7053760935</v>
      </c>
      <c r="Q20" s="30">
        <v>3.9771486</v>
      </c>
      <c r="R20" s="251">
        <f t="shared" si="17"/>
        <v>39.771485999999996</v>
      </c>
      <c r="S20" s="299">
        <f t="shared" si="3"/>
        <v>3.8801449756097561E-2</v>
      </c>
      <c r="T20" s="299">
        <f t="shared" si="4"/>
        <v>0.8851142388974057</v>
      </c>
      <c r="U20" s="30">
        <f t="shared" si="18"/>
        <v>3.5162632588104676</v>
      </c>
      <c r="V20" s="30">
        <f t="shared" si="5"/>
        <v>3.5155868065786229</v>
      </c>
      <c r="W20" s="70">
        <f t="shared" si="6"/>
        <v>4.7041170249144617</v>
      </c>
      <c r="X20" s="60">
        <v>0.5</v>
      </c>
      <c r="Y20" s="41">
        <f t="shared" si="19"/>
        <v>9.4082340498289234</v>
      </c>
      <c r="Z20" s="30">
        <f t="shared" si="7"/>
        <v>512.5</v>
      </c>
      <c r="AA20" s="71">
        <f t="shared" si="8"/>
        <v>3502254.241843095</v>
      </c>
      <c r="AB20" s="30">
        <v>10.534896399999999</v>
      </c>
      <c r="AC20" s="251">
        <f t="shared" si="9"/>
        <v>21.069792799999998</v>
      </c>
      <c r="AD20" s="299">
        <f t="shared" si="10"/>
        <v>2.0555895414634144E-2</v>
      </c>
      <c r="AE20" s="299">
        <f t="shared" si="11"/>
        <v>0.88336250233106017</v>
      </c>
      <c r="AF20" s="123">
        <f t="shared" si="12"/>
        <v>0.88423837061423294</v>
      </c>
    </row>
    <row r="21" spans="1:32">
      <c r="C21" s="80"/>
      <c r="D21" s="54"/>
      <c r="E21" s="60"/>
      <c r="F21" s="28"/>
      <c r="G21" s="41"/>
      <c r="I21" s="62"/>
      <c r="J21" s="60"/>
      <c r="K21" s="81"/>
      <c r="N21" s="358"/>
      <c r="O21" s="41"/>
      <c r="P21" s="60"/>
      <c r="R21" s="71"/>
      <c r="S21" s="71"/>
    </row>
    <row r="22" spans="1:32">
      <c r="C22" s="80"/>
      <c r="D22" s="54"/>
      <c r="E22" s="60"/>
      <c r="F22" s="28"/>
      <c r="G22" s="41"/>
      <c r="I22" s="62"/>
      <c r="J22" s="60"/>
      <c r="K22" s="81"/>
      <c r="N22" s="358"/>
      <c r="O22" s="41"/>
      <c r="P22" s="60"/>
      <c r="R22" s="71"/>
      <c r="S22" s="71"/>
    </row>
    <row r="23" spans="1:32">
      <c r="A23" s="107" t="s">
        <v>56</v>
      </c>
      <c r="C23" s="80"/>
      <c r="D23" s="54"/>
      <c r="E23" s="60"/>
      <c r="F23" s="38"/>
      <c r="I23" s="50"/>
      <c r="N23" s="358"/>
      <c r="O23" s="41"/>
      <c r="P23" s="60"/>
      <c r="R23" s="71"/>
      <c r="S23" s="71"/>
    </row>
    <row r="24" spans="1:32">
      <c r="I24" s="58" t="s">
        <v>37</v>
      </c>
      <c r="J24" s="59">
        <v>1</v>
      </c>
      <c r="K24" s="58" t="s">
        <v>38</v>
      </c>
      <c r="L24" s="108"/>
      <c r="M24" s="108"/>
      <c r="N24" s="358"/>
      <c r="O24" s="41"/>
      <c r="P24" s="60"/>
      <c r="R24" s="71"/>
      <c r="S24" s="71"/>
      <c r="U24" s="58" t="s">
        <v>37</v>
      </c>
      <c r="V24" s="59">
        <v>1</v>
      </c>
      <c r="W24" s="58" t="s">
        <v>38</v>
      </c>
    </row>
    <row r="25" spans="1:32">
      <c r="B25" s="44"/>
      <c r="C25" s="44"/>
      <c r="D25" s="44"/>
      <c r="E25" s="44"/>
      <c r="I25" s="58" t="s">
        <v>39</v>
      </c>
      <c r="J25" s="63" t="s">
        <v>40</v>
      </c>
      <c r="K25" s="58"/>
      <c r="L25" s="108"/>
      <c r="M25" s="108"/>
      <c r="N25" s="358"/>
      <c r="O25" s="41"/>
      <c r="P25" s="41"/>
      <c r="Q25" s="44"/>
      <c r="R25" s="171"/>
      <c r="S25" s="171"/>
      <c r="T25" s="171"/>
      <c r="U25" s="58" t="s">
        <v>39</v>
      </c>
      <c r="V25" s="63" t="s">
        <v>40</v>
      </c>
      <c r="W25" s="58"/>
      <c r="AC25" s="171"/>
      <c r="AD25" s="171"/>
      <c r="AE25" s="171"/>
    </row>
    <row r="26" spans="1:32" ht="16" customHeight="1">
      <c r="B26" s="44" t="s">
        <v>41</v>
      </c>
      <c r="C26" s="44"/>
      <c r="D26" s="44"/>
      <c r="E26" s="44"/>
      <c r="I26" s="43" t="s">
        <v>42</v>
      </c>
      <c r="J26" s="64">
        <v>0.1</v>
      </c>
      <c r="K26" s="43" t="s">
        <v>43</v>
      </c>
      <c r="N26" s="358"/>
      <c r="R26"/>
      <c r="S26" s="374" t="s">
        <v>598</v>
      </c>
      <c r="T26" s="375"/>
      <c r="U26" s="43" t="s">
        <v>42</v>
      </c>
      <c r="V26" s="64">
        <v>0.5</v>
      </c>
      <c r="W26" s="43" t="s">
        <v>43</v>
      </c>
      <c r="AC26"/>
      <c r="AD26" s="374" t="s">
        <v>598</v>
      </c>
      <c r="AE26" s="375"/>
    </row>
    <row r="27" spans="1:32" ht="68">
      <c r="A27" s="66"/>
      <c r="B27" s="66" t="s">
        <v>57</v>
      </c>
      <c r="C27" s="66" t="s">
        <v>44</v>
      </c>
      <c r="D27" s="49" t="s">
        <v>45</v>
      </c>
      <c r="E27" s="49" t="s">
        <v>46</v>
      </c>
      <c r="F27" s="49" t="s">
        <v>47</v>
      </c>
      <c r="G27" s="49" t="s">
        <v>48</v>
      </c>
      <c r="H27" s="49" t="s">
        <v>429</v>
      </c>
      <c r="I27" s="51" t="s">
        <v>58</v>
      </c>
      <c r="J27" s="49" t="s">
        <v>5</v>
      </c>
      <c r="K27" s="49" t="s">
        <v>46</v>
      </c>
      <c r="L27" s="49" t="s">
        <v>47</v>
      </c>
      <c r="M27" s="279" t="s">
        <v>428</v>
      </c>
      <c r="N27" s="356" t="s">
        <v>581</v>
      </c>
      <c r="O27" s="49" t="s">
        <v>48</v>
      </c>
      <c r="P27" s="51" t="s">
        <v>0</v>
      </c>
      <c r="Q27" s="44" t="s">
        <v>50</v>
      </c>
      <c r="R27" s="304" t="s">
        <v>580</v>
      </c>
      <c r="S27" s="305" t="s">
        <v>127</v>
      </c>
      <c r="T27" s="305" t="s">
        <v>52</v>
      </c>
      <c r="U27" s="51" t="s">
        <v>58</v>
      </c>
      <c r="V27" s="49" t="s">
        <v>5</v>
      </c>
      <c r="W27" s="49" t="s">
        <v>46</v>
      </c>
      <c r="X27" s="49" t="s">
        <v>47</v>
      </c>
      <c r="Y27" s="279" t="s">
        <v>428</v>
      </c>
      <c r="Z27" s="49" t="s">
        <v>48</v>
      </c>
      <c r="AA27" s="51" t="s">
        <v>0</v>
      </c>
      <c r="AB27" s="44" t="s">
        <v>50</v>
      </c>
      <c r="AC27" s="304" t="s">
        <v>51</v>
      </c>
      <c r="AD27" s="305" t="s">
        <v>127</v>
      </c>
      <c r="AE27" s="305" t="s">
        <v>52</v>
      </c>
      <c r="AF27" s="40" t="s">
        <v>421</v>
      </c>
    </row>
    <row r="28" spans="1:32">
      <c r="A28" s="83" t="s">
        <v>21</v>
      </c>
      <c r="B28" s="93">
        <v>1</v>
      </c>
      <c r="C28" s="94">
        <v>0.193</v>
      </c>
      <c r="D28" s="95">
        <f>+B28/C28</f>
        <v>5.1813471502590671</v>
      </c>
      <c r="E28" s="99">
        <v>0.46397877999999998</v>
      </c>
      <c r="F28" s="97">
        <v>1.0159731E-2</v>
      </c>
      <c r="G28" s="98">
        <f t="shared" ref="G28:G39" si="22">+F28*1025</f>
        <v>10.413724275</v>
      </c>
      <c r="H28" s="34">
        <v>35.9</v>
      </c>
      <c r="I28" s="30">
        <f t="shared" ref="I28:I33" si="23">+P28*0.000001004/1</f>
        <v>2.1443527347498241</v>
      </c>
      <c r="J28" s="30">
        <f>+(L28/F28)^0.333333333333333</f>
        <v>2.1430843437763909</v>
      </c>
      <c r="K28" s="60">
        <f>+E28*(J28^2)</f>
        <v>2.1309666146674142</v>
      </c>
      <c r="L28" s="60">
        <v>0.1</v>
      </c>
      <c r="M28" s="41">
        <f>+K28/L28</f>
        <v>21.309666146674139</v>
      </c>
      <c r="N28" s="357">
        <f>+M28/$M$39</f>
        <v>1.2449671989459141</v>
      </c>
      <c r="O28" s="34">
        <f>+L28*1025</f>
        <v>102.5</v>
      </c>
      <c r="P28" s="84">
        <f t="shared" ref="P28:P39" si="24">J28*998.2*$J$24/0.0010016</f>
        <v>2135809.496762773</v>
      </c>
      <c r="Q28" s="30">
        <v>7.5041707999999998</v>
      </c>
      <c r="R28" s="251">
        <f t="shared" ref="R28:R39" si="25">+Q28/L28</f>
        <v>75.041708</v>
      </c>
      <c r="S28" s="299">
        <f t="shared" ref="S28:S39" si="26">+Q28/O28</f>
        <v>7.3211422439024385E-2</v>
      </c>
      <c r="T28" s="299">
        <f>+R28/$R$39</f>
        <v>1.6700528680769275</v>
      </c>
      <c r="U28" s="30">
        <f t="shared" ref="U28:U39" si="27">+AA28*0.000001004/1</f>
        <v>3.6667915976125918</v>
      </c>
      <c r="V28" s="30">
        <f t="shared" ref="V28:V39" si="28">+(X28/F28)^0.333333333333333</f>
        <v>3.6646226795570391</v>
      </c>
      <c r="W28" s="60">
        <f t="shared" ref="W28:W39" si="29">+E28*(V28^2)</f>
        <v>6.2309841808269306</v>
      </c>
      <c r="X28" s="60">
        <v>0.5</v>
      </c>
      <c r="Y28" s="41">
        <f>+W28/X28</f>
        <v>12.461968361653861</v>
      </c>
      <c r="Z28" s="34">
        <f t="shared" ref="Z28:Z39" si="30">+X28*1025</f>
        <v>512.5</v>
      </c>
      <c r="AA28" s="84">
        <f t="shared" ref="AA28:AA39" si="31">V28*998.2*$J$24/0.0010016</f>
        <v>3652182.8661479997</v>
      </c>
      <c r="AB28" s="30">
        <v>20.149678000000002</v>
      </c>
      <c r="AC28" s="251">
        <f t="shared" ref="AC28:AC39" si="32">+AB28/X28</f>
        <v>40.299356000000003</v>
      </c>
      <c r="AD28" s="299">
        <f t="shared" ref="AD28:AD39" si="33">+AB28/Z28</f>
        <v>3.9316444878048785E-2</v>
      </c>
      <c r="AE28" s="299">
        <f>+AC28/$AC$39</f>
        <v>1.689572379586487</v>
      </c>
      <c r="AF28" s="123">
        <f t="shared" ref="AF28:AF39" si="34">+AVERAGE(T28,AE28)</f>
        <v>1.6798126238317073</v>
      </c>
    </row>
    <row r="29" spans="1:32" ht="17" customHeight="1">
      <c r="A29" s="83" t="s">
        <v>22</v>
      </c>
      <c r="B29" s="93">
        <v>1</v>
      </c>
      <c r="C29" s="94">
        <v>0.22059999999999999</v>
      </c>
      <c r="D29" s="104">
        <f>+B29/C29</f>
        <v>4.5330915684496826</v>
      </c>
      <c r="E29" s="2">
        <v>0.55084005000000003</v>
      </c>
      <c r="F29" s="97">
        <v>1.5349E-2</v>
      </c>
      <c r="G29" s="98">
        <f t="shared" si="22"/>
        <v>15.732725</v>
      </c>
      <c r="H29" s="34">
        <v>30.9</v>
      </c>
      <c r="I29" s="30">
        <f t="shared" si="23"/>
        <v>1.8688033349258759</v>
      </c>
      <c r="J29" s="30">
        <f t="shared" ref="J29:J39" si="35">+(L29/F29)^0.333333333333333</f>
        <v>1.8676979322359504</v>
      </c>
      <c r="K29" s="60">
        <f t="shared" ref="K29:K33" si="36">+E29*(J29^2)</f>
        <v>1.9214929040334288</v>
      </c>
      <c r="L29" s="60">
        <v>0.1</v>
      </c>
      <c r="M29" s="41">
        <f t="shared" ref="M29:M39" si="37">+K29/L29</f>
        <v>19.214929040334287</v>
      </c>
      <c r="N29" s="357">
        <f t="shared" ref="N29:N39" si="38">+M29/$M$39</f>
        <v>1.1225871029904917</v>
      </c>
      <c r="O29" s="34">
        <f>+L29*1025</f>
        <v>102.5</v>
      </c>
      <c r="P29" s="84">
        <f t="shared" si="24"/>
        <v>1861357.9033126254</v>
      </c>
      <c r="Q29" s="30">
        <v>6.0988666</v>
      </c>
      <c r="R29" s="251">
        <f t="shared" si="25"/>
        <v>60.988665999999995</v>
      </c>
      <c r="S29" s="299">
        <f t="shared" si="26"/>
        <v>5.9501137560975609E-2</v>
      </c>
      <c r="T29" s="299">
        <f t="shared" ref="T29:T39" si="39">+R29/$R$39</f>
        <v>1.3573024826871716</v>
      </c>
      <c r="U29" s="30">
        <f t="shared" si="27"/>
        <v>3.1956087517924421</v>
      </c>
      <c r="V29" s="30">
        <f t="shared" si="28"/>
        <v>3.1937185397812775</v>
      </c>
      <c r="W29" s="60">
        <f t="shared" si="29"/>
        <v>5.6184793352438946</v>
      </c>
      <c r="X29" s="60">
        <v>0.5</v>
      </c>
      <c r="Y29" s="41">
        <f t="shared" ref="Y29:Y39" si="40">+W29/X29</f>
        <v>11.236958670487789</v>
      </c>
      <c r="Z29" s="34">
        <f t="shared" si="30"/>
        <v>512.5</v>
      </c>
      <c r="AA29" s="84">
        <f t="shared" si="31"/>
        <v>3182877.2428211574</v>
      </c>
      <c r="AB29" s="30">
        <v>16.195629400000001</v>
      </c>
      <c r="AC29" s="251">
        <f t="shared" si="32"/>
        <v>32.391258800000003</v>
      </c>
      <c r="AD29" s="299">
        <f t="shared" si="33"/>
        <v>3.1601228097560975E-2</v>
      </c>
      <c r="AE29" s="299">
        <f>+AC29/$AC$39</f>
        <v>1.3580211110201794</v>
      </c>
      <c r="AF29" s="123">
        <f t="shared" si="34"/>
        <v>1.3576617968536755</v>
      </c>
    </row>
    <row r="30" spans="1:32" ht="16" customHeight="1">
      <c r="A30" s="83" t="s">
        <v>25</v>
      </c>
      <c r="B30" s="93">
        <v>1</v>
      </c>
      <c r="C30" s="94">
        <v>0.215</v>
      </c>
      <c r="D30" s="104">
        <f t="shared" ref="D30:D39" si="41">+B30/C30</f>
        <v>4.6511627906976747</v>
      </c>
      <c r="E30" s="99">
        <v>0.48585999000000002</v>
      </c>
      <c r="F30" s="97">
        <v>1.2956866500000001E-2</v>
      </c>
      <c r="G30" s="98">
        <f t="shared" si="22"/>
        <v>13.2807881625</v>
      </c>
      <c r="H30" s="85">
        <v>28.9</v>
      </c>
      <c r="I30" s="30">
        <f t="shared" si="23"/>
        <v>1.9773807462424771</v>
      </c>
      <c r="J30" s="30">
        <f t="shared" si="35"/>
        <v>1.9762111196932015</v>
      </c>
      <c r="K30" s="60">
        <f t="shared" si="36"/>
        <v>1.8974826528364941</v>
      </c>
      <c r="L30" s="86">
        <v>0.1</v>
      </c>
      <c r="M30" s="41">
        <f t="shared" si="37"/>
        <v>18.97482652836494</v>
      </c>
      <c r="N30" s="357">
        <f>+M30/$M$39</f>
        <v>1.1085596776085596</v>
      </c>
      <c r="O30" s="34">
        <f t="shared" ref="O30:O39" si="42">+L30*1025</f>
        <v>102.5</v>
      </c>
      <c r="P30" s="84">
        <f t="shared" si="24"/>
        <v>1969502.7353012718</v>
      </c>
      <c r="Q30" s="30">
        <v>6.3715070000000003</v>
      </c>
      <c r="R30" s="251">
        <f t="shared" si="25"/>
        <v>63.715069999999997</v>
      </c>
      <c r="S30" s="299">
        <f t="shared" si="26"/>
        <v>6.2161043902439025E-2</v>
      </c>
      <c r="T30" s="299">
        <f t="shared" si="39"/>
        <v>1.4179785912285232</v>
      </c>
      <c r="U30" s="56">
        <f t="shared" si="27"/>
        <v>3.3812735134962506</v>
      </c>
      <c r="V30" s="30">
        <f t="shared" si="28"/>
        <v>3.3792734802303959</v>
      </c>
      <c r="W30" s="60">
        <f t="shared" si="29"/>
        <v>5.5482729348451088</v>
      </c>
      <c r="X30" s="60">
        <v>0.5</v>
      </c>
      <c r="Y30" s="41">
        <f t="shared" si="40"/>
        <v>11.096545869690218</v>
      </c>
      <c r="Z30" s="34">
        <f t="shared" si="30"/>
        <v>512.5</v>
      </c>
      <c r="AA30" s="84">
        <f t="shared" si="31"/>
        <v>3367802.3042791341</v>
      </c>
      <c r="AB30" s="30">
        <v>16.917526599999999</v>
      </c>
      <c r="AC30" s="251">
        <f t="shared" si="32"/>
        <v>33.835053199999997</v>
      </c>
      <c r="AD30" s="299">
        <f t="shared" si="33"/>
        <v>3.3009807999999995E-2</v>
      </c>
      <c r="AE30" s="299">
        <f>+AC30/$AC$39</f>
        <v>1.4185529751036063</v>
      </c>
      <c r="AF30" s="123">
        <f t="shared" si="34"/>
        <v>1.4182657831660648</v>
      </c>
    </row>
    <row r="31" spans="1:32">
      <c r="A31" s="83" t="s">
        <v>26</v>
      </c>
      <c r="B31" s="93">
        <v>1</v>
      </c>
      <c r="C31" s="94">
        <v>0.20100000000000001</v>
      </c>
      <c r="D31" s="104">
        <f t="shared" si="41"/>
        <v>4.9751243781094523</v>
      </c>
      <c r="E31" s="99">
        <v>0.47660048999999999</v>
      </c>
      <c r="F31" s="97">
        <v>1.1090659500000001E-2</v>
      </c>
      <c r="G31" s="98">
        <f t="shared" si="22"/>
        <v>11.367925987500001</v>
      </c>
      <c r="H31" s="41">
        <v>32.299999999999997</v>
      </c>
      <c r="I31" s="30">
        <f t="shared" si="23"/>
        <v>2.0825934835141471</v>
      </c>
      <c r="J31" s="30">
        <f t="shared" si="35"/>
        <v>2.0813616233201531</v>
      </c>
      <c r="K31" s="60">
        <f t="shared" si="36"/>
        <v>2.064664876982893</v>
      </c>
      <c r="L31" s="60">
        <v>0.1</v>
      </c>
      <c r="M31" s="41">
        <f t="shared" si="37"/>
        <v>20.646648769828928</v>
      </c>
      <c r="N31" s="357">
        <f t="shared" si="38"/>
        <v>1.2062319657976333</v>
      </c>
      <c r="O31" s="34">
        <f t="shared" si="42"/>
        <v>102.5</v>
      </c>
      <c r="P31" s="84">
        <f t="shared" si="24"/>
        <v>2074296.2983208636</v>
      </c>
      <c r="Q31" s="30">
        <v>6.3941581999999997</v>
      </c>
      <c r="R31" s="251">
        <f t="shared" si="25"/>
        <v>63.941581999999997</v>
      </c>
      <c r="S31" s="299">
        <f t="shared" si="26"/>
        <v>6.2382031219512191E-2</v>
      </c>
      <c r="T31" s="299">
        <f t="shared" si="39"/>
        <v>1.4230196147517862</v>
      </c>
      <c r="U31" s="56">
        <f t="shared" si="27"/>
        <v>3.5611847635148211</v>
      </c>
      <c r="V31" s="30">
        <f t="shared" si="28"/>
        <v>3.5590783122134231</v>
      </c>
      <c r="W31" s="60">
        <f t="shared" si="29"/>
        <v>6.0371167237630559</v>
      </c>
      <c r="X31" s="60">
        <v>0.5</v>
      </c>
      <c r="Y31" s="41">
        <f t="shared" si="40"/>
        <v>12.074233447526112</v>
      </c>
      <c r="Z31" s="34">
        <f t="shared" si="30"/>
        <v>512.5</v>
      </c>
      <c r="AA31" s="84">
        <f t="shared" si="31"/>
        <v>3546996.7764091841</v>
      </c>
      <c r="AB31" s="30">
        <v>17.001193799999999</v>
      </c>
      <c r="AC31" s="251">
        <f t="shared" si="32"/>
        <v>34.002387599999999</v>
      </c>
      <c r="AD31" s="299">
        <f t="shared" si="33"/>
        <v>3.317306107317073E-2</v>
      </c>
      <c r="AE31" s="299">
        <f t="shared" ref="AE31:AE39" si="43">+AC31/$AC$39</f>
        <v>1.4255685606726334</v>
      </c>
      <c r="AF31" s="123">
        <f t="shared" si="34"/>
        <v>1.4242940877122097</v>
      </c>
    </row>
    <row r="32" spans="1:32">
      <c r="A32" s="83" t="s">
        <v>27</v>
      </c>
      <c r="B32" s="26">
        <v>1</v>
      </c>
      <c r="C32" s="111">
        <v>0.115</v>
      </c>
      <c r="D32" s="104">
        <f t="shared" si="41"/>
        <v>8.695652173913043</v>
      </c>
      <c r="E32" s="2">
        <v>0.20693346000000001</v>
      </c>
      <c r="F32" s="112">
        <v>2.8168631999999998E-3</v>
      </c>
      <c r="G32" s="98">
        <f t="shared" si="22"/>
        <v>2.8872847799999999</v>
      </c>
      <c r="H32" s="41">
        <v>23.9</v>
      </c>
      <c r="I32" s="30">
        <f t="shared" si="23"/>
        <v>3.2885292602968521</v>
      </c>
      <c r="J32" s="30">
        <f t="shared" si="35"/>
        <v>3.2865840855305759</v>
      </c>
      <c r="K32" s="60">
        <f t="shared" si="36"/>
        <v>2.2352196941217533</v>
      </c>
      <c r="L32" s="60">
        <v>0.1</v>
      </c>
      <c r="M32" s="41">
        <f t="shared" si="37"/>
        <v>22.352196941217532</v>
      </c>
      <c r="N32" s="357">
        <f t="shared" si="38"/>
        <v>1.3058746122373286</v>
      </c>
      <c r="O32" s="34">
        <f t="shared" si="42"/>
        <v>102.5</v>
      </c>
      <c r="P32" s="84">
        <f t="shared" si="24"/>
        <v>3275427.5500964662</v>
      </c>
      <c r="Q32" s="30">
        <v>6.4374311999999998</v>
      </c>
      <c r="R32" s="251">
        <f t="shared" si="25"/>
        <v>64.374311999999989</v>
      </c>
      <c r="S32" s="299">
        <f t="shared" si="26"/>
        <v>6.2804206829268294E-2</v>
      </c>
      <c r="T32" s="299">
        <f t="shared" si="39"/>
        <v>1.432650018921197</v>
      </c>
      <c r="U32" s="56">
        <f t="shared" si="27"/>
        <v>5.6233059350501238</v>
      </c>
      <c r="V32" s="30">
        <f t="shared" si="28"/>
        <v>5.6199797329877086</v>
      </c>
      <c r="W32" s="60">
        <f t="shared" si="29"/>
        <v>6.5358220344147337</v>
      </c>
      <c r="X32" s="60">
        <v>0.5</v>
      </c>
      <c r="Y32" s="41">
        <f t="shared" si="40"/>
        <v>13.071644068829467</v>
      </c>
      <c r="Z32" s="34">
        <f t="shared" si="30"/>
        <v>512.5</v>
      </c>
      <c r="AA32" s="84">
        <f t="shared" si="31"/>
        <v>5600902.3257471351</v>
      </c>
      <c r="AB32" s="30">
        <v>17.1225688</v>
      </c>
      <c r="AC32" s="251">
        <f t="shared" si="32"/>
        <v>34.2451376</v>
      </c>
      <c r="AD32" s="299">
        <f t="shared" si="33"/>
        <v>3.3409890341463418E-2</v>
      </c>
      <c r="AE32" s="299">
        <f t="shared" si="43"/>
        <v>1.4357459862162232</v>
      </c>
      <c r="AF32" s="123">
        <f t="shared" si="34"/>
        <v>1.43419800256871</v>
      </c>
    </row>
    <row r="33" spans="1:32">
      <c r="A33" s="83" t="s">
        <v>28</v>
      </c>
      <c r="B33" s="26">
        <v>1</v>
      </c>
      <c r="C33" s="2">
        <v>0.12712000000000001</v>
      </c>
      <c r="D33" s="104">
        <f t="shared" si="41"/>
        <v>7.8665827564505975</v>
      </c>
      <c r="E33" s="2">
        <v>0.22313092000000001</v>
      </c>
      <c r="F33" s="112">
        <v>3.6635719999999999E-3</v>
      </c>
      <c r="G33" s="98">
        <f t="shared" si="22"/>
        <v>3.7551612999999997</v>
      </c>
      <c r="H33" s="34">
        <v>18.3</v>
      </c>
      <c r="I33" s="30">
        <f t="shared" si="23"/>
        <v>3.0126965174617633</v>
      </c>
      <c r="J33" s="30">
        <f t="shared" si="35"/>
        <v>3.0109144985772223</v>
      </c>
      <c r="K33" s="60">
        <f t="shared" si="36"/>
        <v>2.0228170334095181</v>
      </c>
      <c r="L33" s="60">
        <v>0.1</v>
      </c>
      <c r="M33" s="41">
        <f t="shared" si="37"/>
        <v>20.228170334095179</v>
      </c>
      <c r="N33" s="357">
        <f t="shared" si="38"/>
        <v>1.1817833459849747</v>
      </c>
      <c r="O33" s="34">
        <f t="shared" si="42"/>
        <v>102.5</v>
      </c>
      <c r="P33" s="84">
        <f t="shared" si="24"/>
        <v>3000693.7424917961</v>
      </c>
      <c r="Q33" s="30">
        <v>5.7167627999999997</v>
      </c>
      <c r="R33" s="251">
        <f t="shared" si="25"/>
        <v>57.167627999999993</v>
      </c>
      <c r="S33" s="299">
        <f t="shared" si="26"/>
        <v>5.5773295609756093E-2</v>
      </c>
      <c r="T33" s="299">
        <f t="shared" si="39"/>
        <v>1.2722652994859185</v>
      </c>
      <c r="U33" s="30">
        <f t="shared" si="27"/>
        <v>5.1516385794962654</v>
      </c>
      <c r="V33" s="30">
        <f t="shared" si="28"/>
        <v>5.1485913700671757</v>
      </c>
      <c r="W33" s="60">
        <f t="shared" si="29"/>
        <v>5.9147528868485528</v>
      </c>
      <c r="X33" s="60">
        <v>0.5</v>
      </c>
      <c r="Y33" s="41">
        <f t="shared" si="40"/>
        <v>11.829505773697106</v>
      </c>
      <c r="Z33" s="34">
        <f t="shared" si="30"/>
        <v>512.5</v>
      </c>
      <c r="AA33" s="84">
        <f t="shared" si="31"/>
        <v>5131114.1230042484</v>
      </c>
      <c r="AB33" s="30">
        <v>15.4039094</v>
      </c>
      <c r="AC33" s="251">
        <f t="shared" si="32"/>
        <v>30.8078188</v>
      </c>
      <c r="AD33" s="299">
        <f t="shared" si="33"/>
        <v>3.0056408585365853E-2</v>
      </c>
      <c r="AE33" s="299">
        <f t="shared" si="43"/>
        <v>1.2916345293405012</v>
      </c>
      <c r="AF33" s="123">
        <f t="shared" si="34"/>
        <v>1.2819499144132098</v>
      </c>
    </row>
    <row r="34" spans="1:32">
      <c r="A34" s="83" t="s">
        <v>1</v>
      </c>
      <c r="B34" s="93">
        <v>1</v>
      </c>
      <c r="C34" s="94">
        <v>0.17391304347826086</v>
      </c>
      <c r="D34" s="104">
        <f t="shared" si="41"/>
        <v>5.75</v>
      </c>
      <c r="E34" s="99">
        <v>0.31589066999999998</v>
      </c>
      <c r="F34" s="97">
        <v>7.3322780799999999E-3</v>
      </c>
      <c r="G34" s="98">
        <f t="shared" si="22"/>
        <v>7.5155850319999997</v>
      </c>
      <c r="H34" s="41">
        <v>9.8222253920953104</v>
      </c>
      <c r="I34" s="30">
        <f t="shared" ref="I34:I39" si="44">+P34*0.000001004/1</f>
        <v>2.3906205770397562</v>
      </c>
      <c r="J34" s="30">
        <f t="shared" si="35"/>
        <v>2.3892065179105457</v>
      </c>
      <c r="K34" s="60">
        <f t="shared" ref="K34:K39" si="45">+E34*J34^2</f>
        <v>1.8032011708413314</v>
      </c>
      <c r="L34" s="60">
        <v>0.1</v>
      </c>
      <c r="M34" s="41">
        <f t="shared" si="37"/>
        <v>18.032011708413311</v>
      </c>
      <c r="N34" s="357">
        <f t="shared" si="38"/>
        <v>1.053477935950065</v>
      </c>
      <c r="O34" s="34">
        <f t="shared" si="42"/>
        <v>102.5</v>
      </c>
      <c r="P34" s="84">
        <f t="shared" si="24"/>
        <v>2381096.1922706733</v>
      </c>
      <c r="Q34" s="78">
        <v>4.6677688000000002</v>
      </c>
      <c r="R34" s="251">
        <f t="shared" si="25"/>
        <v>46.677687999999996</v>
      </c>
      <c r="S34" s="299">
        <f t="shared" si="26"/>
        <v>4.5539207804878051E-2</v>
      </c>
      <c r="T34" s="299">
        <f t="shared" si="39"/>
        <v>1.0388117327979791</v>
      </c>
      <c r="U34" s="56">
        <f t="shared" si="27"/>
        <v>4.0879036843683467</v>
      </c>
      <c r="V34" s="30">
        <f t="shared" si="28"/>
        <v>4.0854856772702179</v>
      </c>
      <c r="W34" s="60">
        <f t="shared" si="29"/>
        <v>5.2725922091062563</v>
      </c>
      <c r="X34" s="86">
        <f>+AVERAGE(X32,X33)</f>
        <v>0.5</v>
      </c>
      <c r="Y34" s="41">
        <f t="shared" si="40"/>
        <v>10.545184418212513</v>
      </c>
      <c r="Z34" s="34">
        <f t="shared" si="30"/>
        <v>512.5</v>
      </c>
      <c r="AA34" s="84">
        <f t="shared" si="31"/>
        <v>4071617.2155063213</v>
      </c>
      <c r="AB34" s="30">
        <v>12.423392399999999</v>
      </c>
      <c r="AC34" s="251">
        <f t="shared" si="32"/>
        <v>24.846784799999998</v>
      </c>
      <c r="AD34" s="299">
        <f t="shared" si="33"/>
        <v>2.4240765658536584E-2</v>
      </c>
      <c r="AE34" s="299">
        <f t="shared" si="43"/>
        <v>1.0417149425318197</v>
      </c>
      <c r="AF34" s="123">
        <f t="shared" si="34"/>
        <v>1.0402633376648995</v>
      </c>
    </row>
    <row r="35" spans="1:32">
      <c r="A35" s="83" t="s">
        <v>55</v>
      </c>
      <c r="B35" s="93">
        <v>1</v>
      </c>
      <c r="C35" s="94">
        <v>0.17513134851138354</v>
      </c>
      <c r="D35" s="104">
        <f t="shared" si="41"/>
        <v>5.71</v>
      </c>
      <c r="E35" s="99">
        <v>0.35819917000000001</v>
      </c>
      <c r="F35" s="97">
        <v>9.5339913699999997E-3</v>
      </c>
      <c r="G35" s="98">
        <f t="shared" si="22"/>
        <v>9.7723411542500003</v>
      </c>
      <c r="H35" s="41">
        <v>10.026981299999999</v>
      </c>
      <c r="I35" s="30">
        <f t="shared" si="44"/>
        <v>2.190275327154839</v>
      </c>
      <c r="J35" s="30">
        <f t="shared" si="35"/>
        <v>2.1889797728324201</v>
      </c>
      <c r="K35" s="60">
        <f t="shared" si="45"/>
        <v>1.7163587650555154</v>
      </c>
      <c r="L35" s="60">
        <v>0.1</v>
      </c>
      <c r="M35" s="41">
        <f t="shared" si="37"/>
        <v>17.163587650555154</v>
      </c>
      <c r="N35" s="357">
        <f t="shared" si="38"/>
        <v>1.0027422998604469</v>
      </c>
      <c r="O35" s="34">
        <f t="shared" si="42"/>
        <v>102.5</v>
      </c>
      <c r="P35" s="84">
        <f t="shared" si="24"/>
        <v>2181549.1306323097</v>
      </c>
      <c r="Q35" s="30">
        <v>4.9087589999999999</v>
      </c>
      <c r="R35" s="251">
        <f t="shared" si="25"/>
        <v>49.087589999999999</v>
      </c>
      <c r="S35" s="299">
        <f t="shared" si="26"/>
        <v>4.7890331707317074E-2</v>
      </c>
      <c r="T35" s="299">
        <f t="shared" si="39"/>
        <v>1.0924440907779485</v>
      </c>
      <c r="U35" s="56">
        <f t="shared" si="27"/>
        <v>3.7453181260342054</v>
      </c>
      <c r="V35" s="30">
        <f t="shared" si="28"/>
        <v>3.7431027593052555</v>
      </c>
      <c r="W35" s="60">
        <f t="shared" si="29"/>
        <v>5.0186634741594478</v>
      </c>
      <c r="X35" s="60">
        <v>0.5</v>
      </c>
      <c r="Y35" s="41">
        <f t="shared" si="40"/>
        <v>10.037326948318896</v>
      </c>
      <c r="Z35" s="34">
        <f t="shared" si="30"/>
        <v>512.5</v>
      </c>
      <c r="AA35" s="84">
        <f t="shared" si="31"/>
        <v>3730396.5398747064</v>
      </c>
      <c r="AB35" s="30">
        <v>13.065823</v>
      </c>
      <c r="AC35" s="251">
        <f t="shared" si="32"/>
        <v>26.131646</v>
      </c>
      <c r="AD35" s="299">
        <f t="shared" si="33"/>
        <v>2.5494288780487803E-2</v>
      </c>
      <c r="AE35" s="299">
        <f t="shared" si="43"/>
        <v>1.0955834459173914</v>
      </c>
      <c r="AF35" s="123">
        <f t="shared" si="34"/>
        <v>1.0940137683476698</v>
      </c>
    </row>
    <row r="36" spans="1:32">
      <c r="A36" s="83" t="s">
        <v>3</v>
      </c>
      <c r="B36" s="93">
        <v>1</v>
      </c>
      <c r="C36" s="94">
        <v>0.21299999999999999</v>
      </c>
      <c r="D36" s="104">
        <f t="shared" si="41"/>
        <v>4.694835680751174</v>
      </c>
      <c r="E36" s="99">
        <v>0.38727143000000003</v>
      </c>
      <c r="F36" s="97">
        <v>1.07098019E-2</v>
      </c>
      <c r="G36" s="98">
        <f t="shared" si="22"/>
        <v>10.977546947499999</v>
      </c>
      <c r="H36" s="41">
        <v>9.6649984500000006</v>
      </c>
      <c r="I36" s="30">
        <f t="shared" si="44"/>
        <v>2.1069932771657962</v>
      </c>
      <c r="J36" s="30">
        <f t="shared" si="35"/>
        <v>2.1057469844218213</v>
      </c>
      <c r="K36" s="60">
        <f t="shared" si="45"/>
        <v>1.7172274971108836</v>
      </c>
      <c r="L36" s="60">
        <v>0.1</v>
      </c>
      <c r="M36" s="41">
        <f t="shared" si="37"/>
        <v>17.172274971108834</v>
      </c>
      <c r="N36" s="357">
        <f t="shared" si="38"/>
        <v>1.0032498361616549</v>
      </c>
      <c r="O36" s="34">
        <f t="shared" si="42"/>
        <v>102.5</v>
      </c>
      <c r="P36" s="84">
        <f t="shared" si="24"/>
        <v>2098598.8816392394</v>
      </c>
      <c r="Q36" s="78">
        <v>5.2004239999999999</v>
      </c>
      <c r="R36" s="251">
        <f t="shared" si="25"/>
        <v>52.004239999999996</v>
      </c>
      <c r="S36" s="299">
        <f t="shared" si="26"/>
        <v>5.0735843902439022E-2</v>
      </c>
      <c r="T36" s="299">
        <f t="shared" si="39"/>
        <v>1.1573541231785511</v>
      </c>
      <c r="U36" s="56">
        <f t="shared" si="27"/>
        <v>3.6029078237630165</v>
      </c>
      <c r="V36" s="30">
        <f t="shared" si="28"/>
        <v>3.6007766931483016</v>
      </c>
      <c r="W36" s="60">
        <f t="shared" si="29"/>
        <v>5.0212036620991016</v>
      </c>
      <c r="X36" s="60">
        <v>0.5</v>
      </c>
      <c r="Y36" s="41">
        <f t="shared" si="40"/>
        <v>10.042407324198203</v>
      </c>
      <c r="Z36" s="34">
        <f t="shared" si="30"/>
        <v>512.5</v>
      </c>
      <c r="AA36" s="84">
        <f t="shared" si="31"/>
        <v>3588553.6093257135</v>
      </c>
      <c r="AB36" s="30">
        <v>13.711520999999999</v>
      </c>
      <c r="AC36" s="251">
        <f t="shared" si="32"/>
        <v>27.423041999999999</v>
      </c>
      <c r="AD36" s="299">
        <f t="shared" si="33"/>
        <v>2.6754187317073169E-2</v>
      </c>
      <c r="AE36" s="299">
        <f t="shared" si="43"/>
        <v>1.1497259243408298</v>
      </c>
      <c r="AF36" s="123">
        <f t="shared" si="34"/>
        <v>1.1535400237596904</v>
      </c>
    </row>
    <row r="37" spans="1:32">
      <c r="A37" s="83" t="s">
        <v>19</v>
      </c>
      <c r="B37" s="93">
        <v>1</v>
      </c>
      <c r="C37" s="94">
        <v>0.21099999999999999</v>
      </c>
      <c r="D37" s="104">
        <f>+B37/C37</f>
        <v>4.7393364928909953</v>
      </c>
      <c r="E37" s="2">
        <v>0.51758999999999999</v>
      </c>
      <c r="F37" s="97">
        <v>1.56178615E-2</v>
      </c>
      <c r="G37" s="98">
        <f>+F37*1025</f>
        <v>16.008308037500001</v>
      </c>
      <c r="H37" s="41">
        <v>12</v>
      </c>
      <c r="I37" s="30">
        <f>+P37*0.000001004/1</f>
        <v>1.8580173856737665</v>
      </c>
      <c r="J37" s="30">
        <f t="shared" si="35"/>
        <v>1.8569183629046671</v>
      </c>
      <c r="K37" s="60">
        <f t="shared" si="45"/>
        <v>1.7847257879824785</v>
      </c>
      <c r="L37" s="60">
        <v>0.1</v>
      </c>
      <c r="M37" s="41">
        <f t="shared" si="37"/>
        <v>17.847257879824785</v>
      </c>
      <c r="N37" s="357">
        <f t="shared" si="38"/>
        <v>1.0426841274084755</v>
      </c>
      <c r="O37" s="34">
        <f t="shared" si="42"/>
        <v>102.5</v>
      </c>
      <c r="P37" s="84">
        <f t="shared" si="24"/>
        <v>1850614.9259698868</v>
      </c>
      <c r="Q37" s="30">
        <v>4.9215276000000001</v>
      </c>
      <c r="R37" s="251">
        <f t="shared" si="25"/>
        <v>49.215275999999996</v>
      </c>
      <c r="S37" s="299">
        <f t="shared" si="26"/>
        <v>4.8014903414634144E-2</v>
      </c>
      <c r="T37" s="299">
        <f t="shared" si="39"/>
        <v>1.0952857421235345</v>
      </c>
      <c r="U37" s="56">
        <f t="shared" si="27"/>
        <v>3.1771650380092584</v>
      </c>
      <c r="V37" s="30">
        <f t="shared" si="28"/>
        <v>3.1752857355092483</v>
      </c>
      <c r="W37" s="60">
        <f t="shared" si="29"/>
        <v>5.2185698619066949</v>
      </c>
      <c r="X37" s="60">
        <v>0.5</v>
      </c>
      <c r="Y37" s="41">
        <f t="shared" si="40"/>
        <v>10.43713972381339</v>
      </c>
      <c r="Z37" s="34">
        <f t="shared" si="30"/>
        <v>512.5</v>
      </c>
      <c r="AA37" s="84">
        <f t="shared" si="31"/>
        <v>3164507.0099693807</v>
      </c>
      <c r="AB37" s="30">
        <v>13.087346200000001</v>
      </c>
      <c r="AC37" s="251">
        <f t="shared" si="32"/>
        <v>26.174692400000001</v>
      </c>
      <c r="AD37" s="299">
        <f t="shared" si="33"/>
        <v>2.5536285268292686E-2</v>
      </c>
      <c r="AE37" s="299">
        <f t="shared" si="43"/>
        <v>1.0973881896081004</v>
      </c>
      <c r="AF37" s="123">
        <f t="shared" si="34"/>
        <v>1.0963369658658175</v>
      </c>
    </row>
    <row r="38" spans="1:32">
      <c r="A38" s="83" t="s">
        <v>20</v>
      </c>
      <c r="B38" s="93">
        <v>1</v>
      </c>
      <c r="C38" s="105">
        <v>0.19600000000000001</v>
      </c>
      <c r="D38" s="104">
        <f>+B38/C38</f>
        <v>5.1020408163265305</v>
      </c>
      <c r="E38" s="105">
        <v>0.47399999999999998</v>
      </c>
      <c r="F38" s="106">
        <v>1.34E-2</v>
      </c>
      <c r="G38" s="98">
        <f>+F38*1025</f>
        <v>13.735000000000001</v>
      </c>
      <c r="H38" s="41">
        <v>12</v>
      </c>
      <c r="I38" s="30">
        <f>+P38*0.000001004/1</f>
        <v>1.9553388521048234</v>
      </c>
      <c r="J38" s="30">
        <f t="shared" si="35"/>
        <v>1.9541822634010053</v>
      </c>
      <c r="K38" s="60">
        <f t="shared" si="45"/>
        <v>1.8101246230121699</v>
      </c>
      <c r="L38" s="60">
        <v>0.1</v>
      </c>
      <c r="M38" s="41">
        <f t="shared" si="37"/>
        <v>18.101246230121699</v>
      </c>
      <c r="N38" s="357">
        <f t="shared" si="38"/>
        <v>1.0575228002838548</v>
      </c>
      <c r="O38" s="34">
        <f t="shared" si="42"/>
        <v>102.5</v>
      </c>
      <c r="P38" s="84">
        <f t="shared" si="24"/>
        <v>1947548.6574749236</v>
      </c>
      <c r="Q38" s="30">
        <v>5.3183824</v>
      </c>
      <c r="R38" s="251">
        <f t="shared" si="25"/>
        <v>53.183823999999994</v>
      </c>
      <c r="S38" s="299">
        <f t="shared" si="26"/>
        <v>5.1886657560975609E-2</v>
      </c>
      <c r="T38" s="299">
        <f t="shared" si="39"/>
        <v>1.1836057596996394</v>
      </c>
      <c r="U38" s="56">
        <f t="shared" si="27"/>
        <v>3.34358240470167</v>
      </c>
      <c r="V38" s="30">
        <f t="shared" si="28"/>
        <v>3.3416046658379428</v>
      </c>
      <c r="W38" s="60">
        <f t="shared" si="29"/>
        <v>5.2928365060634572</v>
      </c>
      <c r="X38" s="86">
        <f>+AVERAGE(X36,X37)</f>
        <v>0.5</v>
      </c>
      <c r="Y38" s="41">
        <f t="shared" si="40"/>
        <v>10.585673012126914</v>
      </c>
      <c r="Z38" s="34">
        <f t="shared" si="30"/>
        <v>512.5</v>
      </c>
      <c r="AA38" s="84">
        <f t="shared" si="31"/>
        <v>3330261.3592646113</v>
      </c>
      <c r="AB38" s="30">
        <v>14.1363074</v>
      </c>
      <c r="AC38" s="251">
        <f t="shared" si="32"/>
        <v>28.272614799999999</v>
      </c>
      <c r="AD38" s="299">
        <f t="shared" si="33"/>
        <v>2.7583038829268294E-2</v>
      </c>
      <c r="AE38" s="299">
        <f t="shared" si="43"/>
        <v>1.185344725230054</v>
      </c>
      <c r="AF38" s="123">
        <f t="shared" si="34"/>
        <v>1.1844752424648468</v>
      </c>
    </row>
    <row r="39" spans="1:32">
      <c r="A39" s="83" t="s">
        <v>4</v>
      </c>
      <c r="B39" s="93">
        <v>1</v>
      </c>
      <c r="C39" s="94">
        <v>0.2061855670103093</v>
      </c>
      <c r="D39" s="104">
        <f t="shared" si="41"/>
        <v>4.8499999999999996</v>
      </c>
      <c r="E39" s="99">
        <v>0.40699999999999997</v>
      </c>
      <c r="F39" s="97">
        <v>1.15948066E-2</v>
      </c>
      <c r="G39" s="98">
        <f t="shared" si="22"/>
        <v>11.884676765</v>
      </c>
      <c r="H39" s="41">
        <v>6.7450000000000001</v>
      </c>
      <c r="I39" s="30">
        <f t="shared" si="44"/>
        <v>2.0519611128994066</v>
      </c>
      <c r="J39" s="30">
        <f t="shared" si="35"/>
        <v>2.0507473718430682</v>
      </c>
      <c r="K39" s="60">
        <f t="shared" si="45"/>
        <v>1.7116648667303491</v>
      </c>
      <c r="L39" s="60">
        <v>0.1</v>
      </c>
      <c r="M39" s="41">
        <f t="shared" si="37"/>
        <v>17.11664866730349</v>
      </c>
      <c r="N39" s="357">
        <f t="shared" si="38"/>
        <v>1</v>
      </c>
      <c r="O39" s="34">
        <f t="shared" si="42"/>
        <v>102.5</v>
      </c>
      <c r="P39" s="84">
        <f t="shared" si="24"/>
        <v>2043785.9690233134</v>
      </c>
      <c r="Q39" s="30">
        <v>4.4933731999999997</v>
      </c>
      <c r="R39" s="251">
        <f t="shared" si="25"/>
        <v>44.933731999999992</v>
      </c>
      <c r="S39" s="301">
        <f t="shared" si="26"/>
        <v>4.3837787317073169E-2</v>
      </c>
      <c r="T39" s="299">
        <f t="shared" si="39"/>
        <v>1</v>
      </c>
      <c r="U39" s="56">
        <f t="shared" si="27"/>
        <v>3.5088041465739299</v>
      </c>
      <c r="V39" s="30">
        <f t="shared" si="28"/>
        <v>3.506728678562097</v>
      </c>
      <c r="W39" s="60">
        <f t="shared" si="29"/>
        <v>5.0049384321952974</v>
      </c>
      <c r="X39" s="60">
        <v>0.5</v>
      </c>
      <c r="Y39" s="41">
        <f t="shared" si="40"/>
        <v>10.009876864390595</v>
      </c>
      <c r="Z39" s="34">
        <f t="shared" si="30"/>
        <v>512.5</v>
      </c>
      <c r="AA39" s="84">
        <f t="shared" si="31"/>
        <v>3494824.8471851889</v>
      </c>
      <c r="AB39" s="30">
        <v>11.925903999999999</v>
      </c>
      <c r="AC39" s="251">
        <f t="shared" si="32"/>
        <v>23.851807999999998</v>
      </c>
      <c r="AD39" s="299">
        <f t="shared" si="33"/>
        <v>2.327005658536585E-2</v>
      </c>
      <c r="AE39" s="299">
        <f t="shared" si="43"/>
        <v>1</v>
      </c>
      <c r="AF39" s="123">
        <f t="shared" si="34"/>
        <v>1</v>
      </c>
    </row>
    <row r="40" spans="1:32">
      <c r="A40" s="79"/>
      <c r="B40" s="93"/>
      <c r="C40" s="94"/>
      <c r="D40" s="104"/>
      <c r="E40" s="99"/>
      <c r="F40" s="27"/>
      <c r="G40" s="98"/>
      <c r="H40" s="41"/>
      <c r="I40" s="30"/>
      <c r="J40" s="30"/>
      <c r="K40" s="60"/>
      <c r="L40" s="60"/>
      <c r="M40" s="60"/>
      <c r="N40" s="60"/>
      <c r="O40" s="41"/>
      <c r="P40" s="84"/>
      <c r="Q40" s="30"/>
      <c r="R40" s="30"/>
      <c r="S40" s="89"/>
      <c r="T40" s="60"/>
      <c r="U40" s="56"/>
      <c r="V40" s="30"/>
      <c r="W40" s="60"/>
      <c r="X40" s="60"/>
      <c r="Y40" s="60"/>
      <c r="Z40" s="34"/>
      <c r="AA40" s="84"/>
      <c r="AB40" s="30"/>
      <c r="AC40" s="30"/>
      <c r="AD40" s="60"/>
      <c r="AE40" s="60"/>
    </row>
    <row r="41" spans="1:32">
      <c r="A41" s="79"/>
      <c r="B41" s="352"/>
      <c r="C41" s="94"/>
      <c r="D41" s="104"/>
      <c r="E41" s="99"/>
      <c r="F41" s="27"/>
      <c r="G41" s="98"/>
      <c r="H41" s="41"/>
      <c r="I41" s="30"/>
      <c r="J41" s="30"/>
      <c r="K41" s="60"/>
      <c r="L41" s="60"/>
      <c r="M41" s="60"/>
      <c r="N41" s="60"/>
      <c r="O41" s="41"/>
      <c r="P41" s="84"/>
      <c r="Q41" s="30"/>
      <c r="R41" s="30"/>
      <c r="S41" s="89"/>
      <c r="T41" s="60"/>
      <c r="U41" s="56"/>
      <c r="V41" s="30"/>
      <c r="W41" s="60"/>
      <c r="X41" s="60"/>
      <c r="Y41" s="60"/>
      <c r="Z41" s="34"/>
      <c r="AA41" s="84"/>
      <c r="AB41" s="30"/>
      <c r="AC41" s="30"/>
      <c r="AD41" s="60"/>
      <c r="AE41" s="60"/>
    </row>
    <row r="42" spans="1:32">
      <c r="A42" s="79"/>
      <c r="B42" s="352"/>
      <c r="C42" s="94"/>
      <c r="D42" s="104"/>
      <c r="E42" s="99"/>
      <c r="F42" s="27"/>
      <c r="G42" s="98"/>
      <c r="H42" s="41"/>
      <c r="I42" s="30"/>
      <c r="J42" s="30"/>
      <c r="K42" s="60"/>
      <c r="L42" s="60"/>
      <c r="M42" s="60"/>
      <c r="N42" s="60"/>
      <c r="O42" s="41"/>
      <c r="P42" s="84"/>
      <c r="Q42" s="30"/>
      <c r="R42" s="30"/>
      <c r="S42" s="89"/>
      <c r="T42" s="60"/>
      <c r="U42" s="56"/>
      <c r="V42" s="30"/>
      <c r="W42" s="60"/>
      <c r="X42" s="60"/>
      <c r="Y42" s="60"/>
      <c r="Z42" s="34"/>
      <c r="AA42" s="84"/>
      <c r="AB42" s="30"/>
      <c r="AC42" s="30"/>
      <c r="AD42" s="60"/>
      <c r="AE42" s="60"/>
    </row>
    <row r="43" spans="1:32">
      <c r="A43" s="79"/>
      <c r="B43" s="352"/>
      <c r="C43" s="94"/>
      <c r="D43" s="104"/>
      <c r="E43" s="99"/>
      <c r="F43" s="27"/>
      <c r="G43" s="98"/>
      <c r="H43" s="41"/>
      <c r="I43" s="30"/>
      <c r="J43" s="30"/>
      <c r="K43" s="60"/>
      <c r="L43" s="60"/>
      <c r="M43" s="60"/>
      <c r="N43" s="60"/>
      <c r="O43" s="41"/>
      <c r="P43" s="84"/>
      <c r="Q43" s="30"/>
      <c r="R43" s="30"/>
      <c r="S43" s="89"/>
      <c r="T43" s="60"/>
      <c r="U43" s="56"/>
      <c r="V43" s="30"/>
      <c r="W43" s="60"/>
      <c r="X43" s="60"/>
      <c r="Y43" s="60"/>
      <c r="Z43" s="34"/>
      <c r="AA43" s="84"/>
      <c r="AB43" s="30"/>
      <c r="AC43" s="30"/>
      <c r="AD43" s="60"/>
      <c r="AE43" s="60"/>
    </row>
    <row r="44" spans="1:32">
      <c r="C44" s="30"/>
      <c r="D44" s="30"/>
      <c r="E44" s="30"/>
      <c r="F44" s="28"/>
      <c r="G44" s="61"/>
      <c r="H44" s="28"/>
      <c r="I44" s="28"/>
      <c r="J44" s="28"/>
      <c r="O44" s="28"/>
    </row>
    <row r="45" spans="1:32">
      <c r="C45" s="42"/>
      <c r="D45" s="42"/>
      <c r="E45" s="42"/>
      <c r="F45" s="37"/>
      <c r="G45" s="90"/>
      <c r="H45" s="37"/>
      <c r="I45" s="37"/>
      <c r="J45" s="37"/>
      <c r="O45" s="37"/>
    </row>
    <row r="46" spans="1:32" s="23" customFormat="1" ht="19">
      <c r="A46" s="18" t="s">
        <v>422</v>
      </c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</row>
    <row r="47" spans="1:32">
      <c r="D47" s="30"/>
      <c r="E47" s="30"/>
      <c r="F47" s="30"/>
      <c r="G47" s="30"/>
      <c r="H47" s="30"/>
      <c r="I47" s="30"/>
      <c r="J47" s="30"/>
      <c r="V47" s="34"/>
      <c r="W47" s="34"/>
    </row>
    <row r="48" spans="1:32" ht="51">
      <c r="A48" s="13" t="s">
        <v>420</v>
      </c>
      <c r="B48" s="349" t="s">
        <v>568</v>
      </c>
      <c r="C48" s="346" t="s">
        <v>571</v>
      </c>
      <c r="D48" s="30"/>
      <c r="F48" s="30"/>
      <c r="G48" s="30"/>
      <c r="H48" s="30"/>
      <c r="I48" s="30"/>
      <c r="Z48" s="34"/>
      <c r="AB48" s="108"/>
      <c r="AD48"/>
      <c r="AE48"/>
    </row>
    <row r="49" spans="1:31">
      <c r="A49" s="276" t="s">
        <v>411</v>
      </c>
      <c r="B49" s="30">
        <f>+AVERAGE(AF29:AF33)</f>
        <v>1.3832739169427739</v>
      </c>
      <c r="C49" s="86">
        <v>0.2641</v>
      </c>
      <c r="D49" s="30"/>
      <c r="F49" s="30"/>
      <c r="G49" s="30"/>
      <c r="H49" s="30"/>
      <c r="I49" s="30"/>
      <c r="U49" s="108"/>
      <c r="Z49" s="34"/>
      <c r="AB49" s="108"/>
      <c r="AD49"/>
      <c r="AE49"/>
    </row>
    <row r="50" spans="1:31">
      <c r="A50" s="276" t="s">
        <v>412</v>
      </c>
      <c r="B50" s="30">
        <f>+AVERAGE(AF29:AF31)</f>
        <v>1.4000738892439832</v>
      </c>
      <c r="C50" s="86">
        <v>0.87970000000000004</v>
      </c>
      <c r="D50" s="30"/>
      <c r="F50" s="30"/>
      <c r="G50" s="30"/>
      <c r="H50" s="30"/>
      <c r="I50" s="30"/>
      <c r="T50" s="108"/>
      <c r="U50" s="108"/>
      <c r="Z50" s="34"/>
      <c r="AB50" s="108"/>
      <c r="AD50"/>
      <c r="AE50"/>
    </row>
    <row r="51" spans="1:31">
      <c r="A51" s="276" t="s">
        <v>413</v>
      </c>
      <c r="B51" s="30">
        <f>+AVERAGE(AF32:AF33)</f>
        <v>1.35807395849096</v>
      </c>
      <c r="C51" s="86" t="s">
        <v>54</v>
      </c>
      <c r="T51" s="108"/>
      <c r="U51" s="108"/>
      <c r="Z51" s="34"/>
      <c r="AB51" s="108"/>
      <c r="AD51"/>
      <c r="AE51"/>
    </row>
    <row r="52" spans="1:31">
      <c r="A52" s="276" t="s">
        <v>414</v>
      </c>
      <c r="B52" s="30">
        <f>+AVERAGE(AF34:AF36)</f>
        <v>1.0959390432574201</v>
      </c>
      <c r="C52" s="86">
        <v>0.99529999999999996</v>
      </c>
      <c r="T52" s="108"/>
      <c r="U52" s="108"/>
      <c r="Z52" s="34"/>
      <c r="AB52" s="108"/>
      <c r="AD52"/>
      <c r="AE52"/>
    </row>
    <row r="53" spans="1:31">
      <c r="A53" s="276" t="s">
        <v>415</v>
      </c>
      <c r="B53" s="30">
        <f>+AVERAGE(AF37:AF39)</f>
        <v>1.0936040694435547</v>
      </c>
      <c r="C53" s="86">
        <v>0.92120000000000002</v>
      </c>
      <c r="D53" s="92"/>
      <c r="T53" s="108"/>
      <c r="U53" s="108"/>
      <c r="Z53" s="34"/>
      <c r="AB53" s="108"/>
      <c r="AD53"/>
      <c r="AE53"/>
    </row>
    <row r="54" spans="1:31">
      <c r="B54" s="30"/>
      <c r="C54" s="30"/>
      <c r="D54" s="30"/>
      <c r="T54" s="108"/>
      <c r="U54" s="108"/>
      <c r="Z54" s="34"/>
      <c r="AB54" s="108"/>
      <c r="AD54"/>
      <c r="AE54"/>
    </row>
    <row r="55" spans="1:31" ht="51">
      <c r="A55" s="13"/>
      <c r="B55" s="348" t="s">
        <v>566</v>
      </c>
      <c r="C55" s="348" t="s">
        <v>572</v>
      </c>
      <c r="D55" s="40" t="s">
        <v>456</v>
      </c>
      <c r="T55" s="108"/>
      <c r="U55" s="108"/>
      <c r="Z55" s="34"/>
      <c r="AB55" s="108"/>
      <c r="AD55"/>
      <c r="AE55"/>
    </row>
    <row r="56" spans="1:31">
      <c r="A56" s="276" t="s">
        <v>459</v>
      </c>
      <c r="B56" s="60">
        <v>0.6472</v>
      </c>
      <c r="C56" s="350">
        <v>1.33E-5</v>
      </c>
      <c r="D56" s="34" t="s">
        <v>462</v>
      </c>
      <c r="T56" s="108"/>
      <c r="U56" s="108"/>
      <c r="Z56" s="34"/>
      <c r="AB56" s="108"/>
      <c r="AD56"/>
      <c r="AE56"/>
    </row>
    <row r="57" spans="1:31">
      <c r="A57" s="276" t="s">
        <v>460</v>
      </c>
      <c r="B57" s="60">
        <v>0.29859999999999998</v>
      </c>
      <c r="C57" s="350">
        <v>8.0210000000000006E-5</v>
      </c>
      <c r="D57" s="34" t="s">
        <v>462</v>
      </c>
      <c r="T57" s="108"/>
      <c r="U57" s="108"/>
      <c r="Z57" s="34"/>
      <c r="AB57" s="108"/>
      <c r="AD57"/>
      <c r="AE57"/>
    </row>
    <row r="58" spans="1:31">
      <c r="A58" s="276" t="s">
        <v>461</v>
      </c>
      <c r="B58" s="60">
        <v>0.23930000000000001</v>
      </c>
      <c r="C58">
        <v>0.62970000000000004</v>
      </c>
      <c r="D58" s="30" t="s">
        <v>457</v>
      </c>
      <c r="T58" s="108"/>
      <c r="U58" s="108"/>
      <c r="Z58" s="34"/>
      <c r="AB58" s="108"/>
      <c r="AD58"/>
      <c r="AE58"/>
    </row>
    <row r="59" spans="1:31">
      <c r="A59" s="276" t="s">
        <v>574</v>
      </c>
      <c r="B59" s="34">
        <v>0.72040000000000004</v>
      </c>
      <c r="C59" s="351">
        <v>4.6449999999999997E-5</v>
      </c>
      <c r="D59" s="34" t="s">
        <v>462</v>
      </c>
      <c r="E59" s="30"/>
      <c r="G59" s="30"/>
    </row>
    <row r="60" spans="1:31">
      <c r="A60" s="276" t="s">
        <v>573</v>
      </c>
      <c r="B60" s="34">
        <v>0.14219999999999999</v>
      </c>
      <c r="C60" s="34">
        <v>8.7379999999999999E-4</v>
      </c>
      <c r="D60" s="34" t="s">
        <v>462</v>
      </c>
      <c r="G60" s="60"/>
    </row>
  </sheetData>
  <mergeCells count="4">
    <mergeCell ref="S7:T7"/>
    <mergeCell ref="S26:T26"/>
    <mergeCell ref="AD7:AE7"/>
    <mergeCell ref="AD26:AE26"/>
  </mergeCells>
  <pageMargins left="0.25" right="0.25" top="0.75" bottom="0.75" header="0.3" footer="0.3"/>
  <pageSetup paperSize="8" scale="48"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8AFEA-47AB-C145-8744-EB6AAF72B63B}">
  <sheetPr>
    <pageSetUpPr fitToPage="1"/>
  </sheetPr>
  <dimension ref="A1:AE165"/>
  <sheetViews>
    <sheetView topLeftCell="A132" zoomScale="96" zoomScaleNormal="96" workbookViewId="0">
      <selection activeCell="AF110" sqref="AF110"/>
    </sheetView>
  </sheetViews>
  <sheetFormatPr baseColWidth="10" defaultRowHeight="17" customHeight="1"/>
  <cols>
    <col min="1" max="1" width="48" customWidth="1"/>
    <col min="2" max="2" width="11.33203125" customWidth="1"/>
    <col min="3" max="3" width="10" customWidth="1"/>
    <col min="4" max="4" width="9.33203125" customWidth="1"/>
    <col min="5" max="5" width="13.83203125" customWidth="1"/>
    <col min="6" max="6" width="14.5" customWidth="1"/>
    <col min="7" max="7" width="12.1640625" customWidth="1"/>
    <col min="8" max="11" width="9.33203125" customWidth="1"/>
    <col min="12" max="12" width="14" customWidth="1"/>
    <col min="13" max="14" width="10" customWidth="1"/>
    <col min="15" max="15" width="12.1640625" bestFit="1" customWidth="1"/>
  </cols>
  <sheetData>
    <row r="1" spans="1:27" ht="17" hidden="1" customHeight="1">
      <c r="M1" s="126"/>
      <c r="N1" s="126"/>
      <c r="O1" s="126"/>
      <c r="P1" s="126"/>
    </row>
    <row r="2" spans="1:27" ht="17" hidden="1" customHeight="1">
      <c r="M2" s="126"/>
      <c r="N2" s="126"/>
      <c r="O2" s="126"/>
      <c r="P2" s="126"/>
    </row>
    <row r="3" spans="1:27" ht="17" hidden="1" customHeight="1">
      <c r="B3" s="40" t="s">
        <v>71</v>
      </c>
      <c r="F3" s="117" t="s">
        <v>72</v>
      </c>
      <c r="G3" s="117"/>
      <c r="H3" s="117"/>
      <c r="I3">
        <v>1</v>
      </c>
      <c r="M3" s="87"/>
      <c r="N3" s="87"/>
      <c r="P3" s="40"/>
      <c r="S3" s="40"/>
      <c r="Y3" s="117"/>
    </row>
    <row r="4" spans="1:27" ht="17" hidden="1" customHeight="1">
      <c r="B4" s="47" t="s">
        <v>57</v>
      </c>
      <c r="C4" s="47" t="s">
        <v>75</v>
      </c>
      <c r="D4" s="47" t="s">
        <v>48</v>
      </c>
      <c r="E4" s="138" t="s">
        <v>49</v>
      </c>
      <c r="F4" s="359" t="s">
        <v>76</v>
      </c>
      <c r="G4" s="139" t="s">
        <v>77</v>
      </c>
      <c r="H4" s="140"/>
      <c r="I4" s="47" t="s">
        <v>78</v>
      </c>
      <c r="J4" s="47" t="s">
        <v>122</v>
      </c>
      <c r="K4" s="47" t="s">
        <v>123</v>
      </c>
      <c r="L4" s="202" t="s">
        <v>124</v>
      </c>
      <c r="M4" s="203"/>
      <c r="N4" s="203"/>
      <c r="O4" s="47"/>
      <c r="P4" s="47"/>
      <c r="Q4" s="47"/>
      <c r="R4" s="47"/>
      <c r="S4" s="120"/>
      <c r="T4" s="120"/>
      <c r="U4" s="120"/>
      <c r="V4" s="120"/>
      <c r="W4" s="120"/>
      <c r="X4" s="120"/>
      <c r="Y4" s="120"/>
      <c r="Z4" s="120"/>
      <c r="AA4" s="120"/>
    </row>
    <row r="5" spans="1:27" ht="17" hidden="1" customHeight="1">
      <c r="A5" s="77" t="s">
        <v>79</v>
      </c>
      <c r="B5" s="123">
        <v>0.4</v>
      </c>
      <c r="C5" s="141">
        <f>+Q5*B5^3</f>
        <v>0</v>
      </c>
      <c r="D5" s="115">
        <f>+C5*1000</f>
        <v>0</v>
      </c>
      <c r="E5" s="142" t="e">
        <f>C5/#REF!</f>
        <v>#REF!</v>
      </c>
      <c r="F5" s="143">
        <f t="shared" ref="F5:F16" si="0">B5*998.2*1/0.0010016</f>
        <v>398642.17252396169</v>
      </c>
      <c r="G5" s="144">
        <f>+F5*0.000001004/1</f>
        <v>0.40023674121405756</v>
      </c>
      <c r="H5" s="135"/>
      <c r="I5" s="145">
        <v>0.164102888</v>
      </c>
      <c r="J5" s="115" t="e">
        <f>+I5/C5</f>
        <v>#DIV/0!</v>
      </c>
      <c r="K5" s="123" t="e">
        <f t="shared" ref="K5:K16" si="1">I5/D5</f>
        <v>#DIV/0!</v>
      </c>
      <c r="L5" s="126"/>
      <c r="M5" s="87"/>
      <c r="N5" s="87"/>
      <c r="O5" s="359"/>
      <c r="Q5" s="146"/>
      <c r="R5" s="115"/>
      <c r="S5" s="123"/>
      <c r="T5" s="147"/>
      <c r="U5" s="115"/>
      <c r="V5" s="123"/>
      <c r="Y5" s="123"/>
      <c r="Z5" s="148"/>
      <c r="AA5" s="141"/>
    </row>
    <row r="6" spans="1:27" ht="17" hidden="1" customHeight="1">
      <c r="A6" s="77" t="s">
        <v>80</v>
      </c>
      <c r="B6" s="123">
        <v>0.47</v>
      </c>
      <c r="C6" s="141">
        <f>+Q6*B6^3</f>
        <v>0</v>
      </c>
      <c r="D6" s="115">
        <f>+C6*1000</f>
        <v>0</v>
      </c>
      <c r="E6" s="142" t="e">
        <f>C6/#REF!</f>
        <v>#REF!</v>
      </c>
      <c r="F6" s="143">
        <f t="shared" si="0"/>
        <v>468404.55271565489</v>
      </c>
      <c r="G6" s="144">
        <f>+F6*0.000001004/1</f>
        <v>0.47027817092651752</v>
      </c>
      <c r="H6" s="135"/>
      <c r="I6" s="149">
        <v>0.17262496399999999</v>
      </c>
      <c r="J6" s="115" t="e">
        <f>+I6/C6</f>
        <v>#DIV/0!</v>
      </c>
      <c r="K6" s="123" t="e">
        <f t="shared" si="1"/>
        <v>#DIV/0!</v>
      </c>
      <c r="L6" s="126"/>
      <c r="M6" s="87"/>
      <c r="N6" s="87"/>
      <c r="O6" s="359"/>
      <c r="Q6" s="88"/>
      <c r="R6" s="115"/>
      <c r="S6" s="123"/>
      <c r="T6" s="147"/>
      <c r="U6" s="115"/>
      <c r="V6" s="123"/>
      <c r="Y6" s="123"/>
      <c r="Z6" s="148"/>
      <c r="AA6" s="141"/>
    </row>
    <row r="7" spans="1:27" ht="17" hidden="1" customHeight="1">
      <c r="A7" s="77" t="s">
        <v>81</v>
      </c>
      <c r="B7" s="150">
        <f>+AVERAGE(B5:B6)</f>
        <v>0.435</v>
      </c>
      <c r="C7" s="151">
        <f>+AVERAGE(C5:C6)</f>
        <v>0</v>
      </c>
      <c r="D7" s="359">
        <f>+AVERAGE(D4:D5,D6)</f>
        <v>0</v>
      </c>
      <c r="E7" s="139" t="e">
        <f>+AVERAGE(E4:E5,E6)</f>
        <v>#REF!</v>
      </c>
      <c r="F7" s="143">
        <f t="shared" si="0"/>
        <v>433523.36261980835</v>
      </c>
      <c r="G7" s="152">
        <f>+AVERAGE(G4:G5,G6)</f>
        <v>0.43525745607028754</v>
      </c>
      <c r="H7" s="135"/>
      <c r="I7" s="145">
        <f>+AVERAGE(I6,I5)</f>
        <v>0.168363926</v>
      </c>
      <c r="J7" s="204" t="e">
        <f>+AVERAGE(J6,J5)</f>
        <v>#DIV/0!</v>
      </c>
      <c r="K7" s="123" t="e">
        <f t="shared" si="1"/>
        <v>#DIV/0!</v>
      </c>
      <c r="L7" s="205" t="e">
        <f t="shared" ref="L7:L16" si="2">+K7/$K$16</f>
        <v>#DIV/0!</v>
      </c>
      <c r="M7" s="52"/>
      <c r="N7" s="52"/>
      <c r="O7" s="359"/>
      <c r="Q7" s="125"/>
      <c r="R7" s="115"/>
      <c r="S7" s="122"/>
      <c r="T7" s="153"/>
      <c r="U7" s="122"/>
      <c r="V7" s="123"/>
      <c r="W7" s="122"/>
      <c r="X7" s="116"/>
      <c r="Y7" s="150"/>
      <c r="Z7" s="148"/>
      <c r="AA7" s="148"/>
    </row>
    <row r="8" spans="1:27" ht="17" hidden="1" customHeight="1">
      <c r="A8" s="77" t="s">
        <v>82</v>
      </c>
      <c r="B8" s="154">
        <v>2.5619999999999998</v>
      </c>
      <c r="C8" s="141">
        <f t="shared" ref="C8:C16" si="3">+Q8*B8^3</f>
        <v>0</v>
      </c>
      <c r="D8" s="115">
        <f t="shared" ref="D8:D16" si="4">+C8*1000</f>
        <v>0</v>
      </c>
      <c r="E8" s="142" t="e">
        <f>C8/#REF!</f>
        <v>#REF!</v>
      </c>
      <c r="F8" s="143">
        <f t="shared" si="0"/>
        <v>2553303.1150159743</v>
      </c>
      <c r="G8" s="144">
        <f t="shared" ref="G8:G16" si="5">+F8*0.000001004/1</f>
        <v>2.5635163274760382</v>
      </c>
      <c r="H8" s="135"/>
      <c r="I8" s="145">
        <v>3.8614169999999999</v>
      </c>
      <c r="J8" s="204" t="e">
        <f t="shared" ref="J8:J16" si="6">+I8/C8</f>
        <v>#DIV/0!</v>
      </c>
      <c r="K8" s="123" t="e">
        <f t="shared" si="1"/>
        <v>#DIV/0!</v>
      </c>
      <c r="L8" s="205" t="e">
        <f t="shared" si="2"/>
        <v>#DIV/0!</v>
      </c>
      <c r="M8" s="52"/>
      <c r="N8" s="52"/>
      <c r="O8" s="118"/>
      <c r="Q8" s="88"/>
      <c r="R8" s="115"/>
      <c r="S8" s="123"/>
      <c r="T8" s="147"/>
      <c r="U8" s="115"/>
      <c r="V8" s="123"/>
      <c r="W8" s="115"/>
      <c r="X8" s="30"/>
      <c r="Y8" s="154"/>
      <c r="Z8" s="148"/>
      <c r="AA8" s="141"/>
    </row>
    <row r="9" spans="1:27" ht="17" hidden="1" customHeight="1">
      <c r="A9" s="77" t="s">
        <v>83</v>
      </c>
      <c r="B9" s="150">
        <v>0.76300000000000001</v>
      </c>
      <c r="C9" s="141">
        <f t="shared" si="3"/>
        <v>0</v>
      </c>
      <c r="D9" s="115">
        <f t="shared" si="4"/>
        <v>0</v>
      </c>
      <c r="E9" s="142" t="e">
        <f>C9/#REF!</f>
        <v>#REF!</v>
      </c>
      <c r="F9" s="143">
        <f t="shared" si="0"/>
        <v>760409.94408945693</v>
      </c>
      <c r="G9" s="144">
        <f t="shared" si="5"/>
        <v>0.7634515838658148</v>
      </c>
      <c r="H9" s="135"/>
      <c r="I9" s="145">
        <v>0.54877905999999999</v>
      </c>
      <c r="J9" s="204" t="e">
        <f t="shared" si="6"/>
        <v>#DIV/0!</v>
      </c>
      <c r="K9" s="123" t="e">
        <f t="shared" si="1"/>
        <v>#DIV/0!</v>
      </c>
      <c r="L9" s="205" t="e">
        <f t="shared" si="2"/>
        <v>#DIV/0!</v>
      </c>
      <c r="M9" s="52"/>
      <c r="N9" s="52"/>
      <c r="O9" s="118"/>
      <c r="Q9" s="146"/>
      <c r="R9" s="115"/>
      <c r="S9" s="123"/>
      <c r="T9" s="147"/>
      <c r="U9" s="115"/>
      <c r="V9" s="123"/>
      <c r="W9" s="115"/>
      <c r="X9" s="30"/>
      <c r="Y9" s="154"/>
      <c r="Z9" s="148"/>
      <c r="AA9" s="141"/>
    </row>
    <row r="10" spans="1:27" ht="17" hidden="1" customHeight="1">
      <c r="A10" s="77" t="s">
        <v>84</v>
      </c>
      <c r="B10" s="150">
        <v>0.751</v>
      </c>
      <c r="C10" s="141">
        <f t="shared" si="3"/>
        <v>0</v>
      </c>
      <c r="D10" s="115">
        <f t="shared" si="4"/>
        <v>0</v>
      </c>
      <c r="E10" s="142" t="e">
        <f>C10/#REF!</f>
        <v>#REF!</v>
      </c>
      <c r="F10" s="143">
        <f t="shared" si="0"/>
        <v>748450.67891373811</v>
      </c>
      <c r="G10" s="144">
        <f t="shared" si="5"/>
        <v>0.75144448162939315</v>
      </c>
      <c r="H10" s="135"/>
      <c r="I10" s="149">
        <v>0.56173563999999998</v>
      </c>
      <c r="J10" s="204" t="e">
        <f t="shared" si="6"/>
        <v>#DIV/0!</v>
      </c>
      <c r="K10" s="123" t="e">
        <f t="shared" si="1"/>
        <v>#DIV/0!</v>
      </c>
      <c r="L10" s="205" t="e">
        <f t="shared" si="2"/>
        <v>#DIV/0!</v>
      </c>
      <c r="M10" s="52"/>
      <c r="N10" s="52"/>
      <c r="O10" s="72"/>
      <c r="Q10" s="88"/>
      <c r="R10" s="115"/>
      <c r="S10" s="123"/>
      <c r="T10" s="147"/>
      <c r="U10" s="115"/>
      <c r="V10" s="123"/>
      <c r="W10" s="115"/>
      <c r="X10" s="30"/>
      <c r="Y10" s="150"/>
      <c r="Z10" s="148"/>
      <c r="AA10" s="141"/>
    </row>
    <row r="11" spans="1:27" ht="17" hidden="1" customHeight="1">
      <c r="A11" s="77" t="s">
        <v>85</v>
      </c>
      <c r="B11" s="150">
        <v>13.5</v>
      </c>
      <c r="C11" s="141">
        <f t="shared" si="3"/>
        <v>0</v>
      </c>
      <c r="D11" s="115">
        <f t="shared" si="4"/>
        <v>0</v>
      </c>
      <c r="E11" s="142" t="e">
        <f>C11/#REF!</f>
        <v>#REF!</v>
      </c>
      <c r="F11" s="143">
        <f t="shared" si="0"/>
        <v>13454173.322683707</v>
      </c>
      <c r="G11" s="144">
        <f t="shared" si="5"/>
        <v>13.507990015974443</v>
      </c>
      <c r="H11" s="135"/>
      <c r="I11" s="156">
        <v>135.13862399999999</v>
      </c>
      <c r="J11" s="204" t="e">
        <f t="shared" si="6"/>
        <v>#DIV/0!</v>
      </c>
      <c r="K11" s="123" t="e">
        <f t="shared" si="1"/>
        <v>#DIV/0!</v>
      </c>
      <c r="L11" s="205" t="e">
        <f t="shared" si="2"/>
        <v>#DIV/0!</v>
      </c>
      <c r="M11" s="52"/>
      <c r="N11" s="52"/>
      <c r="O11" s="72"/>
      <c r="Q11" s="88"/>
      <c r="R11" s="115"/>
      <c r="S11" s="123"/>
      <c r="T11" s="147"/>
      <c r="U11" s="115"/>
      <c r="V11" s="123"/>
      <c r="W11" s="115"/>
      <c r="X11" s="30"/>
      <c r="Y11" s="150"/>
      <c r="Z11" s="148"/>
      <c r="AA11" s="141"/>
    </row>
    <row r="12" spans="1:27" ht="17" hidden="1" customHeight="1">
      <c r="A12" s="77" t="s">
        <v>86</v>
      </c>
      <c r="B12" s="150">
        <v>5.4</v>
      </c>
      <c r="C12" s="141">
        <f t="shared" si="3"/>
        <v>0</v>
      </c>
      <c r="D12" s="115">
        <f t="shared" si="4"/>
        <v>0</v>
      </c>
      <c r="E12" s="142" t="e">
        <f>C12/#REF!</f>
        <v>#REF!</v>
      </c>
      <c r="F12" s="143">
        <f t="shared" si="0"/>
        <v>5381669.3290734831</v>
      </c>
      <c r="G12" s="144">
        <f t="shared" si="5"/>
        <v>5.403196006389777</v>
      </c>
      <c r="H12" s="135"/>
      <c r="I12" s="157">
        <v>23.024775999999999</v>
      </c>
      <c r="J12" s="204" t="e">
        <f t="shared" si="6"/>
        <v>#DIV/0!</v>
      </c>
      <c r="K12" s="123" t="e">
        <f t="shared" si="1"/>
        <v>#DIV/0!</v>
      </c>
      <c r="L12" s="205" t="e">
        <f t="shared" si="2"/>
        <v>#DIV/0!</v>
      </c>
      <c r="M12" s="52"/>
      <c r="N12" s="52"/>
      <c r="O12" s="72"/>
      <c r="Q12" s="88"/>
      <c r="R12" s="115"/>
      <c r="S12" s="123"/>
      <c r="T12" s="147"/>
      <c r="U12" s="115"/>
      <c r="V12" s="123"/>
      <c r="W12" s="115"/>
      <c r="X12" s="30"/>
      <c r="Y12" s="150"/>
      <c r="Z12" s="148"/>
      <c r="AA12" s="141"/>
    </row>
    <row r="13" spans="1:27" ht="17" hidden="1" customHeight="1">
      <c r="A13" s="77" t="s">
        <v>1</v>
      </c>
      <c r="B13" s="150">
        <v>7.05</v>
      </c>
      <c r="C13" s="141">
        <f t="shared" si="3"/>
        <v>0</v>
      </c>
      <c r="D13" s="115">
        <f t="shared" si="4"/>
        <v>0</v>
      </c>
      <c r="E13" s="142" t="e">
        <f>C13/#REF!</f>
        <v>#REF!</v>
      </c>
      <c r="F13" s="143">
        <f t="shared" si="0"/>
        <v>7026068.2907348247</v>
      </c>
      <c r="G13" s="144">
        <f t="shared" si="5"/>
        <v>7.0541725638977644</v>
      </c>
      <c r="H13" s="135"/>
      <c r="I13" s="156">
        <v>33.498908</v>
      </c>
      <c r="J13" s="204" t="e">
        <f t="shared" si="6"/>
        <v>#DIV/0!</v>
      </c>
      <c r="K13" s="123" t="e">
        <f t="shared" si="1"/>
        <v>#DIV/0!</v>
      </c>
      <c r="L13" s="205" t="e">
        <f t="shared" si="2"/>
        <v>#DIV/0!</v>
      </c>
      <c r="M13" s="52"/>
      <c r="N13" s="52"/>
      <c r="Q13" s="88"/>
      <c r="R13" s="115"/>
      <c r="S13" s="123"/>
      <c r="T13" s="147"/>
      <c r="U13" s="115"/>
      <c r="V13" s="123"/>
      <c r="W13" s="115"/>
      <c r="X13" s="30"/>
      <c r="Y13" s="150"/>
      <c r="Z13" s="148"/>
      <c r="AA13" s="141"/>
    </row>
    <row r="14" spans="1:27" ht="17" hidden="1" customHeight="1">
      <c r="A14" s="77" t="s">
        <v>55</v>
      </c>
      <c r="B14" s="150">
        <v>1.38</v>
      </c>
      <c r="C14" s="141">
        <f t="shared" si="3"/>
        <v>0</v>
      </c>
      <c r="D14" s="115">
        <f t="shared" si="4"/>
        <v>0</v>
      </c>
      <c r="E14" s="142" t="e">
        <f>C14/#REF!</f>
        <v>#REF!</v>
      </c>
      <c r="F14" s="143">
        <f t="shared" si="0"/>
        <v>1375315.4952076676</v>
      </c>
      <c r="G14" s="144">
        <f t="shared" si="5"/>
        <v>1.3808167571884984</v>
      </c>
      <c r="H14" s="135"/>
      <c r="I14" s="156">
        <v>2.8560438000000001</v>
      </c>
      <c r="J14" s="204" t="e">
        <f t="shared" si="6"/>
        <v>#DIV/0!</v>
      </c>
      <c r="K14" s="123" t="e">
        <f t="shared" si="1"/>
        <v>#DIV/0!</v>
      </c>
      <c r="L14" s="205" t="e">
        <f t="shared" si="2"/>
        <v>#DIV/0!</v>
      </c>
      <c r="M14" s="114"/>
      <c r="N14" s="114"/>
      <c r="O14" s="72"/>
      <c r="Q14" s="88"/>
      <c r="R14" s="115"/>
      <c r="S14" s="123"/>
      <c r="T14" s="147"/>
      <c r="U14" s="115"/>
      <c r="V14" s="123"/>
      <c r="W14" s="115"/>
      <c r="X14" s="30"/>
      <c r="Y14" s="150"/>
      <c r="Z14" s="148"/>
      <c r="AA14" s="141"/>
    </row>
    <row r="15" spans="1:27" ht="17" hidden="1" customHeight="1">
      <c r="A15" s="77" t="s">
        <v>3</v>
      </c>
      <c r="B15" s="150">
        <v>3.97</v>
      </c>
      <c r="C15" s="141">
        <f t="shared" si="3"/>
        <v>0</v>
      </c>
      <c r="D15" s="115">
        <f t="shared" si="4"/>
        <v>0</v>
      </c>
      <c r="E15" s="142" t="e">
        <f>C15/#REF!</f>
        <v>#REF!</v>
      </c>
      <c r="F15" s="143">
        <f t="shared" si="0"/>
        <v>3956523.5623003193</v>
      </c>
      <c r="G15" s="144">
        <f t="shared" si="5"/>
        <v>3.9723496565495209</v>
      </c>
      <c r="H15" s="135"/>
      <c r="I15" s="158">
        <v>16.393551599999999</v>
      </c>
      <c r="J15" s="204" t="e">
        <f t="shared" si="6"/>
        <v>#DIV/0!</v>
      </c>
      <c r="K15" s="123" t="e">
        <f t="shared" si="1"/>
        <v>#DIV/0!</v>
      </c>
      <c r="L15" s="205" t="e">
        <f t="shared" si="2"/>
        <v>#DIV/0!</v>
      </c>
      <c r="M15" s="114"/>
      <c r="N15" s="114"/>
      <c r="O15" s="72"/>
      <c r="Q15" s="88"/>
      <c r="R15" s="115"/>
      <c r="S15" s="123"/>
      <c r="T15" s="147"/>
      <c r="U15" s="115"/>
      <c r="V15" s="123"/>
      <c r="W15" s="115"/>
      <c r="X15" s="30"/>
      <c r="Y15" s="150"/>
      <c r="Z15" s="148"/>
      <c r="AA15" s="141"/>
    </row>
    <row r="16" spans="1:27" ht="17" hidden="1" customHeight="1">
      <c r="A16" s="77" t="s">
        <v>4</v>
      </c>
      <c r="B16" s="150">
        <v>2.5</v>
      </c>
      <c r="C16" s="141">
        <f t="shared" si="3"/>
        <v>0</v>
      </c>
      <c r="D16" s="115">
        <f t="shared" si="4"/>
        <v>0</v>
      </c>
      <c r="E16" s="142" t="e">
        <f>C16/#REF!</f>
        <v>#REF!</v>
      </c>
      <c r="F16" s="143">
        <f t="shared" si="0"/>
        <v>2491513.5782747604</v>
      </c>
      <c r="G16" s="144">
        <f t="shared" si="5"/>
        <v>2.5014796325878597</v>
      </c>
      <c r="H16" s="135"/>
      <c r="I16" s="158">
        <v>6.4352194000000003</v>
      </c>
      <c r="J16" s="204" t="e">
        <f t="shared" si="6"/>
        <v>#DIV/0!</v>
      </c>
      <c r="K16" s="123" t="e">
        <f t="shared" si="1"/>
        <v>#DIV/0!</v>
      </c>
      <c r="L16" s="205" t="e">
        <f t="shared" si="2"/>
        <v>#DIV/0!</v>
      </c>
      <c r="M16" s="114"/>
      <c r="N16" s="114"/>
      <c r="Q16" s="88"/>
      <c r="R16" s="115"/>
      <c r="S16" s="123"/>
      <c r="T16" s="147"/>
      <c r="U16" s="115"/>
      <c r="V16" s="123"/>
      <c r="W16" s="115"/>
      <c r="X16" s="30"/>
      <c r="Y16" s="150"/>
      <c r="Z16" s="148"/>
      <c r="AA16" s="141"/>
    </row>
    <row r="17" spans="1:28" ht="17" hidden="1" customHeight="1">
      <c r="A17" s="114"/>
      <c r="D17" s="115"/>
      <c r="H17" s="115"/>
      <c r="I17" s="123"/>
      <c r="K17" s="115"/>
      <c r="M17" s="126"/>
      <c r="N17" s="126"/>
    </row>
    <row r="18" spans="1:28" ht="17" hidden="1" customHeight="1">
      <c r="A18" s="114"/>
      <c r="D18" s="115"/>
      <c r="H18" s="115"/>
      <c r="I18" s="123"/>
      <c r="K18" s="206"/>
      <c r="M18" s="126"/>
      <c r="N18" s="126"/>
    </row>
    <row r="19" spans="1:28" ht="17" hidden="1" customHeight="1">
      <c r="M19" s="126"/>
      <c r="N19" s="126"/>
    </row>
    <row r="20" spans="1:28" ht="17" hidden="1" customHeight="1">
      <c r="M20" s="126"/>
      <c r="N20" s="126"/>
      <c r="O20" s="159"/>
      <c r="P20" s="34"/>
      <c r="Q20" s="359"/>
      <c r="R20" s="121"/>
      <c r="S20" s="118"/>
      <c r="T20" s="123"/>
      <c r="U20" s="147"/>
      <c r="V20" s="115"/>
      <c r="W20" s="123"/>
      <c r="X20" s="115"/>
      <c r="Y20" s="30"/>
      <c r="Z20" s="150"/>
      <c r="AA20" s="160"/>
      <c r="AB20" s="38"/>
    </row>
    <row r="21" spans="1:28" ht="17" hidden="1" customHeight="1">
      <c r="M21" s="126"/>
      <c r="N21" s="126"/>
      <c r="O21" s="126"/>
      <c r="P21" s="126"/>
    </row>
    <row r="22" spans="1:28" ht="17" hidden="1" customHeight="1">
      <c r="M22" s="126"/>
      <c r="N22" s="126"/>
      <c r="O22" s="126"/>
      <c r="P22" s="126"/>
    </row>
    <row r="23" spans="1:28" ht="17" hidden="1" customHeight="1">
      <c r="A23" s="77"/>
      <c r="M23" s="126"/>
      <c r="N23" s="126"/>
      <c r="O23" s="126"/>
      <c r="P23" s="126"/>
    </row>
    <row r="24" spans="1:28" ht="17" hidden="1" customHeight="1">
      <c r="M24" s="126"/>
      <c r="N24" s="126"/>
      <c r="O24" s="126"/>
      <c r="P24" s="126"/>
    </row>
    <row r="25" spans="1:28" ht="17" hidden="1" customHeight="1">
      <c r="M25" s="126"/>
      <c r="N25" s="126"/>
      <c r="O25" s="126"/>
      <c r="P25" s="126"/>
    </row>
    <row r="26" spans="1:28" ht="17" hidden="1" customHeight="1">
      <c r="M26" s="126"/>
      <c r="N26" s="126"/>
      <c r="O26" s="126"/>
      <c r="P26" s="126"/>
    </row>
    <row r="27" spans="1:28" ht="17" hidden="1" customHeight="1">
      <c r="M27" s="126"/>
      <c r="N27" s="126"/>
      <c r="O27" s="126"/>
      <c r="P27" s="126"/>
    </row>
    <row r="28" spans="1:28" ht="17" hidden="1" customHeight="1">
      <c r="M28" s="126"/>
      <c r="N28" s="126"/>
      <c r="O28" s="126"/>
      <c r="P28" s="126"/>
    </row>
    <row r="29" spans="1:28" ht="17" hidden="1" customHeight="1">
      <c r="M29" s="126"/>
      <c r="N29" s="126"/>
      <c r="O29" s="126"/>
      <c r="P29" s="126"/>
    </row>
    <row r="30" spans="1:28" ht="17" hidden="1" customHeight="1">
      <c r="M30" s="126"/>
      <c r="N30" s="126"/>
      <c r="O30" s="126"/>
      <c r="P30" s="126"/>
    </row>
    <row r="31" spans="1:28" ht="17" hidden="1" customHeight="1">
      <c r="M31" s="126"/>
      <c r="N31" s="126"/>
      <c r="O31" s="126"/>
      <c r="P31" s="126"/>
    </row>
    <row r="32" spans="1:28" ht="17" hidden="1" customHeight="1">
      <c r="M32" s="126"/>
      <c r="N32" s="126"/>
      <c r="O32" s="126"/>
      <c r="P32" s="126"/>
    </row>
    <row r="33" spans="13:16" ht="17" hidden="1" customHeight="1">
      <c r="M33" s="126"/>
      <c r="N33" s="126"/>
      <c r="O33" s="126"/>
      <c r="P33" s="126"/>
    </row>
    <row r="34" spans="13:16" ht="17" hidden="1" customHeight="1">
      <c r="M34" s="126"/>
      <c r="N34" s="126"/>
      <c r="O34" s="126"/>
      <c r="P34" s="126"/>
    </row>
    <row r="35" spans="13:16" ht="17" hidden="1" customHeight="1">
      <c r="M35" s="126"/>
      <c r="N35" s="126"/>
      <c r="O35" s="126"/>
      <c r="P35" s="126"/>
    </row>
    <row r="36" spans="13:16" ht="17" hidden="1" customHeight="1">
      <c r="M36" s="126"/>
      <c r="N36" s="126"/>
      <c r="O36" s="126"/>
      <c r="P36" s="161"/>
    </row>
    <row r="37" spans="13:16" ht="17" hidden="1" customHeight="1">
      <c r="M37" s="126"/>
      <c r="N37" s="126"/>
      <c r="O37" s="126"/>
      <c r="P37" s="161"/>
    </row>
    <row r="38" spans="13:16" ht="17" hidden="1" customHeight="1">
      <c r="M38" s="126"/>
      <c r="N38" s="126"/>
      <c r="O38" s="126"/>
      <c r="P38" s="161"/>
    </row>
    <row r="39" spans="13:16" ht="17" hidden="1" customHeight="1">
      <c r="M39" s="126"/>
      <c r="N39" s="126"/>
      <c r="O39" s="126"/>
      <c r="P39" s="126"/>
    </row>
    <row r="40" spans="13:16" ht="17" hidden="1" customHeight="1">
      <c r="M40" s="126"/>
      <c r="N40" s="126"/>
      <c r="O40" s="126"/>
      <c r="P40" s="126"/>
    </row>
    <row r="41" spans="13:16" ht="17" hidden="1" customHeight="1">
      <c r="M41" s="126"/>
      <c r="N41" s="126"/>
      <c r="O41" s="126"/>
      <c r="P41" s="126"/>
    </row>
    <row r="42" spans="13:16" ht="17" hidden="1" customHeight="1">
      <c r="M42" s="126"/>
      <c r="N42" s="126"/>
      <c r="O42" s="126"/>
      <c r="P42" s="126"/>
    </row>
    <row r="43" spans="13:16" ht="17" hidden="1" customHeight="1">
      <c r="M43" s="126"/>
      <c r="N43" s="126"/>
      <c r="O43" s="126"/>
      <c r="P43" s="126"/>
    </row>
    <row r="44" spans="13:16" ht="17" hidden="1" customHeight="1"/>
    <row r="45" spans="13:16" ht="17" hidden="1" customHeight="1"/>
    <row r="46" spans="13:16" ht="17" hidden="1" customHeight="1"/>
    <row r="47" spans="13:16" ht="17" hidden="1" customHeight="1"/>
    <row r="48" spans="13:16" ht="17" hidden="1" customHeight="1"/>
    <row r="49" spans="1:19" ht="17" hidden="1" customHeight="1"/>
    <row r="50" spans="1:19" ht="17" hidden="1" customHeight="1"/>
    <row r="51" spans="1:19" ht="17" hidden="1" customHeight="1"/>
    <row r="52" spans="1:19" ht="17" hidden="1" customHeight="1"/>
    <row r="53" spans="1:19" ht="17" hidden="1" customHeight="1"/>
    <row r="54" spans="1:19" ht="17" hidden="1" customHeight="1"/>
    <row r="55" spans="1:19" ht="17" hidden="1" customHeight="1"/>
    <row r="56" spans="1:19" ht="17" hidden="1" customHeight="1">
      <c r="M56" s="126"/>
      <c r="N56" s="126"/>
    </row>
    <row r="57" spans="1:19" ht="17" hidden="1" customHeight="1">
      <c r="M57" s="115"/>
      <c r="N57" s="115"/>
    </row>
    <row r="58" spans="1:19" ht="17" hidden="1" customHeight="1">
      <c r="M58" s="115"/>
      <c r="N58" s="115"/>
    </row>
    <row r="59" spans="1:19" ht="17" hidden="1" customHeight="1">
      <c r="A59" s="117" t="s">
        <v>87</v>
      </c>
      <c r="M59" s="126"/>
      <c r="N59" s="126"/>
      <c r="O59" s="126"/>
      <c r="P59" s="126"/>
    </row>
    <row r="60" spans="1:19" ht="17" hidden="1" customHeight="1">
      <c r="M60" s="126"/>
      <c r="N60" s="126"/>
      <c r="O60" s="126"/>
      <c r="P60" s="126"/>
    </row>
    <row r="61" spans="1:19" ht="17" hidden="1" customHeight="1">
      <c r="B61" s="40" t="s">
        <v>71</v>
      </c>
      <c r="F61" s="117" t="s">
        <v>72</v>
      </c>
      <c r="G61" s="117"/>
      <c r="H61" s="117"/>
      <c r="M61" s="87"/>
      <c r="N61" s="87"/>
      <c r="P61" s="40"/>
    </row>
    <row r="62" spans="1:19" ht="17" hidden="1" customHeight="1">
      <c r="B62" s="47" t="s">
        <v>57</v>
      </c>
      <c r="C62" s="47" t="s">
        <v>75</v>
      </c>
      <c r="D62" s="47" t="s">
        <v>48</v>
      </c>
      <c r="E62" s="47" t="s">
        <v>49</v>
      </c>
      <c r="F62" s="359" t="s">
        <v>76</v>
      </c>
      <c r="G62" s="139" t="s">
        <v>77</v>
      </c>
      <c r="H62" s="140"/>
      <c r="I62" s="47" t="s">
        <v>78</v>
      </c>
      <c r="J62" s="47" t="s">
        <v>122</v>
      </c>
      <c r="K62" s="47" t="s">
        <v>123</v>
      </c>
      <c r="L62" s="202" t="s">
        <v>124</v>
      </c>
      <c r="M62" s="203"/>
      <c r="N62" s="203"/>
      <c r="O62" s="47"/>
      <c r="P62" s="47"/>
      <c r="Q62" s="47"/>
      <c r="R62" s="47"/>
      <c r="S62" s="47"/>
    </row>
    <row r="63" spans="1:19" ht="17" hidden="1" customHeight="1">
      <c r="A63" s="162" t="s">
        <v>79</v>
      </c>
      <c r="B63" s="76">
        <v>0.4</v>
      </c>
      <c r="C63" s="141">
        <f>+Q63*B63^3</f>
        <v>0</v>
      </c>
      <c r="D63" s="115">
        <f>+C63*1000</f>
        <v>0</v>
      </c>
      <c r="E63" s="123" t="e">
        <f>C63/#REF!</f>
        <v>#REF!</v>
      </c>
      <c r="F63" s="143">
        <f t="shared" ref="F63:F74" si="7">B63*998.2*1/0.0010016</f>
        <v>398642.17252396169</v>
      </c>
      <c r="G63" s="144">
        <f>+F63*0.000001004/1</f>
        <v>0.40023674121405756</v>
      </c>
      <c r="H63" s="135"/>
      <c r="I63" s="145">
        <v>0.164102888</v>
      </c>
      <c r="J63" s="115" t="e">
        <f>+I63/C63</f>
        <v>#DIV/0!</v>
      </c>
      <c r="K63" s="123" t="e">
        <f t="shared" ref="K63:K74" si="8">I63/D63</f>
        <v>#DIV/0!</v>
      </c>
      <c r="L63" s="126"/>
      <c r="M63" s="87"/>
      <c r="N63" s="87"/>
      <c r="O63" s="359"/>
      <c r="Q63" s="146"/>
      <c r="R63" s="115"/>
      <c r="S63" s="75"/>
    </row>
    <row r="64" spans="1:19" ht="17" hidden="1" customHeight="1">
      <c r="A64" s="162" t="s">
        <v>80</v>
      </c>
      <c r="B64" s="76">
        <v>0.47</v>
      </c>
      <c r="C64" s="141">
        <f>+Q64*B64^3</f>
        <v>0</v>
      </c>
      <c r="D64" s="115">
        <f>+C64*1000</f>
        <v>0</v>
      </c>
      <c r="E64" s="123" t="e">
        <f>C64/#REF!</f>
        <v>#REF!</v>
      </c>
      <c r="F64" s="143">
        <f t="shared" si="7"/>
        <v>468404.55271565489</v>
      </c>
      <c r="G64" s="144">
        <f>+F64*0.000001004/1</f>
        <v>0.47027817092651752</v>
      </c>
      <c r="H64" s="135"/>
      <c r="I64" s="149">
        <v>0.17262496399999999</v>
      </c>
      <c r="J64" s="115" t="e">
        <f>+I64/C64</f>
        <v>#DIV/0!</v>
      </c>
      <c r="K64" s="123" t="e">
        <f t="shared" si="8"/>
        <v>#DIV/0!</v>
      </c>
      <c r="L64" s="126"/>
      <c r="M64" s="87"/>
      <c r="N64" s="87"/>
      <c r="O64" s="359"/>
      <c r="Q64" s="88"/>
      <c r="R64" s="115"/>
      <c r="S64" s="75"/>
    </row>
    <row r="65" spans="1:19" ht="17" hidden="1" customHeight="1">
      <c r="A65" s="162" t="s">
        <v>81</v>
      </c>
      <c r="B65" s="150">
        <f>+AVERAGE(B63:B64)</f>
        <v>0.435</v>
      </c>
      <c r="C65" s="151">
        <f>+AVERAGE(C63:C64)</f>
        <v>0</v>
      </c>
      <c r="D65" s="359">
        <f>+AVERAGE(D62:D63,D64)</f>
        <v>0</v>
      </c>
      <c r="E65" s="359" t="e">
        <f>+AVERAGE(E62:E63,E64)</f>
        <v>#REF!</v>
      </c>
      <c r="F65" s="143">
        <f t="shared" si="7"/>
        <v>433523.36261980835</v>
      </c>
      <c r="G65" s="152">
        <f>+AVERAGE(G62:G63,G64)</f>
        <v>0.43525745607028754</v>
      </c>
      <c r="H65" s="135"/>
      <c r="I65" s="145">
        <f>+AVERAGE(I64,I63)</f>
        <v>0.168363926</v>
      </c>
      <c r="J65" s="204" t="e">
        <f>+AVERAGE(J64,J63)</f>
        <v>#DIV/0!</v>
      </c>
      <c r="K65" s="123" t="e">
        <f t="shared" si="8"/>
        <v>#DIV/0!</v>
      </c>
      <c r="L65" s="205" t="e">
        <f t="shared" ref="L65:L74" si="9">+K65/$K$74</f>
        <v>#DIV/0!</v>
      </c>
      <c r="M65" s="52"/>
      <c r="N65" s="52"/>
      <c r="O65" s="359"/>
      <c r="Q65" s="125"/>
      <c r="R65" s="115"/>
      <c r="S65" s="75"/>
    </row>
    <row r="66" spans="1:19" ht="17" hidden="1" customHeight="1">
      <c r="A66" s="162" t="s">
        <v>82</v>
      </c>
      <c r="B66" s="163">
        <v>2.5619999999999998</v>
      </c>
      <c r="C66" s="141">
        <f t="shared" ref="C66:C74" si="10">+Q66*B66^3</f>
        <v>0</v>
      </c>
      <c r="D66" s="115">
        <f t="shared" ref="D66:D74" si="11">+C66*1000</f>
        <v>0</v>
      </c>
      <c r="E66" s="123" t="e">
        <f>C66/#REF!</f>
        <v>#REF!</v>
      </c>
      <c r="F66" s="143">
        <f t="shared" si="7"/>
        <v>2553303.1150159743</v>
      </c>
      <c r="G66" s="144">
        <f t="shared" ref="G66:G74" si="12">+F66*0.000001004/1</f>
        <v>2.5635163274760382</v>
      </c>
      <c r="H66" s="135"/>
      <c r="I66" s="145">
        <v>3.8614169999999999</v>
      </c>
      <c r="J66" s="204" t="e">
        <f t="shared" ref="J66:J74" si="13">+I66/C66</f>
        <v>#DIV/0!</v>
      </c>
      <c r="K66" s="123" t="e">
        <f t="shared" si="8"/>
        <v>#DIV/0!</v>
      </c>
      <c r="L66" s="205" t="e">
        <f t="shared" si="9"/>
        <v>#DIV/0!</v>
      </c>
      <c r="M66" s="52"/>
      <c r="N66" s="52"/>
      <c r="O66" s="118"/>
      <c r="Q66" s="88"/>
      <c r="R66" s="115"/>
      <c r="S66" s="75"/>
    </row>
    <row r="67" spans="1:19" ht="17" hidden="1" customHeight="1">
      <c r="A67" s="162" t="s">
        <v>83</v>
      </c>
      <c r="B67" s="164">
        <v>0.76300000000000001</v>
      </c>
      <c r="C67" s="141">
        <f t="shared" si="10"/>
        <v>0</v>
      </c>
      <c r="D67" s="115">
        <f t="shared" si="11"/>
        <v>0</v>
      </c>
      <c r="E67" s="123" t="e">
        <f>C67/#REF!</f>
        <v>#REF!</v>
      </c>
      <c r="F67" s="143">
        <f t="shared" si="7"/>
        <v>760409.94408945693</v>
      </c>
      <c r="G67" s="144">
        <f t="shared" si="12"/>
        <v>0.7634515838658148</v>
      </c>
      <c r="H67" s="135"/>
      <c r="I67" s="145">
        <v>0.54877905999999999</v>
      </c>
      <c r="J67" s="204" t="e">
        <f t="shared" si="13"/>
        <v>#DIV/0!</v>
      </c>
      <c r="K67" s="123" t="e">
        <f t="shared" si="8"/>
        <v>#DIV/0!</v>
      </c>
      <c r="L67" s="205" t="e">
        <f t="shared" si="9"/>
        <v>#DIV/0!</v>
      </c>
      <c r="M67" s="52"/>
      <c r="N67" s="52"/>
      <c r="O67" s="118"/>
      <c r="Q67" s="146"/>
      <c r="R67" s="115"/>
      <c r="S67" s="75"/>
    </row>
    <row r="68" spans="1:19" ht="17" hidden="1" customHeight="1">
      <c r="A68" s="162" t="s">
        <v>84</v>
      </c>
      <c r="B68" s="164">
        <v>0.751</v>
      </c>
      <c r="C68" s="141">
        <f t="shared" si="10"/>
        <v>0</v>
      </c>
      <c r="D68" s="115">
        <f t="shared" si="11"/>
        <v>0</v>
      </c>
      <c r="E68" s="123" t="e">
        <f>C68/#REF!</f>
        <v>#REF!</v>
      </c>
      <c r="F68" s="143">
        <f t="shared" si="7"/>
        <v>748450.67891373811</v>
      </c>
      <c r="G68" s="144">
        <f t="shared" si="12"/>
        <v>0.75144448162939315</v>
      </c>
      <c r="H68" s="135"/>
      <c r="I68" s="149">
        <v>0.56173563999999998</v>
      </c>
      <c r="J68" s="204" t="e">
        <f t="shared" si="13"/>
        <v>#DIV/0!</v>
      </c>
      <c r="K68" s="123" t="e">
        <f t="shared" si="8"/>
        <v>#DIV/0!</v>
      </c>
      <c r="L68" s="205" t="e">
        <f t="shared" si="9"/>
        <v>#DIV/0!</v>
      </c>
      <c r="M68" s="52"/>
      <c r="N68" s="52"/>
      <c r="O68" s="72"/>
      <c r="Q68" s="88"/>
      <c r="R68" s="115"/>
      <c r="S68" s="75"/>
    </row>
    <row r="69" spans="1:19" ht="17" hidden="1" customHeight="1">
      <c r="A69" s="165" t="s">
        <v>85</v>
      </c>
      <c r="B69" s="166">
        <v>13.5</v>
      </c>
      <c r="C69" s="141">
        <f t="shared" si="10"/>
        <v>0</v>
      </c>
      <c r="D69" s="115">
        <f t="shared" si="11"/>
        <v>0</v>
      </c>
      <c r="E69" s="123" t="e">
        <f>C69/#REF!</f>
        <v>#REF!</v>
      </c>
      <c r="F69" s="143">
        <f t="shared" si="7"/>
        <v>13454173.322683707</v>
      </c>
      <c r="G69" s="144">
        <f t="shared" si="12"/>
        <v>13.507990015974443</v>
      </c>
      <c r="H69" s="135"/>
      <c r="I69" s="167">
        <v>503.23840439999998</v>
      </c>
      <c r="J69" s="204" t="e">
        <f t="shared" si="13"/>
        <v>#DIV/0!</v>
      </c>
      <c r="K69" s="123" t="e">
        <f t="shared" si="8"/>
        <v>#DIV/0!</v>
      </c>
      <c r="L69" s="205" t="e">
        <f t="shared" si="9"/>
        <v>#DIV/0!</v>
      </c>
      <c r="M69" s="52"/>
      <c r="N69" s="52"/>
      <c r="O69" s="72"/>
      <c r="Q69" s="88"/>
      <c r="R69" s="115"/>
      <c r="S69" s="168"/>
    </row>
    <row r="70" spans="1:19" ht="17" hidden="1" customHeight="1">
      <c r="A70" s="165" t="s">
        <v>86</v>
      </c>
      <c r="B70" s="166">
        <v>5.4</v>
      </c>
      <c r="C70" s="141">
        <f t="shared" si="10"/>
        <v>0</v>
      </c>
      <c r="D70" s="115">
        <f t="shared" si="11"/>
        <v>0</v>
      </c>
      <c r="E70" s="123" t="e">
        <f>C70/#REF!</f>
        <v>#REF!</v>
      </c>
      <c r="F70" s="143">
        <f t="shared" si="7"/>
        <v>5381669.3290734831</v>
      </c>
      <c r="G70" s="144">
        <f t="shared" si="12"/>
        <v>5.403196006389777</v>
      </c>
      <c r="H70" s="135"/>
      <c r="I70" s="134">
        <v>83.432969909999997</v>
      </c>
      <c r="J70" s="204" t="e">
        <f t="shared" si="13"/>
        <v>#DIV/0!</v>
      </c>
      <c r="K70" s="123" t="e">
        <f t="shared" si="8"/>
        <v>#DIV/0!</v>
      </c>
      <c r="L70" s="205" t="e">
        <f t="shared" si="9"/>
        <v>#DIV/0!</v>
      </c>
      <c r="M70" s="52"/>
      <c r="N70" s="52"/>
      <c r="O70" s="72"/>
      <c r="Q70" s="88"/>
      <c r="R70" s="115"/>
      <c r="S70" s="168"/>
    </row>
    <row r="71" spans="1:19" ht="17" hidden="1" customHeight="1">
      <c r="A71" s="165" t="s">
        <v>1</v>
      </c>
      <c r="B71" s="166">
        <v>7.05</v>
      </c>
      <c r="C71" s="141">
        <f t="shared" si="10"/>
        <v>0</v>
      </c>
      <c r="D71" s="115">
        <f t="shared" si="11"/>
        <v>0</v>
      </c>
      <c r="E71" s="123" t="e">
        <f>C71/#REF!</f>
        <v>#REF!</v>
      </c>
      <c r="F71" s="143">
        <f t="shared" si="7"/>
        <v>7026068.2907348247</v>
      </c>
      <c r="G71" s="144">
        <f t="shared" si="12"/>
        <v>7.0541725638977644</v>
      </c>
      <c r="H71" s="135"/>
      <c r="I71" s="134">
        <v>119.4848899</v>
      </c>
      <c r="J71" s="204" t="e">
        <f t="shared" si="13"/>
        <v>#DIV/0!</v>
      </c>
      <c r="K71" s="123" t="e">
        <f t="shared" si="8"/>
        <v>#DIV/0!</v>
      </c>
      <c r="L71" s="205" t="e">
        <f t="shared" si="9"/>
        <v>#DIV/0!</v>
      </c>
      <c r="M71" s="52"/>
      <c r="N71" s="52"/>
      <c r="Q71" s="88"/>
      <c r="R71" s="115"/>
      <c r="S71" s="168"/>
    </row>
    <row r="72" spans="1:19" ht="17" hidden="1" customHeight="1">
      <c r="A72" s="165" t="s">
        <v>55</v>
      </c>
      <c r="B72" s="166">
        <v>1.38</v>
      </c>
      <c r="C72" s="141">
        <f t="shared" si="10"/>
        <v>0</v>
      </c>
      <c r="D72" s="115">
        <f t="shared" si="11"/>
        <v>0</v>
      </c>
      <c r="E72" s="123" t="e">
        <f>C72/#REF!</f>
        <v>#REF!</v>
      </c>
      <c r="F72" s="143">
        <f t="shared" si="7"/>
        <v>1375315.4952076676</v>
      </c>
      <c r="G72" s="144">
        <f t="shared" si="12"/>
        <v>1.3808167571884984</v>
      </c>
      <c r="H72" s="135"/>
      <c r="I72" s="167">
        <v>9.9268748309999992</v>
      </c>
      <c r="J72" s="204" t="e">
        <f t="shared" si="13"/>
        <v>#DIV/0!</v>
      </c>
      <c r="K72" s="123" t="e">
        <f t="shared" si="8"/>
        <v>#DIV/0!</v>
      </c>
      <c r="L72" s="205" t="e">
        <f t="shared" si="9"/>
        <v>#DIV/0!</v>
      </c>
      <c r="M72" s="114"/>
      <c r="N72" s="114"/>
      <c r="O72" s="72"/>
      <c r="Q72" s="88"/>
      <c r="R72" s="115"/>
      <c r="S72" s="168"/>
    </row>
    <row r="73" spans="1:19" ht="17" hidden="1" customHeight="1">
      <c r="A73" s="165" t="s">
        <v>3</v>
      </c>
      <c r="B73" s="166">
        <v>3.97</v>
      </c>
      <c r="C73" s="141">
        <f t="shared" si="10"/>
        <v>0</v>
      </c>
      <c r="D73" s="115">
        <f t="shared" si="11"/>
        <v>0</v>
      </c>
      <c r="E73" s="123" t="e">
        <f>C73/#REF!</f>
        <v>#REF!</v>
      </c>
      <c r="F73" s="143">
        <f t="shared" si="7"/>
        <v>3956523.5623003193</v>
      </c>
      <c r="G73" s="144">
        <f t="shared" si="12"/>
        <v>3.9723496565495209</v>
      </c>
      <c r="H73" s="135"/>
      <c r="I73" s="167">
        <v>59.81397535</v>
      </c>
      <c r="J73" s="204" t="e">
        <f t="shared" si="13"/>
        <v>#DIV/0!</v>
      </c>
      <c r="K73" s="123" t="e">
        <f t="shared" si="8"/>
        <v>#DIV/0!</v>
      </c>
      <c r="L73" s="205" t="e">
        <f t="shared" si="9"/>
        <v>#DIV/0!</v>
      </c>
      <c r="M73" s="114"/>
      <c r="N73" s="114"/>
      <c r="O73" s="72"/>
      <c r="Q73" s="88"/>
      <c r="R73" s="115"/>
      <c r="S73" s="168"/>
    </row>
    <row r="74" spans="1:19" ht="17" hidden="1" customHeight="1">
      <c r="A74" s="165" t="s">
        <v>4</v>
      </c>
      <c r="B74" s="166">
        <v>2.5</v>
      </c>
      <c r="C74" s="141">
        <f t="shared" si="10"/>
        <v>0</v>
      </c>
      <c r="D74" s="115">
        <f t="shared" si="11"/>
        <v>0</v>
      </c>
      <c r="E74" s="123" t="e">
        <f>C74/#REF!</f>
        <v>#REF!</v>
      </c>
      <c r="F74" s="143">
        <f t="shared" si="7"/>
        <v>2491513.5782747604</v>
      </c>
      <c r="G74" s="144">
        <f t="shared" si="12"/>
        <v>2.5014796325878597</v>
      </c>
      <c r="H74" s="135"/>
      <c r="I74" s="134">
        <v>23.667415999999999</v>
      </c>
      <c r="J74" s="204" t="e">
        <f t="shared" si="13"/>
        <v>#DIV/0!</v>
      </c>
      <c r="K74" s="123" t="e">
        <f t="shared" si="8"/>
        <v>#DIV/0!</v>
      </c>
      <c r="L74" s="205" t="e">
        <f t="shared" si="9"/>
        <v>#DIV/0!</v>
      </c>
      <c r="M74" s="114"/>
      <c r="N74" s="114"/>
      <c r="Q74" s="88"/>
      <c r="R74" s="115"/>
      <c r="S74" s="168"/>
    </row>
    <row r="75" spans="1:19" ht="17" hidden="1" customHeight="1"/>
    <row r="76" spans="1:19" ht="17" hidden="1" customHeight="1"/>
    <row r="77" spans="1:19" ht="17" hidden="1" customHeight="1"/>
    <row r="78" spans="1:19" ht="17" hidden="1" customHeight="1"/>
    <row r="79" spans="1:19" ht="17" hidden="1" customHeight="1"/>
    <row r="80" spans="1:19" ht="17" hidden="1" customHeight="1">
      <c r="A80" s="169"/>
    </row>
    <row r="81" ht="17" hidden="1" customHeight="1"/>
    <row r="82" ht="17" hidden="1" customHeight="1"/>
    <row r="83" ht="17" hidden="1" customHeight="1"/>
    <row r="84" ht="17" hidden="1" customHeight="1"/>
    <row r="85" ht="17" hidden="1" customHeight="1"/>
    <row r="86" ht="17" hidden="1" customHeight="1"/>
    <row r="87" ht="17" hidden="1" customHeight="1"/>
    <row r="88" ht="17" hidden="1" customHeight="1"/>
    <row r="89" ht="17" hidden="1" customHeight="1"/>
    <row r="90" ht="17" hidden="1" customHeight="1"/>
    <row r="91" ht="17" hidden="1" customHeight="1"/>
    <row r="92" ht="17" hidden="1" customHeight="1"/>
    <row r="93" ht="17" hidden="1" customHeight="1"/>
    <row r="94" ht="17" hidden="1" customHeight="1"/>
    <row r="95" ht="17" hidden="1" customHeight="1"/>
    <row r="96" ht="17" hidden="1" customHeight="1"/>
    <row r="97" spans="1:31" ht="17" customHeight="1">
      <c r="A97" s="170" t="s">
        <v>125</v>
      </c>
      <c r="B97" s="171"/>
      <c r="C97" s="171"/>
      <c r="D97" s="171"/>
      <c r="E97" s="171"/>
      <c r="F97" s="171"/>
      <c r="G97" s="171"/>
      <c r="H97" s="171"/>
      <c r="I97" s="171"/>
      <c r="J97" s="171"/>
      <c r="K97" s="171"/>
      <c r="L97" s="171"/>
      <c r="M97" s="171"/>
      <c r="N97" s="171"/>
      <c r="O97" s="171"/>
      <c r="P97" s="171"/>
      <c r="Q97" s="171"/>
      <c r="R97" s="171"/>
      <c r="S97" s="171"/>
      <c r="T97" s="171"/>
      <c r="U97" s="171"/>
      <c r="V97" s="171"/>
      <c r="W97" s="171"/>
    </row>
    <row r="98" spans="1:31" ht="17" customHeight="1">
      <c r="A98" s="172" t="s">
        <v>126</v>
      </c>
      <c r="C98" s="171"/>
      <c r="D98" s="171"/>
      <c r="E98" s="171"/>
      <c r="F98" s="171"/>
      <c r="G98" s="171"/>
      <c r="H98" s="171"/>
      <c r="I98" s="171"/>
      <c r="J98" s="171"/>
      <c r="K98" s="171"/>
      <c r="L98" s="171"/>
      <c r="M98" s="171"/>
      <c r="N98" s="171"/>
      <c r="O98" s="171"/>
      <c r="P98" s="171"/>
      <c r="Q98" s="172"/>
      <c r="R98" s="171"/>
      <c r="S98" s="171"/>
      <c r="T98" s="171"/>
      <c r="U98" s="171"/>
      <c r="V98" s="171"/>
      <c r="W98" s="171"/>
    </row>
    <row r="99" spans="1:31" ht="17" customHeight="1">
      <c r="A99" s="171"/>
      <c r="B99" s="171"/>
      <c r="C99" s="171"/>
      <c r="D99" s="171"/>
      <c r="E99" s="171"/>
      <c r="F99" s="171"/>
      <c r="G99" s="171"/>
      <c r="H99" s="171"/>
      <c r="I99" s="171"/>
      <c r="J99" s="171"/>
      <c r="K99" s="171"/>
      <c r="L99" s="171"/>
      <c r="M99" s="171"/>
      <c r="N99" s="171"/>
      <c r="O99" s="171"/>
      <c r="P99" s="171"/>
      <c r="Q99" s="171"/>
      <c r="R99" s="171"/>
      <c r="S99" s="171"/>
      <c r="T99" s="171"/>
      <c r="U99" s="171"/>
      <c r="V99" s="171"/>
      <c r="W99" s="171"/>
      <c r="Z99" s="171"/>
      <c r="AA99" s="171"/>
      <c r="AB99" s="171"/>
    </row>
    <row r="100" spans="1:31" ht="17" customHeight="1">
      <c r="A100" s="172" t="s">
        <v>578</v>
      </c>
      <c r="B100" s="44"/>
      <c r="C100" s="34"/>
      <c r="D100" s="34"/>
      <c r="E100" s="34"/>
      <c r="F100" s="43"/>
      <c r="G100" s="43"/>
      <c r="H100" s="43"/>
      <c r="I100" s="34"/>
      <c r="K100" s="374" t="s">
        <v>598</v>
      </c>
      <c r="L100" s="375"/>
      <c r="M100" s="376" t="s">
        <v>423</v>
      </c>
      <c r="N100" s="377"/>
      <c r="O100" s="34"/>
      <c r="Q100" s="172" t="s">
        <v>579</v>
      </c>
      <c r="R100" s="44"/>
      <c r="S100" s="34"/>
      <c r="T100" s="34"/>
      <c r="U100" s="34"/>
      <c r="V100" s="43"/>
      <c r="W100" s="43"/>
      <c r="X100" s="44"/>
      <c r="Y100" s="34"/>
      <c r="AA100" s="374" t="s">
        <v>598</v>
      </c>
      <c r="AB100" s="375"/>
      <c r="AC100" s="376" t="s">
        <v>423</v>
      </c>
      <c r="AD100" s="377"/>
    </row>
    <row r="101" spans="1:31" ht="62" customHeight="1">
      <c r="A101" s="34"/>
      <c r="B101" s="279" t="s">
        <v>5</v>
      </c>
      <c r="C101" s="47" t="s">
        <v>46</v>
      </c>
      <c r="D101" s="47" t="s">
        <v>47</v>
      </c>
      <c r="E101" s="279" t="s">
        <v>48</v>
      </c>
      <c r="F101" s="279" t="s">
        <v>428</v>
      </c>
      <c r="G101" s="279" t="s">
        <v>0</v>
      </c>
      <c r="H101" s="279" t="s">
        <v>77</v>
      </c>
      <c r="I101" s="279" t="s">
        <v>78</v>
      </c>
      <c r="J101" s="305" t="s">
        <v>580</v>
      </c>
      <c r="K101" s="296" t="s">
        <v>127</v>
      </c>
      <c r="L101" s="297" t="s">
        <v>424</v>
      </c>
      <c r="M101" s="282" t="s">
        <v>425</v>
      </c>
      <c r="N101" s="281" t="s">
        <v>53</v>
      </c>
      <c r="O101" s="367"/>
      <c r="Q101" s="34"/>
      <c r="R101" s="279" t="s">
        <v>5</v>
      </c>
      <c r="S101" s="47" t="s">
        <v>46</v>
      </c>
      <c r="T101" s="47" t="s">
        <v>47</v>
      </c>
      <c r="U101" s="279" t="s">
        <v>48</v>
      </c>
      <c r="V101" s="279" t="s">
        <v>428</v>
      </c>
      <c r="W101" s="279" t="s">
        <v>0</v>
      </c>
      <c r="X101" s="279" t="s">
        <v>77</v>
      </c>
      <c r="Y101" s="279" t="s">
        <v>78</v>
      </c>
      <c r="Z101" s="305" t="s">
        <v>580</v>
      </c>
      <c r="AA101" s="296" t="s">
        <v>127</v>
      </c>
      <c r="AB101" s="297" t="s">
        <v>424</v>
      </c>
      <c r="AC101" s="282" t="s">
        <v>425</v>
      </c>
      <c r="AD101" s="281" t="s">
        <v>53</v>
      </c>
      <c r="AE101" s="66"/>
    </row>
    <row r="102" spans="1:31" ht="17" customHeight="1">
      <c r="A102" s="77" t="s">
        <v>21</v>
      </c>
      <c r="B102" s="60">
        <v>3.35</v>
      </c>
      <c r="C102" s="41">
        <v>5.20700185855</v>
      </c>
      <c r="D102" s="28">
        <v>0.38195889684412504</v>
      </c>
      <c r="E102" s="30">
        <f t="shared" ref="E102:E112" si="14">+D102*1025</f>
        <v>391.50786926522818</v>
      </c>
      <c r="F102" s="41">
        <f t="shared" ref="F102:F113" si="15">+C102/D102</f>
        <v>13.632361758220659</v>
      </c>
      <c r="G102" s="71">
        <f t="shared" ref="G102:G113" si="16">B102*998.2*1/0.001002</f>
        <v>3337295.4091816368</v>
      </c>
      <c r="H102" s="30">
        <f t="shared" ref="H102:H113" si="17">+G102*0.000001004/1</f>
        <v>3.3506445908183635</v>
      </c>
      <c r="I102" s="56">
        <v>17.050650000000001</v>
      </c>
      <c r="J102" s="298">
        <f t="shared" ref="J102:J113" si="18">+I102/D102</f>
        <v>44.640012684292209</v>
      </c>
      <c r="K102" s="299">
        <f>I102/E102</f>
        <v>4.355123188711435E-2</v>
      </c>
      <c r="L102" s="300">
        <f>+K102/$K$113</f>
        <v>1.4333221678745829</v>
      </c>
      <c r="M102" s="302">
        <f>+I102*1</f>
        <v>17.050650000000001</v>
      </c>
      <c r="N102" s="207">
        <f t="shared" ref="N102:N113" si="19">+M102/$M$113</f>
        <v>2.0387683308340039</v>
      </c>
      <c r="O102" s="30"/>
      <c r="P102" s="125"/>
      <c r="Q102" s="77" t="s">
        <v>21</v>
      </c>
      <c r="R102" s="60">
        <v>3.35</v>
      </c>
      <c r="S102" s="41">
        <v>5.20700185855</v>
      </c>
      <c r="T102" s="28">
        <v>0.38195889684412504</v>
      </c>
      <c r="U102" s="30">
        <f t="shared" ref="U102:U113" si="20">+T102*1025</f>
        <v>391.50786926522818</v>
      </c>
      <c r="V102" s="41">
        <f t="shared" ref="V102:V113" si="21">+S102/T102</f>
        <v>13.632361758220659</v>
      </c>
      <c r="W102" s="71">
        <f t="shared" ref="W102:W113" si="22">R102*998.2*2/0.001002</f>
        <v>6674590.8183632735</v>
      </c>
      <c r="X102" s="38">
        <f t="shared" ref="X102:X113" si="23">+W102*0.000001004/1</f>
        <v>6.701289181636727</v>
      </c>
      <c r="Y102" s="56">
        <v>61.075662000000001</v>
      </c>
      <c r="Z102" s="298">
        <f t="shared" ref="Z102:Z113" si="24">+Y102/T102</f>
        <v>159.90113728107394</v>
      </c>
      <c r="AA102" s="299">
        <f t="shared" ref="AA102:AA113" si="25">Y102/U102</f>
        <v>0.15600110954251117</v>
      </c>
      <c r="AB102" s="300">
        <f>+AA102/$AA$113</f>
        <v>1.434222947061502</v>
      </c>
      <c r="AC102" s="302">
        <f t="shared" ref="AC102:AC113" si="26">+Y102*1</f>
        <v>61.075662000000001</v>
      </c>
      <c r="AD102" s="207">
        <f t="shared" ref="AD102:AD113" si="27">+AC102/$AC$113</f>
        <v>2.0400496059866016</v>
      </c>
      <c r="AE102" s="30"/>
    </row>
    <row r="103" spans="1:31" ht="17" customHeight="1">
      <c r="A103" s="77" t="s">
        <v>22</v>
      </c>
      <c r="B103" s="60">
        <v>4.88</v>
      </c>
      <c r="C103" s="41">
        <v>13.11792528672</v>
      </c>
      <c r="D103" s="28">
        <v>1.7833341520512</v>
      </c>
      <c r="E103" s="30">
        <f t="shared" si="14"/>
        <v>1827.91750585248</v>
      </c>
      <c r="F103" s="41">
        <f t="shared" si="15"/>
        <v>7.3558425781459382</v>
      </c>
      <c r="G103" s="71">
        <f t="shared" si="16"/>
        <v>4861493.0139720561</v>
      </c>
      <c r="H103" s="30">
        <f t="shared" si="17"/>
        <v>4.8809389860279442</v>
      </c>
      <c r="I103" s="56">
        <v>35.060296000000001</v>
      </c>
      <c r="J103" s="298">
        <f t="shared" si="18"/>
        <v>19.659970039643703</v>
      </c>
      <c r="K103" s="299">
        <f t="shared" ref="K103:K113" si="28">I103/E103</f>
        <v>1.9180458575262151E-2</v>
      </c>
      <c r="L103" s="300">
        <f t="shared" ref="L103:L113" si="29">+K103/$K$113</f>
        <v>0.63125140839144589</v>
      </c>
      <c r="M103" s="302">
        <f t="shared" ref="M103:M113" si="30">+I103*1</f>
        <v>35.060296000000001</v>
      </c>
      <c r="N103" s="207">
        <f t="shared" si="19"/>
        <v>4.1922050569606499</v>
      </c>
      <c r="O103" s="30"/>
      <c r="Q103" s="77" t="s">
        <v>22</v>
      </c>
      <c r="R103" s="60">
        <v>4.88</v>
      </c>
      <c r="S103" s="41">
        <v>13.11792528672</v>
      </c>
      <c r="T103" s="28">
        <v>1.7833341520512</v>
      </c>
      <c r="U103" s="30">
        <f t="shared" si="20"/>
        <v>1827.91750585248</v>
      </c>
      <c r="V103" s="41">
        <f t="shared" si="21"/>
        <v>7.3558425781459382</v>
      </c>
      <c r="W103" s="71">
        <f t="shared" si="22"/>
        <v>9722986.0279441122</v>
      </c>
      <c r="X103" s="30">
        <f t="shared" si="23"/>
        <v>9.7618779720558884</v>
      </c>
      <c r="Y103" s="56">
        <v>125.946918</v>
      </c>
      <c r="Z103" s="298">
        <f t="shared" si="24"/>
        <v>70.624407576748979</v>
      </c>
      <c r="AA103" s="299">
        <f t="shared" si="25"/>
        <v>6.8901861050486818E-2</v>
      </c>
      <c r="AB103" s="300">
        <f t="shared" ref="AB103:AB113" si="31">+AA103/$AA$113</f>
        <v>0.63346107283244768</v>
      </c>
      <c r="AC103" s="302">
        <f t="shared" si="26"/>
        <v>125.946918</v>
      </c>
      <c r="AD103" s="207">
        <f t="shared" si="27"/>
        <v>4.2068796641308088</v>
      </c>
      <c r="AE103" s="30"/>
    </row>
    <row r="104" spans="1:31" ht="17" customHeight="1">
      <c r="A104" s="77" t="s">
        <v>25</v>
      </c>
      <c r="B104" s="80">
        <v>4.2</v>
      </c>
      <c r="C104" s="41">
        <v>8.5730400000000007</v>
      </c>
      <c r="D104" s="28">
        <v>0.96314400000000011</v>
      </c>
      <c r="E104" s="30">
        <f t="shared" si="14"/>
        <v>987.22260000000017</v>
      </c>
      <c r="F104" s="41">
        <f t="shared" si="15"/>
        <v>8.9010989010989015</v>
      </c>
      <c r="G104" s="71">
        <f t="shared" si="16"/>
        <v>4184071.8562874254</v>
      </c>
      <c r="H104" s="30">
        <f t="shared" si="17"/>
        <v>4.2008081437125755</v>
      </c>
      <c r="I104" s="56">
        <v>23.96</v>
      </c>
      <c r="J104" s="298">
        <f t="shared" si="18"/>
        <v>24.876861611555487</v>
      </c>
      <c r="K104" s="299">
        <f t="shared" si="28"/>
        <v>2.4270108889322427E-2</v>
      </c>
      <c r="L104" s="300">
        <f t="shared" si="29"/>
        <v>0.79875777516383684</v>
      </c>
      <c r="M104" s="302">
        <f t="shared" si="30"/>
        <v>23.96</v>
      </c>
      <c r="N104" s="207">
        <f t="shared" si="19"/>
        <v>2.8649282699945595</v>
      </c>
      <c r="O104" s="30"/>
      <c r="Q104" s="77" t="s">
        <v>25</v>
      </c>
      <c r="R104" s="80">
        <v>4.2</v>
      </c>
      <c r="S104" s="41">
        <v>8.5730400000000007</v>
      </c>
      <c r="T104" s="28">
        <v>0.96314400000000011</v>
      </c>
      <c r="U104" s="30">
        <f t="shared" si="20"/>
        <v>987.22260000000017</v>
      </c>
      <c r="V104" s="41">
        <f t="shared" si="21"/>
        <v>8.9010989010989015</v>
      </c>
      <c r="W104" s="71">
        <f t="shared" si="22"/>
        <v>8368143.7125748508</v>
      </c>
      <c r="X104" s="30">
        <f t="shared" si="23"/>
        <v>8.401616287425151</v>
      </c>
      <c r="Y104" s="56">
        <v>86.15</v>
      </c>
      <c r="Z104" s="298">
        <f t="shared" si="24"/>
        <v>89.446645569094542</v>
      </c>
      <c r="AA104" s="299">
        <f t="shared" si="25"/>
        <v>8.7265020067409313E-2</v>
      </c>
      <c r="AB104" s="300">
        <f t="shared" si="31"/>
        <v>0.80228592362899043</v>
      </c>
      <c r="AC104" s="302">
        <f t="shared" si="26"/>
        <v>86.15</v>
      </c>
      <c r="AD104" s="207">
        <f t="shared" si="27"/>
        <v>2.877582785033844</v>
      </c>
      <c r="AE104" s="30"/>
    </row>
    <row r="105" spans="1:31" ht="17" customHeight="1">
      <c r="A105" s="77" t="s">
        <v>26</v>
      </c>
      <c r="B105" s="86">
        <v>2.88</v>
      </c>
      <c r="C105" s="41">
        <v>3.9564287999999994</v>
      </c>
      <c r="D105" s="28">
        <v>0.26276659199999997</v>
      </c>
      <c r="E105" s="30">
        <f t="shared" si="14"/>
        <v>269.33575679999996</v>
      </c>
      <c r="F105" s="41">
        <f t="shared" si="15"/>
        <v>15.056818181818182</v>
      </c>
      <c r="G105" s="71">
        <f t="shared" si="16"/>
        <v>2869077.844311377</v>
      </c>
      <c r="H105" s="30">
        <f t="shared" si="17"/>
        <v>2.8805541556886225</v>
      </c>
      <c r="I105" s="56">
        <v>11.55</v>
      </c>
      <c r="J105" s="298">
        <f t="shared" si="18"/>
        <v>43.955359439300423</v>
      </c>
      <c r="K105" s="299">
        <f t="shared" si="28"/>
        <v>4.2883277501756509E-2</v>
      </c>
      <c r="L105" s="300">
        <f t="shared" si="29"/>
        <v>1.4113390049150594</v>
      </c>
      <c r="M105" s="302">
        <f t="shared" si="30"/>
        <v>11.55</v>
      </c>
      <c r="N105" s="207">
        <f t="shared" si="19"/>
        <v>1.3810484773972105</v>
      </c>
      <c r="O105" s="38"/>
      <c r="Q105" s="77" t="s">
        <v>26</v>
      </c>
      <c r="R105" s="86">
        <v>2.88</v>
      </c>
      <c r="S105" s="41">
        <v>3.9564287999999994</v>
      </c>
      <c r="T105" s="28">
        <v>0.26276659199999997</v>
      </c>
      <c r="U105" s="30">
        <f t="shared" si="20"/>
        <v>269.33575679999996</v>
      </c>
      <c r="V105" s="41">
        <f t="shared" si="21"/>
        <v>15.056818181818182</v>
      </c>
      <c r="W105" s="71">
        <f t="shared" si="22"/>
        <v>5738155.6886227541</v>
      </c>
      <c r="X105" s="30">
        <f t="shared" si="23"/>
        <v>5.761108311377245</v>
      </c>
      <c r="Y105" s="56">
        <v>41.095320000000001</v>
      </c>
      <c r="Z105" s="298">
        <f t="shared" si="24"/>
        <v>156.39476726173777</v>
      </c>
      <c r="AA105" s="299">
        <f t="shared" si="25"/>
        <v>0.15258026074315881</v>
      </c>
      <c r="AB105" s="300">
        <f t="shared" si="31"/>
        <v>1.4027727871181077</v>
      </c>
      <c r="AC105" s="302">
        <f t="shared" si="26"/>
        <v>41.095320000000001</v>
      </c>
      <c r="AD105" s="207">
        <f t="shared" si="27"/>
        <v>1.3726661100111088</v>
      </c>
      <c r="AE105" s="38"/>
    </row>
    <row r="106" spans="1:31" ht="17" customHeight="1">
      <c r="A106" s="77" t="s">
        <v>27</v>
      </c>
      <c r="B106" s="86">
        <v>8.06</v>
      </c>
      <c r="C106" s="41">
        <v>13.443142522056004</v>
      </c>
      <c r="D106" s="28">
        <v>1.4749282078869315</v>
      </c>
      <c r="E106" s="30">
        <f t="shared" si="14"/>
        <v>1511.8014130841048</v>
      </c>
      <c r="F106" s="41">
        <f t="shared" si="15"/>
        <v>9.1144385538028576</v>
      </c>
      <c r="G106" s="71">
        <f t="shared" si="16"/>
        <v>8029433.1337325359</v>
      </c>
      <c r="H106" s="30">
        <f t="shared" si="17"/>
        <v>8.0615508662674671</v>
      </c>
      <c r="I106" s="56">
        <v>33.316617999999998</v>
      </c>
      <c r="J106" s="298">
        <f t="shared" si="18"/>
        <v>22.588637075245401</v>
      </c>
      <c r="K106" s="299">
        <f t="shared" si="28"/>
        <v>2.2037694707556489E-2</v>
      </c>
      <c r="L106" s="300">
        <f t="shared" si="29"/>
        <v>0.72528640372487085</v>
      </c>
      <c r="M106" s="302">
        <f t="shared" si="30"/>
        <v>33.316617999999998</v>
      </c>
      <c r="N106" s="207">
        <f t="shared" si="19"/>
        <v>3.9837112173960598</v>
      </c>
      <c r="O106" s="38"/>
      <c r="Q106" s="77" t="s">
        <v>27</v>
      </c>
      <c r="R106" s="86">
        <v>8.06</v>
      </c>
      <c r="S106" s="41">
        <v>13.443142522056004</v>
      </c>
      <c r="T106" s="28">
        <v>1.4749282078869315</v>
      </c>
      <c r="U106" s="30">
        <f t="shared" si="20"/>
        <v>1511.8014130841048</v>
      </c>
      <c r="V106" s="41">
        <f t="shared" si="21"/>
        <v>9.1144385538028576</v>
      </c>
      <c r="W106" s="71">
        <f t="shared" si="22"/>
        <v>16058866.267465072</v>
      </c>
      <c r="X106" s="30">
        <f t="shared" si="23"/>
        <v>16.123101732534934</v>
      </c>
      <c r="Y106" s="56">
        <v>121.335594</v>
      </c>
      <c r="Z106" s="298">
        <f t="shared" si="24"/>
        <v>82.265423734645694</v>
      </c>
      <c r="AA106" s="299">
        <f t="shared" si="25"/>
        <v>8.0258949985020187E-2</v>
      </c>
      <c r="AB106" s="300">
        <f t="shared" si="31"/>
        <v>0.73787441713168989</v>
      </c>
      <c r="AC106" s="302">
        <f t="shared" si="26"/>
        <v>121.335594</v>
      </c>
      <c r="AD106" s="207">
        <f t="shared" si="27"/>
        <v>4.0528521939205548</v>
      </c>
      <c r="AE106" s="38"/>
    </row>
    <row r="107" spans="1:31" ht="17" customHeight="1">
      <c r="A107" s="77" t="s">
        <v>28</v>
      </c>
      <c r="B107">
        <v>10.86</v>
      </c>
      <c r="C107" s="41">
        <v>26.315971452431999</v>
      </c>
      <c r="D107" s="28">
        <v>4.6923911484880305</v>
      </c>
      <c r="E107" s="30">
        <f t="shared" si="14"/>
        <v>4809.7009272002315</v>
      </c>
      <c r="F107" s="41">
        <f t="shared" si="15"/>
        <v>5.6082220385466925</v>
      </c>
      <c r="G107" s="71">
        <f t="shared" si="16"/>
        <v>10818814.371257484</v>
      </c>
      <c r="H107" s="30">
        <f t="shared" si="17"/>
        <v>10.862089628742515</v>
      </c>
      <c r="I107" s="56">
        <v>61.23</v>
      </c>
      <c r="J107" s="298">
        <f t="shared" si="18"/>
        <v>13.048784311113826</v>
      </c>
      <c r="K107" s="299">
        <f t="shared" si="28"/>
        <v>1.2730521279135439E-2</v>
      </c>
      <c r="L107" s="300">
        <f t="shared" si="29"/>
        <v>0.41897640014593246</v>
      </c>
      <c r="M107" s="302">
        <f t="shared" si="30"/>
        <v>61.23</v>
      </c>
      <c r="N107" s="207">
        <f t="shared" si="19"/>
        <v>7.3213504996563801</v>
      </c>
      <c r="O107" s="38"/>
      <c r="Q107" s="77" t="s">
        <v>28</v>
      </c>
      <c r="R107">
        <v>10.86</v>
      </c>
      <c r="S107" s="41">
        <v>26.315971452431999</v>
      </c>
      <c r="T107" s="28">
        <v>4.6923911484880305</v>
      </c>
      <c r="U107" s="30">
        <f t="shared" si="20"/>
        <v>4809.7009272002315</v>
      </c>
      <c r="V107" s="41">
        <f t="shared" si="21"/>
        <v>5.6082220385466925</v>
      </c>
      <c r="W107" s="71">
        <f t="shared" si="22"/>
        <v>21637628.742514968</v>
      </c>
      <c r="X107" s="30">
        <f t="shared" si="23"/>
        <v>21.72417925748503</v>
      </c>
      <c r="Y107" s="56">
        <v>225.38893999999999</v>
      </c>
      <c r="Z107" s="298">
        <f t="shared" si="24"/>
        <v>48.032854224572517</v>
      </c>
      <c r="AA107" s="299">
        <f t="shared" si="25"/>
        <v>4.6861321194704895E-2</v>
      </c>
      <c r="AB107" s="300">
        <f t="shared" si="31"/>
        <v>0.43082759080473265</v>
      </c>
      <c r="AC107" s="302">
        <f t="shared" si="26"/>
        <v>225.38893999999999</v>
      </c>
      <c r="AD107" s="207">
        <f t="shared" si="27"/>
        <v>7.528442642844178</v>
      </c>
      <c r="AE107" s="38"/>
    </row>
    <row r="108" spans="1:31" ht="17" customHeight="1">
      <c r="A108" s="77" t="s">
        <v>1</v>
      </c>
      <c r="B108" s="55">
        <v>7.63</v>
      </c>
      <c r="C108" s="41">
        <v>18.390175546322997</v>
      </c>
      <c r="D108" s="28">
        <v>3.2569617259891599</v>
      </c>
      <c r="E108" s="30">
        <f t="shared" si="14"/>
        <v>3338.3857691388889</v>
      </c>
      <c r="F108" s="41">
        <f t="shared" si="15"/>
        <v>5.646420527320684</v>
      </c>
      <c r="G108" s="71">
        <f t="shared" si="16"/>
        <v>7601063.8722554892</v>
      </c>
      <c r="H108" s="30">
        <f t="shared" si="17"/>
        <v>7.6314681277445118</v>
      </c>
      <c r="I108" s="56">
        <v>39.237514760000003</v>
      </c>
      <c r="J108" s="298">
        <f t="shared" si="18"/>
        <v>12.047275363078858</v>
      </c>
      <c r="K108" s="299">
        <f t="shared" si="28"/>
        <v>1.1753439378613522E-2</v>
      </c>
      <c r="L108" s="300">
        <f t="shared" si="29"/>
        <v>0.38681948776565478</v>
      </c>
      <c r="M108" s="302">
        <f t="shared" si="30"/>
        <v>39.237514760000003</v>
      </c>
      <c r="N108" s="207">
        <f t="shared" si="19"/>
        <v>4.6916805208786645</v>
      </c>
      <c r="O108" s="38"/>
      <c r="Q108" s="77" t="s">
        <v>1</v>
      </c>
      <c r="R108" s="55">
        <v>7.63</v>
      </c>
      <c r="S108" s="41">
        <v>18.390175546322997</v>
      </c>
      <c r="T108" s="28">
        <v>3.2569617259891599</v>
      </c>
      <c r="U108" s="30">
        <f t="shared" si="20"/>
        <v>3338.3857691388889</v>
      </c>
      <c r="V108" s="41">
        <f t="shared" si="21"/>
        <v>5.646420527320684</v>
      </c>
      <c r="W108" s="71">
        <f t="shared" si="22"/>
        <v>15202127.744510978</v>
      </c>
      <c r="X108" s="30">
        <f t="shared" si="23"/>
        <v>15.262936255489024</v>
      </c>
      <c r="Y108" s="72">
        <v>139.147626</v>
      </c>
      <c r="Z108" s="298">
        <f t="shared" si="24"/>
        <v>42.723138221017926</v>
      </c>
      <c r="AA108" s="299">
        <f t="shared" si="25"/>
        <v>4.1681110459529686E-2</v>
      </c>
      <c r="AB108" s="300">
        <f t="shared" si="31"/>
        <v>0.38320243526070741</v>
      </c>
      <c r="AC108" s="302">
        <f t="shared" si="26"/>
        <v>139.147626</v>
      </c>
      <c r="AD108" s="207">
        <f t="shared" si="27"/>
        <v>4.6478097870682262</v>
      </c>
      <c r="AE108" s="38"/>
    </row>
    <row r="109" spans="1:31" ht="17" customHeight="1">
      <c r="A109" s="77" t="s">
        <v>55</v>
      </c>
      <c r="B109" s="55">
        <v>2.5</v>
      </c>
      <c r="C109" s="41">
        <v>2.2387448125000002</v>
      </c>
      <c r="D109" s="28">
        <v>0.14896859375000002</v>
      </c>
      <c r="E109" s="30">
        <f t="shared" si="14"/>
        <v>152.69280859375002</v>
      </c>
      <c r="F109" s="41">
        <f t="shared" si="15"/>
        <v>15.028300638032974</v>
      </c>
      <c r="G109" s="71">
        <f t="shared" si="16"/>
        <v>2490518.9620758481</v>
      </c>
      <c r="H109" s="30">
        <f t="shared" si="17"/>
        <v>2.5004810379241516</v>
      </c>
      <c r="I109" s="56">
        <v>8.1446869999999993</v>
      </c>
      <c r="J109" s="298">
        <f t="shared" si="18"/>
        <v>54.673853024809119</v>
      </c>
      <c r="K109" s="299">
        <f t="shared" si="28"/>
        <v>5.3340344414447925E-2</v>
      </c>
      <c r="L109" s="300">
        <f t="shared" si="29"/>
        <v>1.7554933529656156</v>
      </c>
      <c r="M109" s="302">
        <f t="shared" si="30"/>
        <v>8.1446869999999993</v>
      </c>
      <c r="N109" s="207">
        <f t="shared" si="19"/>
        <v>0.97387078616682698</v>
      </c>
      <c r="O109" s="38"/>
      <c r="Q109" s="77" t="s">
        <v>55</v>
      </c>
      <c r="R109" s="55">
        <v>2.5</v>
      </c>
      <c r="S109" s="41">
        <v>2.2387448125000002</v>
      </c>
      <c r="T109" s="28">
        <v>0.14896859375000002</v>
      </c>
      <c r="U109" s="30">
        <f t="shared" si="20"/>
        <v>152.69280859375002</v>
      </c>
      <c r="V109" s="41">
        <f t="shared" si="21"/>
        <v>15.028300638032974</v>
      </c>
      <c r="W109" s="71">
        <f t="shared" si="22"/>
        <v>4981037.9241516963</v>
      </c>
      <c r="X109" s="30">
        <f t="shared" si="23"/>
        <v>5.0009620758483031</v>
      </c>
      <c r="Y109" s="56">
        <v>22.363921999999999</v>
      </c>
      <c r="Z109" s="298">
        <f t="shared" si="24"/>
        <v>150.12507963612293</v>
      </c>
      <c r="AA109" s="299">
        <f t="shared" si="25"/>
        <v>0.14646349232792483</v>
      </c>
      <c r="AB109" s="300">
        <f t="shared" si="31"/>
        <v>1.3465372279690944</v>
      </c>
      <c r="AC109" s="302">
        <f t="shared" si="26"/>
        <v>22.363921999999999</v>
      </c>
      <c r="AD109" s="207">
        <f t="shared" si="27"/>
        <v>0.74699984855530643</v>
      </c>
      <c r="AE109" s="38"/>
    </row>
    <row r="110" spans="1:31" ht="17" customHeight="1">
      <c r="A110" s="77" t="s">
        <v>3</v>
      </c>
      <c r="B110" s="55">
        <v>4.21</v>
      </c>
      <c r="C110" s="41">
        <v>6.8640375524630004</v>
      </c>
      <c r="D110" s="28">
        <v>0.80018599022569992</v>
      </c>
      <c r="E110" s="30">
        <f t="shared" si="14"/>
        <v>820.19063998134243</v>
      </c>
      <c r="F110" s="41">
        <f t="shared" si="15"/>
        <v>8.5780526481436326</v>
      </c>
      <c r="G110" s="71">
        <f t="shared" si="16"/>
        <v>4194033.9321357287</v>
      </c>
      <c r="H110" s="30">
        <f t="shared" si="17"/>
        <v>4.2108100678642719</v>
      </c>
      <c r="I110" s="56">
        <v>18.435555579999999</v>
      </c>
      <c r="J110" s="298">
        <f t="shared" si="18"/>
        <v>23.039088168489528</v>
      </c>
      <c r="K110" s="299">
        <f t="shared" si="28"/>
        <v>2.247715918877027E-2</v>
      </c>
      <c r="L110" s="300">
        <f t="shared" si="29"/>
        <v>0.73974969570590865</v>
      </c>
      <c r="M110" s="302">
        <f t="shared" si="30"/>
        <v>18.435555579999999</v>
      </c>
      <c r="N110" s="207">
        <f t="shared" si="19"/>
        <v>2.204363286903086</v>
      </c>
      <c r="O110" s="38"/>
      <c r="Q110" s="77" t="s">
        <v>3</v>
      </c>
      <c r="R110" s="55">
        <v>4.21</v>
      </c>
      <c r="S110" s="41">
        <v>6.8640375524630004</v>
      </c>
      <c r="T110" s="28">
        <v>0.80018599022569992</v>
      </c>
      <c r="U110" s="30">
        <f t="shared" si="20"/>
        <v>820.19063998134243</v>
      </c>
      <c r="V110" s="41">
        <f t="shared" si="21"/>
        <v>8.5780526481436326</v>
      </c>
      <c r="W110" s="71">
        <f t="shared" si="22"/>
        <v>8388067.8642714573</v>
      </c>
      <c r="X110" s="30">
        <f t="shared" si="23"/>
        <v>8.4216201357285438</v>
      </c>
      <c r="Y110" s="56">
        <v>65.766962000000007</v>
      </c>
      <c r="Z110" s="298">
        <f t="shared" si="24"/>
        <v>82.189594423478752</v>
      </c>
      <c r="AA110" s="299">
        <f t="shared" si="25"/>
        <v>8.0184970169247555E-2</v>
      </c>
      <c r="AB110" s="300">
        <f t="shared" si="31"/>
        <v>0.73719427101150103</v>
      </c>
      <c r="AC110" s="302">
        <f t="shared" si="26"/>
        <v>65.766962000000007</v>
      </c>
      <c r="AD110" s="207">
        <f t="shared" si="27"/>
        <v>2.1967484349991295</v>
      </c>
      <c r="AE110" s="38"/>
    </row>
    <row r="111" spans="1:31" ht="17" customHeight="1">
      <c r="A111" s="77" t="s">
        <v>19</v>
      </c>
      <c r="B111" s="55">
        <v>7.6</v>
      </c>
      <c r="C111" s="41">
        <v>29.91968</v>
      </c>
      <c r="D111" s="30">
        <v>7.0236159999999996</v>
      </c>
      <c r="E111" s="30">
        <f t="shared" si="14"/>
        <v>7199.2064</v>
      </c>
      <c r="F111" s="41">
        <f t="shared" si="15"/>
        <v>4.2598684210526319</v>
      </c>
      <c r="G111" s="71">
        <f t="shared" si="16"/>
        <v>7571177.644710578</v>
      </c>
      <c r="H111" s="30">
        <f t="shared" si="17"/>
        <v>7.6014623552894207</v>
      </c>
      <c r="I111" s="56">
        <v>64.73</v>
      </c>
      <c r="J111" s="298">
        <f t="shared" si="18"/>
        <v>9.216050535792391</v>
      </c>
      <c r="K111" s="299">
        <f t="shared" si="28"/>
        <v>8.9912688154072107E-3</v>
      </c>
      <c r="L111" s="300">
        <f t="shared" si="29"/>
        <v>0.29591321191205228</v>
      </c>
      <c r="M111" s="302">
        <f t="shared" si="30"/>
        <v>64.73</v>
      </c>
      <c r="N111" s="207">
        <f t="shared" si="19"/>
        <v>7.7398500382615962</v>
      </c>
      <c r="O111" s="38"/>
      <c r="Q111" s="77" t="s">
        <v>19</v>
      </c>
      <c r="R111" s="55">
        <v>7.6</v>
      </c>
      <c r="S111" s="41">
        <v>29.91968</v>
      </c>
      <c r="T111" s="30">
        <v>7.0236159999999996</v>
      </c>
      <c r="U111" s="30">
        <f t="shared" si="20"/>
        <v>7199.2064</v>
      </c>
      <c r="V111" s="41">
        <f t="shared" si="21"/>
        <v>4.2598684210526319</v>
      </c>
      <c r="W111" s="71">
        <f t="shared" si="22"/>
        <v>15142355.289421156</v>
      </c>
      <c r="X111" s="30">
        <f t="shared" si="23"/>
        <v>15.202924710578841</v>
      </c>
      <c r="Y111" s="30">
        <v>234.92670000000001</v>
      </c>
      <c r="Z111" s="298">
        <f t="shared" si="24"/>
        <v>33.448112766984984</v>
      </c>
      <c r="AA111" s="299">
        <f t="shared" si="25"/>
        <v>3.2632305138521937E-2</v>
      </c>
      <c r="AB111" s="300">
        <f t="shared" si="31"/>
        <v>0.30001069211900266</v>
      </c>
      <c r="AC111" s="302">
        <f t="shared" si="26"/>
        <v>234.92670000000001</v>
      </c>
      <c r="AD111" s="207">
        <f t="shared" si="27"/>
        <v>7.8470229560628022</v>
      </c>
      <c r="AE111" s="38"/>
    </row>
    <row r="112" spans="1:31" ht="17" customHeight="1">
      <c r="A112" s="77" t="s">
        <v>20</v>
      </c>
      <c r="B112" s="55">
        <v>13.2</v>
      </c>
      <c r="C112" s="283">
        <v>82.589759999999984</v>
      </c>
      <c r="D112" s="87">
        <v>30.819571199999999</v>
      </c>
      <c r="E112" s="30">
        <f t="shared" si="14"/>
        <v>31590.06048</v>
      </c>
      <c r="F112" s="41">
        <f t="shared" si="15"/>
        <v>2.6797829036635004</v>
      </c>
      <c r="G112" s="71">
        <f t="shared" si="16"/>
        <v>13149940.119760478</v>
      </c>
      <c r="H112" s="30">
        <f t="shared" si="17"/>
        <v>13.20253988023952</v>
      </c>
      <c r="I112" s="30">
        <v>179.61749259999999</v>
      </c>
      <c r="J112" s="298">
        <f t="shared" si="18"/>
        <v>5.8280334737428143</v>
      </c>
      <c r="K112" s="299">
        <f t="shared" si="28"/>
        <v>5.6858863158466477E-3</v>
      </c>
      <c r="L112" s="300">
        <f t="shared" si="29"/>
        <v>0.18712919353560292</v>
      </c>
      <c r="M112" s="302">
        <f t="shared" si="30"/>
        <v>179.61749259999999</v>
      </c>
      <c r="N112" s="207">
        <f t="shared" si="19"/>
        <v>21.47709650815019</v>
      </c>
      <c r="O112" s="38"/>
      <c r="Q112" s="77" t="s">
        <v>20</v>
      </c>
      <c r="R112" s="55">
        <v>13.2</v>
      </c>
      <c r="S112" s="283">
        <v>82.589759999999984</v>
      </c>
      <c r="T112" s="87">
        <v>30.819571199999999</v>
      </c>
      <c r="U112" s="30">
        <f t="shared" si="20"/>
        <v>31590.06048</v>
      </c>
      <c r="V112" s="41">
        <f t="shared" si="21"/>
        <v>2.6797829036635004</v>
      </c>
      <c r="W112" s="71">
        <f t="shared" si="22"/>
        <v>26299880.239520956</v>
      </c>
      <c r="X112" s="30">
        <f t="shared" si="23"/>
        <v>26.40507976047904</v>
      </c>
      <c r="Y112" s="30">
        <v>666.78300000000002</v>
      </c>
      <c r="Z112" s="298">
        <f t="shared" si="24"/>
        <v>21.635051171639923</v>
      </c>
      <c r="AA112" s="299">
        <f t="shared" si="25"/>
        <v>2.1107366996721874E-2</v>
      </c>
      <c r="AB112" s="300">
        <f t="shared" si="31"/>
        <v>0.19405419735490828</v>
      </c>
      <c r="AC112" s="302">
        <f t="shared" si="26"/>
        <v>666.78300000000002</v>
      </c>
      <c r="AD112" s="207">
        <f t="shared" si="27"/>
        <v>22.271889520060611</v>
      </c>
      <c r="AE112" s="38"/>
    </row>
    <row r="113" spans="1:31" ht="17" customHeight="1">
      <c r="A113" s="77" t="s">
        <v>4</v>
      </c>
      <c r="B113" s="86">
        <v>2.85</v>
      </c>
      <c r="C113" s="41">
        <v>3.3058575000000001</v>
      </c>
      <c r="D113" s="28">
        <v>0.26852985000000001</v>
      </c>
      <c r="E113" s="30">
        <f>+D113*1025</f>
        <v>275.24309625000001</v>
      </c>
      <c r="F113" s="41">
        <f t="shared" si="15"/>
        <v>12.310949788263763</v>
      </c>
      <c r="G113" s="71">
        <f t="shared" si="16"/>
        <v>2839191.6167664672</v>
      </c>
      <c r="H113" s="30">
        <f t="shared" si="17"/>
        <v>2.8505483832335332</v>
      </c>
      <c r="I113" s="56">
        <v>8.363211132</v>
      </c>
      <c r="J113" s="298">
        <f t="shared" si="18"/>
        <v>31.14443750666825</v>
      </c>
      <c r="K113" s="301">
        <f t="shared" si="28"/>
        <v>3.0384817079676343E-2</v>
      </c>
      <c r="L113" s="300">
        <f t="shared" si="29"/>
        <v>1</v>
      </c>
      <c r="M113" s="332">
        <f t="shared" si="30"/>
        <v>8.363211132</v>
      </c>
      <c r="N113" s="207">
        <f t="shared" si="19"/>
        <v>1</v>
      </c>
      <c r="O113" s="38"/>
      <c r="Q113" s="77" t="s">
        <v>4</v>
      </c>
      <c r="R113" s="86">
        <v>2.85</v>
      </c>
      <c r="S113" s="41">
        <v>3.3058575000000001</v>
      </c>
      <c r="T113" s="28">
        <v>0.26852985000000001</v>
      </c>
      <c r="U113" s="30">
        <f t="shared" si="20"/>
        <v>275.24309625000001</v>
      </c>
      <c r="V113" s="41">
        <f t="shared" si="21"/>
        <v>12.310949788263763</v>
      </c>
      <c r="W113" s="71">
        <f t="shared" si="22"/>
        <v>5678383.2335329344</v>
      </c>
      <c r="X113" s="30">
        <f t="shared" si="23"/>
        <v>5.7010967664670664</v>
      </c>
      <c r="Y113" s="56">
        <v>29.938321999999999</v>
      </c>
      <c r="Z113" s="298">
        <f t="shared" si="24"/>
        <v>111.48973568487823</v>
      </c>
      <c r="AA113" s="301">
        <f t="shared" si="25"/>
        <v>0.10877047383890559</v>
      </c>
      <c r="AB113" s="300">
        <f t="shared" si="31"/>
        <v>1</v>
      </c>
      <c r="AC113" s="332">
        <f t="shared" si="26"/>
        <v>29.938321999999999</v>
      </c>
      <c r="AD113" s="207">
        <f t="shared" si="27"/>
        <v>1</v>
      </c>
      <c r="AE113" s="38"/>
    </row>
    <row r="114" spans="1:31" ht="17" customHeight="1">
      <c r="A114" s="187"/>
      <c r="B114" s="208"/>
      <c r="C114" s="179"/>
      <c r="D114" s="193"/>
      <c r="E114" s="178"/>
      <c r="F114" s="179"/>
      <c r="G114" s="143"/>
      <c r="H114" s="177"/>
      <c r="I114" s="179"/>
      <c r="J114" s="178"/>
      <c r="K114" s="179"/>
      <c r="L114" s="209"/>
      <c r="M114" s="209"/>
      <c r="N114" s="209"/>
      <c r="O114" s="173"/>
      <c r="Q114" s="187"/>
      <c r="R114" s="208"/>
      <c r="S114" s="179"/>
      <c r="T114" s="193"/>
      <c r="U114" s="178"/>
      <c r="V114" s="179"/>
      <c r="W114" s="143"/>
      <c r="X114" s="177"/>
      <c r="Y114" s="179"/>
      <c r="Z114" s="178"/>
      <c r="AA114" s="179"/>
      <c r="AB114" s="209"/>
      <c r="AC114" s="209"/>
      <c r="AD114" s="209"/>
      <c r="AE114" s="173"/>
    </row>
    <row r="115" spans="1:31" ht="17" customHeight="1">
      <c r="A115" s="173"/>
      <c r="B115" s="171"/>
      <c r="C115" s="171"/>
      <c r="D115" s="178"/>
      <c r="E115" s="171"/>
      <c r="F115" s="171"/>
      <c r="G115" s="171"/>
      <c r="H115" s="178"/>
      <c r="I115" s="179"/>
      <c r="J115" s="171"/>
      <c r="K115" s="178"/>
      <c r="L115" s="171"/>
      <c r="M115" s="171"/>
      <c r="N115" s="171"/>
      <c r="O115" s="171"/>
      <c r="Q115" s="173"/>
      <c r="R115" s="171"/>
      <c r="S115" s="171"/>
      <c r="T115" s="178"/>
      <c r="U115" s="171"/>
      <c r="V115" s="171"/>
      <c r="W115" s="171"/>
      <c r="X115" s="178"/>
      <c r="Y115" s="179"/>
      <c r="Z115" s="171"/>
      <c r="AA115" s="178"/>
      <c r="AB115" s="171"/>
      <c r="AC115" s="171"/>
      <c r="AD115" s="171"/>
      <c r="AE115" s="171"/>
    </row>
    <row r="116" spans="1:31" ht="17" customHeight="1">
      <c r="A116" s="172" t="s">
        <v>427</v>
      </c>
      <c r="B116" s="171"/>
      <c r="C116" s="171"/>
      <c r="D116" s="171"/>
      <c r="E116" s="178"/>
      <c r="F116" s="171"/>
      <c r="G116" s="171"/>
      <c r="H116" s="171"/>
      <c r="I116" s="178"/>
      <c r="J116" s="171"/>
      <c r="K116" s="178"/>
      <c r="L116" s="171"/>
      <c r="M116" s="171"/>
      <c r="N116" s="171"/>
      <c r="O116" s="171"/>
      <c r="Q116" s="172" t="s">
        <v>427</v>
      </c>
      <c r="R116" s="171"/>
      <c r="S116" s="171"/>
      <c r="T116" s="171"/>
      <c r="U116" s="178"/>
      <c r="V116" s="171"/>
      <c r="W116" s="171"/>
      <c r="X116" s="171"/>
      <c r="Y116" s="178"/>
      <c r="Z116" s="171"/>
      <c r="AA116" s="171"/>
      <c r="AB116" s="171"/>
      <c r="AC116" s="171"/>
      <c r="AD116" s="171"/>
      <c r="AE116" s="171"/>
    </row>
    <row r="117" spans="1:31" ht="17" customHeight="1">
      <c r="A117" s="353"/>
      <c r="B117" s="172"/>
      <c r="C117" s="172"/>
      <c r="D117" s="171"/>
      <c r="E117" s="171"/>
      <c r="F117" s="171"/>
      <c r="G117" s="171"/>
      <c r="H117" s="170"/>
      <c r="I117" s="170"/>
      <c r="J117" s="171"/>
      <c r="K117" s="374" t="s">
        <v>598</v>
      </c>
      <c r="L117" s="375"/>
      <c r="M117" s="376" t="s">
        <v>423</v>
      </c>
      <c r="N117" s="377"/>
      <c r="O117" s="171"/>
      <c r="R117" s="172"/>
      <c r="S117" s="172"/>
      <c r="T117" s="171"/>
      <c r="U117" s="171"/>
      <c r="V117" s="171"/>
      <c r="W117" s="171"/>
      <c r="X117" s="172"/>
      <c r="Y117" s="170"/>
      <c r="AA117" s="374" t="s">
        <v>598</v>
      </c>
      <c r="AB117" s="375"/>
      <c r="AC117" s="376" t="s">
        <v>423</v>
      </c>
      <c r="AD117" s="377"/>
      <c r="AE117" s="171"/>
    </row>
    <row r="118" spans="1:31" ht="62" customHeight="1">
      <c r="A118" s="171"/>
      <c r="B118" s="175" t="s">
        <v>5</v>
      </c>
      <c r="C118" s="284" t="s">
        <v>46</v>
      </c>
      <c r="D118" s="284" t="s">
        <v>47</v>
      </c>
      <c r="E118" s="175" t="s">
        <v>48</v>
      </c>
      <c r="F118" s="279" t="s">
        <v>428</v>
      </c>
      <c r="G118" s="175" t="s">
        <v>0</v>
      </c>
      <c r="H118" s="279" t="s">
        <v>77</v>
      </c>
      <c r="I118" s="175" t="s">
        <v>78</v>
      </c>
      <c r="J118" s="305" t="s">
        <v>580</v>
      </c>
      <c r="K118" s="285" t="s">
        <v>127</v>
      </c>
      <c r="L118" s="285" t="s">
        <v>53</v>
      </c>
      <c r="M118" s="282" t="s">
        <v>425</v>
      </c>
      <c r="N118" s="281" t="s">
        <v>53</v>
      </c>
      <c r="O118" s="171"/>
      <c r="Q118" s="171"/>
      <c r="R118" s="175" t="s">
        <v>5</v>
      </c>
      <c r="S118" s="284" t="s">
        <v>46</v>
      </c>
      <c r="T118" s="284" t="s">
        <v>47</v>
      </c>
      <c r="U118" s="175" t="s">
        <v>48</v>
      </c>
      <c r="V118" s="279" t="s">
        <v>428</v>
      </c>
      <c r="W118" s="175" t="s">
        <v>0</v>
      </c>
      <c r="X118" s="279" t="s">
        <v>77</v>
      </c>
      <c r="Y118" s="175" t="s">
        <v>78</v>
      </c>
      <c r="Z118" s="305" t="s">
        <v>580</v>
      </c>
      <c r="AA118" s="285" t="s">
        <v>127</v>
      </c>
      <c r="AB118" s="285" t="s">
        <v>53</v>
      </c>
      <c r="AC118" s="282" t="s">
        <v>425</v>
      </c>
      <c r="AD118" s="281" t="s">
        <v>53</v>
      </c>
      <c r="AE118" s="171"/>
    </row>
    <row r="119" spans="1:31" ht="17" customHeight="1">
      <c r="A119" s="286" t="s">
        <v>21</v>
      </c>
      <c r="B119" s="177" t="s">
        <v>54</v>
      </c>
      <c r="C119" s="179"/>
      <c r="D119" s="193"/>
      <c r="E119" s="177"/>
      <c r="F119" s="133"/>
      <c r="G119" s="143"/>
      <c r="H119" s="177"/>
      <c r="I119" s="179"/>
      <c r="J119" s="287"/>
      <c r="K119" s="288"/>
      <c r="L119" s="289"/>
      <c r="M119" s="302"/>
      <c r="N119" s="207"/>
      <c r="O119" s="171"/>
      <c r="Q119" s="286" t="s">
        <v>21</v>
      </c>
      <c r="R119" s="177" t="s">
        <v>54</v>
      </c>
      <c r="S119" s="179"/>
      <c r="T119" s="193"/>
      <c r="U119" s="177"/>
      <c r="V119" s="133"/>
      <c r="W119" s="143"/>
      <c r="X119" s="177"/>
      <c r="Y119" s="179"/>
      <c r="Z119" s="287"/>
      <c r="AA119" s="288"/>
      <c r="AB119" s="289"/>
      <c r="AC119" s="302"/>
      <c r="AD119" s="207"/>
      <c r="AE119" s="171"/>
    </row>
    <row r="120" spans="1:31" ht="17" customHeight="1">
      <c r="A120" s="286" t="s">
        <v>22</v>
      </c>
      <c r="B120" s="177" t="s">
        <v>54</v>
      </c>
      <c r="C120" s="179"/>
      <c r="D120" s="193"/>
      <c r="E120" s="177"/>
      <c r="F120" s="179"/>
      <c r="G120" s="143"/>
      <c r="H120" s="177"/>
      <c r="I120" s="179"/>
      <c r="J120" s="287"/>
      <c r="K120" s="288"/>
      <c r="L120" s="289"/>
      <c r="M120" s="302"/>
      <c r="N120" s="207"/>
      <c r="O120" s="171"/>
      <c r="Q120" s="286" t="s">
        <v>22</v>
      </c>
      <c r="R120" s="177" t="s">
        <v>54</v>
      </c>
      <c r="S120" s="179"/>
      <c r="T120" s="193"/>
      <c r="U120" s="177"/>
      <c r="V120" s="179"/>
      <c r="W120" s="143"/>
      <c r="X120" s="177"/>
      <c r="Y120" s="179"/>
      <c r="Z120" s="287"/>
      <c r="AA120" s="288"/>
      <c r="AB120" s="289"/>
      <c r="AC120" s="302"/>
      <c r="AD120" s="207"/>
      <c r="AE120" s="171"/>
    </row>
    <row r="121" spans="1:31" ht="17" customHeight="1">
      <c r="A121" s="286" t="s">
        <v>25</v>
      </c>
      <c r="B121" s="177" t="s">
        <v>54</v>
      </c>
      <c r="C121" s="179"/>
      <c r="D121" s="193"/>
      <c r="E121" s="177"/>
      <c r="F121" s="179"/>
      <c r="G121" s="143"/>
      <c r="H121" s="177"/>
      <c r="I121" s="179"/>
      <c r="J121" s="287"/>
      <c r="K121" s="288"/>
      <c r="L121" s="289"/>
      <c r="M121" s="302"/>
      <c r="N121" s="207"/>
      <c r="O121" s="171"/>
      <c r="Q121" s="286" t="s">
        <v>25</v>
      </c>
      <c r="R121" s="177" t="s">
        <v>54</v>
      </c>
      <c r="S121" s="179"/>
      <c r="T121" s="193"/>
      <c r="U121" s="177"/>
      <c r="V121" s="179"/>
      <c r="W121" s="143"/>
      <c r="X121" s="177"/>
      <c r="Y121" s="179"/>
      <c r="Z121" s="287"/>
      <c r="AA121" s="288"/>
      <c r="AB121" s="289"/>
      <c r="AC121" s="302"/>
      <c r="AD121" s="207"/>
      <c r="AE121" s="171"/>
    </row>
    <row r="122" spans="1:31" ht="17" customHeight="1">
      <c r="A122" s="286" t="s">
        <v>26</v>
      </c>
      <c r="B122" s="290">
        <v>2.707465945</v>
      </c>
      <c r="C122" s="179">
        <v>3.4965873692706722</v>
      </c>
      <c r="D122" s="193">
        <v>0.2183140534301726</v>
      </c>
      <c r="E122" s="177">
        <f>+D122*1025</f>
        <v>223.77190476592691</v>
      </c>
      <c r="F122" s="41">
        <f>+C122/D122</f>
        <v>16.016318300777876</v>
      </c>
      <c r="G122" s="143">
        <f>B122*998.2*1/0.0010016</f>
        <v>2698275.2658736021</v>
      </c>
      <c r="H122" s="177">
        <f>+G122*0.000001004/1</f>
        <v>2.7090683669370965</v>
      </c>
      <c r="I122" s="126">
        <v>10.220000000000001</v>
      </c>
      <c r="J122" s="287">
        <f>+I122/D122</f>
        <v>46.813294148600704</v>
      </c>
      <c r="K122" s="288">
        <f>I122/E122</f>
        <v>4.5671506486439715E-2</v>
      </c>
      <c r="L122" s="289">
        <f>+K122/$K$113</f>
        <v>1.5031028940104518</v>
      </c>
      <c r="M122" s="302">
        <f>+I122*1</f>
        <v>10.220000000000001</v>
      </c>
      <c r="N122" s="207">
        <f>+M122/$M$113</f>
        <v>1.2220186527272285</v>
      </c>
      <c r="O122" s="30"/>
      <c r="Q122" s="286" t="s">
        <v>26</v>
      </c>
      <c r="R122" s="290">
        <v>2.707465945</v>
      </c>
      <c r="S122" s="179">
        <v>3.4965873692706722</v>
      </c>
      <c r="T122" s="193">
        <v>0.2183140534301726</v>
      </c>
      <c r="U122" s="177">
        <f>+T122*1025</f>
        <v>223.77190476592691</v>
      </c>
      <c r="V122" s="41">
        <f>+S122/T122</f>
        <v>16.016318300777876</v>
      </c>
      <c r="W122" s="143">
        <f>R122*998.2*2/0.0010016</f>
        <v>5396550.5317472043</v>
      </c>
      <c r="X122" s="361">
        <f>+W122*0.000001004/1</f>
        <v>5.418136733874193</v>
      </c>
      <c r="Y122" s="126">
        <v>36.875432699999998</v>
      </c>
      <c r="Z122" s="287">
        <f>+Y122/T122</f>
        <v>168.91002718610849</v>
      </c>
      <c r="AA122" s="288">
        <f>Y122/U122</f>
        <v>0.1647902704254717</v>
      </c>
      <c r="AB122" s="289">
        <f>+AA122/$AA$113</f>
        <v>1.5150276045458273</v>
      </c>
      <c r="AC122" s="302">
        <f>+Y122*1</f>
        <v>36.875432699999998</v>
      </c>
      <c r="AD122" s="207">
        <f>+AC122/$AC$113</f>
        <v>1.2317134106580856</v>
      </c>
      <c r="AE122" s="30"/>
    </row>
    <row r="123" spans="1:31" ht="17" customHeight="1">
      <c r="A123" s="286" t="s">
        <v>27</v>
      </c>
      <c r="B123" s="177" t="s">
        <v>54</v>
      </c>
      <c r="C123" s="179"/>
      <c r="D123" s="177"/>
      <c r="E123" s="177"/>
      <c r="F123" s="179"/>
      <c r="G123" s="143"/>
      <c r="H123" s="177"/>
      <c r="I123" s="179"/>
      <c r="J123" s="287"/>
      <c r="K123" s="288"/>
      <c r="L123" s="289"/>
      <c r="M123" s="302"/>
      <c r="N123" s="207"/>
      <c r="O123" s="30"/>
      <c r="Q123" s="286" t="s">
        <v>27</v>
      </c>
      <c r="R123" s="177" t="s">
        <v>54</v>
      </c>
      <c r="S123" s="179"/>
      <c r="T123" s="177"/>
      <c r="U123" s="177"/>
      <c r="V123" s="179"/>
      <c r="W123" s="143"/>
      <c r="X123" s="361"/>
      <c r="Y123" s="179"/>
      <c r="Z123" s="287"/>
      <c r="AA123" s="288"/>
      <c r="AB123" s="289"/>
      <c r="AC123" s="302"/>
      <c r="AD123" s="207"/>
      <c r="AE123" s="30"/>
    </row>
    <row r="124" spans="1:31" ht="17" customHeight="1">
      <c r="A124" s="286" t="s">
        <v>28</v>
      </c>
      <c r="B124" s="177" t="s">
        <v>54</v>
      </c>
      <c r="J124" s="287"/>
      <c r="K124" s="288"/>
      <c r="L124" s="289"/>
      <c r="M124" s="302"/>
      <c r="N124" s="207"/>
      <c r="O124" s="30"/>
      <c r="Q124" s="286" t="s">
        <v>28</v>
      </c>
      <c r="R124" s="177" t="s">
        <v>54</v>
      </c>
      <c r="X124" s="269"/>
      <c r="Z124" s="287"/>
      <c r="AA124" s="288"/>
      <c r="AB124" s="289"/>
      <c r="AC124" s="302"/>
      <c r="AD124" s="207"/>
      <c r="AE124" s="30"/>
    </row>
    <row r="125" spans="1:31" ht="17" customHeight="1">
      <c r="A125" s="286" t="s">
        <v>1</v>
      </c>
      <c r="B125" s="290">
        <v>6.6508421986216879</v>
      </c>
      <c r="C125" s="179">
        <v>13.973013745871262</v>
      </c>
      <c r="D125" s="193">
        <v>2.1570935096914488</v>
      </c>
      <c r="E125" s="177">
        <f t="shared" ref="E125:E130" si="32">+D125*1025</f>
        <v>2211.0208474337351</v>
      </c>
      <c r="F125" s="41">
        <f t="shared" ref="F125:F130" si="33">+C125/D125</f>
        <v>6.4777042270503911</v>
      </c>
      <c r="G125" s="143">
        <f>B125*998.2*1/0.0010016</f>
        <v>6628265.4579314785</v>
      </c>
      <c r="H125" s="177">
        <f t="shared" ref="H125:H130" si="34">+G125*0.000001004/1</f>
        <v>6.6547785197632043</v>
      </c>
      <c r="I125" s="124">
        <v>30.98897487</v>
      </c>
      <c r="J125" s="287">
        <f t="shared" ref="J125:J130" si="35">+I125/D125</f>
        <v>14.366078582486983</v>
      </c>
      <c r="K125" s="288">
        <f t="shared" ref="K125:K130" si="36">I125/E125</f>
        <v>1.401568642193852E-2</v>
      </c>
      <c r="L125" s="289">
        <f t="shared" ref="L125:L130" si="37">+K125/$K$113</f>
        <v>0.46127269370047541</v>
      </c>
      <c r="M125" s="302">
        <f t="shared" ref="M125:M130" si="38">+I125*1</f>
        <v>30.98897487</v>
      </c>
      <c r="N125" s="207">
        <f t="shared" ref="N125:N130" si="39">+M125/$M$113</f>
        <v>3.7053919099838888</v>
      </c>
      <c r="O125" s="30"/>
      <c r="Q125" s="286" t="s">
        <v>1</v>
      </c>
      <c r="R125" s="290">
        <v>6.6508421986216879</v>
      </c>
      <c r="S125" s="179">
        <v>13.973013745871262</v>
      </c>
      <c r="T125" s="193">
        <v>2.1570935096914488</v>
      </c>
      <c r="U125" s="177">
        <f t="shared" ref="U125:U130" si="40">+T125*1025</f>
        <v>2211.0208474337351</v>
      </c>
      <c r="V125" s="41">
        <f t="shared" ref="V125:V130" si="41">+S125/T125</f>
        <v>6.4777042270503911</v>
      </c>
      <c r="W125" s="143">
        <f t="shared" ref="W125:W130" si="42">R125*998.2*2/0.0010016</f>
        <v>13256530.915862957</v>
      </c>
      <c r="X125" s="361">
        <f t="shared" ref="X125:X130" si="43">+W125*0.000001004/1</f>
        <v>13.309557039526409</v>
      </c>
      <c r="Y125" s="126">
        <v>136.99256209999999</v>
      </c>
      <c r="Z125" s="287">
        <f t="shared" ref="Z125:Z130" si="44">+Y125/T125</f>
        <v>63.507938568502503</v>
      </c>
      <c r="AA125" s="288">
        <f t="shared" ref="AA125:AA130" si="45">Y125/U125</f>
        <v>6.1958964457075612E-2</v>
      </c>
      <c r="AB125" s="289">
        <f>+AA125/$AA$113</f>
        <v>0.56963036263719768</v>
      </c>
      <c r="AC125" s="302">
        <f t="shared" ref="AC125:AC130" si="46">+Y125*1</f>
        <v>136.99256209999999</v>
      </c>
      <c r="AD125" s="207">
        <f>+AC125/$AC$113</f>
        <v>4.5758263305471827</v>
      </c>
      <c r="AE125" s="30"/>
    </row>
    <row r="126" spans="1:31" ht="17" customHeight="1">
      <c r="A126" s="286" t="s">
        <v>55</v>
      </c>
      <c r="B126" s="290">
        <v>1.8093166806845256</v>
      </c>
      <c r="C126" s="179">
        <v>1.1726104209190849</v>
      </c>
      <c r="D126" s="193">
        <v>5.6470086555071686E-2</v>
      </c>
      <c r="E126" s="177">
        <f t="shared" si="32"/>
        <v>57.88183871894848</v>
      </c>
      <c r="F126" s="41">
        <f t="shared" si="33"/>
        <v>20.765160679814301</v>
      </c>
      <c r="G126" s="143">
        <f>B126*998.2*1/0.0010016</f>
        <v>1803174.8309298058</v>
      </c>
      <c r="H126" s="177">
        <f t="shared" si="34"/>
        <v>1.8103875302535251</v>
      </c>
      <c r="I126" s="124">
        <v>3.4363000000000001</v>
      </c>
      <c r="J126" s="287">
        <f t="shared" si="35"/>
        <v>60.851686434884336</v>
      </c>
      <c r="K126" s="288">
        <f t="shared" si="36"/>
        <v>5.9367498960862769E-2</v>
      </c>
      <c r="L126" s="289">
        <f t="shared" si="37"/>
        <v>1.9538540845971466</v>
      </c>
      <c r="M126" s="302">
        <f t="shared" si="38"/>
        <v>3.4363000000000001</v>
      </c>
      <c r="N126" s="207">
        <f t="shared" si="39"/>
        <v>0.41088284700260036</v>
      </c>
      <c r="O126" s="30"/>
      <c r="Q126" s="286" t="s">
        <v>55</v>
      </c>
      <c r="R126" s="290">
        <v>1.8093166806845256</v>
      </c>
      <c r="S126" s="179">
        <v>1.1726104209190849</v>
      </c>
      <c r="T126" s="193">
        <v>5.6470086555071686E-2</v>
      </c>
      <c r="U126" s="177">
        <f t="shared" si="40"/>
        <v>57.88183871894848</v>
      </c>
      <c r="V126" s="41">
        <f t="shared" si="41"/>
        <v>20.765160679814301</v>
      </c>
      <c r="W126" s="143">
        <f t="shared" si="42"/>
        <v>3606349.6618596115</v>
      </c>
      <c r="X126" s="361">
        <f t="shared" si="43"/>
        <v>3.6207750605070501</v>
      </c>
      <c r="Y126" s="124">
        <v>12.3220904</v>
      </c>
      <c r="Z126" s="287">
        <f t="shared" si="44"/>
        <v>218.20562268809434</v>
      </c>
      <c r="AA126" s="288">
        <f t="shared" si="45"/>
        <v>0.21288353432984811</v>
      </c>
      <c r="AB126" s="289">
        <f t="shared" ref="AB126:AB130" si="47">+AA126/$AA$113</f>
        <v>1.9571812718692305</v>
      </c>
      <c r="AC126" s="302">
        <f t="shared" si="46"/>
        <v>12.3220904</v>
      </c>
      <c r="AD126" s="207">
        <f t="shared" ref="AD126:AD130" si="48">+AC126/$AC$113</f>
        <v>0.41158253291550545</v>
      </c>
      <c r="AE126" s="30"/>
    </row>
    <row r="127" spans="1:31" ht="17" customHeight="1">
      <c r="A127" s="286" t="s">
        <v>3</v>
      </c>
      <c r="B127" s="291">
        <v>4.0827207793864213</v>
      </c>
      <c r="C127" s="179">
        <v>6.4552760289925022</v>
      </c>
      <c r="D127" s="193">
        <v>0.72978291771135606</v>
      </c>
      <c r="E127" s="177">
        <f t="shared" si="32"/>
        <v>748.02749065413991</v>
      </c>
      <c r="F127" s="41">
        <f t="shared" si="33"/>
        <v>8.8454742805389905</v>
      </c>
      <c r="G127" s="143">
        <f>B127*998.2*1/0.0010016</f>
        <v>4068861.7032583123</v>
      </c>
      <c r="H127" s="177">
        <f t="shared" si="34"/>
        <v>4.085137150071346</v>
      </c>
      <c r="I127" s="233">
        <v>17.314596080000001</v>
      </c>
      <c r="J127" s="287">
        <f t="shared" si="35"/>
        <v>23.725680143760606</v>
      </c>
      <c r="K127" s="288">
        <f t="shared" si="36"/>
        <v>2.3147005018303031E-2</v>
      </c>
      <c r="L127" s="289">
        <f t="shared" si="37"/>
        <v>0.76179510831366803</v>
      </c>
      <c r="M127" s="302">
        <f t="shared" si="38"/>
        <v>17.314596080000001</v>
      </c>
      <c r="N127" s="207">
        <f t="shared" si="39"/>
        <v>2.0703287058901911</v>
      </c>
      <c r="O127" s="30"/>
      <c r="Q127" s="286" t="s">
        <v>3</v>
      </c>
      <c r="R127" s="291">
        <v>4.0827207793864213</v>
      </c>
      <c r="S127" s="179">
        <v>6.4552760289925022</v>
      </c>
      <c r="T127" s="193">
        <v>0.72978291771135606</v>
      </c>
      <c r="U127" s="177">
        <f t="shared" si="40"/>
        <v>748.02749065413991</v>
      </c>
      <c r="V127" s="41">
        <f t="shared" si="41"/>
        <v>8.8454742805389905</v>
      </c>
      <c r="W127" s="143">
        <f t="shared" si="42"/>
        <v>8137723.4065166246</v>
      </c>
      <c r="X127" s="361">
        <f t="shared" si="43"/>
        <v>8.1702743001426921</v>
      </c>
      <c r="Y127" s="126">
        <v>61.844719009999999</v>
      </c>
      <c r="Z127" s="287">
        <f t="shared" si="44"/>
        <v>84.743993739876544</v>
      </c>
      <c r="AA127" s="288">
        <f t="shared" si="45"/>
        <v>8.2677067063294196E-2</v>
      </c>
      <c r="AB127" s="289">
        <f t="shared" si="47"/>
        <v>0.76010579107840415</v>
      </c>
      <c r="AC127" s="302">
        <f t="shared" si="46"/>
        <v>61.844719009999999</v>
      </c>
      <c r="AD127" s="207">
        <f t="shared" si="48"/>
        <v>2.0657376525644957</v>
      </c>
      <c r="AE127" s="30"/>
    </row>
    <row r="128" spans="1:31" ht="17" customHeight="1">
      <c r="A128" s="286" t="s">
        <v>19</v>
      </c>
      <c r="B128" s="292">
        <v>7</v>
      </c>
      <c r="C128" s="30">
        <v>25.382000000000001</v>
      </c>
      <c r="D128" s="30">
        <v>5.4880000000000004</v>
      </c>
      <c r="E128" s="30">
        <f t="shared" si="32"/>
        <v>5625.2000000000007</v>
      </c>
      <c r="F128" s="41">
        <f t="shared" si="33"/>
        <v>4.625</v>
      </c>
      <c r="G128" s="71">
        <f>B128*998.2*1/0.001002</f>
        <v>6973453.0938123753</v>
      </c>
      <c r="H128" s="30">
        <f t="shared" si="34"/>
        <v>7.0013469061876252</v>
      </c>
      <c r="I128">
        <v>55.635683999999998</v>
      </c>
      <c r="J128" s="287">
        <f t="shared" si="35"/>
        <v>10.137697521865888</v>
      </c>
      <c r="K128" s="288">
        <f t="shared" si="36"/>
        <v>9.8904366066984266E-3</v>
      </c>
      <c r="L128" s="289">
        <f t="shared" si="37"/>
        <v>0.32550587949117182</v>
      </c>
      <c r="M128" s="302">
        <f t="shared" si="38"/>
        <v>55.635683999999998</v>
      </c>
      <c r="N128" s="207">
        <f t="shared" si="39"/>
        <v>6.6524308811387298</v>
      </c>
      <c r="O128" s="30"/>
      <c r="Q128" s="286" t="s">
        <v>19</v>
      </c>
      <c r="R128" s="292">
        <v>7</v>
      </c>
      <c r="S128" s="30">
        <v>25.382000000000001</v>
      </c>
      <c r="T128" s="30">
        <v>5.4880000000000004</v>
      </c>
      <c r="U128" s="30">
        <f t="shared" si="40"/>
        <v>5625.2000000000007</v>
      </c>
      <c r="V128" s="41">
        <f t="shared" si="41"/>
        <v>4.625</v>
      </c>
      <c r="W128" s="143">
        <f t="shared" si="42"/>
        <v>13952476.038338659</v>
      </c>
      <c r="X128" s="292">
        <f t="shared" si="43"/>
        <v>14.008285942492014</v>
      </c>
      <c r="Y128" s="126">
        <v>201.5631861</v>
      </c>
      <c r="Z128" s="287">
        <f t="shared" si="44"/>
        <v>36.72798580539358</v>
      </c>
      <c r="AA128" s="288">
        <f t="shared" si="45"/>
        <v>3.5832181273554711E-2</v>
      </c>
      <c r="AB128" s="289">
        <f t="shared" si="47"/>
        <v>0.32942930198708087</v>
      </c>
      <c r="AC128" s="302">
        <f t="shared" si="46"/>
        <v>201.5631861</v>
      </c>
      <c r="AD128" s="207">
        <f t="shared" si="48"/>
        <v>6.7326146769347996</v>
      </c>
      <c r="AE128" s="30"/>
    </row>
    <row r="129" spans="1:31" ht="17" customHeight="1">
      <c r="A129" s="286" t="s">
        <v>20</v>
      </c>
      <c r="B129" s="55">
        <v>11.2</v>
      </c>
      <c r="C129" s="30">
        <v>59.458559999999991</v>
      </c>
      <c r="D129" s="30">
        <v>18.826035199999996</v>
      </c>
      <c r="E129" s="30">
        <f t="shared" si="32"/>
        <v>19296.686079999996</v>
      </c>
      <c r="F129" s="41">
        <f t="shared" si="33"/>
        <v>3.158315565031983</v>
      </c>
      <c r="G129" s="71">
        <f>B129*998.2*1/0.001002</f>
        <v>11157524.9500998</v>
      </c>
      <c r="H129" s="30">
        <f t="shared" si="34"/>
        <v>11.202155049900199</v>
      </c>
      <c r="I129" s="30">
        <v>131.4764758</v>
      </c>
      <c r="J129" s="287">
        <f t="shared" si="35"/>
        <v>6.9837580989968631</v>
      </c>
      <c r="K129" s="288">
        <f t="shared" si="36"/>
        <v>6.8134225356066957E-3</v>
      </c>
      <c r="L129" s="289">
        <f t="shared" si="37"/>
        <v>0.2242377341861316</v>
      </c>
      <c r="M129" s="302">
        <f t="shared" si="38"/>
        <v>131.4764758</v>
      </c>
      <c r="N129" s="207">
        <f t="shared" si="39"/>
        <v>15.720812702782785</v>
      </c>
      <c r="O129" s="30"/>
      <c r="Q129" s="286" t="s">
        <v>20</v>
      </c>
      <c r="R129" s="55">
        <v>11.2</v>
      </c>
      <c r="S129" s="30">
        <v>59.458559999999991</v>
      </c>
      <c r="T129" s="30">
        <v>18.826035199999996</v>
      </c>
      <c r="U129" s="30">
        <f t="shared" si="40"/>
        <v>19296.686079999996</v>
      </c>
      <c r="V129" s="41">
        <f t="shared" si="41"/>
        <v>3.158315565031983</v>
      </c>
      <c r="W129" s="143">
        <f t="shared" si="42"/>
        <v>22323961.661341853</v>
      </c>
      <c r="X129" s="292">
        <f t="shared" si="43"/>
        <v>22.413257507987222</v>
      </c>
      <c r="Y129" s="126">
        <v>426.53547759999998</v>
      </c>
      <c r="Z129" s="287">
        <f t="shared" si="44"/>
        <v>22.656681190099977</v>
      </c>
      <c r="AA129" s="288">
        <f t="shared" si="45"/>
        <v>2.2104079209853637E-2</v>
      </c>
      <c r="AB129" s="289">
        <f t="shared" si="47"/>
        <v>0.20321764197323314</v>
      </c>
      <c r="AC129" s="302">
        <f t="shared" si="46"/>
        <v>426.53547759999998</v>
      </c>
      <c r="AD129" s="207">
        <f t="shared" si="48"/>
        <v>14.247140424236202</v>
      </c>
      <c r="AE129" s="30"/>
    </row>
    <row r="130" spans="1:31" ht="17" customHeight="1">
      <c r="A130" s="286" t="s">
        <v>4</v>
      </c>
      <c r="B130" s="291">
        <v>1.9</v>
      </c>
      <c r="C130" s="30">
        <v>1.4692699999999999</v>
      </c>
      <c r="D130" s="30">
        <v>7.956439999999998E-2</v>
      </c>
      <c r="E130" s="30">
        <f t="shared" si="32"/>
        <v>81.553509999999974</v>
      </c>
      <c r="F130" s="41">
        <f t="shared" si="33"/>
        <v>18.466424682395647</v>
      </c>
      <c r="G130" s="71">
        <f>B130*998.2*1/0.001002</f>
        <v>1892794.4111776445</v>
      </c>
      <c r="H130" s="30">
        <f t="shared" si="34"/>
        <v>1.9003655888223552</v>
      </c>
      <c r="I130">
        <v>3.9177306000000001</v>
      </c>
      <c r="J130" s="287">
        <f t="shared" si="35"/>
        <v>49.239742900091009</v>
      </c>
      <c r="K130" s="288">
        <f t="shared" si="36"/>
        <v>4.8038773561064403E-2</v>
      </c>
      <c r="L130" s="289">
        <f t="shared" si="37"/>
        <v>1.5810124324624075</v>
      </c>
      <c r="M130" s="302">
        <f t="shared" si="38"/>
        <v>3.9177306000000001</v>
      </c>
      <c r="N130" s="207">
        <f t="shared" si="39"/>
        <v>0.46844812813700948</v>
      </c>
      <c r="O130" s="30"/>
      <c r="Q130" s="286" t="s">
        <v>4</v>
      </c>
      <c r="R130" s="291">
        <v>1.9</v>
      </c>
      <c r="S130" s="30">
        <v>1.4692699999999999</v>
      </c>
      <c r="T130" s="30">
        <v>7.956439999999998E-2</v>
      </c>
      <c r="U130" s="30">
        <f t="shared" si="40"/>
        <v>81.553509999999974</v>
      </c>
      <c r="V130" s="41">
        <f t="shared" si="41"/>
        <v>18.466424682395647</v>
      </c>
      <c r="W130" s="143">
        <f t="shared" si="42"/>
        <v>3787100.6389776352</v>
      </c>
      <c r="X130" s="292">
        <f t="shared" si="43"/>
        <v>3.8022490415335457</v>
      </c>
      <c r="Y130">
        <v>13.785</v>
      </c>
      <c r="Z130" s="287">
        <f t="shared" si="44"/>
        <v>173.25587825711</v>
      </c>
      <c r="AA130" s="288">
        <f t="shared" si="45"/>
        <v>0.16903012512888782</v>
      </c>
      <c r="AB130" s="289">
        <f t="shared" si="47"/>
        <v>1.5540074356872779</v>
      </c>
      <c r="AC130" s="302">
        <f t="shared" si="46"/>
        <v>13.785</v>
      </c>
      <c r="AD130" s="207">
        <f t="shared" si="48"/>
        <v>0.46044664761104515</v>
      </c>
      <c r="AE130" s="30"/>
    </row>
    <row r="131" spans="1:31" ht="17" customHeight="1">
      <c r="A131" s="286"/>
      <c r="B131" s="291"/>
      <c r="C131" s="30"/>
      <c r="D131" s="30"/>
      <c r="E131" s="30"/>
      <c r="F131" s="60"/>
      <c r="G131" s="71"/>
      <c r="H131" s="30"/>
      <c r="J131" s="178"/>
      <c r="K131" s="179"/>
      <c r="L131" s="209"/>
      <c r="M131" s="171"/>
      <c r="N131" s="171"/>
      <c r="O131" s="171"/>
      <c r="Q131" s="286"/>
      <c r="R131" s="291"/>
      <c r="S131" s="30"/>
      <c r="T131" s="30"/>
      <c r="U131" s="30"/>
      <c r="V131" s="60"/>
      <c r="W131" s="71"/>
      <c r="X131" s="30"/>
      <c r="Z131" s="178"/>
      <c r="AA131" s="179"/>
      <c r="AB131" s="209"/>
      <c r="AC131" s="171"/>
      <c r="AD131" s="171"/>
      <c r="AE131" s="171"/>
    </row>
    <row r="132" spans="1:31" ht="17" customHeight="1">
      <c r="A132" s="172" t="s">
        <v>426</v>
      </c>
      <c r="B132" s="293"/>
      <c r="C132" s="171"/>
      <c r="D132" s="171"/>
      <c r="E132" s="178"/>
      <c r="F132" s="171"/>
      <c r="G132" s="171"/>
      <c r="H132" s="171"/>
      <c r="I132" s="179"/>
      <c r="J132" s="171"/>
      <c r="K132" s="178"/>
      <c r="L132" s="171"/>
      <c r="M132" s="171"/>
      <c r="N132" s="171"/>
      <c r="O132" s="171"/>
      <c r="Q132" s="172" t="s">
        <v>426</v>
      </c>
      <c r="R132" s="293"/>
      <c r="S132" s="171"/>
      <c r="T132" s="171"/>
      <c r="U132" s="178"/>
      <c r="V132" s="171"/>
      <c r="W132" s="171"/>
      <c r="X132" s="171"/>
      <c r="Y132" s="179"/>
      <c r="Z132" s="171"/>
      <c r="AA132" s="171"/>
      <c r="AB132" s="171"/>
      <c r="AC132" s="171"/>
      <c r="AD132" s="171"/>
      <c r="AE132" s="171"/>
    </row>
    <row r="133" spans="1:31" ht="17" customHeight="1">
      <c r="A133" s="354"/>
      <c r="B133" s="294"/>
      <c r="C133" s="171"/>
      <c r="D133" s="171"/>
      <c r="E133" s="171"/>
      <c r="F133" s="171"/>
      <c r="G133" s="170"/>
      <c r="H133" s="170"/>
      <c r="I133" s="171"/>
      <c r="J133" s="171"/>
      <c r="K133" s="374" t="s">
        <v>598</v>
      </c>
      <c r="L133" s="375"/>
      <c r="M133" s="376" t="s">
        <v>423</v>
      </c>
      <c r="N133" s="377"/>
      <c r="O133" s="171"/>
      <c r="Q133" s="354"/>
      <c r="R133" s="294"/>
      <c r="S133" s="171"/>
      <c r="T133" s="171"/>
      <c r="U133" s="171"/>
      <c r="V133" s="171"/>
      <c r="W133" s="170"/>
      <c r="X133" s="172"/>
      <c r="Y133" s="171"/>
      <c r="AA133" s="374" t="s">
        <v>598</v>
      </c>
      <c r="AB133" s="375"/>
      <c r="AC133" s="376" t="s">
        <v>423</v>
      </c>
      <c r="AD133" s="377"/>
      <c r="AE133" s="171"/>
    </row>
    <row r="134" spans="1:31" ht="60" customHeight="1">
      <c r="A134" s="171"/>
      <c r="B134" s="295" t="s">
        <v>5</v>
      </c>
      <c r="C134" s="284" t="s">
        <v>46</v>
      </c>
      <c r="D134" s="284" t="s">
        <v>47</v>
      </c>
      <c r="E134" s="175" t="s">
        <v>48</v>
      </c>
      <c r="F134" s="279" t="s">
        <v>428</v>
      </c>
      <c r="G134" s="175" t="s">
        <v>0</v>
      </c>
      <c r="H134" s="279" t="s">
        <v>77</v>
      </c>
      <c r="I134" s="175" t="s">
        <v>78</v>
      </c>
      <c r="J134" s="305" t="s">
        <v>580</v>
      </c>
      <c r="K134" s="285" t="s">
        <v>127</v>
      </c>
      <c r="L134" s="285" t="s">
        <v>53</v>
      </c>
      <c r="M134" s="282" t="s">
        <v>425</v>
      </c>
      <c r="N134" s="281" t="s">
        <v>53</v>
      </c>
      <c r="O134" s="171"/>
      <c r="Q134" s="171"/>
      <c r="R134" s="295" t="s">
        <v>5</v>
      </c>
      <c r="S134" s="284" t="s">
        <v>46</v>
      </c>
      <c r="T134" s="284" t="s">
        <v>47</v>
      </c>
      <c r="U134" s="175" t="s">
        <v>48</v>
      </c>
      <c r="V134" s="279" t="s">
        <v>428</v>
      </c>
      <c r="W134" s="175" t="s">
        <v>0</v>
      </c>
      <c r="X134" s="279" t="s">
        <v>77</v>
      </c>
      <c r="Y134" s="175" t="s">
        <v>78</v>
      </c>
      <c r="Z134" s="305" t="s">
        <v>580</v>
      </c>
      <c r="AA134" s="285" t="s">
        <v>127</v>
      </c>
      <c r="AB134" s="285" t="s">
        <v>53</v>
      </c>
      <c r="AC134" s="282" t="s">
        <v>425</v>
      </c>
      <c r="AD134" s="281" t="s">
        <v>53</v>
      </c>
      <c r="AE134" s="171"/>
    </row>
    <row r="135" spans="1:31" ht="17" customHeight="1">
      <c r="A135" s="286" t="s">
        <v>21</v>
      </c>
      <c r="B135" s="177" t="s">
        <v>54</v>
      </c>
      <c r="C135" s="179"/>
      <c r="D135" s="193"/>
      <c r="E135" s="177"/>
      <c r="F135" s="179"/>
      <c r="G135" s="143"/>
      <c r="H135" s="177"/>
      <c r="I135" s="179"/>
      <c r="J135" s="287"/>
      <c r="K135" s="288"/>
      <c r="L135" s="289"/>
      <c r="M135" s="302"/>
      <c r="N135" s="207"/>
      <c r="O135" s="171"/>
      <c r="Q135" s="286" t="s">
        <v>21</v>
      </c>
      <c r="R135" s="177" t="s">
        <v>54</v>
      </c>
      <c r="S135" s="179"/>
      <c r="T135" s="193"/>
      <c r="U135" s="177"/>
      <c r="V135" s="179"/>
      <c r="W135" s="143"/>
      <c r="X135" s="177"/>
      <c r="Y135" s="179"/>
      <c r="Z135" s="287"/>
      <c r="AA135" s="288"/>
      <c r="AB135" s="289"/>
      <c r="AC135" s="302"/>
      <c r="AD135" s="207"/>
      <c r="AE135" s="171"/>
    </row>
    <row r="136" spans="1:31" ht="17" customHeight="1">
      <c r="A136" s="286" t="s">
        <v>22</v>
      </c>
      <c r="B136" s="177" t="s">
        <v>54</v>
      </c>
      <c r="C136" s="179"/>
      <c r="D136" s="193"/>
      <c r="E136" s="177"/>
      <c r="F136" s="179"/>
      <c r="G136" s="143"/>
      <c r="H136" s="177"/>
      <c r="I136" s="179"/>
      <c r="J136" s="287"/>
      <c r="K136" s="288"/>
      <c r="L136" s="289"/>
      <c r="M136" s="302"/>
      <c r="N136" s="207"/>
      <c r="O136" s="171"/>
      <c r="Q136" s="286" t="s">
        <v>22</v>
      </c>
      <c r="R136" s="177" t="s">
        <v>54</v>
      </c>
      <c r="S136" s="179"/>
      <c r="T136" s="193"/>
      <c r="U136" s="177"/>
      <c r="V136" s="179"/>
      <c r="W136" s="143"/>
      <c r="X136" s="177"/>
      <c r="Y136" s="179"/>
      <c r="Z136" s="287"/>
      <c r="AA136" s="288"/>
      <c r="AB136" s="289"/>
      <c r="AC136" s="302"/>
      <c r="AD136" s="207"/>
      <c r="AE136" s="171"/>
    </row>
    <row r="137" spans="1:31" ht="17" customHeight="1">
      <c r="A137" s="286" t="s">
        <v>25</v>
      </c>
      <c r="B137" s="177" t="s">
        <v>54</v>
      </c>
      <c r="C137" s="179"/>
      <c r="D137" s="193"/>
      <c r="E137" s="177"/>
      <c r="F137" s="179"/>
      <c r="G137" s="143"/>
      <c r="H137" s="177"/>
      <c r="I137" s="179"/>
      <c r="J137" s="287"/>
      <c r="K137" s="288"/>
      <c r="L137" s="289"/>
      <c r="M137" s="302"/>
      <c r="N137" s="207"/>
      <c r="O137" s="171"/>
      <c r="Q137" s="286" t="s">
        <v>25</v>
      </c>
      <c r="R137" s="177" t="s">
        <v>54</v>
      </c>
      <c r="S137" s="179"/>
      <c r="T137" s="193"/>
      <c r="U137" s="177"/>
      <c r="V137" s="179"/>
      <c r="W137" s="143"/>
      <c r="X137" s="177"/>
      <c r="Y137" s="179"/>
      <c r="Z137" s="287"/>
      <c r="AA137" s="288"/>
      <c r="AB137" s="289"/>
      <c r="AC137" s="302"/>
      <c r="AD137" s="207"/>
      <c r="AE137" s="171"/>
    </row>
    <row r="138" spans="1:31" ht="17" customHeight="1">
      <c r="A138" s="286" t="s">
        <v>26</v>
      </c>
      <c r="B138" s="291">
        <v>3.04</v>
      </c>
      <c r="C138" s="179">
        <v>4.4082432000000003</v>
      </c>
      <c r="D138" s="193">
        <v>0.30903910400000001</v>
      </c>
      <c r="E138" s="177">
        <f>+D138*1025</f>
        <v>316.76508160000003</v>
      </c>
      <c r="F138" s="41">
        <f>+C138/D138</f>
        <v>14.264354066985646</v>
      </c>
      <c r="G138" s="143">
        <f>B138*998.2*1/0.0010016</f>
        <v>3029680.5111821089</v>
      </c>
      <c r="H138" s="177">
        <f>+G138*0.000001004/1</f>
        <v>3.0417992332268375</v>
      </c>
      <c r="I138" s="124">
        <v>12.87</v>
      </c>
      <c r="J138" s="287">
        <f>+I138/D138</f>
        <v>41.645215228167366</v>
      </c>
      <c r="K138" s="288">
        <f>I138/E138</f>
        <v>4.0629478271382795E-2</v>
      </c>
      <c r="L138" s="289">
        <f>+K138/$K$113</f>
        <v>1.3371638264216787</v>
      </c>
      <c r="M138" s="302">
        <f>+I138*1</f>
        <v>12.87</v>
      </c>
      <c r="N138" s="207">
        <f>+M138/$M$113</f>
        <v>1.5388825890997486</v>
      </c>
      <c r="O138" s="30"/>
      <c r="Q138" s="286" t="s">
        <v>26</v>
      </c>
      <c r="R138" s="291">
        <v>3.04</v>
      </c>
      <c r="S138" s="179">
        <v>4.4082432000000003</v>
      </c>
      <c r="T138" s="193">
        <v>0.30903910400000001</v>
      </c>
      <c r="U138" s="177">
        <f>+T138*1025</f>
        <v>316.76508160000003</v>
      </c>
      <c r="V138" s="41">
        <f>+S138/T138</f>
        <v>14.264354066985646</v>
      </c>
      <c r="W138" s="143">
        <f>R138*998.2*2/0.0010016</f>
        <v>6059361.0223642178</v>
      </c>
      <c r="X138" s="177">
        <f>+W138*0.000001004/1</f>
        <v>6.0835984664536751</v>
      </c>
      <c r="Y138" s="161">
        <v>46.056099029999999</v>
      </c>
      <c r="Z138" s="287">
        <f>+Y138/T138</f>
        <v>149.03000440358511</v>
      </c>
      <c r="AA138" s="288">
        <f>Y138/U138</f>
        <v>0.14539512624740009</v>
      </c>
      <c r="AB138" s="289">
        <f>+AA138/$AA$113</f>
        <v>1.3367150212357943</v>
      </c>
      <c r="AC138" s="302">
        <f>+Y138*1</f>
        <v>46.056099029999999</v>
      </c>
      <c r="AD138" s="207">
        <f>+AC138/$AC$113</f>
        <v>1.5383660791008928</v>
      </c>
      <c r="AE138" s="30"/>
    </row>
    <row r="139" spans="1:31" ht="17" customHeight="1">
      <c r="A139" s="286" t="s">
        <v>27</v>
      </c>
      <c r="B139" s="177" t="s">
        <v>54</v>
      </c>
      <c r="C139" s="179"/>
      <c r="D139" s="177"/>
      <c r="E139" s="177"/>
      <c r="F139" s="179"/>
      <c r="G139" s="143"/>
      <c r="H139" s="177"/>
      <c r="I139" s="179"/>
      <c r="J139" s="287"/>
      <c r="K139" s="288"/>
      <c r="L139" s="289"/>
      <c r="M139" s="302"/>
      <c r="N139" s="207"/>
      <c r="O139" s="171"/>
      <c r="Q139" s="286" t="s">
        <v>27</v>
      </c>
      <c r="R139" s="177" t="s">
        <v>54</v>
      </c>
      <c r="S139" s="179"/>
      <c r="T139" s="177"/>
      <c r="U139" s="177"/>
      <c r="V139" s="179"/>
      <c r="W139" s="143"/>
      <c r="X139" s="177"/>
      <c r="Y139" s="179"/>
      <c r="Z139" s="287"/>
      <c r="AA139" s="288"/>
      <c r="AB139" s="289"/>
      <c r="AC139" s="302"/>
      <c r="AD139" s="207"/>
      <c r="AE139" s="171"/>
    </row>
    <row r="140" spans="1:31" ht="17" customHeight="1">
      <c r="A140" s="286" t="s">
        <v>28</v>
      </c>
      <c r="B140" s="177" t="s">
        <v>54</v>
      </c>
      <c r="J140" s="287"/>
      <c r="K140" s="288"/>
      <c r="L140" s="289"/>
      <c r="M140" s="302"/>
      <c r="N140" s="207"/>
      <c r="O140" s="171"/>
      <c r="Q140" s="286" t="s">
        <v>28</v>
      </c>
      <c r="R140" s="177" t="s">
        <v>54</v>
      </c>
      <c r="Z140" s="287"/>
      <c r="AA140" s="288"/>
      <c r="AB140" s="289"/>
      <c r="AC140" s="302"/>
      <c r="AD140" s="207"/>
      <c r="AE140" s="171"/>
    </row>
    <row r="141" spans="1:31" ht="17" customHeight="1">
      <c r="A141" s="286" t="s">
        <v>1</v>
      </c>
      <c r="B141" s="291">
        <v>8.6091578013783128</v>
      </c>
      <c r="C141" s="179">
        <v>23.413057706499746</v>
      </c>
      <c r="D141" s="193">
        <v>4.6786552598278757</v>
      </c>
      <c r="E141" s="177">
        <f t="shared" ref="E141:E146" si="49">+D141*1025</f>
        <v>4795.6216413235725</v>
      </c>
      <c r="F141" s="41">
        <f t="shared" ref="F141:F146" si="50">+C141/D141</f>
        <v>5.00422801131133</v>
      </c>
      <c r="G141" s="143">
        <f t="shared" ref="G141:G146" si="51">B141*998.2*1/0.0010016</f>
        <v>8579933.4238576591</v>
      </c>
      <c r="H141" s="177">
        <f t="shared" ref="H141:H146" si="52">+G141*0.000001004/1</f>
        <v>8.6142531575530903</v>
      </c>
      <c r="I141" s="124">
        <v>48.622655649999999</v>
      </c>
      <c r="J141" s="287">
        <f t="shared" ref="J141:J146" si="53">+I141/D141</f>
        <v>10.392442475402385</v>
      </c>
      <c r="K141" s="288">
        <f t="shared" ref="K141:K146" si="54">I141/E141</f>
        <v>1.0138968268685255E-2</v>
      </c>
      <c r="L141" s="289">
        <f t="shared" ref="L141:L146" si="55">+K141/$K$113</f>
        <v>0.33368534824805512</v>
      </c>
      <c r="M141" s="302">
        <f t="shared" ref="M141:M146" si="56">+I141*1</f>
        <v>48.622655649999999</v>
      </c>
      <c r="N141" s="207">
        <f t="shared" ref="N141:N146" si="57">+M141/$M$113</f>
        <v>5.813873987224361</v>
      </c>
      <c r="O141" s="30"/>
      <c r="Q141" s="286" t="s">
        <v>1</v>
      </c>
      <c r="R141" s="291">
        <v>8.6091578013783128</v>
      </c>
      <c r="S141" s="179">
        <v>23.413057706499746</v>
      </c>
      <c r="T141" s="193">
        <v>4.6786552598278757</v>
      </c>
      <c r="U141" s="177">
        <f t="shared" ref="U141:U146" si="58">+T141*1025</f>
        <v>4795.6216413235725</v>
      </c>
      <c r="V141" s="41">
        <f t="shared" ref="V141:V146" si="59">+S141/T141</f>
        <v>5.00422801131133</v>
      </c>
      <c r="W141" s="143">
        <f t="shared" ref="W141:W146" si="60">R141*998.2*2/0.0010016</f>
        <v>17159866.847715318</v>
      </c>
      <c r="X141" s="177">
        <f t="shared" ref="X141:X146" si="61">+W141*0.000001004/1</f>
        <v>17.228506315106181</v>
      </c>
      <c r="Y141" s="161">
        <v>174.7559291</v>
      </c>
      <c r="Z141" s="287">
        <f t="shared" ref="Z141:Z146" si="62">+Y141/T141</f>
        <v>37.351743053286889</v>
      </c>
      <c r="AA141" s="288">
        <f t="shared" ref="AA141:AA146" si="63">Y141/U141</f>
        <v>3.6440724930035986E-2</v>
      </c>
      <c r="AB141" s="289">
        <f>+AA141/$AA$113</f>
        <v>0.33502405242811106</v>
      </c>
      <c r="AC141" s="302">
        <f t="shared" ref="AC141:AC146" si="64">+Y141*1</f>
        <v>174.7559291</v>
      </c>
      <c r="AD141" s="207">
        <f>+AC141/$AC$113</f>
        <v>5.8371985276930349</v>
      </c>
      <c r="AE141" s="30"/>
    </row>
    <row r="142" spans="1:31" ht="17" customHeight="1">
      <c r="A142" s="286" t="s">
        <v>55</v>
      </c>
      <c r="B142" s="291">
        <v>3.1906833193154744</v>
      </c>
      <c r="C142" s="179">
        <v>3.6466323380355643</v>
      </c>
      <c r="D142" s="193">
        <v>0.30968901282691874</v>
      </c>
      <c r="E142" s="177">
        <f t="shared" si="49"/>
        <v>317.43123814759173</v>
      </c>
      <c r="F142" s="41">
        <f t="shared" si="50"/>
        <v>11.775142762567494</v>
      </c>
      <c r="G142" s="143">
        <f t="shared" si="51"/>
        <v>3179852.3256197153</v>
      </c>
      <c r="H142" s="177">
        <f t="shared" si="52"/>
        <v>3.1925717349221943</v>
      </c>
      <c r="I142" s="126">
        <v>9.5054999999999996</v>
      </c>
      <c r="J142" s="287">
        <f t="shared" si="53"/>
        <v>30.693694662369257</v>
      </c>
      <c r="K142" s="288">
        <f t="shared" si="54"/>
        <v>2.9945067963287077E-2</v>
      </c>
      <c r="L142" s="289">
        <f t="shared" si="55"/>
        <v>0.98552734034119283</v>
      </c>
      <c r="M142" s="302">
        <f t="shared" si="56"/>
        <v>9.5054999999999996</v>
      </c>
      <c r="N142" s="207">
        <f t="shared" si="57"/>
        <v>1.1365849612033925</v>
      </c>
      <c r="O142" s="30"/>
      <c r="Q142" s="286" t="s">
        <v>55</v>
      </c>
      <c r="R142" s="291">
        <v>3.1906833193154744</v>
      </c>
      <c r="S142" s="179">
        <v>3.6466323380355643</v>
      </c>
      <c r="T142" s="193">
        <v>0.30968901282691874</v>
      </c>
      <c r="U142" s="177">
        <f t="shared" si="58"/>
        <v>317.43123814759173</v>
      </c>
      <c r="V142" s="41">
        <f t="shared" si="59"/>
        <v>11.775142762567494</v>
      </c>
      <c r="W142" s="143">
        <f t="shared" si="60"/>
        <v>6359704.6512394305</v>
      </c>
      <c r="X142" s="177">
        <f t="shared" si="61"/>
        <v>6.3851434698443885</v>
      </c>
      <c r="Y142" s="161">
        <v>36.481982279999997</v>
      </c>
      <c r="Z142" s="287">
        <f t="shared" si="62"/>
        <v>117.80199092949195</v>
      </c>
      <c r="AA142" s="288">
        <f t="shared" si="63"/>
        <v>0.11492877163852873</v>
      </c>
      <c r="AB142" s="289">
        <f t="shared" ref="AB142:AB146" si="65">+AA142/$AA$113</f>
        <v>1.0566173666646326</v>
      </c>
      <c r="AC142" s="302">
        <f t="shared" si="64"/>
        <v>36.481982279999997</v>
      </c>
      <c r="AD142" s="207">
        <f t="shared" ref="AD142:AD146" si="66">+AC142/$AC$113</f>
        <v>1.218571377514077</v>
      </c>
      <c r="AE142" s="30"/>
    </row>
    <row r="143" spans="1:31" ht="17" customHeight="1">
      <c r="A143" s="286" t="s">
        <v>3</v>
      </c>
      <c r="B143" s="291">
        <v>4.3372792206135786</v>
      </c>
      <c r="C143" s="179">
        <v>7.2853466702654979</v>
      </c>
      <c r="D143" s="193">
        <v>0.87497732946444384</v>
      </c>
      <c r="E143" s="177">
        <f t="shared" si="49"/>
        <v>896.85176270105489</v>
      </c>
      <c r="F143" s="41">
        <f t="shared" si="50"/>
        <v>8.3263262086169849</v>
      </c>
      <c r="G143" s="143">
        <f t="shared" si="51"/>
        <v>4322556.0283710798</v>
      </c>
      <c r="H143" s="177">
        <f t="shared" si="52"/>
        <v>4.3398462524845645</v>
      </c>
      <c r="I143" s="124">
        <v>19.132309150000001</v>
      </c>
      <c r="J143" s="287">
        <f t="shared" si="53"/>
        <v>21.866062703259416</v>
      </c>
      <c r="K143" s="288">
        <f t="shared" si="54"/>
        <v>2.1332744100740895E-2</v>
      </c>
      <c r="L143" s="289">
        <f t="shared" si="55"/>
        <v>0.70208565168588244</v>
      </c>
      <c r="M143" s="302">
        <f t="shared" si="56"/>
        <v>19.132309150000001</v>
      </c>
      <c r="N143" s="207">
        <f t="shared" si="57"/>
        <v>2.2876750147792397</v>
      </c>
      <c r="O143" s="30"/>
      <c r="Q143" s="286" t="s">
        <v>3</v>
      </c>
      <c r="R143" s="291">
        <v>4.3372792206135786</v>
      </c>
      <c r="S143" s="179">
        <v>7.2853466702654979</v>
      </c>
      <c r="T143" s="193">
        <v>0.87497732946444384</v>
      </c>
      <c r="U143" s="177">
        <f t="shared" si="58"/>
        <v>896.85176270105489</v>
      </c>
      <c r="V143" s="41">
        <f t="shared" si="59"/>
        <v>8.3263262086169849</v>
      </c>
      <c r="W143" s="143">
        <f t="shared" si="60"/>
        <v>8645112.0567421596</v>
      </c>
      <c r="X143" s="177">
        <f t="shared" si="61"/>
        <v>8.6796925049691289</v>
      </c>
      <c r="Y143" s="161">
        <v>69.109579220000001</v>
      </c>
      <c r="Z143" s="287">
        <f t="shared" si="62"/>
        <v>78.98442267332868</v>
      </c>
      <c r="AA143" s="288">
        <f t="shared" si="63"/>
        <v>7.7057973339832872E-2</v>
      </c>
      <c r="AB143" s="289">
        <f t="shared" si="65"/>
        <v>0.70844568953482279</v>
      </c>
      <c r="AC143" s="302">
        <f t="shared" si="64"/>
        <v>69.109579220000001</v>
      </c>
      <c r="AD143" s="207">
        <f t="shared" si="66"/>
        <v>2.3083985542008669</v>
      </c>
      <c r="AE143" s="30"/>
    </row>
    <row r="144" spans="1:31" ht="17" customHeight="1">
      <c r="A144" s="286" t="s">
        <v>19</v>
      </c>
      <c r="B144" s="292">
        <v>8.1999999999999993</v>
      </c>
      <c r="C144" s="179">
        <v>34.83032</v>
      </c>
      <c r="D144" s="193">
        <v>8.8218879999999995</v>
      </c>
      <c r="E144" s="177">
        <f t="shared" si="49"/>
        <v>9042.4351999999999</v>
      </c>
      <c r="F144" s="41">
        <f t="shared" si="50"/>
        <v>3.9481707317073171</v>
      </c>
      <c r="G144" s="143">
        <f t="shared" si="51"/>
        <v>8172164.5367412129</v>
      </c>
      <c r="H144" s="177">
        <f t="shared" si="52"/>
        <v>8.2048531948881784</v>
      </c>
      <c r="I144" s="126">
        <v>74.471279999999993</v>
      </c>
      <c r="J144" s="287">
        <f t="shared" si="53"/>
        <v>8.4416487717821855</v>
      </c>
      <c r="K144" s="288">
        <f t="shared" si="54"/>
        <v>8.2357548992996917E-3</v>
      </c>
      <c r="L144" s="289">
        <f t="shared" si="55"/>
        <v>0.27104836200604893</v>
      </c>
      <c r="M144" s="302">
        <f t="shared" si="56"/>
        <v>74.471279999999993</v>
      </c>
      <c r="N144" s="207">
        <f t="shared" si="57"/>
        <v>8.9046275198113687</v>
      </c>
      <c r="O144" s="30"/>
      <c r="Q144" s="286" t="s">
        <v>19</v>
      </c>
      <c r="R144" s="292">
        <v>8.1999999999999993</v>
      </c>
      <c r="S144" s="179">
        <v>34.83032</v>
      </c>
      <c r="T144" s="193">
        <v>8.8218879999999995</v>
      </c>
      <c r="U144" s="177">
        <f t="shared" si="58"/>
        <v>9042.4351999999999</v>
      </c>
      <c r="V144" s="41">
        <f t="shared" si="59"/>
        <v>3.9481707317073171</v>
      </c>
      <c r="W144" s="143">
        <f t="shared" si="60"/>
        <v>16344329.073482426</v>
      </c>
      <c r="X144" s="177">
        <f t="shared" si="61"/>
        <v>16.409706389776357</v>
      </c>
      <c r="Y144" s="161">
        <v>257.9215916</v>
      </c>
      <c r="Z144" s="287">
        <f t="shared" si="62"/>
        <v>29.23655249307178</v>
      </c>
      <c r="AA144" s="288">
        <f t="shared" si="63"/>
        <v>2.8523465846899295E-2</v>
      </c>
      <c r="AB144" s="289">
        <f t="shared" si="65"/>
        <v>0.2622353736285451</v>
      </c>
      <c r="AC144" s="302">
        <f t="shared" si="64"/>
        <v>257.9215916</v>
      </c>
      <c r="AD144" s="207">
        <f t="shared" si="66"/>
        <v>8.6150984547497345</v>
      </c>
      <c r="AE144" s="30"/>
    </row>
    <row r="145" spans="1:31" ht="17" customHeight="1">
      <c r="A145" s="286" t="s">
        <v>20</v>
      </c>
      <c r="B145" s="291">
        <v>16</v>
      </c>
      <c r="C145" s="179">
        <v>132.608</v>
      </c>
      <c r="D145" s="193">
        <v>65.536000000000001</v>
      </c>
      <c r="E145" s="177">
        <f t="shared" si="49"/>
        <v>67174.399999999994</v>
      </c>
      <c r="F145" s="41">
        <f t="shared" si="50"/>
        <v>2.0234375</v>
      </c>
      <c r="G145" s="143">
        <f t="shared" si="51"/>
        <v>15945686.900958465</v>
      </c>
      <c r="H145" s="177">
        <f t="shared" si="52"/>
        <v>16.009469648562298</v>
      </c>
      <c r="I145" s="126">
        <v>256.86959999999999</v>
      </c>
      <c r="J145" s="287">
        <f t="shared" si="53"/>
        <v>3.9195190429687496</v>
      </c>
      <c r="K145" s="288">
        <f t="shared" si="54"/>
        <v>3.823921017530488E-3</v>
      </c>
      <c r="L145" s="289">
        <f t="shared" si="55"/>
        <v>0.12584972973519115</v>
      </c>
      <c r="M145" s="302">
        <f t="shared" si="56"/>
        <v>256.86959999999999</v>
      </c>
      <c r="N145" s="207">
        <f t="shared" si="57"/>
        <v>30.71423116620177</v>
      </c>
      <c r="O145" s="30"/>
      <c r="Q145" s="286" t="s">
        <v>20</v>
      </c>
      <c r="R145" s="291">
        <v>16</v>
      </c>
      <c r="S145" s="179">
        <v>132.608</v>
      </c>
      <c r="T145" s="193">
        <v>65.536000000000001</v>
      </c>
      <c r="U145" s="177">
        <f t="shared" si="58"/>
        <v>67174.399999999994</v>
      </c>
      <c r="V145" s="41">
        <f t="shared" si="59"/>
        <v>2.0234375</v>
      </c>
      <c r="W145" s="143">
        <f t="shared" si="60"/>
        <v>31891373.801916931</v>
      </c>
      <c r="X145" s="177">
        <f t="shared" si="61"/>
        <v>32.018939297124597</v>
      </c>
      <c r="Y145" s="161">
        <v>854.53103390000001</v>
      </c>
      <c r="Z145" s="287">
        <f t="shared" si="62"/>
        <v>13.039108793640137</v>
      </c>
      <c r="AA145" s="288">
        <f t="shared" si="63"/>
        <v>1.2721081749892818E-2</v>
      </c>
      <c r="AB145" s="289">
        <f t="shared" si="65"/>
        <v>0.11695344610462362</v>
      </c>
      <c r="AC145" s="302">
        <f t="shared" si="64"/>
        <v>854.53103390000001</v>
      </c>
      <c r="AD145" s="207">
        <f t="shared" si="66"/>
        <v>28.543050405430204</v>
      </c>
      <c r="AE145" s="30"/>
    </row>
    <row r="146" spans="1:31" ht="17" customHeight="1">
      <c r="A146" s="286" t="s">
        <v>4</v>
      </c>
      <c r="B146" s="291">
        <v>3.8</v>
      </c>
      <c r="C146" s="179">
        <v>6.8445599999999995</v>
      </c>
      <c r="D146" s="193">
        <v>0.73528479999999996</v>
      </c>
      <c r="E146" s="177">
        <f t="shared" si="49"/>
        <v>753.66692</v>
      </c>
      <c r="F146" s="41">
        <f t="shared" si="50"/>
        <v>9.308719560094266</v>
      </c>
      <c r="G146" s="143">
        <f t="shared" si="51"/>
        <v>3787100.6389776352</v>
      </c>
      <c r="H146" s="177">
        <f t="shared" si="52"/>
        <v>3.8022490415335457</v>
      </c>
      <c r="I146" s="124">
        <v>13.7849048</v>
      </c>
      <c r="J146" s="287">
        <f t="shared" si="53"/>
        <v>18.74770809895703</v>
      </c>
      <c r="K146" s="288">
        <f t="shared" si="54"/>
        <v>1.8290446925811735E-2</v>
      </c>
      <c r="L146" s="289">
        <f t="shared" si="55"/>
        <v>0.60196008018905489</v>
      </c>
      <c r="M146" s="302">
        <f t="shared" si="56"/>
        <v>13.7849048</v>
      </c>
      <c r="N146" s="207">
        <f t="shared" si="57"/>
        <v>1.6482789424333764</v>
      </c>
      <c r="O146" s="30"/>
      <c r="Q146" s="286" t="s">
        <v>4</v>
      </c>
      <c r="R146" s="291">
        <v>3.8</v>
      </c>
      <c r="S146" s="179">
        <v>6.8445599999999995</v>
      </c>
      <c r="T146" s="193">
        <v>0.73528479999999996</v>
      </c>
      <c r="U146" s="177">
        <f t="shared" si="58"/>
        <v>753.66692</v>
      </c>
      <c r="V146" s="41">
        <f t="shared" si="59"/>
        <v>9.308719560094266</v>
      </c>
      <c r="W146" s="143">
        <f t="shared" si="60"/>
        <v>7574201.2779552704</v>
      </c>
      <c r="X146" s="177">
        <f t="shared" si="61"/>
        <v>7.6044980830670914</v>
      </c>
      <c r="Y146" s="161">
        <v>50.953128300000003</v>
      </c>
      <c r="Z146" s="287">
        <f t="shared" si="62"/>
        <v>69.297132621264581</v>
      </c>
      <c r="AA146" s="288">
        <f t="shared" si="63"/>
        <v>6.7606958654892274E-2</v>
      </c>
      <c r="AB146" s="289">
        <f t="shared" si="65"/>
        <v>0.62155616564676819</v>
      </c>
      <c r="AC146" s="302">
        <f t="shared" si="64"/>
        <v>50.953128300000003</v>
      </c>
      <c r="AD146" s="207">
        <f t="shared" si="66"/>
        <v>1.7019366783482388</v>
      </c>
      <c r="AE146" s="30"/>
    </row>
    <row r="147" spans="1:31" ht="17" customHeight="1">
      <c r="F147" s="177"/>
      <c r="G147" s="171"/>
      <c r="H147" s="178"/>
      <c r="I147" s="171"/>
      <c r="J147" s="171"/>
      <c r="K147" s="171"/>
      <c r="L147" s="171"/>
      <c r="M147" s="171"/>
      <c r="N147" s="171"/>
      <c r="O147" s="171"/>
      <c r="P147" s="171"/>
      <c r="Q147" s="171"/>
      <c r="R147" s="171"/>
      <c r="S147" s="171"/>
      <c r="T147" s="171"/>
      <c r="U147" s="171"/>
      <c r="V147" s="171"/>
      <c r="W147" s="171"/>
      <c r="X147" s="171"/>
      <c r="Y147" s="211"/>
      <c r="Z147" s="211"/>
      <c r="AA147" s="211"/>
      <c r="AB147" s="211"/>
      <c r="AC147" s="211"/>
      <c r="AD147" s="211"/>
    </row>
    <row r="148" spans="1:31" ht="17" customHeight="1">
      <c r="A148" s="171"/>
      <c r="B148" s="171"/>
      <c r="C148" s="171"/>
      <c r="D148" s="171"/>
      <c r="E148" s="171"/>
      <c r="F148" s="171"/>
      <c r="G148" s="171"/>
      <c r="H148" s="171"/>
      <c r="I148" s="171"/>
      <c r="J148" s="171"/>
      <c r="K148" s="171"/>
      <c r="L148" s="171"/>
      <c r="M148" s="171"/>
      <c r="N148" s="171"/>
      <c r="O148" s="171"/>
      <c r="P148" s="171"/>
      <c r="Q148" s="171"/>
      <c r="R148" s="171"/>
      <c r="S148" s="171"/>
      <c r="T148" s="171"/>
      <c r="U148" s="171"/>
      <c r="V148" s="171"/>
      <c r="W148" s="171"/>
    </row>
    <row r="151" spans="1:31" s="75" customFormat="1" ht="17" customHeight="1">
      <c r="A151" s="18" t="s">
        <v>422</v>
      </c>
      <c r="B151" s="19"/>
      <c r="C151" s="19"/>
      <c r="D151" s="19"/>
      <c r="E151" s="303"/>
    </row>
    <row r="152" spans="1:31" ht="17" customHeight="1">
      <c r="A152" s="172" t="s">
        <v>578</v>
      </c>
      <c r="B152" s="34"/>
      <c r="C152" s="34"/>
      <c r="D152" s="30"/>
      <c r="E152" s="191"/>
      <c r="P152" s="172" t="s">
        <v>579</v>
      </c>
    </row>
    <row r="153" spans="1:31" ht="71" customHeight="1">
      <c r="A153" s="13" t="s">
        <v>420</v>
      </c>
      <c r="B153" s="280" t="s">
        <v>569</v>
      </c>
      <c r="C153" s="346" t="s">
        <v>571</v>
      </c>
      <c r="D153" s="85"/>
      <c r="E153" s="171"/>
      <c r="Q153" s="13" t="s">
        <v>420</v>
      </c>
      <c r="R153" s="280" t="s">
        <v>569</v>
      </c>
      <c r="S153" s="346" t="s">
        <v>571</v>
      </c>
      <c r="T153" s="85"/>
    </row>
    <row r="154" spans="1:31" ht="17" customHeight="1">
      <c r="A154" s="276" t="s">
        <v>411</v>
      </c>
      <c r="B154" s="30">
        <f>+AVERAGE(L103:L107)</f>
        <v>0.79712219846822907</v>
      </c>
      <c r="C154" s="30">
        <v>0.33829999999999999</v>
      </c>
      <c r="D154" s="85"/>
      <c r="E154" s="171"/>
      <c r="Q154" s="276" t="s">
        <v>411</v>
      </c>
      <c r="R154" s="30"/>
      <c r="S154" s="30">
        <v>0.34620000000000001</v>
      </c>
      <c r="T154" s="85"/>
    </row>
    <row r="155" spans="1:31" ht="17" customHeight="1">
      <c r="A155" s="276" t="s">
        <v>412</v>
      </c>
      <c r="B155" s="30">
        <f>+AVERAGE(L103:L105)</f>
        <v>0.94711606282344729</v>
      </c>
      <c r="C155" s="30">
        <v>0.39229999999999998</v>
      </c>
      <c r="D155" s="85"/>
      <c r="E155" s="177"/>
      <c r="Q155" s="276" t="s">
        <v>412</v>
      </c>
      <c r="R155" s="30"/>
      <c r="S155">
        <v>0.4017</v>
      </c>
      <c r="T155" s="85"/>
    </row>
    <row r="156" spans="1:31" ht="17" customHeight="1">
      <c r="A156" s="276" t="s">
        <v>413</v>
      </c>
      <c r="B156" s="30">
        <f>+AVERAGE(L106:L107)</f>
        <v>0.57213140193540168</v>
      </c>
      <c r="C156" s="30" t="s">
        <v>54</v>
      </c>
      <c r="D156" s="34"/>
      <c r="E156" s="177"/>
      <c r="Q156" s="276" t="s">
        <v>413</v>
      </c>
      <c r="R156" s="30"/>
      <c r="S156" s="30" t="s">
        <v>54</v>
      </c>
      <c r="T156" s="34"/>
    </row>
    <row r="157" spans="1:31" ht="17" customHeight="1">
      <c r="A157" s="276" t="s">
        <v>414</v>
      </c>
      <c r="B157" s="30">
        <f>+AVERAGE(L108:L110)</f>
        <v>0.96068751214572634</v>
      </c>
      <c r="C157" s="30">
        <v>0.4793</v>
      </c>
      <c r="D157" s="34"/>
      <c r="E157" s="177"/>
      <c r="Q157" s="276" t="s">
        <v>414</v>
      </c>
      <c r="R157" s="30"/>
      <c r="S157" s="30">
        <v>0.71</v>
      </c>
      <c r="T157" s="34"/>
    </row>
    <row r="158" spans="1:31" ht="17" customHeight="1">
      <c r="A158" s="276" t="s">
        <v>415</v>
      </c>
      <c r="B158" s="30">
        <f>+AVERAGE(L111:L113)</f>
        <v>0.49434746848255173</v>
      </c>
      <c r="C158" s="30">
        <v>0.23599999999999999</v>
      </c>
      <c r="D158" s="92"/>
      <c r="E158" s="177"/>
      <c r="Q158" s="276" t="s">
        <v>415</v>
      </c>
      <c r="R158" s="30"/>
      <c r="S158" s="30">
        <v>0.2316</v>
      </c>
      <c r="T158" s="92"/>
    </row>
    <row r="159" spans="1:31" ht="17" customHeight="1">
      <c r="A159" s="34"/>
      <c r="B159" s="34"/>
      <c r="C159" s="30"/>
      <c r="D159" s="177"/>
      <c r="E159" s="177"/>
      <c r="Q159" s="34"/>
      <c r="R159" s="34"/>
      <c r="S159" s="30"/>
      <c r="T159" s="177"/>
    </row>
    <row r="160" spans="1:31" ht="57" customHeight="1">
      <c r="A160" s="13"/>
      <c r="B160" s="348" t="s">
        <v>566</v>
      </c>
      <c r="C160" s="348" t="s">
        <v>572</v>
      </c>
      <c r="D160" s="40" t="s">
        <v>456</v>
      </c>
      <c r="Q160" s="13"/>
      <c r="R160" s="348" t="s">
        <v>566</v>
      </c>
      <c r="S160" s="348" t="s">
        <v>572</v>
      </c>
      <c r="T160" s="40" t="s">
        <v>456</v>
      </c>
    </row>
    <row r="161" spans="1:20" ht="17" customHeight="1">
      <c r="A161" s="276" t="s">
        <v>575</v>
      </c>
      <c r="B161">
        <v>0.25030000000000002</v>
      </c>
      <c r="C161">
        <v>0.67620000000000002</v>
      </c>
      <c r="D161" s="30" t="s">
        <v>457</v>
      </c>
      <c r="Q161" s="276" t="s">
        <v>575</v>
      </c>
      <c r="R161">
        <v>0.55759999999999998</v>
      </c>
      <c r="S161">
        <v>0.9466</v>
      </c>
      <c r="T161" s="30" t="s">
        <v>457</v>
      </c>
    </row>
    <row r="162" spans="1:20" ht="17" customHeight="1">
      <c r="A162" s="276" t="s">
        <v>460</v>
      </c>
      <c r="B162">
        <v>0.68840000000000001</v>
      </c>
      <c r="C162">
        <v>0.37969999999999998</v>
      </c>
      <c r="D162" s="30" t="s">
        <v>457</v>
      </c>
      <c r="Q162" s="276" t="s">
        <v>460</v>
      </c>
      <c r="R162">
        <v>0.6744</v>
      </c>
      <c r="S162">
        <v>0.37459999999999999</v>
      </c>
      <c r="T162" s="30" t="s">
        <v>457</v>
      </c>
    </row>
    <row r="163" spans="1:20" ht="17" customHeight="1">
      <c r="A163" s="276" t="s">
        <v>576</v>
      </c>
      <c r="B163">
        <v>0.55659999999999998</v>
      </c>
      <c r="C163">
        <v>0.38890000000000002</v>
      </c>
      <c r="D163" s="30" t="s">
        <v>457</v>
      </c>
      <c r="Q163" s="276" t="s">
        <v>576</v>
      </c>
      <c r="R163">
        <v>0.89370000000000005</v>
      </c>
      <c r="S163">
        <v>0.43959999999999999</v>
      </c>
      <c r="T163" s="30" t="s">
        <v>457</v>
      </c>
    </row>
    <row r="164" spans="1:20" ht="17" customHeight="1">
      <c r="A164" s="276" t="s">
        <v>574</v>
      </c>
      <c r="B164">
        <v>0.50060000000000004</v>
      </c>
      <c r="C164">
        <v>0.97860000000000003</v>
      </c>
      <c r="D164" s="30" t="s">
        <v>457</v>
      </c>
      <c r="Q164" s="276" t="s">
        <v>574</v>
      </c>
      <c r="R164">
        <v>0.81559999999999999</v>
      </c>
      <c r="S164">
        <v>0.26269999999999999</v>
      </c>
      <c r="T164" s="30" t="s">
        <v>457</v>
      </c>
    </row>
    <row r="165" spans="1:20" ht="17" customHeight="1">
      <c r="A165" s="276" t="s">
        <v>573</v>
      </c>
      <c r="B165">
        <v>0.92810000000000004</v>
      </c>
      <c r="C165">
        <v>0.2631</v>
      </c>
      <c r="D165" s="30" t="s">
        <v>457</v>
      </c>
      <c r="Q165" s="276" t="s">
        <v>573</v>
      </c>
      <c r="R165">
        <v>0.92030000000000001</v>
      </c>
      <c r="S165">
        <v>0.75180000000000002</v>
      </c>
      <c r="T165" s="30" t="s">
        <v>457</v>
      </c>
    </row>
  </sheetData>
  <mergeCells count="12">
    <mergeCell ref="K133:L133"/>
    <mergeCell ref="M133:N133"/>
    <mergeCell ref="AA133:AB133"/>
    <mergeCell ref="AC133:AD133"/>
    <mergeCell ref="K100:L100"/>
    <mergeCell ref="M100:N100"/>
    <mergeCell ref="AA100:AB100"/>
    <mergeCell ref="AC100:AD100"/>
    <mergeCell ref="K117:L117"/>
    <mergeCell ref="M117:N117"/>
    <mergeCell ref="AA117:AB117"/>
    <mergeCell ref="AC117:AD117"/>
  </mergeCells>
  <pageMargins left="0.7" right="0.7" top="0.75" bottom="0.75" header="0.3" footer="0.3"/>
  <pageSetup paperSize="9" scale="43"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D9FC9-C951-4945-9AB5-1A818DEA7BDB}">
  <dimension ref="A1:H16"/>
  <sheetViews>
    <sheetView workbookViewId="0">
      <selection activeCell="L59" sqref="L59"/>
    </sheetView>
  </sheetViews>
  <sheetFormatPr baseColWidth="10" defaultRowHeight="16"/>
  <cols>
    <col min="2" max="2" width="31" customWidth="1"/>
    <col min="3" max="3" width="13.1640625" bestFit="1" customWidth="1"/>
    <col min="5" max="5" width="13.1640625" bestFit="1" customWidth="1"/>
    <col min="7" max="7" width="12.5" customWidth="1"/>
    <col min="8" max="8" width="11.83203125" bestFit="1" customWidth="1"/>
  </cols>
  <sheetData>
    <row r="1" spans="1:8">
      <c r="B1" s="117" t="s">
        <v>125</v>
      </c>
    </row>
    <row r="2" spans="1:8">
      <c r="B2" s="172" t="s">
        <v>126</v>
      </c>
    </row>
    <row r="4" spans="1:8">
      <c r="A4" s="360"/>
      <c r="B4" s="360"/>
      <c r="C4" s="378" t="s">
        <v>582</v>
      </c>
      <c r="D4" s="378"/>
      <c r="E4" s="378" t="s">
        <v>583</v>
      </c>
      <c r="F4" s="378"/>
      <c r="G4" s="378" t="s">
        <v>584</v>
      </c>
      <c r="H4" s="378"/>
    </row>
    <row r="5" spans="1:8">
      <c r="A5" s="360"/>
      <c r="B5" s="360"/>
      <c r="C5" s="114" t="s">
        <v>22</v>
      </c>
      <c r="D5" s="114" t="s">
        <v>4</v>
      </c>
      <c r="E5" s="114" t="s">
        <v>22</v>
      </c>
      <c r="F5" s="114" t="s">
        <v>4</v>
      </c>
      <c r="G5" s="114" t="s">
        <v>22</v>
      </c>
      <c r="H5" s="114" t="s">
        <v>4</v>
      </c>
    </row>
    <row r="6" spans="1:8">
      <c r="A6" s="360"/>
      <c r="B6" s="360"/>
      <c r="C6" s="40" t="s">
        <v>585</v>
      </c>
      <c r="D6" s="40" t="s">
        <v>585</v>
      </c>
      <c r="E6" s="40" t="s">
        <v>586</v>
      </c>
      <c r="F6" s="40" t="s">
        <v>586</v>
      </c>
      <c r="G6" s="40" t="s">
        <v>586</v>
      </c>
      <c r="H6" s="40" t="s">
        <v>586</v>
      </c>
    </row>
    <row r="7" spans="1:8" ht="19">
      <c r="A7" s="360"/>
      <c r="B7" s="360" t="s">
        <v>587</v>
      </c>
      <c r="C7" s="108">
        <v>998.2</v>
      </c>
      <c r="D7" s="108">
        <v>998.2</v>
      </c>
      <c r="E7" s="108">
        <v>1025</v>
      </c>
      <c r="F7" s="108">
        <v>1025</v>
      </c>
      <c r="G7" s="108">
        <v>1025</v>
      </c>
      <c r="H7" s="108">
        <v>1025</v>
      </c>
    </row>
    <row r="8" spans="1:8" ht="19">
      <c r="B8" s="360" t="s">
        <v>588</v>
      </c>
      <c r="C8" s="108">
        <v>1.0020000000000001E-3</v>
      </c>
      <c r="D8" s="108">
        <v>1.0020000000000001E-3</v>
      </c>
      <c r="E8" s="108">
        <v>1.09E-3</v>
      </c>
      <c r="F8" s="108">
        <v>1.09E-3</v>
      </c>
      <c r="G8" s="108">
        <v>1.09E-3</v>
      </c>
      <c r="H8" s="108">
        <v>1.09E-3</v>
      </c>
    </row>
    <row r="9" spans="1:8" ht="19">
      <c r="B9" s="360" t="s">
        <v>589</v>
      </c>
      <c r="C9" s="108">
        <v>1</v>
      </c>
      <c r="D9" s="108">
        <v>1</v>
      </c>
      <c r="E9" s="2">
        <f>+((C12*E8)/(E7*E10))^0.5</f>
        <v>1.0292627091059725</v>
      </c>
      <c r="F9" s="2">
        <f>+((D12*F8)/(F7*F10))^0.5</f>
        <v>1.0292627091059725</v>
      </c>
      <c r="G9" s="365">
        <v>1</v>
      </c>
      <c r="H9" s="365">
        <v>1</v>
      </c>
    </row>
    <row r="10" spans="1:8">
      <c r="B10" s="360" t="s">
        <v>590</v>
      </c>
      <c r="C10" s="108">
        <v>4.88</v>
      </c>
      <c r="D10" s="108">
        <v>2.85</v>
      </c>
      <c r="E10" s="108">
        <v>4.88</v>
      </c>
      <c r="F10" s="108">
        <v>2.85</v>
      </c>
      <c r="G10" s="108">
        <v>4.88</v>
      </c>
      <c r="H10" s="108">
        <v>2.85</v>
      </c>
    </row>
    <row r="11" spans="1:8" ht="19">
      <c r="B11" s="360" t="s">
        <v>591</v>
      </c>
      <c r="C11" s="30">
        <v>1.7833341520512</v>
      </c>
      <c r="D11" s="155">
        <v>0.26852999999999999</v>
      </c>
      <c r="E11" s="30">
        <v>1.7833341520512</v>
      </c>
      <c r="F11" s="155">
        <v>0.26852999999999999</v>
      </c>
      <c r="G11" s="30">
        <v>1.7833341520512</v>
      </c>
      <c r="H11" s="155">
        <v>0.26852999999999999</v>
      </c>
    </row>
    <row r="12" spans="1:8">
      <c r="B12" s="114" t="s">
        <v>592</v>
      </c>
      <c r="C12" s="366">
        <f t="shared" ref="C12:H12" si="0">+C7*C9^2*C10/C8</f>
        <v>4861493.0139720561</v>
      </c>
      <c r="D12" s="366">
        <f t="shared" si="0"/>
        <v>2839191.6167664672</v>
      </c>
      <c r="E12" s="366">
        <f t="shared" si="0"/>
        <v>4861493.0139720561</v>
      </c>
      <c r="F12" s="366">
        <f t="shared" si="0"/>
        <v>2839191.6167664677</v>
      </c>
      <c r="G12" s="366">
        <f t="shared" si="0"/>
        <v>4588990.8256880734</v>
      </c>
      <c r="H12" s="366">
        <f t="shared" si="0"/>
        <v>2680045.8715596329</v>
      </c>
    </row>
    <row r="13" spans="1:8">
      <c r="B13" s="360" t="s">
        <v>593</v>
      </c>
      <c r="C13" s="56">
        <v>35.060296000000001</v>
      </c>
      <c r="D13" s="110">
        <v>8.36</v>
      </c>
      <c r="E13" s="56">
        <v>35.060296000000001</v>
      </c>
      <c r="F13" s="110">
        <v>8.36</v>
      </c>
      <c r="G13" s="30">
        <v>31.033000000000001</v>
      </c>
      <c r="H13" s="30">
        <v>7.368473668</v>
      </c>
    </row>
    <row r="14" spans="1:8" ht="18">
      <c r="B14" s="40" t="s">
        <v>594</v>
      </c>
      <c r="C14" s="40">
        <v>5.3550000000000004E-3</v>
      </c>
      <c r="D14" s="362">
        <v>5.0740000000000004E-3</v>
      </c>
      <c r="E14" s="40">
        <v>5.3550000000000004E-3</v>
      </c>
      <c r="F14" s="362">
        <v>5.0740000000000004E-3</v>
      </c>
      <c r="G14" s="40">
        <v>5.3990000000000002E-3</v>
      </c>
      <c r="H14" s="363">
        <v>5.0179999999999999E-3</v>
      </c>
    </row>
    <row r="15" spans="1:8" ht="19">
      <c r="B15" s="360" t="s">
        <v>595</v>
      </c>
      <c r="C15" s="110">
        <f>+C13/C11</f>
        <v>19.659970039643703</v>
      </c>
      <c r="D15" s="110">
        <f t="shared" ref="D15:H15" si="1">+D13/D11</f>
        <v>31.132461922317802</v>
      </c>
      <c r="E15" s="110">
        <f t="shared" si="1"/>
        <v>19.659970039643703</v>
      </c>
      <c r="F15" s="110">
        <f t="shared" si="1"/>
        <v>31.132461922317802</v>
      </c>
      <c r="G15" s="110">
        <f t="shared" si="1"/>
        <v>17.401674253984137</v>
      </c>
      <c r="H15" s="110">
        <f t="shared" si="1"/>
        <v>27.440038982609021</v>
      </c>
    </row>
    <row r="16" spans="1:8">
      <c r="B16" s="40" t="s">
        <v>596</v>
      </c>
      <c r="C16" s="364">
        <f>+C15/$D$15</f>
        <v>0.63149422903654595</v>
      </c>
      <c r="D16" s="205">
        <f>+D15/$D$15</f>
        <v>1</v>
      </c>
      <c r="E16" s="364">
        <f>+E15/$F$15</f>
        <v>0.63149422903654595</v>
      </c>
      <c r="F16" s="205">
        <f>+F15/$F$15</f>
        <v>1</v>
      </c>
      <c r="G16" s="364">
        <f>+G15/$H$15</f>
        <v>0.63417090132462961</v>
      </c>
      <c r="H16" s="205">
        <f>+H15/$H$15</f>
        <v>1</v>
      </c>
    </row>
  </sheetData>
  <mergeCells count="3">
    <mergeCell ref="C4:D4"/>
    <mergeCell ref="E4:F4"/>
    <mergeCell ref="G4:H4"/>
  </mergeCell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B27D7-3BB6-C941-ACB0-4707D47032CB}">
  <sheetPr>
    <pageSetUpPr fitToPage="1"/>
  </sheetPr>
  <dimension ref="A1:S40"/>
  <sheetViews>
    <sheetView zoomScale="92" zoomScaleNormal="92" workbookViewId="0">
      <selection activeCell="P61" sqref="P61"/>
    </sheetView>
  </sheetViews>
  <sheetFormatPr baseColWidth="10" defaultRowHeight="16"/>
  <cols>
    <col min="1" max="1" width="14.1640625" customWidth="1"/>
    <col min="2" max="2" width="16.33203125" customWidth="1"/>
    <col min="3" max="3" width="12.6640625" bestFit="1" customWidth="1"/>
    <col min="4" max="4" width="10" customWidth="1"/>
    <col min="5" max="10" width="9" customWidth="1"/>
    <col min="11" max="11" width="9.1640625" customWidth="1"/>
    <col min="12" max="18" width="9" customWidth="1"/>
  </cols>
  <sheetData>
    <row r="1" spans="1:18">
      <c r="A1" s="117" t="s">
        <v>131</v>
      </c>
    </row>
    <row r="2" spans="1:18">
      <c r="I2" s="59" t="s">
        <v>37</v>
      </c>
      <c r="J2" s="59" t="s">
        <v>132</v>
      </c>
    </row>
    <row r="3" spans="1:18">
      <c r="B3" s="210"/>
      <c r="C3" s="211"/>
      <c r="D3" s="169"/>
      <c r="E3" s="169"/>
      <c r="F3" s="212"/>
      <c r="G3" s="169"/>
      <c r="H3" s="34"/>
      <c r="I3" s="59" t="s">
        <v>60</v>
      </c>
      <c r="J3" s="63" t="s">
        <v>134</v>
      </c>
    </row>
    <row r="4" spans="1:18">
      <c r="B4" s="210"/>
      <c r="C4" s="213"/>
      <c r="D4" s="214"/>
      <c r="E4" s="214"/>
      <c r="F4" s="215"/>
      <c r="G4" s="214"/>
      <c r="H4" s="34"/>
      <c r="I4" s="59" t="s">
        <v>69</v>
      </c>
      <c r="J4" s="59" t="s">
        <v>40</v>
      </c>
      <c r="N4" s="40"/>
    </row>
    <row r="5" spans="1:18">
      <c r="B5" s="210"/>
      <c r="C5" s="211"/>
      <c r="D5" s="214"/>
      <c r="E5" s="214"/>
      <c r="F5" s="215"/>
      <c r="G5" s="214"/>
      <c r="H5" s="34"/>
      <c r="I5" s="136" t="s">
        <v>68</v>
      </c>
      <c r="J5" s="59" t="s">
        <v>40</v>
      </c>
    </row>
    <row r="6" spans="1:18">
      <c r="B6" s="210"/>
      <c r="C6" s="44" t="s">
        <v>41</v>
      </c>
      <c r="D6" s="44"/>
      <c r="E6" s="44"/>
      <c r="F6" s="44"/>
      <c r="G6" s="34"/>
      <c r="H6" s="216"/>
      <c r="I6" s="214"/>
      <c r="J6" s="215"/>
      <c r="K6" s="223" t="s">
        <v>133</v>
      </c>
      <c r="L6" s="224"/>
      <c r="M6" s="225"/>
    </row>
    <row r="7" spans="1:18" ht="51">
      <c r="B7" s="210"/>
      <c r="C7" s="129" t="s">
        <v>5</v>
      </c>
      <c r="D7" s="129" t="s">
        <v>44</v>
      </c>
      <c r="E7" s="129" t="s">
        <v>45</v>
      </c>
      <c r="F7" s="129" t="s">
        <v>46</v>
      </c>
      <c r="G7" s="129" t="s">
        <v>47</v>
      </c>
      <c r="H7" s="219" t="s">
        <v>128</v>
      </c>
      <c r="I7" s="219" t="s">
        <v>129</v>
      </c>
      <c r="J7" s="220" t="s">
        <v>130</v>
      </c>
      <c r="K7" s="221" t="s">
        <v>128</v>
      </c>
      <c r="L7" s="221" t="s">
        <v>129</v>
      </c>
      <c r="M7" s="222" t="s">
        <v>130</v>
      </c>
    </row>
    <row r="8" spans="1:18">
      <c r="A8" s="210"/>
      <c r="B8" s="69" t="s">
        <v>67</v>
      </c>
      <c r="C8" s="46">
        <v>1</v>
      </c>
      <c r="D8" s="80">
        <v>0.193</v>
      </c>
      <c r="E8" s="82">
        <f t="shared" ref="E8:E13" si="0">+C8/D8</f>
        <v>5.1813471502590671</v>
      </c>
      <c r="F8" s="38">
        <v>0.30399999999999999</v>
      </c>
      <c r="G8" s="38">
        <v>9.2753333600000005E-3</v>
      </c>
      <c r="H8" s="217">
        <v>4.0899999999999999E-3</v>
      </c>
      <c r="I8" s="217">
        <v>3.32E-3</v>
      </c>
      <c r="J8" s="217">
        <v>7.6999999999999996E-4</v>
      </c>
      <c r="K8" s="218">
        <f>+H8/$H$8</f>
        <v>1</v>
      </c>
      <c r="L8" s="218">
        <f>+I8/$I$8</f>
        <v>1</v>
      </c>
      <c r="M8" s="218">
        <f>+J8/$J$8</f>
        <v>1</v>
      </c>
    </row>
    <row r="9" spans="1:18">
      <c r="A9" s="210"/>
      <c r="B9" s="69" t="s">
        <v>62</v>
      </c>
      <c r="C9" s="46">
        <v>1</v>
      </c>
      <c r="D9" s="80">
        <v>0.14799999999999999</v>
      </c>
      <c r="E9" s="82">
        <f t="shared" si="0"/>
        <v>6.756756756756757</v>
      </c>
      <c r="F9" s="38">
        <v>0.21099999999999999</v>
      </c>
      <c r="G9" s="38">
        <v>4.4999999999999997E-3</v>
      </c>
      <c r="H9" s="217">
        <v>4.058E-3</v>
      </c>
      <c r="I9" s="217">
        <v>3.3670000000000002E-3</v>
      </c>
      <c r="J9" s="217">
        <v>6.8999999999999997E-4</v>
      </c>
      <c r="K9" s="218">
        <f t="shared" ref="K9:K13" si="1">+H9/$H$8</f>
        <v>0.99217603911980445</v>
      </c>
      <c r="L9" s="218">
        <f t="shared" ref="L9:L13" si="2">+I9/$I$8</f>
        <v>1.0141566265060242</v>
      </c>
      <c r="M9" s="218">
        <f t="shared" ref="M9:M13" si="3">+J9/$J$8</f>
        <v>0.89610389610389607</v>
      </c>
    </row>
    <row r="10" spans="1:18">
      <c r="A10" s="210"/>
      <c r="B10" s="69" t="s">
        <v>63</v>
      </c>
      <c r="C10" s="46">
        <v>1</v>
      </c>
      <c r="D10" s="80">
        <v>0.1226</v>
      </c>
      <c r="E10" s="82">
        <f t="shared" si="0"/>
        <v>8.1566068515497552</v>
      </c>
      <c r="F10" s="38">
        <v>0.16529956000000001</v>
      </c>
      <c r="G10" s="38">
        <v>2.7845689000000002E-3</v>
      </c>
      <c r="H10" s="217">
        <v>4.0899999999999999E-3</v>
      </c>
      <c r="I10" s="217">
        <v>3.441E-3</v>
      </c>
      <c r="J10" s="217">
        <v>6.4999999999999997E-4</v>
      </c>
      <c r="K10" s="218">
        <f t="shared" si="1"/>
        <v>1</v>
      </c>
      <c r="L10" s="218">
        <f t="shared" si="2"/>
        <v>1.0364457831325302</v>
      </c>
      <c r="M10" s="218">
        <f t="shared" si="3"/>
        <v>0.84415584415584421</v>
      </c>
    </row>
    <row r="11" spans="1:18">
      <c r="A11" s="210"/>
      <c r="B11" s="69" t="s">
        <v>64</v>
      </c>
      <c r="C11" s="46">
        <v>1</v>
      </c>
      <c r="D11" s="80">
        <v>0.105</v>
      </c>
      <c r="E11" s="82">
        <f t="shared" si="0"/>
        <v>9.5238095238095237</v>
      </c>
      <c r="F11" s="38">
        <v>0.13500627000000001</v>
      </c>
      <c r="G11" s="38">
        <v>1.85328655E-3</v>
      </c>
      <c r="H11" s="217">
        <v>4.0990000000000002E-3</v>
      </c>
      <c r="I11" s="217">
        <v>3.4859999999999999E-3</v>
      </c>
      <c r="J11" s="217">
        <v>6.0999999999999997E-4</v>
      </c>
      <c r="K11" s="218">
        <f t="shared" si="1"/>
        <v>1.0022004889975551</v>
      </c>
      <c r="L11" s="218">
        <f t="shared" si="2"/>
        <v>1.05</v>
      </c>
      <c r="M11" s="218">
        <f t="shared" si="3"/>
        <v>0.79220779220779225</v>
      </c>
    </row>
    <row r="12" spans="1:18">
      <c r="A12" s="210"/>
      <c r="B12" s="69" t="s">
        <v>65</v>
      </c>
      <c r="C12" s="46">
        <v>1</v>
      </c>
      <c r="D12" s="80">
        <v>9.1999999999999998E-2</v>
      </c>
      <c r="E12" s="82">
        <f t="shared" si="0"/>
        <v>10.869565217391305</v>
      </c>
      <c r="F12" s="34">
        <v>0.1141515</v>
      </c>
      <c r="G12" s="38">
        <v>1.3131059799999999E-3</v>
      </c>
      <c r="H12" s="217">
        <v>4.1570000000000001E-3</v>
      </c>
      <c r="I12" s="217">
        <v>3.5720000000000001E-3</v>
      </c>
      <c r="J12" s="217">
        <v>6.0999999999999997E-4</v>
      </c>
      <c r="K12" s="218">
        <f t="shared" si="1"/>
        <v>1.0163814180929096</v>
      </c>
      <c r="L12" s="218">
        <f t="shared" si="2"/>
        <v>1.0759036144578313</v>
      </c>
      <c r="M12" s="218">
        <f t="shared" si="3"/>
        <v>0.79220779220779225</v>
      </c>
    </row>
    <row r="13" spans="1:18">
      <c r="A13" s="210"/>
      <c r="B13" s="69" t="s">
        <v>66</v>
      </c>
      <c r="C13" s="46">
        <v>1</v>
      </c>
      <c r="D13" s="80">
        <v>7.3999999999999996E-2</v>
      </c>
      <c r="E13" s="82">
        <f t="shared" si="0"/>
        <v>13.513513513513514</v>
      </c>
      <c r="F13" s="34">
        <v>8.6663098999999993E-2</v>
      </c>
      <c r="G13" s="38">
        <v>7.4426822500000005E-4</v>
      </c>
      <c r="H13" s="217">
        <v>4.2160000000000001E-3</v>
      </c>
      <c r="I13" s="217">
        <v>3.6410000000000001E-3</v>
      </c>
      <c r="J13" s="217">
        <v>5.7499999999999999E-4</v>
      </c>
      <c r="K13" s="218">
        <f t="shared" si="1"/>
        <v>1.0308068459657702</v>
      </c>
      <c r="L13" s="218">
        <f t="shared" si="2"/>
        <v>1.0966867469879518</v>
      </c>
      <c r="M13" s="218">
        <f t="shared" si="3"/>
        <v>0.74675324675324672</v>
      </c>
    </row>
    <row r="14" spans="1:18">
      <c r="C14" s="72"/>
      <c r="D14" s="123"/>
      <c r="E14" s="127"/>
      <c r="F14" s="128"/>
    </row>
    <row r="16" spans="1:18">
      <c r="A16" s="117" t="s">
        <v>143</v>
      </c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101"/>
      <c r="O16" s="101"/>
      <c r="P16" s="101"/>
      <c r="Q16" s="101"/>
      <c r="R16" s="101"/>
    </row>
    <row r="17" spans="1:19">
      <c r="K17" s="59" t="s">
        <v>37</v>
      </c>
      <c r="L17" s="59" t="s">
        <v>59</v>
      </c>
    </row>
    <row r="18" spans="1:19">
      <c r="A18" s="34"/>
      <c r="B18" s="34"/>
      <c r="C18" s="53"/>
      <c r="D18" s="53"/>
      <c r="E18" s="53"/>
      <c r="F18" s="53"/>
      <c r="G18" s="54"/>
      <c r="H18" s="55"/>
      <c r="I18" s="34"/>
      <c r="J18" s="34"/>
      <c r="K18" s="59" t="s">
        <v>60</v>
      </c>
      <c r="L18" s="63" t="s">
        <v>40</v>
      </c>
      <c r="M18" s="34"/>
      <c r="P18" s="48"/>
      <c r="Q18" s="43"/>
      <c r="R18" s="34"/>
      <c r="S18" s="34"/>
    </row>
    <row r="19" spans="1:19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59" t="s">
        <v>69</v>
      </c>
      <c r="L19" s="59" t="s">
        <v>40</v>
      </c>
      <c r="M19" s="34"/>
      <c r="N19" s="34"/>
      <c r="O19" s="34"/>
      <c r="P19" s="48"/>
      <c r="Q19" s="34"/>
      <c r="R19" s="34"/>
      <c r="S19" s="34"/>
    </row>
    <row r="20" spans="1:19">
      <c r="A20" s="34"/>
      <c r="B20" s="34"/>
      <c r="C20" s="44" t="s">
        <v>41</v>
      </c>
      <c r="D20" s="44"/>
      <c r="E20" s="44"/>
      <c r="F20" s="44"/>
      <c r="G20" s="34"/>
      <c r="H20" s="34"/>
      <c r="I20" s="34"/>
      <c r="J20" s="34"/>
      <c r="K20" s="136" t="s">
        <v>68</v>
      </c>
      <c r="L20" s="137">
        <v>0.28107668000000002</v>
      </c>
      <c r="M20" s="58" t="s">
        <v>140</v>
      </c>
      <c r="N20" s="34"/>
      <c r="O20" s="46"/>
      <c r="P20" s="26"/>
      <c r="Q20" s="379"/>
      <c r="R20" s="380"/>
      <c r="S20" s="355"/>
    </row>
    <row r="21" spans="1:19" ht="51">
      <c r="A21" s="34"/>
      <c r="B21" s="66"/>
      <c r="C21" s="129" t="s">
        <v>5</v>
      </c>
      <c r="D21" s="129" t="s">
        <v>44</v>
      </c>
      <c r="E21" s="129" t="s">
        <v>45</v>
      </c>
      <c r="F21" s="129" t="s">
        <v>46</v>
      </c>
      <c r="G21" s="129" t="s">
        <v>47</v>
      </c>
      <c r="H21" s="129" t="s">
        <v>48</v>
      </c>
      <c r="I21" s="51"/>
      <c r="J21" s="129" t="s">
        <v>5</v>
      </c>
      <c r="K21" s="129" t="s">
        <v>46</v>
      </c>
      <c r="L21" s="129" t="s">
        <v>47</v>
      </c>
      <c r="M21" s="129" t="s">
        <v>48</v>
      </c>
      <c r="N21" s="51" t="s">
        <v>61</v>
      </c>
      <c r="O21" s="44" t="s">
        <v>50</v>
      </c>
      <c r="P21" s="67" t="s">
        <v>51</v>
      </c>
      <c r="Q21" s="68" t="s">
        <v>53</v>
      </c>
    </row>
    <row r="22" spans="1:19">
      <c r="A22" s="34"/>
      <c r="B22" s="69" t="s">
        <v>67</v>
      </c>
      <c r="C22" s="46">
        <v>1</v>
      </c>
      <c r="D22" s="80">
        <v>0.193</v>
      </c>
      <c r="E22" s="82">
        <f t="shared" ref="E22:E27" si="4">+C22/D22</f>
        <v>5.1813471502590671</v>
      </c>
      <c r="F22" s="38">
        <v>0.30399999999999999</v>
      </c>
      <c r="G22" s="38">
        <v>9.2753333600000005E-3</v>
      </c>
      <c r="H22" s="41">
        <f t="shared" ref="H22:H27" si="5">+G22*1025</f>
        <v>9.5072166940000002</v>
      </c>
      <c r="I22" s="41"/>
      <c r="J22" s="60">
        <v>3.35</v>
      </c>
      <c r="K22" s="70">
        <f>+F22*J22^2</f>
        <v>3.4116399999999998</v>
      </c>
      <c r="L22" s="38">
        <f t="shared" ref="L22:L27" si="6">+G22*J22^3</f>
        <v>0.34870963591921006</v>
      </c>
      <c r="M22" s="41">
        <f t="shared" ref="M22:M27" si="7">+L22*1025</f>
        <v>357.42737681719029</v>
      </c>
      <c r="N22" s="71">
        <f>J22*998.2*1/0.001002</f>
        <v>3337295.4091816368</v>
      </c>
      <c r="O22" s="30">
        <v>8.2785582000000009</v>
      </c>
      <c r="P22" s="73">
        <f>+O22/$L$20</f>
        <v>29.453023993310296</v>
      </c>
      <c r="Q22" s="130">
        <f t="shared" ref="Q22:Q27" si="8">+P22/$P$22</f>
        <v>1</v>
      </c>
    </row>
    <row r="23" spans="1:19">
      <c r="A23" s="34"/>
      <c r="B23" s="69" t="s">
        <v>62</v>
      </c>
      <c r="C23" s="46">
        <v>1</v>
      </c>
      <c r="D23" s="80">
        <v>0.14799999999999999</v>
      </c>
      <c r="E23" s="82">
        <f t="shared" si="4"/>
        <v>6.756756756756757</v>
      </c>
      <c r="F23" s="38">
        <v>0.21099999999999999</v>
      </c>
      <c r="G23" s="38">
        <v>4.4999999999999997E-3</v>
      </c>
      <c r="H23" s="41">
        <f t="shared" si="5"/>
        <v>4.6124999999999998</v>
      </c>
      <c r="I23" s="41"/>
      <c r="J23" s="60">
        <v>4.3684000000000003</v>
      </c>
      <c r="K23" s="70">
        <f t="shared" ref="K23:K27" si="9">+F23*J23^2</f>
        <v>4.0264958161600006</v>
      </c>
      <c r="L23" s="38">
        <f t="shared" si="6"/>
        <v>0.37512819646876805</v>
      </c>
      <c r="M23" s="41">
        <f t="shared" si="7"/>
        <v>384.50640138048726</v>
      </c>
      <c r="N23" s="71">
        <f t="shared" ref="N23:N27" si="10">J23*998.2*1/0.001002</f>
        <v>4351833.2135728542</v>
      </c>
      <c r="O23" s="30">
        <v>8.298</v>
      </c>
      <c r="P23" s="73">
        <f t="shared" ref="P23:P27" si="11">+O23/$L$20</f>
        <v>29.5221930186453</v>
      </c>
      <c r="Q23" s="130">
        <f t="shared" si="8"/>
        <v>1.0023484524153008</v>
      </c>
    </row>
    <row r="24" spans="1:19">
      <c r="A24" s="48"/>
      <c r="B24" s="69" t="s">
        <v>63</v>
      </c>
      <c r="C24" s="46">
        <v>1</v>
      </c>
      <c r="D24" s="80">
        <v>0.1226</v>
      </c>
      <c r="E24" s="82">
        <f t="shared" si="4"/>
        <v>8.1566068515497552</v>
      </c>
      <c r="F24" s="38">
        <v>0.16529956000000001</v>
      </c>
      <c r="G24" s="38">
        <v>2.7845689000000002E-3</v>
      </c>
      <c r="H24" s="41">
        <f t="shared" si="5"/>
        <v>2.8541831225000003</v>
      </c>
      <c r="I24" s="41"/>
      <c r="J24" s="60">
        <v>5.2662000000000004</v>
      </c>
      <c r="K24" s="70">
        <f t="shared" si="9"/>
        <v>4.5842299588725277</v>
      </c>
      <c r="L24" s="38">
        <f t="shared" si="6"/>
        <v>0.40667737772999735</v>
      </c>
      <c r="M24" s="41">
        <f t="shared" si="7"/>
        <v>416.84431217324726</v>
      </c>
      <c r="N24" s="71">
        <f t="shared" si="10"/>
        <v>5246228.3832335332</v>
      </c>
      <c r="O24" s="30">
        <v>9.2592928000000008</v>
      </c>
      <c r="P24" s="73">
        <f t="shared" si="11"/>
        <v>32.942230568540943</v>
      </c>
      <c r="Q24" s="130">
        <f t="shared" si="8"/>
        <v>1.1184668364112003</v>
      </c>
    </row>
    <row r="25" spans="1:19">
      <c r="A25" s="48"/>
      <c r="B25" s="69" t="s">
        <v>64</v>
      </c>
      <c r="C25" s="46">
        <v>1</v>
      </c>
      <c r="D25" s="80">
        <v>0.105</v>
      </c>
      <c r="E25" s="82">
        <f t="shared" si="4"/>
        <v>9.5238095238095237</v>
      </c>
      <c r="F25" s="38">
        <v>0.13500627000000001</v>
      </c>
      <c r="G25" s="38">
        <v>1.85328655E-3</v>
      </c>
      <c r="H25" s="41">
        <f t="shared" si="5"/>
        <v>1.89961871375</v>
      </c>
      <c r="I25" s="41"/>
      <c r="J25" s="60">
        <v>6.15395</v>
      </c>
      <c r="K25" s="70">
        <f t="shared" si="9"/>
        <v>5.1128360331382785</v>
      </c>
      <c r="L25" s="38">
        <f t="shared" si="6"/>
        <v>0.43192114319435959</v>
      </c>
      <c r="M25" s="41">
        <f t="shared" si="7"/>
        <v>442.71917177421858</v>
      </c>
      <c r="N25" s="71">
        <f t="shared" si="10"/>
        <v>6130611.666666667</v>
      </c>
      <c r="O25" s="30">
        <v>10.11</v>
      </c>
      <c r="P25" s="73">
        <f t="shared" si="11"/>
        <v>35.96883241967992</v>
      </c>
      <c r="Q25" s="130">
        <f t="shared" si="8"/>
        <v>1.221227145567449</v>
      </c>
    </row>
    <row r="26" spans="1:19">
      <c r="A26" s="34"/>
      <c r="B26" s="69" t="s">
        <v>65</v>
      </c>
      <c r="C26" s="46">
        <v>1</v>
      </c>
      <c r="D26" s="80">
        <v>9.1999999999999998E-2</v>
      </c>
      <c r="E26" s="82">
        <f t="shared" si="4"/>
        <v>10.869565217391305</v>
      </c>
      <c r="F26" s="34">
        <v>0.1141515</v>
      </c>
      <c r="G26" s="38">
        <v>1.3131059799999999E-3</v>
      </c>
      <c r="H26" s="41">
        <f t="shared" si="5"/>
        <v>1.3459336295</v>
      </c>
      <c r="I26" s="41"/>
      <c r="J26" s="60">
        <v>7.0587179999999998</v>
      </c>
      <c r="K26" s="70">
        <f t="shared" si="9"/>
        <v>5.6876555408219698</v>
      </c>
      <c r="L26" s="38">
        <f t="shared" si="6"/>
        <v>0.46182482560502147</v>
      </c>
      <c r="M26" s="41">
        <f t="shared" si="7"/>
        <v>473.37044624514704</v>
      </c>
      <c r="N26" s="71">
        <f t="shared" si="10"/>
        <v>7031948.4107784424</v>
      </c>
      <c r="O26" s="30">
        <v>11.18</v>
      </c>
      <c r="P26" s="131">
        <f t="shared" si="11"/>
        <v>39.775622794463061</v>
      </c>
      <c r="Q26" s="130">
        <f t="shared" si="8"/>
        <v>1.3504767049895232</v>
      </c>
    </row>
    <row r="27" spans="1:19">
      <c r="A27" s="34"/>
      <c r="B27" s="69" t="s">
        <v>66</v>
      </c>
      <c r="C27" s="46">
        <v>1</v>
      </c>
      <c r="D27" s="80">
        <v>7.3999999999999996E-2</v>
      </c>
      <c r="E27" s="82">
        <f t="shared" si="4"/>
        <v>13.513513513513514</v>
      </c>
      <c r="F27" s="34">
        <v>8.6663098999999993E-2</v>
      </c>
      <c r="G27" s="38">
        <v>7.4426822500000005E-4</v>
      </c>
      <c r="H27" s="41">
        <f t="shared" si="5"/>
        <v>0.762874930625</v>
      </c>
      <c r="I27" s="41"/>
      <c r="J27" s="60">
        <v>8.8607499999999995</v>
      </c>
      <c r="K27" s="70">
        <f t="shared" si="9"/>
        <v>6.8041704075941016</v>
      </c>
      <c r="L27" s="38">
        <f t="shared" si="6"/>
        <v>0.51777482231661409</v>
      </c>
      <c r="M27" s="41">
        <f t="shared" si="7"/>
        <v>530.71919287452943</v>
      </c>
      <c r="N27" s="71">
        <f t="shared" si="10"/>
        <v>8827146.3572854269</v>
      </c>
      <c r="O27" s="30">
        <v>13.131662</v>
      </c>
      <c r="P27" s="73">
        <f t="shared" si="11"/>
        <v>46.719144398603255</v>
      </c>
      <c r="Q27" s="130">
        <f t="shared" si="8"/>
        <v>1.586225727083733</v>
      </c>
    </row>
    <row r="31" spans="1:19">
      <c r="A31" s="34"/>
      <c r="B31" s="34"/>
      <c r="C31" s="53"/>
      <c r="D31" s="53"/>
      <c r="E31" s="53"/>
      <c r="F31" s="53"/>
      <c r="G31" s="54"/>
      <c r="H31" s="55"/>
      <c r="I31" s="34"/>
    </row>
    <row r="32" spans="1:19">
      <c r="A32" s="34"/>
      <c r="B32" s="34"/>
      <c r="C32" s="34"/>
      <c r="D32" s="34"/>
      <c r="E32" s="34"/>
      <c r="F32" s="34"/>
      <c r="G32" s="34"/>
      <c r="H32" s="34"/>
      <c r="I32" s="34"/>
    </row>
    <row r="33" spans="1:9">
      <c r="A33" s="34"/>
      <c r="B33" s="34"/>
      <c r="C33" s="44"/>
      <c r="D33" s="44"/>
      <c r="E33" s="44"/>
      <c r="F33" s="44"/>
      <c r="G33" s="34"/>
      <c r="H33" s="34"/>
      <c r="I33" s="34"/>
    </row>
    <row r="34" spans="1:9">
      <c r="A34" s="34"/>
      <c r="B34" s="66"/>
      <c r="C34" s="129"/>
      <c r="D34" s="129"/>
      <c r="E34" s="129"/>
      <c r="F34" s="129"/>
      <c r="G34" s="129"/>
      <c r="H34" s="129"/>
      <c r="I34" s="279"/>
    </row>
    <row r="35" spans="1:9">
      <c r="A35" s="34"/>
      <c r="B35" s="69"/>
      <c r="C35" s="46"/>
      <c r="D35" s="80"/>
      <c r="E35" s="82"/>
      <c r="F35" s="38"/>
      <c r="G35" s="38"/>
      <c r="H35" s="41"/>
      <c r="I35" s="41"/>
    </row>
    <row r="36" spans="1:9">
      <c r="A36" s="34"/>
      <c r="B36" s="69"/>
      <c r="C36" s="46"/>
      <c r="D36" s="80"/>
      <c r="E36" s="82"/>
      <c r="F36" s="38"/>
      <c r="G36" s="38"/>
      <c r="H36" s="41"/>
      <c r="I36" s="41"/>
    </row>
    <row r="37" spans="1:9">
      <c r="A37" s="48"/>
      <c r="B37" s="69"/>
      <c r="C37" s="46"/>
      <c r="D37" s="80"/>
      <c r="E37" s="82"/>
      <c r="F37" s="38"/>
      <c r="G37" s="38"/>
      <c r="H37" s="41"/>
      <c r="I37" s="41"/>
    </row>
    <row r="38" spans="1:9">
      <c r="A38" s="48"/>
      <c r="B38" s="69"/>
      <c r="C38" s="46"/>
      <c r="D38" s="80"/>
      <c r="E38" s="82"/>
      <c r="F38" s="38"/>
      <c r="G38" s="38"/>
      <c r="H38" s="41"/>
      <c r="I38" s="41"/>
    </row>
    <row r="39" spans="1:9">
      <c r="A39" s="34"/>
      <c r="B39" s="69"/>
      <c r="C39" s="46"/>
      <c r="D39" s="80"/>
      <c r="E39" s="82"/>
      <c r="F39" s="34"/>
      <c r="G39" s="38"/>
      <c r="H39" s="41"/>
      <c r="I39" s="41"/>
    </row>
    <row r="40" spans="1:9">
      <c r="A40" s="34"/>
      <c r="B40" s="69"/>
      <c r="C40" s="46"/>
      <c r="D40" s="80"/>
      <c r="E40" s="82"/>
      <c r="F40" s="34"/>
      <c r="G40" s="38"/>
      <c r="H40" s="41"/>
      <c r="I40" s="41"/>
    </row>
  </sheetData>
  <mergeCells count="1">
    <mergeCell ref="Q20:R20"/>
  </mergeCells>
  <pageMargins left="0.7" right="0.7" top="0.75" bottom="0.75" header="0.3" footer="0.3"/>
  <pageSetup paperSize="9" scale="45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85318-70D8-7448-AC19-C6CD2417F77A}">
  <sheetPr>
    <pageSetUpPr fitToPage="1"/>
  </sheetPr>
  <dimension ref="A1:S18"/>
  <sheetViews>
    <sheetView workbookViewId="0">
      <selection activeCell="L58" sqref="L58"/>
    </sheetView>
  </sheetViews>
  <sheetFormatPr baseColWidth="10" defaultRowHeight="16"/>
  <sheetData>
    <row r="1" spans="1:19" s="101" customFormat="1">
      <c r="A1" s="237" t="s">
        <v>144</v>
      </c>
    </row>
    <row r="2" spans="1:19">
      <c r="K2" s="59" t="s">
        <v>137</v>
      </c>
      <c r="L2" s="59" t="s">
        <v>132</v>
      </c>
    </row>
    <row r="3" spans="1:19">
      <c r="B3" s="117"/>
      <c r="D3" s="227"/>
      <c r="E3" s="227"/>
      <c r="F3" s="227"/>
      <c r="G3" s="227"/>
      <c r="H3" s="118"/>
      <c r="I3" s="228"/>
      <c r="J3" s="119"/>
      <c r="K3" s="59" t="s">
        <v>60</v>
      </c>
      <c r="L3" s="63" t="s">
        <v>134</v>
      </c>
      <c r="M3" s="119"/>
      <c r="N3" s="119"/>
      <c r="O3" s="52"/>
      <c r="P3" s="117"/>
    </row>
    <row r="4" spans="1:19">
      <c r="K4" s="238" t="s">
        <v>138</v>
      </c>
      <c r="L4" s="136" t="s">
        <v>40</v>
      </c>
      <c r="O4" s="52"/>
    </row>
    <row r="5" spans="1:19">
      <c r="E5" s="40" t="s">
        <v>41</v>
      </c>
      <c r="F5" s="40"/>
      <c r="G5" s="40"/>
      <c r="H5" s="40"/>
      <c r="K5" s="238" t="s">
        <v>139</v>
      </c>
      <c r="L5" s="241">
        <v>3.5162798E-3</v>
      </c>
      <c r="M5" s="58" t="s">
        <v>140</v>
      </c>
      <c r="O5" s="113"/>
      <c r="P5" s="101"/>
      <c r="Q5" s="381"/>
      <c r="R5" s="382"/>
    </row>
    <row r="6" spans="1:19" ht="51">
      <c r="B6" s="229"/>
      <c r="C6" s="229" t="s">
        <v>146</v>
      </c>
      <c r="D6" s="229" t="s">
        <v>145</v>
      </c>
      <c r="E6" s="120" t="s">
        <v>5</v>
      </c>
      <c r="F6" s="120" t="s">
        <v>44</v>
      </c>
      <c r="G6" s="120" t="s">
        <v>45</v>
      </c>
      <c r="H6" s="120" t="s">
        <v>46</v>
      </c>
      <c r="I6" s="120" t="s">
        <v>47</v>
      </c>
      <c r="J6" s="120" t="s">
        <v>48</v>
      </c>
      <c r="K6" s="120" t="s">
        <v>141</v>
      </c>
      <c r="L6" s="120" t="s">
        <v>129</v>
      </c>
      <c r="M6" s="120" t="s">
        <v>130</v>
      </c>
      <c r="N6" s="120" t="s">
        <v>142</v>
      </c>
      <c r="O6" s="40" t="s">
        <v>50</v>
      </c>
      <c r="P6" s="230" t="s">
        <v>51</v>
      </c>
      <c r="Q6" s="231" t="s">
        <v>53</v>
      </c>
    </row>
    <row r="7" spans="1:19">
      <c r="B7" s="69" t="s">
        <v>151</v>
      </c>
      <c r="C7">
        <v>2</v>
      </c>
      <c r="D7" s="232">
        <v>-0.4</v>
      </c>
      <c r="E7">
        <v>1</v>
      </c>
      <c r="F7" s="121">
        <v>0.14799999999999999</v>
      </c>
      <c r="G7" s="122">
        <f t="shared" ref="G7:G12" si="0">+E7/F7</f>
        <v>6.756756756756757</v>
      </c>
      <c r="H7" s="38">
        <v>0.19621501999999999</v>
      </c>
      <c r="I7" s="38">
        <v>4.2800917800000001E-3</v>
      </c>
      <c r="J7" s="115">
        <f t="shared" ref="J7:J12" si="1">+I7*1025</f>
        <v>4.3870940745000002</v>
      </c>
      <c r="K7" s="141">
        <v>4.3109999999999997E-3</v>
      </c>
      <c r="L7" s="141">
        <v>3.3769999999999998E-3</v>
      </c>
      <c r="M7" s="141">
        <v>9.3000000000000005E-4</v>
      </c>
      <c r="N7" s="245">
        <f>+K7/$K$9</f>
        <v>1.0623459832429767</v>
      </c>
      <c r="O7" s="233">
        <v>10.553758800000001</v>
      </c>
      <c r="P7" s="234">
        <f>+O7/$L$5</f>
        <v>3001.3990354237453</v>
      </c>
      <c r="Q7" s="244">
        <f>+P7/$P$9</f>
        <v>0.98938196581508742</v>
      </c>
    </row>
    <row r="8" spans="1:19">
      <c r="B8" s="69" t="s">
        <v>150</v>
      </c>
      <c r="C8">
        <v>2</v>
      </c>
      <c r="D8" s="232">
        <v>-0.2</v>
      </c>
      <c r="E8">
        <v>1</v>
      </c>
      <c r="F8" s="121">
        <v>0.14799999999999999</v>
      </c>
      <c r="G8" s="122">
        <f t="shared" si="0"/>
        <v>6.756756756756757</v>
      </c>
      <c r="H8" s="235">
        <v>0.20497953999999999</v>
      </c>
      <c r="I8" s="141">
        <v>4.4517303500000004E-3</v>
      </c>
      <c r="J8" s="115">
        <f t="shared" si="1"/>
        <v>4.56302360875</v>
      </c>
      <c r="K8" s="141">
        <v>4.1650000000000003E-3</v>
      </c>
      <c r="L8" s="141">
        <v>3.356E-3</v>
      </c>
      <c r="M8" s="141">
        <v>8.0999999999999996E-4</v>
      </c>
      <c r="N8" s="245">
        <f t="shared" ref="N8:N12" si="2">+K8/$K$9</f>
        <v>1.0263676688023657</v>
      </c>
      <c r="O8" s="72">
        <v>10.651999999999999</v>
      </c>
      <c r="P8" s="234">
        <f t="shared" ref="P8:P12" si="3">+O8/$L$5</f>
        <v>3029.337995230072</v>
      </c>
      <c r="Q8" s="244">
        <f t="shared" ref="Q8:Q12" si="4">+P8/$P$9</f>
        <v>0.99859177185879122</v>
      </c>
    </row>
    <row r="9" spans="1:19">
      <c r="B9" s="69" t="s">
        <v>62</v>
      </c>
      <c r="C9">
        <v>2</v>
      </c>
      <c r="D9" s="232">
        <v>0</v>
      </c>
      <c r="E9" s="226">
        <v>1</v>
      </c>
      <c r="F9" s="121">
        <v>0.14799999999999999</v>
      </c>
      <c r="G9" s="122">
        <f t="shared" si="0"/>
        <v>6.756756756756757</v>
      </c>
      <c r="H9" s="29">
        <v>0.21099999999999999</v>
      </c>
      <c r="I9" s="28">
        <v>4.4999999999999997E-3</v>
      </c>
      <c r="J9" s="115">
        <f t="shared" si="1"/>
        <v>4.6124999999999998</v>
      </c>
      <c r="K9" s="141">
        <v>4.058E-3</v>
      </c>
      <c r="L9" s="141">
        <v>3.3670000000000002E-3</v>
      </c>
      <c r="M9" s="141">
        <v>6.8999999999999997E-4</v>
      </c>
      <c r="N9" s="245">
        <f t="shared" si="2"/>
        <v>1</v>
      </c>
      <c r="O9" s="72">
        <v>10.6670216</v>
      </c>
      <c r="P9" s="234">
        <f t="shared" si="3"/>
        <v>3033.6100102159107</v>
      </c>
      <c r="Q9" s="244">
        <f t="shared" si="4"/>
        <v>1</v>
      </c>
    </row>
    <row r="10" spans="1:19">
      <c r="B10" s="69" t="s">
        <v>147</v>
      </c>
      <c r="C10">
        <v>2</v>
      </c>
      <c r="D10" s="232">
        <v>0.2</v>
      </c>
      <c r="E10" s="226">
        <v>1</v>
      </c>
      <c r="F10" s="121">
        <v>0.14799999999999999</v>
      </c>
      <c r="G10" s="122">
        <f t="shared" si="0"/>
        <v>6.756756756756757</v>
      </c>
      <c r="H10" s="29">
        <v>0.22008438</v>
      </c>
      <c r="I10" s="28">
        <v>4.7798655899999997E-3</v>
      </c>
      <c r="J10" s="115">
        <f t="shared" si="1"/>
        <v>4.8993622297499995</v>
      </c>
      <c r="K10" s="28">
        <v>3.9899999999999996E-3</v>
      </c>
      <c r="L10" s="141">
        <v>3.32E-3</v>
      </c>
      <c r="M10" s="141">
        <v>6.7000000000000002E-4</v>
      </c>
      <c r="N10" s="245">
        <f t="shared" si="2"/>
        <v>0.98324297683587969</v>
      </c>
      <c r="O10" s="72">
        <v>10.9571304</v>
      </c>
      <c r="P10" s="234">
        <f t="shared" si="3"/>
        <v>3116.1144798545329</v>
      </c>
      <c r="Q10" s="244">
        <f t="shared" si="4"/>
        <v>1.0271967950266456</v>
      </c>
    </row>
    <row r="11" spans="1:19">
      <c r="B11" s="69" t="s">
        <v>148</v>
      </c>
      <c r="C11">
        <v>2</v>
      </c>
      <c r="D11" s="232">
        <v>0.4</v>
      </c>
      <c r="E11" s="226">
        <v>1</v>
      </c>
      <c r="F11" s="121">
        <v>0.14799999999999999</v>
      </c>
      <c r="G11" s="122">
        <f t="shared" si="0"/>
        <v>6.756756756756757</v>
      </c>
      <c r="H11" s="29">
        <v>0.22842984999999999</v>
      </c>
      <c r="I11" s="28">
        <v>5.0302309399999998E-3</v>
      </c>
      <c r="J11" s="115">
        <f t="shared" si="1"/>
        <v>5.1559867134999999</v>
      </c>
      <c r="K11" s="28">
        <v>3.8990000000000001E-3</v>
      </c>
      <c r="L11" s="141">
        <v>3.3029999999999999E-3</v>
      </c>
      <c r="M11" s="141">
        <v>5.9999999999999995E-4</v>
      </c>
      <c r="N11" s="245">
        <f t="shared" si="2"/>
        <v>0.96081813701330709</v>
      </c>
      <c r="O11" s="72">
        <v>11.112</v>
      </c>
      <c r="P11" s="234">
        <f t="shared" si="3"/>
        <v>3160.1580738825164</v>
      </c>
      <c r="Q11" s="244">
        <f t="shared" si="4"/>
        <v>1.0417153369221639</v>
      </c>
    </row>
    <row r="12" spans="1:19">
      <c r="B12" s="69" t="s">
        <v>149</v>
      </c>
      <c r="C12">
        <v>2</v>
      </c>
      <c r="D12" s="232">
        <v>0.6</v>
      </c>
      <c r="E12" s="226">
        <v>1</v>
      </c>
      <c r="F12" s="121">
        <v>0.14799999999999999</v>
      </c>
      <c r="G12" s="122">
        <f t="shared" si="0"/>
        <v>6.756756756756757</v>
      </c>
      <c r="H12" s="29">
        <v>0.245453</v>
      </c>
      <c r="I12" s="28">
        <v>5.6343063999999997E-3</v>
      </c>
      <c r="J12" s="115">
        <f t="shared" si="1"/>
        <v>5.7751640599999998</v>
      </c>
      <c r="K12" s="141">
        <v>3.7290000000000001E-3</v>
      </c>
      <c r="L12" s="141">
        <v>3.228E-3</v>
      </c>
      <c r="M12" s="141">
        <v>5.0000000000000001E-4</v>
      </c>
      <c r="N12" s="245">
        <f t="shared" si="2"/>
        <v>0.91892557910300643</v>
      </c>
      <c r="O12" s="72">
        <v>11.566000000000001</v>
      </c>
      <c r="P12" s="234">
        <f t="shared" si="3"/>
        <v>3289.2718036829719</v>
      </c>
      <c r="Q12" s="244">
        <f t="shared" si="4"/>
        <v>1.0842764207021012</v>
      </c>
    </row>
    <row r="13" spans="1:19">
      <c r="A13" s="77"/>
      <c r="D13" s="232"/>
      <c r="E13" s="226"/>
      <c r="F13" s="121"/>
      <c r="G13" s="122"/>
      <c r="H13" s="29"/>
      <c r="I13" s="28"/>
      <c r="J13" s="115"/>
      <c r="K13" s="141"/>
      <c r="L13" s="141"/>
      <c r="M13" s="141"/>
      <c r="N13" s="141"/>
      <c r="O13" s="72"/>
      <c r="P13" s="242"/>
      <c r="Q13" s="243"/>
      <c r="R13" s="101"/>
      <c r="S13" s="101"/>
    </row>
    <row r="14" spans="1:19">
      <c r="B14" s="77"/>
      <c r="E14" s="232"/>
      <c r="G14" s="121"/>
      <c r="H14" s="122"/>
      <c r="I14" s="235"/>
      <c r="J14" s="141"/>
      <c r="K14" s="115"/>
      <c r="L14" s="141"/>
      <c r="M14" s="141"/>
      <c r="N14" s="141"/>
      <c r="O14" s="141"/>
      <c r="P14" s="101"/>
      <c r="Q14" s="101"/>
      <c r="R14" s="243"/>
      <c r="S14" s="101"/>
    </row>
    <row r="15" spans="1:19">
      <c r="L15" s="113"/>
      <c r="S15" s="236"/>
    </row>
    <row r="16" spans="1:19">
      <c r="L16" s="113"/>
      <c r="O16" s="113"/>
      <c r="S16" s="113"/>
    </row>
    <row r="17" spans="12:19">
      <c r="L17" s="113"/>
      <c r="S17" s="236"/>
    </row>
    <row r="18" spans="12:19">
      <c r="L18" s="113"/>
      <c r="S18" s="236"/>
    </row>
  </sheetData>
  <mergeCells count="1">
    <mergeCell ref="Q5:R5"/>
  </mergeCells>
  <pageMargins left="0.7" right="0.7" top="0.75" bottom="0.75" header="0.3" footer="0.3"/>
  <pageSetup paperSize="9" scale="42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93313-5467-9047-AE8D-D9B3F6A6675A}">
  <sheetPr>
    <pageSetUpPr fitToPage="1"/>
  </sheetPr>
  <dimension ref="A1:AC208"/>
  <sheetViews>
    <sheetView topLeftCell="A97" zoomScale="94" zoomScaleNormal="94" workbookViewId="0">
      <selection activeCell="P136" sqref="P136"/>
    </sheetView>
  </sheetViews>
  <sheetFormatPr baseColWidth="10" defaultRowHeight="17" customHeight="1"/>
  <cols>
    <col min="1" max="1" width="54.83203125" customWidth="1"/>
    <col min="2" max="2" width="17.1640625" customWidth="1"/>
    <col min="3" max="3" width="10" customWidth="1"/>
    <col min="4" max="4" width="9.5" customWidth="1"/>
    <col min="5" max="5" width="10" customWidth="1"/>
    <col min="6" max="7" width="9.33203125" customWidth="1"/>
    <col min="8" max="8" width="9.83203125" customWidth="1"/>
    <col min="9" max="9" width="14.5" customWidth="1"/>
    <col min="10" max="10" width="12.1640625" customWidth="1"/>
    <col min="11" max="11" width="11.33203125" customWidth="1"/>
    <col min="12" max="12" width="12.83203125" customWidth="1"/>
    <col min="13" max="13" width="14.83203125" customWidth="1"/>
    <col min="14" max="14" width="9.33203125" customWidth="1"/>
    <col min="15" max="15" width="12.83203125" customWidth="1"/>
    <col min="17" max="17" width="12.83203125" customWidth="1"/>
  </cols>
  <sheetData>
    <row r="1" spans="1:28" ht="17" hidden="1" customHeight="1">
      <c r="A1" s="117" t="s">
        <v>70</v>
      </c>
      <c r="O1" s="126"/>
      <c r="P1" s="126"/>
      <c r="Q1" s="126"/>
    </row>
    <row r="2" spans="1:28" ht="17" hidden="1" customHeight="1">
      <c r="A2" s="52"/>
      <c r="O2" s="126"/>
      <c r="P2" s="126"/>
      <c r="Q2" s="126"/>
    </row>
    <row r="3" spans="1:28" ht="17" hidden="1" customHeight="1">
      <c r="A3" s="52"/>
      <c r="C3" s="40" t="s">
        <v>71</v>
      </c>
      <c r="I3" s="117" t="s">
        <v>72</v>
      </c>
      <c r="J3" s="117"/>
      <c r="K3" s="117"/>
      <c r="L3">
        <v>1</v>
      </c>
      <c r="P3" s="40" t="s">
        <v>73</v>
      </c>
      <c r="T3" s="40"/>
      <c r="Z3" s="117"/>
    </row>
    <row r="4" spans="1:28" ht="17" hidden="1" customHeight="1">
      <c r="A4" s="52"/>
      <c r="C4" s="47" t="s">
        <v>57</v>
      </c>
      <c r="D4" s="47" t="s">
        <v>74</v>
      </c>
      <c r="E4" s="47" t="s">
        <v>75</v>
      </c>
      <c r="F4" s="47" t="s">
        <v>48</v>
      </c>
      <c r="G4" s="47"/>
      <c r="H4" s="138" t="s">
        <v>49</v>
      </c>
      <c r="I4" s="39" t="s">
        <v>76</v>
      </c>
      <c r="J4" s="139" t="s">
        <v>77</v>
      </c>
      <c r="K4" s="140"/>
      <c r="L4" s="47" t="s">
        <v>78</v>
      </c>
      <c r="M4" s="47"/>
      <c r="N4" s="47"/>
      <c r="O4" s="47" t="s">
        <v>45</v>
      </c>
      <c r="P4" s="47" t="s">
        <v>57</v>
      </c>
      <c r="Q4" s="47" t="s">
        <v>74</v>
      </c>
      <c r="R4" s="47" t="s">
        <v>75</v>
      </c>
      <c r="S4" s="47" t="s">
        <v>48</v>
      </c>
      <c r="T4" s="120"/>
      <c r="U4" s="120"/>
      <c r="V4" s="120"/>
      <c r="W4" s="120"/>
      <c r="X4" s="120"/>
      <c r="Y4" s="120"/>
      <c r="Z4" s="120"/>
      <c r="AA4" s="120"/>
      <c r="AB4" s="120"/>
    </row>
    <row r="5" spans="1:28" ht="17" hidden="1" customHeight="1">
      <c r="A5" s="52"/>
      <c r="B5" s="77" t="s">
        <v>79</v>
      </c>
      <c r="C5" s="123">
        <v>0.4</v>
      </c>
      <c r="D5" s="123">
        <f>+Q5*C5^2</f>
        <v>3.7565440000000005E-2</v>
      </c>
      <c r="E5" s="141">
        <f>+R5*C5^3</f>
        <v>2.8089600000000004E-4</v>
      </c>
      <c r="F5" s="115">
        <f>+E5*1000</f>
        <v>0.28089600000000003</v>
      </c>
      <c r="G5" s="115"/>
      <c r="H5" s="142">
        <f>E5/D5</f>
        <v>7.4775112443778114E-3</v>
      </c>
      <c r="I5" s="143">
        <f t="shared" ref="I5:I16" si="0">C5*998.2*1/0.0010016</f>
        <v>398642.17252396169</v>
      </c>
      <c r="J5" s="144">
        <f>+I5*0.000001004/1</f>
        <v>0.40023674121405756</v>
      </c>
      <c r="K5" s="135"/>
      <c r="L5" s="145">
        <v>0.164102888</v>
      </c>
      <c r="M5" s="115"/>
      <c r="N5" s="115"/>
      <c r="O5" s="39">
        <v>7.72</v>
      </c>
      <c r="P5">
        <v>1</v>
      </c>
      <c r="Q5" s="72">
        <v>0.23478399999999999</v>
      </c>
      <c r="R5" s="146">
        <v>4.3889999999999997E-3</v>
      </c>
      <c r="S5" s="115">
        <f t="shared" ref="S5:S16" si="1">+R5*1025</f>
        <v>4.4987249999999994</v>
      </c>
      <c r="T5" s="123"/>
      <c r="U5" s="147"/>
      <c r="V5" s="115"/>
      <c r="W5" s="123"/>
      <c r="Z5" s="123"/>
      <c r="AA5" s="148"/>
      <c r="AB5" s="141"/>
    </row>
    <row r="6" spans="1:28" ht="17" hidden="1" customHeight="1">
      <c r="A6" s="52"/>
      <c r="B6" s="77" t="s">
        <v>80</v>
      </c>
      <c r="C6" s="123">
        <v>0.47</v>
      </c>
      <c r="D6" s="123">
        <f>+Q6*C6^2</f>
        <v>4.177808803E-2</v>
      </c>
      <c r="E6" s="141">
        <f>+R6*C6^3</f>
        <v>3.0041185049999996E-4</v>
      </c>
      <c r="F6" s="115">
        <f>+E6*1000</f>
        <v>0.30041185049999997</v>
      </c>
      <c r="G6" s="115"/>
      <c r="H6" s="142">
        <f>E6/D6</f>
        <v>7.1906557878924542E-3</v>
      </c>
      <c r="I6" s="143">
        <f t="shared" si="0"/>
        <v>468404.55271565489</v>
      </c>
      <c r="J6" s="144">
        <f>+I6*0.000001004/1</f>
        <v>0.47027817092651752</v>
      </c>
      <c r="K6" s="135"/>
      <c r="L6" s="149">
        <v>0.17262496399999999</v>
      </c>
      <c r="M6" s="115"/>
      <c r="N6" s="115"/>
      <c r="O6" s="39">
        <v>9.17</v>
      </c>
      <c r="P6">
        <v>1</v>
      </c>
      <c r="Q6" s="72">
        <v>0.18912670000000001</v>
      </c>
      <c r="R6" s="88">
        <v>2.8934999999999998E-3</v>
      </c>
      <c r="S6" s="115">
        <f t="shared" si="1"/>
        <v>2.9658374999999997</v>
      </c>
      <c r="T6" s="123"/>
      <c r="U6" s="147"/>
      <c r="V6" s="115"/>
      <c r="W6" s="123"/>
      <c r="Z6" s="123"/>
      <c r="AA6" s="148"/>
      <c r="AB6" s="141"/>
    </row>
    <row r="7" spans="1:28" ht="17" hidden="1" customHeight="1">
      <c r="A7" s="52"/>
      <c r="B7" s="77" t="s">
        <v>81</v>
      </c>
      <c r="C7" s="150">
        <f>+AVERAGE(C5:C6)</f>
        <v>0.435</v>
      </c>
      <c r="D7" s="150">
        <f>+AVERAGE(D5:D6)</f>
        <v>3.9671764014999999E-2</v>
      </c>
      <c r="E7" s="151">
        <f>+AVERAGE(E5:E6)</f>
        <v>2.9065392524999997E-4</v>
      </c>
      <c r="F7" s="39">
        <f>+AVERAGE(F4:F5,F6)</f>
        <v>0.29065392525</v>
      </c>
      <c r="G7" s="39"/>
      <c r="H7" s="139">
        <f>+AVERAGE(H4:H5,H6)</f>
        <v>7.3340835161351328E-3</v>
      </c>
      <c r="I7" s="143">
        <f t="shared" si="0"/>
        <v>433523.36261980835</v>
      </c>
      <c r="J7" s="152">
        <f>+AVERAGE(J4:J5,J6)</f>
        <v>0.43525745607028754</v>
      </c>
      <c r="K7" s="135"/>
      <c r="L7" s="145">
        <f>+AVERAGE(L6,L5)</f>
        <v>0.168363926</v>
      </c>
      <c r="M7" s="115"/>
      <c r="N7" s="115"/>
      <c r="O7" s="39">
        <v>7.72</v>
      </c>
      <c r="P7">
        <v>1</v>
      </c>
      <c r="Q7" s="47"/>
      <c r="R7" s="125">
        <f>+AVERAGE(R5,R6)</f>
        <v>3.6412499999999995E-3</v>
      </c>
      <c r="S7" s="115">
        <f t="shared" si="1"/>
        <v>3.7322812499999993</v>
      </c>
      <c r="T7" s="122"/>
      <c r="U7" s="153"/>
      <c r="V7" s="122"/>
      <c r="W7" s="123"/>
      <c r="X7" s="122"/>
      <c r="Y7" s="116"/>
      <c r="Z7" s="150"/>
      <c r="AA7" s="148"/>
      <c r="AB7" s="148"/>
    </row>
    <row r="8" spans="1:28" ht="17" hidden="1" customHeight="1">
      <c r="A8" s="52"/>
      <c r="B8" s="77" t="s">
        <v>82</v>
      </c>
      <c r="C8" s="154">
        <v>2.5619999999999998</v>
      </c>
      <c r="D8" s="123">
        <f t="shared" ref="D8:D16" si="2">+Q8*C8^2</f>
        <v>1.4183624742814798</v>
      </c>
      <c r="E8" s="141">
        <f t="shared" ref="E8:E16" si="3">+R8*C8^3</f>
        <v>6.2826362942041428E-2</v>
      </c>
      <c r="F8" s="115">
        <f t="shared" ref="F8:F16" si="4">+E8*1000</f>
        <v>62.826362942041428</v>
      </c>
      <c r="G8" s="115"/>
      <c r="H8" s="142">
        <f t="shared" ref="H8:H16" si="5">E8/D8</f>
        <v>4.4294997986229351E-2</v>
      </c>
      <c r="I8" s="143">
        <f t="shared" si="0"/>
        <v>2553303.1150159743</v>
      </c>
      <c r="J8" s="144">
        <f t="shared" ref="J8:J16" si="6">+I8*0.000001004/1</f>
        <v>2.5635163274760382</v>
      </c>
      <c r="K8" s="135"/>
      <c r="L8" s="145">
        <v>3.8614169999999999</v>
      </c>
      <c r="M8" s="115"/>
      <c r="N8" s="115"/>
      <c r="O8" s="118">
        <v>7.614986293024673</v>
      </c>
      <c r="P8">
        <v>1</v>
      </c>
      <c r="Q8" s="72">
        <v>0.21608717</v>
      </c>
      <c r="R8" s="88">
        <v>3.7359799999999999E-3</v>
      </c>
      <c r="S8" s="115">
        <f t="shared" si="1"/>
        <v>3.8293794999999999</v>
      </c>
      <c r="T8" s="123"/>
      <c r="U8" s="147"/>
      <c r="V8" s="115"/>
      <c r="W8" s="123"/>
      <c r="X8" s="115"/>
      <c r="Y8" s="30"/>
      <c r="Z8" s="154"/>
      <c r="AA8" s="148"/>
      <c r="AB8" s="141"/>
    </row>
    <row r="9" spans="1:28" ht="17" hidden="1" customHeight="1">
      <c r="A9" s="52"/>
      <c r="B9" s="77" t="s">
        <v>83</v>
      </c>
      <c r="C9" s="150">
        <v>0.76300000000000001</v>
      </c>
      <c r="D9" s="123">
        <f t="shared" si="2"/>
        <v>0.11659125342774002</v>
      </c>
      <c r="E9" s="141">
        <f t="shared" si="3"/>
        <v>1.4076759967903503E-3</v>
      </c>
      <c r="F9" s="115">
        <f t="shared" si="4"/>
        <v>1.4076759967903503</v>
      </c>
      <c r="G9" s="115"/>
      <c r="H9" s="142">
        <f t="shared" si="5"/>
        <v>1.2073598622582683E-2</v>
      </c>
      <c r="I9" s="143">
        <f t="shared" si="0"/>
        <v>760409.94408945693</v>
      </c>
      <c r="J9" s="144">
        <f t="shared" si="6"/>
        <v>0.7634515838658148</v>
      </c>
      <c r="K9" s="135"/>
      <c r="L9" s="145">
        <v>0.54877905999999999</v>
      </c>
      <c r="M9" s="115"/>
      <c r="N9" s="115"/>
      <c r="O9" s="118">
        <v>8.695652173913043</v>
      </c>
      <c r="P9">
        <v>1</v>
      </c>
      <c r="Q9" s="72">
        <v>0.20027046000000001</v>
      </c>
      <c r="R9" s="146">
        <v>3.1690500000000001E-3</v>
      </c>
      <c r="S9" s="115">
        <f t="shared" si="1"/>
        <v>3.24827625</v>
      </c>
      <c r="T9" s="123"/>
      <c r="U9" s="147"/>
      <c r="V9" s="115"/>
      <c r="W9" s="123"/>
      <c r="X9" s="115"/>
      <c r="Y9" s="30"/>
      <c r="Z9" s="154"/>
      <c r="AA9" s="148"/>
      <c r="AB9" s="141"/>
    </row>
    <row r="10" spans="1:28" ht="17" hidden="1" customHeight="1">
      <c r="A10" s="52"/>
      <c r="B10" s="77" t="s">
        <v>84</v>
      </c>
      <c r="C10" s="150">
        <v>0.751</v>
      </c>
      <c r="D10" s="123">
        <f t="shared" si="2"/>
        <v>0.15451575000361001</v>
      </c>
      <c r="E10" s="141">
        <f t="shared" si="3"/>
        <v>2.4294445779582097E-3</v>
      </c>
      <c r="F10" s="115">
        <f t="shared" si="4"/>
        <v>2.4294445779582099</v>
      </c>
      <c r="G10" s="115"/>
      <c r="H10" s="142">
        <f t="shared" si="5"/>
        <v>1.5722957548997107E-2</v>
      </c>
      <c r="I10" s="143">
        <f t="shared" si="0"/>
        <v>748450.67891373811</v>
      </c>
      <c r="J10" s="144">
        <f t="shared" si="6"/>
        <v>0.75144448162939315</v>
      </c>
      <c r="K10" s="135"/>
      <c r="L10" s="149">
        <v>0.56173563999999998</v>
      </c>
      <c r="M10" s="115"/>
      <c r="N10" s="115"/>
      <c r="O10" s="72">
        <v>6.25</v>
      </c>
      <c r="P10">
        <v>1</v>
      </c>
      <c r="Q10" s="155">
        <v>0.27396361000000002</v>
      </c>
      <c r="R10" s="88">
        <v>5.7357099999999998E-3</v>
      </c>
      <c r="S10" s="115">
        <f t="shared" si="1"/>
        <v>5.8791027499999995</v>
      </c>
      <c r="T10" s="123"/>
      <c r="U10" s="147"/>
      <c r="V10" s="115"/>
      <c r="W10" s="123"/>
      <c r="X10" s="115"/>
      <c r="Y10" s="30"/>
      <c r="Z10" s="150"/>
      <c r="AA10" s="148"/>
      <c r="AB10" s="141"/>
    </row>
    <row r="11" spans="1:28" ht="17" hidden="1" customHeight="1">
      <c r="A11" s="114"/>
      <c r="B11" s="77" t="s">
        <v>85</v>
      </c>
      <c r="C11" s="150">
        <v>13.5</v>
      </c>
      <c r="D11" s="123">
        <f t="shared" si="2"/>
        <v>60.791381077499999</v>
      </c>
      <c r="E11" s="141">
        <f t="shared" si="3"/>
        <v>21.755250843749998</v>
      </c>
      <c r="F11" s="115">
        <f t="shared" si="4"/>
        <v>21755.250843749996</v>
      </c>
      <c r="G11" s="115"/>
      <c r="H11" s="142">
        <f t="shared" si="5"/>
        <v>0.35786735649277779</v>
      </c>
      <c r="I11" s="143">
        <f t="shared" si="0"/>
        <v>13454173.322683707</v>
      </c>
      <c r="J11" s="144">
        <f t="shared" si="6"/>
        <v>13.507990015974443</v>
      </c>
      <c r="K11" s="135"/>
      <c r="L11" s="156">
        <v>135.13862399999999</v>
      </c>
      <c r="M11" s="115"/>
      <c r="N11" s="115"/>
      <c r="O11" s="72">
        <v>4.716981132075472</v>
      </c>
      <c r="P11">
        <v>1</v>
      </c>
      <c r="Q11" s="72">
        <v>0.33356038999999998</v>
      </c>
      <c r="R11" s="88">
        <v>8.8422499999999994E-3</v>
      </c>
      <c r="S11" s="115">
        <f t="shared" si="1"/>
        <v>9.0633062500000001</v>
      </c>
      <c r="T11" s="123"/>
      <c r="U11" s="147"/>
      <c r="V11" s="115"/>
      <c r="W11" s="123"/>
      <c r="X11" s="115"/>
      <c r="Y11" s="30"/>
      <c r="Z11" s="150"/>
      <c r="AA11" s="148"/>
      <c r="AB11" s="141"/>
    </row>
    <row r="12" spans="1:28" ht="17" hidden="1" customHeight="1">
      <c r="A12" s="52"/>
      <c r="B12" s="77" t="s">
        <v>86</v>
      </c>
      <c r="C12" s="150">
        <v>5.4</v>
      </c>
      <c r="D12" s="123">
        <f t="shared" si="2"/>
        <v>9.1334952000000005</v>
      </c>
      <c r="E12" s="141">
        <f t="shared" si="3"/>
        <v>1.0290272400000002</v>
      </c>
      <c r="F12" s="115">
        <f t="shared" si="4"/>
        <v>1029.0272400000001</v>
      </c>
      <c r="G12" s="115"/>
      <c r="H12" s="142">
        <f t="shared" si="5"/>
        <v>0.11266521933465298</v>
      </c>
      <c r="I12" s="143">
        <f t="shared" si="0"/>
        <v>5381669.3290734831</v>
      </c>
      <c r="J12" s="144">
        <f t="shared" si="6"/>
        <v>5.403196006389777</v>
      </c>
      <c r="K12" s="135"/>
      <c r="L12" s="157">
        <v>23.024775999999999</v>
      </c>
      <c r="M12" s="115"/>
      <c r="N12" s="115"/>
      <c r="O12" s="72">
        <v>6.62</v>
      </c>
      <c r="P12">
        <v>1</v>
      </c>
      <c r="Q12" s="72">
        <v>0.31322</v>
      </c>
      <c r="R12" s="88">
        <v>6.535E-3</v>
      </c>
      <c r="S12" s="115">
        <f t="shared" si="1"/>
        <v>6.6983750000000004</v>
      </c>
      <c r="T12" s="123"/>
      <c r="U12" s="147"/>
      <c r="V12" s="115"/>
      <c r="W12" s="123"/>
      <c r="X12" s="115"/>
      <c r="Y12" s="30"/>
      <c r="Z12" s="150"/>
      <c r="AA12" s="148"/>
      <c r="AB12" s="141"/>
    </row>
    <row r="13" spans="1:28" ht="17" hidden="1" customHeight="1">
      <c r="A13" s="52"/>
      <c r="B13" s="77" t="s">
        <v>1</v>
      </c>
      <c r="C13" s="150">
        <v>7.05</v>
      </c>
      <c r="D13" s="123">
        <f t="shared" si="2"/>
        <v>15.700556025674999</v>
      </c>
      <c r="E13" s="141">
        <f t="shared" si="3"/>
        <v>2.5692501592350001</v>
      </c>
      <c r="F13" s="115">
        <f t="shared" si="4"/>
        <v>2569.250159235</v>
      </c>
      <c r="G13" s="115"/>
      <c r="H13" s="142">
        <f t="shared" si="5"/>
        <v>0.16364071151579124</v>
      </c>
      <c r="I13" s="143">
        <f t="shared" si="0"/>
        <v>7026068.2907348247</v>
      </c>
      <c r="J13" s="144">
        <f t="shared" si="6"/>
        <v>7.0541725638977644</v>
      </c>
      <c r="K13" s="135"/>
      <c r="L13" s="156">
        <v>33.498908</v>
      </c>
      <c r="M13" s="115"/>
      <c r="N13" s="115"/>
      <c r="O13">
        <v>5.75</v>
      </c>
      <c r="P13">
        <v>1</v>
      </c>
      <c r="Q13" s="119">
        <v>0.31589066999999998</v>
      </c>
      <c r="R13" s="88">
        <v>7.33228E-3</v>
      </c>
      <c r="S13" s="115">
        <f t="shared" si="1"/>
        <v>7.515587</v>
      </c>
      <c r="T13" s="123"/>
      <c r="U13" s="147"/>
      <c r="V13" s="115"/>
      <c r="W13" s="123"/>
      <c r="X13" s="115"/>
      <c r="Y13" s="30"/>
      <c r="Z13" s="150"/>
      <c r="AA13" s="148"/>
      <c r="AB13" s="141"/>
    </row>
    <row r="14" spans="1:28" ht="17" hidden="1" customHeight="1">
      <c r="A14" s="52"/>
      <c r="B14" s="77" t="s">
        <v>55</v>
      </c>
      <c r="C14" s="150">
        <v>1.38</v>
      </c>
      <c r="D14" s="123">
        <f t="shared" si="2"/>
        <v>0.68215449934799988</v>
      </c>
      <c r="E14" s="141">
        <f t="shared" si="3"/>
        <v>2.5056012167279998E-2</v>
      </c>
      <c r="F14" s="115">
        <f t="shared" si="4"/>
        <v>25.056012167279999</v>
      </c>
      <c r="G14" s="115"/>
      <c r="H14" s="142">
        <f t="shared" si="5"/>
        <v>3.6730699850588716E-2</v>
      </c>
      <c r="I14" s="143">
        <f t="shared" si="0"/>
        <v>1375315.4952076676</v>
      </c>
      <c r="J14" s="144">
        <f t="shared" si="6"/>
        <v>1.3808167571884984</v>
      </c>
      <c r="K14" s="135"/>
      <c r="L14" s="156">
        <v>2.8560438000000001</v>
      </c>
      <c r="M14" s="115"/>
      <c r="N14" s="115"/>
      <c r="O14" s="72">
        <v>5.71</v>
      </c>
      <c r="P14">
        <v>1</v>
      </c>
      <c r="Q14" s="72">
        <v>0.35819917000000001</v>
      </c>
      <c r="R14" s="88">
        <v>9.5339900000000009E-3</v>
      </c>
      <c r="S14" s="115">
        <f t="shared" si="1"/>
        <v>9.7723397500000004</v>
      </c>
      <c r="T14" s="123"/>
      <c r="U14" s="147"/>
      <c r="V14" s="115"/>
      <c r="W14" s="123"/>
      <c r="X14" s="115"/>
      <c r="Y14" s="30"/>
      <c r="Z14" s="150"/>
      <c r="AA14" s="148"/>
      <c r="AB14" s="141"/>
    </row>
    <row r="15" spans="1:28" ht="17" hidden="1" customHeight="1">
      <c r="A15" s="52"/>
      <c r="B15" s="77" t="s">
        <v>3</v>
      </c>
      <c r="C15" s="150">
        <v>3.97</v>
      </c>
      <c r="D15" s="123">
        <f t="shared" si="2"/>
        <v>6.1037462810870009</v>
      </c>
      <c r="E15" s="141">
        <f t="shared" si="3"/>
        <v>0.6709901984201001</v>
      </c>
      <c r="F15" s="115">
        <f t="shared" si="4"/>
        <v>670.99019842010011</v>
      </c>
      <c r="G15" s="115"/>
      <c r="H15" s="142">
        <f t="shared" si="5"/>
        <v>0.10993087974498919</v>
      </c>
      <c r="I15" s="143">
        <f t="shared" si="0"/>
        <v>3956523.5623003193</v>
      </c>
      <c r="J15" s="144">
        <f t="shared" si="6"/>
        <v>3.9723496565495209</v>
      </c>
      <c r="K15" s="135"/>
      <c r="L15" s="158">
        <v>16.393551599999999</v>
      </c>
      <c r="M15" s="115"/>
      <c r="N15" s="115"/>
      <c r="O15" s="72">
        <v>4.694835680751174</v>
      </c>
      <c r="P15">
        <v>1</v>
      </c>
      <c r="Q15" s="72">
        <v>0.38727143000000003</v>
      </c>
      <c r="R15" s="88">
        <v>1.0723699999999999E-2</v>
      </c>
      <c r="S15" s="115">
        <f t="shared" si="1"/>
        <v>10.991792499999999</v>
      </c>
      <c r="T15" s="123"/>
      <c r="U15" s="147"/>
      <c r="V15" s="115"/>
      <c r="W15" s="123"/>
      <c r="X15" s="115"/>
      <c r="Y15" s="30"/>
      <c r="Z15" s="150"/>
      <c r="AA15" s="148"/>
      <c r="AB15" s="141"/>
    </row>
    <row r="16" spans="1:28" ht="17" hidden="1" customHeight="1">
      <c r="A16" s="52"/>
      <c r="B16" s="77" t="s">
        <v>4</v>
      </c>
      <c r="C16" s="150">
        <v>2.5</v>
      </c>
      <c r="D16" s="123">
        <f t="shared" si="2"/>
        <v>2.5437499999999997</v>
      </c>
      <c r="E16" s="141">
        <f t="shared" si="3"/>
        <v>0.18124999999999999</v>
      </c>
      <c r="F16" s="115">
        <f t="shared" si="4"/>
        <v>181.25</v>
      </c>
      <c r="G16" s="115"/>
      <c r="H16" s="142">
        <f t="shared" si="5"/>
        <v>7.125307125307126E-2</v>
      </c>
      <c r="I16" s="143">
        <f t="shared" si="0"/>
        <v>2491513.5782747604</v>
      </c>
      <c r="J16" s="144">
        <f t="shared" si="6"/>
        <v>2.5014796325878597</v>
      </c>
      <c r="K16" s="135"/>
      <c r="L16" s="158">
        <v>6.4352194000000003</v>
      </c>
      <c r="M16" s="115"/>
      <c r="N16" s="115"/>
      <c r="O16">
        <v>4.8499999999999996</v>
      </c>
      <c r="P16">
        <v>1</v>
      </c>
      <c r="Q16" s="72">
        <v>0.40699999999999997</v>
      </c>
      <c r="R16" s="88">
        <v>1.1599999999999999E-2</v>
      </c>
      <c r="S16" s="115">
        <f t="shared" si="1"/>
        <v>11.889999999999999</v>
      </c>
      <c r="T16" s="123"/>
      <c r="U16" s="147"/>
      <c r="V16" s="115"/>
      <c r="W16" s="123"/>
      <c r="X16" s="115"/>
      <c r="Y16" s="30"/>
      <c r="Z16" s="150"/>
      <c r="AA16" s="148"/>
      <c r="AB16" s="141"/>
    </row>
    <row r="17" spans="1:29" ht="17" hidden="1" customHeight="1">
      <c r="A17" s="52"/>
      <c r="B17" s="114"/>
      <c r="F17" s="115"/>
      <c r="G17" s="115"/>
      <c r="K17" s="115"/>
      <c r="L17" s="123"/>
    </row>
    <row r="18" spans="1:29" ht="17" hidden="1" customHeight="1">
      <c r="A18" s="52"/>
      <c r="B18" s="114"/>
      <c r="F18" s="115"/>
      <c r="G18" s="115"/>
      <c r="K18" s="115"/>
      <c r="L18" s="123"/>
    </row>
    <row r="19" spans="1:29" ht="17" hidden="1" customHeight="1"/>
    <row r="20" spans="1:29" ht="17" hidden="1" customHeight="1">
      <c r="O20" s="159"/>
      <c r="P20" s="34"/>
      <c r="R20" s="39"/>
      <c r="S20" s="121"/>
      <c r="T20" s="118"/>
      <c r="U20" s="123"/>
      <c r="V20" s="147"/>
      <c r="W20" s="115"/>
      <c r="X20" s="123"/>
      <c r="Y20" s="115"/>
      <c r="Z20" s="30"/>
      <c r="AA20" s="150"/>
      <c r="AB20" s="160"/>
      <c r="AC20" s="38"/>
    </row>
    <row r="21" spans="1:29" ht="17" hidden="1" customHeight="1">
      <c r="O21" s="126"/>
      <c r="P21" s="126"/>
      <c r="Q21" s="126"/>
    </row>
    <row r="22" spans="1:29" ht="17" hidden="1" customHeight="1">
      <c r="O22" s="126"/>
      <c r="P22" s="126"/>
      <c r="Q22" s="126"/>
    </row>
    <row r="23" spans="1:29" ht="17" hidden="1" customHeight="1">
      <c r="B23" s="77"/>
      <c r="O23" s="126"/>
      <c r="P23" s="126"/>
      <c r="Q23" s="126"/>
    </row>
    <row r="24" spans="1:29" ht="17" hidden="1" customHeight="1">
      <c r="O24" s="126"/>
      <c r="P24" s="126"/>
      <c r="Q24" s="126"/>
    </row>
    <row r="25" spans="1:29" ht="17" hidden="1" customHeight="1">
      <c r="O25" s="126"/>
      <c r="P25" s="126"/>
      <c r="Q25" s="126"/>
    </row>
    <row r="26" spans="1:29" ht="17" hidden="1" customHeight="1">
      <c r="O26" s="126"/>
      <c r="P26" s="126"/>
      <c r="Q26" s="126"/>
    </row>
    <row r="27" spans="1:29" ht="17" hidden="1" customHeight="1">
      <c r="O27" s="126"/>
      <c r="P27" s="126"/>
      <c r="Q27" s="126"/>
    </row>
    <row r="28" spans="1:29" ht="17" hidden="1" customHeight="1">
      <c r="O28" s="126"/>
      <c r="P28" s="126"/>
      <c r="Q28" s="126"/>
    </row>
    <row r="29" spans="1:29" ht="17" hidden="1" customHeight="1">
      <c r="O29" s="126"/>
      <c r="P29" s="126"/>
      <c r="Q29" s="126"/>
    </row>
    <row r="30" spans="1:29" ht="17" hidden="1" customHeight="1">
      <c r="O30" s="126"/>
      <c r="P30" s="126"/>
      <c r="Q30" s="126"/>
    </row>
    <row r="31" spans="1:29" ht="17" hidden="1" customHeight="1">
      <c r="O31" s="126"/>
      <c r="P31" s="126"/>
      <c r="Q31" s="126"/>
    </row>
    <row r="32" spans="1:29" ht="17" hidden="1" customHeight="1">
      <c r="O32" s="126"/>
      <c r="P32" s="126"/>
      <c r="Q32" s="126"/>
    </row>
    <row r="33" spans="15:17" ht="17" hidden="1" customHeight="1">
      <c r="O33" s="126"/>
      <c r="P33" s="126"/>
      <c r="Q33" s="126"/>
    </row>
    <row r="34" spans="15:17" ht="17" hidden="1" customHeight="1">
      <c r="O34" s="126"/>
      <c r="P34" s="126"/>
      <c r="Q34" s="126"/>
    </row>
    <row r="35" spans="15:17" ht="17" hidden="1" customHeight="1">
      <c r="O35" s="126"/>
      <c r="P35" s="126"/>
      <c r="Q35" s="126"/>
    </row>
    <row r="36" spans="15:17" ht="17" hidden="1" customHeight="1">
      <c r="O36" s="126"/>
      <c r="P36" s="161"/>
      <c r="Q36" s="161"/>
    </row>
    <row r="37" spans="15:17" ht="17" hidden="1" customHeight="1">
      <c r="O37" s="126"/>
      <c r="P37" s="161"/>
      <c r="Q37" s="161"/>
    </row>
    <row r="38" spans="15:17" ht="17" hidden="1" customHeight="1">
      <c r="O38" s="126"/>
      <c r="P38" s="161"/>
      <c r="Q38" s="161"/>
    </row>
    <row r="39" spans="15:17" ht="17" hidden="1" customHeight="1">
      <c r="O39" s="126"/>
      <c r="P39" s="126"/>
      <c r="Q39" s="126"/>
    </row>
    <row r="40" spans="15:17" ht="17" hidden="1" customHeight="1">
      <c r="O40" s="126"/>
      <c r="P40" s="126"/>
      <c r="Q40" s="126"/>
    </row>
    <row r="41" spans="15:17" ht="17" hidden="1" customHeight="1">
      <c r="O41" s="126"/>
      <c r="P41" s="126"/>
      <c r="Q41" s="126"/>
    </row>
    <row r="42" spans="15:17" ht="17" hidden="1" customHeight="1">
      <c r="O42" s="126"/>
      <c r="P42" s="126"/>
      <c r="Q42" s="126"/>
    </row>
    <row r="43" spans="15:17" ht="17" hidden="1" customHeight="1">
      <c r="O43" s="126"/>
      <c r="P43" s="126"/>
      <c r="Q43" s="126"/>
    </row>
    <row r="44" spans="15:17" ht="17" hidden="1" customHeight="1"/>
    <row r="45" spans="15:17" ht="17" hidden="1" customHeight="1"/>
    <row r="46" spans="15:17" ht="17" hidden="1" customHeight="1"/>
    <row r="47" spans="15:17" ht="17" hidden="1" customHeight="1"/>
    <row r="48" spans="15:17" ht="17" hidden="1" customHeight="1"/>
    <row r="49" spans="1:20" ht="17" hidden="1" customHeight="1"/>
    <row r="50" spans="1:20" ht="17" hidden="1" customHeight="1"/>
    <row r="51" spans="1:20" ht="17" hidden="1" customHeight="1"/>
    <row r="52" spans="1:20" ht="17" hidden="1" customHeight="1"/>
    <row r="53" spans="1:20" ht="17" hidden="1" customHeight="1"/>
    <row r="54" spans="1:20" ht="17" hidden="1" customHeight="1"/>
    <row r="55" spans="1:20" ht="17" hidden="1" customHeight="1"/>
    <row r="56" spans="1:20" ht="17" hidden="1" customHeight="1">
      <c r="A56" s="114"/>
    </row>
    <row r="57" spans="1:20" ht="17" hidden="1" customHeight="1"/>
    <row r="58" spans="1:20" ht="17" hidden="1" customHeight="1"/>
    <row r="59" spans="1:20" ht="17" hidden="1" customHeight="1">
      <c r="B59" s="117" t="s">
        <v>87</v>
      </c>
      <c r="O59" s="126"/>
      <c r="P59" s="126"/>
      <c r="Q59" s="126"/>
    </row>
    <row r="60" spans="1:20" ht="17" hidden="1" customHeight="1">
      <c r="A60" s="52"/>
      <c r="O60" s="126"/>
      <c r="P60" s="126"/>
      <c r="Q60" s="126"/>
    </row>
    <row r="61" spans="1:20" ht="17" hidden="1" customHeight="1">
      <c r="A61" s="52"/>
      <c r="C61" s="40" t="s">
        <v>71</v>
      </c>
      <c r="I61" s="117" t="s">
        <v>72</v>
      </c>
      <c r="J61" s="117"/>
      <c r="K61" s="117"/>
      <c r="P61" s="40" t="s">
        <v>73</v>
      </c>
    </row>
    <row r="62" spans="1:20" ht="17" hidden="1" customHeight="1">
      <c r="A62" s="52"/>
      <c r="C62" s="47" t="s">
        <v>57</v>
      </c>
      <c r="D62" s="47" t="s">
        <v>74</v>
      </c>
      <c r="E62" s="47" t="s">
        <v>75</v>
      </c>
      <c r="F62" s="47" t="s">
        <v>48</v>
      </c>
      <c r="G62" s="47"/>
      <c r="H62" s="47" t="s">
        <v>49</v>
      </c>
      <c r="I62" s="39" t="s">
        <v>76</v>
      </c>
      <c r="J62" s="139" t="s">
        <v>77</v>
      </c>
      <c r="K62" s="140"/>
      <c r="L62" s="47" t="s">
        <v>78</v>
      </c>
      <c r="M62" s="47"/>
      <c r="N62" s="47"/>
      <c r="O62" s="47" t="s">
        <v>45</v>
      </c>
      <c r="P62" s="47" t="s">
        <v>57</v>
      </c>
      <c r="Q62" s="47" t="s">
        <v>74</v>
      </c>
      <c r="R62" s="47" t="s">
        <v>75</v>
      </c>
      <c r="S62" s="47" t="s">
        <v>48</v>
      </c>
      <c r="T62" s="47" t="s">
        <v>88</v>
      </c>
    </row>
    <row r="63" spans="1:20" ht="17" hidden="1" customHeight="1">
      <c r="A63" s="52"/>
      <c r="B63" s="162" t="s">
        <v>79</v>
      </c>
      <c r="C63" s="76">
        <v>0.4</v>
      </c>
      <c r="D63" s="123">
        <f>+Q63*C63^2</f>
        <v>3.7565440000000005E-2</v>
      </c>
      <c r="E63" s="141">
        <f>+R63*C63^3</f>
        <v>2.8089600000000004E-4</v>
      </c>
      <c r="F63" s="115">
        <f>+E63*1000</f>
        <v>0.28089600000000003</v>
      </c>
      <c r="G63" s="115"/>
      <c r="H63" s="123">
        <f>E63/D63</f>
        <v>7.4775112443778114E-3</v>
      </c>
      <c r="I63" s="143">
        <f t="shared" ref="I63:I74" si="7">C63*998.2*1/0.0010016</f>
        <v>398642.17252396169</v>
      </c>
      <c r="J63" s="144">
        <f>+I63*0.000001004/1</f>
        <v>0.40023674121405756</v>
      </c>
      <c r="K63" s="135"/>
      <c r="L63" s="145">
        <v>0.164102888</v>
      </c>
      <c r="M63" s="115"/>
      <c r="N63" s="115"/>
      <c r="O63" s="39">
        <v>7.72</v>
      </c>
      <c r="P63">
        <v>1</v>
      </c>
      <c r="Q63" s="72">
        <v>0.23478399999999999</v>
      </c>
      <c r="R63" s="146">
        <v>4.3889999999999997E-3</v>
      </c>
      <c r="S63" s="115">
        <f t="shared" ref="S63:S74" si="8">+R63*1025</f>
        <v>4.4987249999999994</v>
      </c>
      <c r="T63" s="75">
        <v>1</v>
      </c>
    </row>
    <row r="64" spans="1:20" ht="17" hidden="1" customHeight="1">
      <c r="A64" s="52"/>
      <c r="B64" s="162" t="s">
        <v>80</v>
      </c>
      <c r="C64" s="76">
        <v>0.47</v>
      </c>
      <c r="D64" s="123">
        <f>+Q64*C64^2</f>
        <v>4.177808803E-2</v>
      </c>
      <c r="E64" s="141">
        <f>+R64*C64^3</f>
        <v>3.0041185049999996E-4</v>
      </c>
      <c r="F64" s="115">
        <f>+E64*1000</f>
        <v>0.30041185049999997</v>
      </c>
      <c r="G64" s="115"/>
      <c r="H64" s="123">
        <f>E64/D64</f>
        <v>7.1906557878924542E-3</v>
      </c>
      <c r="I64" s="143">
        <f t="shared" si="7"/>
        <v>468404.55271565489</v>
      </c>
      <c r="J64" s="144">
        <f>+I64*0.000001004/1</f>
        <v>0.47027817092651752</v>
      </c>
      <c r="K64" s="135"/>
      <c r="L64" s="149">
        <v>0.17262496399999999</v>
      </c>
      <c r="M64" s="115"/>
      <c r="N64" s="115"/>
      <c r="O64" s="39">
        <v>9.17</v>
      </c>
      <c r="P64">
        <v>1</v>
      </c>
      <c r="Q64" s="72">
        <v>0.18912670000000001</v>
      </c>
      <c r="R64" s="88">
        <v>2.8934999999999998E-3</v>
      </c>
      <c r="S64" s="115">
        <f t="shared" si="8"/>
        <v>2.9658374999999997</v>
      </c>
      <c r="T64" s="75">
        <v>1</v>
      </c>
    </row>
    <row r="65" spans="1:20" ht="17" hidden="1" customHeight="1">
      <c r="A65" s="52"/>
      <c r="B65" s="162" t="s">
        <v>81</v>
      </c>
      <c r="C65" s="150">
        <f>+AVERAGE(C63:C64)</f>
        <v>0.435</v>
      </c>
      <c r="D65" s="150">
        <f>+AVERAGE(D63:D64)</f>
        <v>3.9671764014999999E-2</v>
      </c>
      <c r="E65" s="151">
        <f>+AVERAGE(E63:E64)</f>
        <v>2.9065392524999997E-4</v>
      </c>
      <c r="F65" s="39">
        <f>+AVERAGE(F62:F63,F64)</f>
        <v>0.29065392525</v>
      </c>
      <c r="G65" s="39"/>
      <c r="H65" s="39">
        <f>+AVERAGE(H62:H63,H64)</f>
        <v>7.3340835161351328E-3</v>
      </c>
      <c r="I65" s="143">
        <f t="shared" si="7"/>
        <v>433523.36261980835</v>
      </c>
      <c r="J65" s="152">
        <f>+AVERAGE(J62:J63,J64)</f>
        <v>0.43525745607028754</v>
      </c>
      <c r="K65" s="135"/>
      <c r="L65" s="145">
        <f>+AVERAGE(L64,L63)</f>
        <v>0.168363926</v>
      </c>
      <c r="M65" s="115"/>
      <c r="N65" s="115"/>
      <c r="O65" s="39">
        <v>7.72</v>
      </c>
      <c r="P65">
        <v>1</v>
      </c>
      <c r="Q65" s="47"/>
      <c r="R65" s="125">
        <f>+AVERAGE(R63,R64)</f>
        <v>3.6412499999999995E-3</v>
      </c>
      <c r="S65" s="115">
        <f t="shared" si="8"/>
        <v>3.7322812499999993</v>
      </c>
      <c r="T65" s="75">
        <v>1</v>
      </c>
    </row>
    <row r="66" spans="1:20" ht="17" hidden="1" customHeight="1">
      <c r="A66" s="52"/>
      <c r="B66" s="162" t="s">
        <v>82</v>
      </c>
      <c r="C66" s="163">
        <v>2.5619999999999998</v>
      </c>
      <c r="D66" s="123">
        <f t="shared" ref="D66:D74" si="9">+Q66*C66^2</f>
        <v>1.4183624742814798</v>
      </c>
      <c r="E66" s="141">
        <f t="shared" ref="E66:E74" si="10">+R66*C66^3</f>
        <v>6.2826362942041428E-2</v>
      </c>
      <c r="F66" s="115">
        <f t="shared" ref="F66:F74" si="11">+E66*1000</f>
        <v>62.826362942041428</v>
      </c>
      <c r="G66" s="115"/>
      <c r="H66" s="123">
        <f t="shared" ref="H66:H74" si="12">E66/D66</f>
        <v>4.4294997986229351E-2</v>
      </c>
      <c r="I66" s="143">
        <f t="shared" si="7"/>
        <v>2553303.1150159743</v>
      </c>
      <c r="J66" s="144">
        <f t="shared" ref="J66:J74" si="13">+I66*0.000001004/1</f>
        <v>2.5635163274760382</v>
      </c>
      <c r="K66" s="135"/>
      <c r="L66" s="145">
        <v>3.8614169999999999</v>
      </c>
      <c r="M66" s="115"/>
      <c r="N66" s="115"/>
      <c r="O66" s="118">
        <v>7.614986293024673</v>
      </c>
      <c r="P66">
        <v>1</v>
      </c>
      <c r="Q66" s="72">
        <v>0.21608717</v>
      </c>
      <c r="R66" s="88">
        <v>3.7359799999999999E-3</v>
      </c>
      <c r="S66" s="115">
        <f t="shared" si="8"/>
        <v>3.8293794999999999</v>
      </c>
      <c r="T66" s="75">
        <v>1</v>
      </c>
    </row>
    <row r="67" spans="1:20" ht="17" hidden="1" customHeight="1">
      <c r="A67" s="52"/>
      <c r="B67" s="162" t="s">
        <v>83</v>
      </c>
      <c r="C67" s="164">
        <v>0.76300000000000001</v>
      </c>
      <c r="D67" s="123">
        <f t="shared" si="9"/>
        <v>0.11659125342774002</v>
      </c>
      <c r="E67" s="141">
        <f t="shared" si="10"/>
        <v>1.4076759967903503E-3</v>
      </c>
      <c r="F67" s="115">
        <f t="shared" si="11"/>
        <v>1.4076759967903503</v>
      </c>
      <c r="G67" s="115"/>
      <c r="H67" s="123">
        <f t="shared" si="12"/>
        <v>1.2073598622582683E-2</v>
      </c>
      <c r="I67" s="143">
        <f t="shared" si="7"/>
        <v>760409.94408945693</v>
      </c>
      <c r="J67" s="144">
        <f t="shared" si="13"/>
        <v>0.7634515838658148</v>
      </c>
      <c r="K67" s="135"/>
      <c r="L67" s="145">
        <v>0.54877905999999999</v>
      </c>
      <c r="M67" s="115"/>
      <c r="N67" s="115"/>
      <c r="O67" s="118">
        <v>8.695652173913043</v>
      </c>
      <c r="P67">
        <v>1</v>
      </c>
      <c r="Q67" s="72">
        <v>0.20027046000000001</v>
      </c>
      <c r="R67" s="146">
        <v>3.1690500000000001E-3</v>
      </c>
      <c r="S67" s="115">
        <f t="shared" si="8"/>
        <v>3.24827625</v>
      </c>
      <c r="T67" s="75">
        <v>1</v>
      </c>
    </row>
    <row r="68" spans="1:20" ht="17" hidden="1" customHeight="1">
      <c r="A68" s="52"/>
      <c r="B68" s="162" t="s">
        <v>84</v>
      </c>
      <c r="C68" s="164">
        <v>0.751</v>
      </c>
      <c r="D68" s="123">
        <f t="shared" si="9"/>
        <v>0.15451575000361001</v>
      </c>
      <c r="E68" s="141">
        <f t="shared" si="10"/>
        <v>2.4294445779582097E-3</v>
      </c>
      <c r="F68" s="115">
        <f t="shared" si="11"/>
        <v>2.4294445779582099</v>
      </c>
      <c r="G68" s="115"/>
      <c r="H68" s="123">
        <f t="shared" si="12"/>
        <v>1.5722957548997107E-2</v>
      </c>
      <c r="I68" s="143">
        <f t="shared" si="7"/>
        <v>748450.67891373811</v>
      </c>
      <c r="J68" s="144">
        <f t="shared" si="13"/>
        <v>0.75144448162939315</v>
      </c>
      <c r="K68" s="135"/>
      <c r="L68" s="149">
        <v>0.56173563999999998</v>
      </c>
      <c r="M68" s="115"/>
      <c r="N68" s="115"/>
      <c r="O68" s="72">
        <v>6.25</v>
      </c>
      <c r="P68">
        <v>1</v>
      </c>
      <c r="Q68" s="155">
        <v>0.27396361000000002</v>
      </c>
      <c r="R68" s="88">
        <v>5.7357099999999998E-3</v>
      </c>
      <c r="S68" s="115">
        <f t="shared" si="8"/>
        <v>5.8791027499999995</v>
      </c>
      <c r="T68" s="75">
        <v>1</v>
      </c>
    </row>
    <row r="69" spans="1:20" ht="17" hidden="1" customHeight="1">
      <c r="A69" s="114"/>
      <c r="B69" s="165" t="s">
        <v>85</v>
      </c>
      <c r="C69" s="166">
        <v>13.5</v>
      </c>
      <c r="D69" s="123">
        <f t="shared" si="9"/>
        <v>60.791381077499999</v>
      </c>
      <c r="E69" s="141">
        <f t="shared" si="10"/>
        <v>21.755250843749998</v>
      </c>
      <c r="F69" s="115">
        <f t="shared" si="11"/>
        <v>21755.250843749996</v>
      </c>
      <c r="G69" s="115"/>
      <c r="H69" s="123">
        <f t="shared" si="12"/>
        <v>0.35786735649277779</v>
      </c>
      <c r="I69" s="143">
        <f t="shared" si="7"/>
        <v>13454173.322683707</v>
      </c>
      <c r="J69" s="144">
        <f t="shared" si="13"/>
        <v>13.507990015974443</v>
      </c>
      <c r="K69" s="135"/>
      <c r="L69" s="167">
        <v>503.23840439999998</v>
      </c>
      <c r="M69" s="115"/>
      <c r="N69" s="115"/>
      <c r="O69" s="72">
        <v>4.716981132075472</v>
      </c>
      <c r="P69">
        <v>1</v>
      </c>
      <c r="Q69" s="72">
        <v>0.33356038999999998</v>
      </c>
      <c r="R69" s="88">
        <v>8.8422499999999994E-3</v>
      </c>
      <c r="S69" s="115">
        <f t="shared" si="8"/>
        <v>9.0633062500000001</v>
      </c>
      <c r="T69" s="168">
        <v>2</v>
      </c>
    </row>
    <row r="70" spans="1:20" ht="17" hidden="1" customHeight="1">
      <c r="A70" s="52"/>
      <c r="B70" s="165" t="s">
        <v>86</v>
      </c>
      <c r="C70" s="166">
        <v>5.4</v>
      </c>
      <c r="D70" s="123">
        <f t="shared" si="9"/>
        <v>9.1334952000000005</v>
      </c>
      <c r="E70" s="141">
        <f t="shared" si="10"/>
        <v>1.0290272400000002</v>
      </c>
      <c r="F70" s="115">
        <f t="shared" si="11"/>
        <v>1029.0272400000001</v>
      </c>
      <c r="G70" s="115"/>
      <c r="H70" s="123">
        <f t="shared" si="12"/>
        <v>0.11266521933465298</v>
      </c>
      <c r="I70" s="143">
        <f t="shared" si="7"/>
        <v>5381669.3290734831</v>
      </c>
      <c r="J70" s="144">
        <f t="shared" si="13"/>
        <v>5.403196006389777</v>
      </c>
      <c r="K70" s="135"/>
      <c r="L70" s="134">
        <v>83.432969909999997</v>
      </c>
      <c r="M70" s="115"/>
      <c r="N70" s="115"/>
      <c r="O70" s="72">
        <v>6.62</v>
      </c>
      <c r="P70">
        <v>1</v>
      </c>
      <c r="Q70" s="72">
        <v>0.31322</v>
      </c>
      <c r="R70" s="88">
        <v>6.535E-3</v>
      </c>
      <c r="S70" s="115">
        <f t="shared" si="8"/>
        <v>6.6983750000000004</v>
      </c>
      <c r="T70" s="168">
        <v>2</v>
      </c>
    </row>
    <row r="71" spans="1:20" ht="17" hidden="1" customHeight="1">
      <c r="A71" s="52"/>
      <c r="B71" s="165" t="s">
        <v>1</v>
      </c>
      <c r="C71" s="166">
        <v>7.05</v>
      </c>
      <c r="D71" s="123">
        <f t="shared" si="9"/>
        <v>15.700556025674999</v>
      </c>
      <c r="E71" s="141">
        <f t="shared" si="10"/>
        <v>2.5692501592350001</v>
      </c>
      <c r="F71" s="115">
        <f t="shared" si="11"/>
        <v>2569.250159235</v>
      </c>
      <c r="G71" s="115"/>
      <c r="H71" s="123">
        <f t="shared" si="12"/>
        <v>0.16364071151579124</v>
      </c>
      <c r="I71" s="143">
        <f t="shared" si="7"/>
        <v>7026068.2907348247</v>
      </c>
      <c r="J71" s="144">
        <f t="shared" si="13"/>
        <v>7.0541725638977644</v>
      </c>
      <c r="K71" s="135"/>
      <c r="L71" s="134">
        <v>119.4848899</v>
      </c>
      <c r="M71" s="115"/>
      <c r="N71" s="115"/>
      <c r="O71">
        <v>5.75</v>
      </c>
      <c r="P71">
        <v>1</v>
      </c>
      <c r="Q71" s="119">
        <v>0.31589066999999998</v>
      </c>
      <c r="R71" s="88">
        <v>7.33228E-3</v>
      </c>
      <c r="S71" s="115">
        <f t="shared" si="8"/>
        <v>7.515587</v>
      </c>
      <c r="T71" s="168">
        <v>2</v>
      </c>
    </row>
    <row r="72" spans="1:20" ht="17" hidden="1" customHeight="1">
      <c r="A72" s="52"/>
      <c r="B72" s="165" t="s">
        <v>55</v>
      </c>
      <c r="C72" s="166">
        <v>1.38</v>
      </c>
      <c r="D72" s="123">
        <f t="shared" si="9"/>
        <v>0.68215449934799988</v>
      </c>
      <c r="E72" s="141">
        <f t="shared" si="10"/>
        <v>2.5056012167279998E-2</v>
      </c>
      <c r="F72" s="115">
        <f t="shared" si="11"/>
        <v>25.056012167279999</v>
      </c>
      <c r="G72" s="115"/>
      <c r="H72" s="123">
        <f t="shared" si="12"/>
        <v>3.6730699850588716E-2</v>
      </c>
      <c r="I72" s="143">
        <f t="shared" si="7"/>
        <v>1375315.4952076676</v>
      </c>
      <c r="J72" s="144">
        <f t="shared" si="13"/>
        <v>1.3808167571884984</v>
      </c>
      <c r="K72" s="135"/>
      <c r="L72" s="167">
        <v>9.9268748309999992</v>
      </c>
      <c r="M72" s="115"/>
      <c r="N72" s="115"/>
      <c r="O72" s="72">
        <v>5.71</v>
      </c>
      <c r="P72">
        <v>1</v>
      </c>
      <c r="Q72" s="72">
        <v>0.35819917000000001</v>
      </c>
      <c r="R72" s="88">
        <v>9.5339900000000009E-3</v>
      </c>
      <c r="S72" s="115">
        <f t="shared" si="8"/>
        <v>9.7723397500000004</v>
      </c>
      <c r="T72" s="168">
        <v>2</v>
      </c>
    </row>
    <row r="73" spans="1:20" ht="17" hidden="1" customHeight="1">
      <c r="A73" s="52"/>
      <c r="B73" s="165" t="s">
        <v>3</v>
      </c>
      <c r="C73" s="166">
        <v>3.97</v>
      </c>
      <c r="D73" s="123">
        <f t="shared" si="9"/>
        <v>6.1037462810870009</v>
      </c>
      <c r="E73" s="141">
        <f t="shared" si="10"/>
        <v>0.6709901984201001</v>
      </c>
      <c r="F73" s="115">
        <f t="shared" si="11"/>
        <v>670.99019842010011</v>
      </c>
      <c r="G73" s="115"/>
      <c r="H73" s="123">
        <f t="shared" si="12"/>
        <v>0.10993087974498919</v>
      </c>
      <c r="I73" s="143">
        <f t="shared" si="7"/>
        <v>3956523.5623003193</v>
      </c>
      <c r="J73" s="144">
        <f t="shared" si="13"/>
        <v>3.9723496565495209</v>
      </c>
      <c r="K73" s="135"/>
      <c r="L73" s="167">
        <v>59.81397535</v>
      </c>
      <c r="M73" s="115"/>
      <c r="N73" s="115"/>
      <c r="O73" s="72">
        <v>4.694835680751174</v>
      </c>
      <c r="P73">
        <v>1</v>
      </c>
      <c r="Q73" s="72">
        <v>0.38727143000000003</v>
      </c>
      <c r="R73" s="88">
        <v>1.0723699999999999E-2</v>
      </c>
      <c r="S73" s="115">
        <f t="shared" si="8"/>
        <v>10.991792499999999</v>
      </c>
      <c r="T73" s="168">
        <v>2</v>
      </c>
    </row>
    <row r="74" spans="1:20" ht="17" hidden="1" customHeight="1">
      <c r="A74" s="52"/>
      <c r="B74" s="165" t="s">
        <v>4</v>
      </c>
      <c r="C74" s="166">
        <v>2.5</v>
      </c>
      <c r="D74" s="123">
        <f t="shared" si="9"/>
        <v>2.5437499999999997</v>
      </c>
      <c r="E74" s="141">
        <f t="shared" si="10"/>
        <v>0.18124999999999999</v>
      </c>
      <c r="F74" s="115">
        <f t="shared" si="11"/>
        <v>181.25</v>
      </c>
      <c r="G74" s="115"/>
      <c r="H74" s="123">
        <f t="shared" si="12"/>
        <v>7.125307125307126E-2</v>
      </c>
      <c r="I74" s="143">
        <f t="shared" si="7"/>
        <v>2491513.5782747604</v>
      </c>
      <c r="J74" s="144">
        <f t="shared" si="13"/>
        <v>2.5014796325878597</v>
      </c>
      <c r="K74" s="135"/>
      <c r="L74" s="134">
        <v>23.667415999999999</v>
      </c>
      <c r="M74" s="115"/>
      <c r="N74" s="115"/>
      <c r="O74">
        <v>4.8499999999999996</v>
      </c>
      <c r="P74">
        <v>1</v>
      </c>
      <c r="Q74" s="72">
        <v>0.40699999999999997</v>
      </c>
      <c r="R74" s="88">
        <v>1.1599999999999999E-2</v>
      </c>
      <c r="S74" s="115">
        <f t="shared" si="8"/>
        <v>11.889999999999999</v>
      </c>
      <c r="T74" s="168">
        <v>2</v>
      </c>
    </row>
    <row r="75" spans="1:20" ht="17" hidden="1" customHeight="1"/>
    <row r="76" spans="1:20" ht="17" hidden="1" customHeight="1"/>
    <row r="77" spans="1:20" ht="17" hidden="1" customHeight="1"/>
    <row r="78" spans="1:20" ht="17" hidden="1" customHeight="1"/>
    <row r="79" spans="1:20" ht="17" hidden="1" customHeight="1"/>
    <row r="80" spans="1:20" ht="17" hidden="1" customHeight="1">
      <c r="B80" s="169"/>
    </row>
    <row r="81" ht="17" hidden="1" customHeight="1"/>
    <row r="82" ht="17" hidden="1" customHeight="1"/>
    <row r="83" ht="17" hidden="1" customHeight="1"/>
    <row r="84" ht="17" hidden="1" customHeight="1"/>
    <row r="85" ht="17" hidden="1" customHeight="1"/>
    <row r="86" ht="17" hidden="1" customHeight="1"/>
    <row r="87" ht="17" hidden="1" customHeight="1"/>
    <row r="88" ht="17" hidden="1" customHeight="1"/>
    <row r="89" ht="17" hidden="1" customHeight="1"/>
    <row r="90" ht="17" hidden="1" customHeight="1"/>
    <row r="91" ht="17" hidden="1" customHeight="1"/>
    <row r="92" ht="17" hidden="1" customHeight="1"/>
    <row r="93" ht="17" hidden="1" customHeight="1"/>
    <row r="94" ht="17" hidden="1" customHeight="1"/>
    <row r="95" ht="17" hidden="1" customHeight="1"/>
    <row r="96" ht="17" hidden="1" customHeight="1"/>
    <row r="97" spans="1:24" ht="17" customHeight="1">
      <c r="A97" s="107" t="s">
        <v>29</v>
      </c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171"/>
      <c r="P97" s="171"/>
      <c r="Q97" s="171"/>
      <c r="R97" s="171"/>
      <c r="S97" s="171"/>
      <c r="T97" s="171"/>
      <c r="U97" s="171"/>
      <c r="V97" s="171"/>
      <c r="W97" s="171"/>
      <c r="X97" s="171"/>
    </row>
    <row r="98" spans="1:24" ht="17" customHeight="1">
      <c r="A98" s="43" t="s">
        <v>407</v>
      </c>
      <c r="B98" s="34"/>
      <c r="C98" s="108"/>
      <c r="D98" s="108"/>
      <c r="E98" s="108"/>
      <c r="F98" s="34"/>
      <c r="G98" s="34"/>
      <c r="H98" s="34"/>
      <c r="I98" s="34"/>
      <c r="J98" s="34"/>
      <c r="K98" s="34"/>
      <c r="L98" s="34"/>
      <c r="M98" s="34"/>
      <c r="N98" s="34"/>
      <c r="O98" s="171"/>
      <c r="S98" s="107"/>
      <c r="T98" s="171"/>
      <c r="U98" s="171"/>
      <c r="V98" s="171"/>
      <c r="W98" s="171"/>
      <c r="X98" s="171"/>
    </row>
    <row r="99" spans="1:24" ht="17" customHeight="1">
      <c r="A99" s="43"/>
      <c r="B99" s="34"/>
      <c r="C99" s="108"/>
      <c r="D99" s="108"/>
      <c r="E99" s="108"/>
      <c r="F99" s="34"/>
      <c r="G99" s="34"/>
      <c r="H99" s="34"/>
      <c r="I99" s="34"/>
      <c r="J99" s="34"/>
      <c r="K99" s="34"/>
      <c r="L99" s="34"/>
      <c r="M99" s="34"/>
      <c r="N99" s="34"/>
      <c r="O99" s="171"/>
      <c r="S99" s="107"/>
      <c r="T99" s="171"/>
      <c r="U99" s="171"/>
      <c r="V99" s="171"/>
      <c r="W99" s="171"/>
      <c r="X99" s="171"/>
    </row>
    <row r="100" spans="1:24" ht="17" customHeight="1">
      <c r="A100" s="34"/>
      <c r="E100" s="34"/>
      <c r="F100" s="34"/>
      <c r="G100" s="34"/>
      <c r="H100" s="59" t="s">
        <v>37</v>
      </c>
      <c r="I100" s="59" t="s">
        <v>59</v>
      </c>
      <c r="J100" s="108"/>
      <c r="K100" s="34"/>
      <c r="L100" s="34"/>
      <c r="M100" s="34"/>
      <c r="N100" s="171"/>
      <c r="R100" s="34"/>
      <c r="S100" s="171"/>
      <c r="T100" s="171"/>
      <c r="U100" s="171"/>
      <c r="V100" s="171"/>
      <c r="W100" s="171"/>
    </row>
    <row r="101" spans="1:24" ht="17" customHeight="1">
      <c r="A101" s="34"/>
      <c r="E101" s="34"/>
      <c r="F101" s="34"/>
      <c r="G101" s="34"/>
      <c r="H101" s="59" t="s">
        <v>60</v>
      </c>
      <c r="I101" s="63" t="s">
        <v>40</v>
      </c>
      <c r="J101" s="108"/>
      <c r="K101" s="34"/>
      <c r="L101" s="34"/>
      <c r="M101" s="34"/>
      <c r="N101" s="171"/>
      <c r="S101" s="171"/>
      <c r="T101" s="171"/>
      <c r="U101" s="171"/>
      <c r="V101" s="171"/>
    </row>
    <row r="102" spans="1:24" ht="17" customHeight="1">
      <c r="A102" s="34"/>
      <c r="E102" s="34"/>
      <c r="F102" s="34"/>
      <c r="G102" s="34"/>
      <c r="H102" s="59" t="s">
        <v>69</v>
      </c>
      <c r="I102" s="59" t="s">
        <v>40</v>
      </c>
      <c r="J102" s="108"/>
      <c r="K102" s="34"/>
      <c r="L102" s="34"/>
      <c r="M102" s="34"/>
      <c r="N102" s="171"/>
      <c r="R102" s="175"/>
      <c r="S102" s="175"/>
      <c r="T102" s="171"/>
      <c r="U102" s="171"/>
    </row>
    <row r="103" spans="1:24" ht="17" customHeight="1">
      <c r="A103" s="34"/>
      <c r="E103" s="34"/>
      <c r="F103" s="34"/>
      <c r="G103" s="34"/>
      <c r="H103" s="136" t="s">
        <v>121</v>
      </c>
      <c r="I103" s="59" t="s">
        <v>40</v>
      </c>
      <c r="J103" s="34"/>
      <c r="K103" s="34"/>
      <c r="L103" s="34"/>
      <c r="M103" s="34"/>
      <c r="N103" s="330"/>
      <c r="O103" s="383"/>
      <c r="P103" s="330"/>
      <c r="Q103" s="384"/>
      <c r="R103" s="384"/>
      <c r="S103" s="178"/>
      <c r="T103" s="171"/>
      <c r="U103" s="171"/>
    </row>
    <row r="104" spans="1:24" ht="17" customHeight="1">
      <c r="A104" s="34"/>
      <c r="B104" s="44" t="s">
        <v>41</v>
      </c>
      <c r="C104" s="34"/>
      <c r="D104" s="34"/>
      <c r="E104" s="34"/>
      <c r="F104" s="34"/>
      <c r="G104" s="34"/>
      <c r="H104" s="43"/>
      <c r="I104" s="43"/>
      <c r="J104" s="43"/>
      <c r="K104" s="34"/>
      <c r="L104" s="40"/>
      <c r="M104" s="40"/>
      <c r="N104" s="330"/>
      <c r="O104" s="383"/>
      <c r="P104" s="330"/>
      <c r="Q104" s="384"/>
      <c r="R104" s="384"/>
      <c r="S104" s="178"/>
      <c r="T104" s="171"/>
      <c r="U104" s="171"/>
    </row>
    <row r="105" spans="1:24" ht="53" customHeight="1">
      <c r="A105" s="34"/>
      <c r="B105" s="51" t="s">
        <v>5</v>
      </c>
      <c r="C105" s="47" t="s">
        <v>46</v>
      </c>
      <c r="D105" s="47" t="s">
        <v>47</v>
      </c>
      <c r="E105" s="47" t="s">
        <v>89</v>
      </c>
      <c r="F105" s="51" t="s">
        <v>48</v>
      </c>
      <c r="G105" s="51" t="s">
        <v>49</v>
      </c>
      <c r="H105" s="51" t="s">
        <v>0</v>
      </c>
      <c r="I105" s="51" t="s">
        <v>77</v>
      </c>
      <c r="J105" s="51" t="s">
        <v>78</v>
      </c>
      <c r="K105" s="239" t="s">
        <v>90</v>
      </c>
      <c r="L105" s="239" t="s">
        <v>91</v>
      </c>
      <c r="M105" s="66"/>
      <c r="N105" s="368"/>
      <c r="O105" s="368"/>
      <c r="P105" s="368"/>
      <c r="Q105" s="385"/>
      <c r="R105" s="385"/>
      <c r="S105" s="178"/>
      <c r="T105" s="171"/>
      <c r="U105" s="171"/>
    </row>
    <row r="106" spans="1:24" ht="17" customHeight="1">
      <c r="A106" s="77" t="s">
        <v>21</v>
      </c>
      <c r="B106" s="30">
        <v>3.35</v>
      </c>
      <c r="C106" s="30">
        <v>3.4115198000000002</v>
      </c>
      <c r="D106" s="30">
        <v>0.34870963599999999</v>
      </c>
      <c r="E106" s="30">
        <v>0.29043429999999998</v>
      </c>
      <c r="F106" s="41">
        <f>+D106*1025</f>
        <v>357.42737690000001</v>
      </c>
      <c r="G106" s="60">
        <f t="shared" ref="G106:G118" si="14">D106/C106</f>
        <v>0.10221533405727265</v>
      </c>
      <c r="H106" s="71">
        <f>B106*998.2*1/0.001002</f>
        <v>3337295.4091816368</v>
      </c>
      <c r="I106" s="30">
        <f t="shared" ref="I106:I118" si="15">+H106*0.000001004/1</f>
        <v>3.3506445908183635</v>
      </c>
      <c r="J106" s="110">
        <v>8.2785582000000009</v>
      </c>
      <c r="K106" s="195">
        <f>+J106/E106</f>
        <v>28.504065119030368</v>
      </c>
      <c r="L106" s="340">
        <f>+K106/$K$106</f>
        <v>1</v>
      </c>
      <c r="M106" s="34"/>
      <c r="N106" s="386"/>
      <c r="O106" s="387"/>
      <c r="P106" s="320"/>
      <c r="Q106" s="98"/>
      <c r="R106" s="33"/>
      <c r="S106" s="178"/>
      <c r="T106" s="171"/>
      <c r="U106" s="171"/>
    </row>
    <row r="107" spans="1:24" ht="17" customHeight="1">
      <c r="A107" s="77" t="s">
        <v>92</v>
      </c>
      <c r="B107" s="30">
        <v>6.09</v>
      </c>
      <c r="C107" s="30">
        <v>11.009641</v>
      </c>
      <c r="D107" s="30">
        <v>1.8148932</v>
      </c>
      <c r="E107" s="30">
        <v>1.2852173</v>
      </c>
      <c r="F107" s="41">
        <f t="shared" ref="F107:F118" si="16">+D107*1025</f>
        <v>1860.2655299999999</v>
      </c>
      <c r="G107" s="60">
        <f t="shared" si="14"/>
        <v>0.16484581104869814</v>
      </c>
      <c r="H107" s="71">
        <f t="shared" ref="H107:H118" si="17">B107*998.2*1/0.001002</f>
        <v>6066904.1916167662</v>
      </c>
      <c r="I107" s="30">
        <f t="shared" si="15"/>
        <v>6.0911718083832334</v>
      </c>
      <c r="J107" s="110">
        <v>19.6812498</v>
      </c>
      <c r="K107" s="195">
        <f t="shared" ref="K107:K118" si="18">+J107/E107</f>
        <v>15.313558104143167</v>
      </c>
      <c r="L107" s="340">
        <f t="shared" ref="L107:L118" si="19">+K107/$K$106</f>
        <v>0.53724119841135465</v>
      </c>
      <c r="M107" s="34"/>
      <c r="N107" s="386"/>
      <c r="O107" s="387"/>
      <c r="P107" s="320"/>
      <c r="Q107" s="98"/>
      <c r="R107" s="33"/>
      <c r="S107" s="178"/>
      <c r="T107" s="171"/>
      <c r="U107" s="171"/>
    </row>
    <row r="108" spans="1:24" ht="17" customHeight="1">
      <c r="A108" s="77" t="s">
        <v>93</v>
      </c>
      <c r="B108" s="30">
        <v>3.18</v>
      </c>
      <c r="C108" s="30">
        <v>2.9671630000000002</v>
      </c>
      <c r="D108" s="110">
        <v>0.2728488</v>
      </c>
      <c r="E108" s="110">
        <v>0.21930089999999999</v>
      </c>
      <c r="F108" s="41">
        <f t="shared" si="16"/>
        <v>279.67002000000002</v>
      </c>
      <c r="G108" s="60">
        <f t="shared" si="14"/>
        <v>9.1956121048961573E-2</v>
      </c>
      <c r="H108" s="71">
        <f t="shared" si="17"/>
        <v>3167940.1197604793</v>
      </c>
      <c r="I108" s="30">
        <f t="shared" si="15"/>
        <v>3.1806118802395216</v>
      </c>
      <c r="J108" s="74">
        <v>6.4259176</v>
      </c>
      <c r="K108" s="195">
        <f t="shared" si="18"/>
        <v>29.301829586654684</v>
      </c>
      <c r="L108" s="340">
        <f t="shared" si="19"/>
        <v>1.027987743653157</v>
      </c>
      <c r="M108" s="34"/>
      <c r="N108" s="386"/>
      <c r="O108" s="387"/>
      <c r="P108" s="388"/>
      <c r="Q108" s="98"/>
      <c r="R108" s="33"/>
      <c r="S108" s="178"/>
      <c r="T108" s="171"/>
      <c r="U108" s="171"/>
    </row>
    <row r="109" spans="1:24" ht="17" customHeight="1">
      <c r="A109" s="77" t="s">
        <v>22</v>
      </c>
      <c r="B109" s="30">
        <v>4.88</v>
      </c>
      <c r="C109" s="30">
        <v>9.2936612000000007</v>
      </c>
      <c r="D109" s="110">
        <v>1.6537200000000001</v>
      </c>
      <c r="E109" s="110">
        <v>1.363135</v>
      </c>
      <c r="F109" s="41">
        <f t="shared" si="16"/>
        <v>1695.0630000000001</v>
      </c>
      <c r="G109" s="60">
        <f t="shared" si="14"/>
        <v>0.17794063764665749</v>
      </c>
      <c r="H109" s="71">
        <f t="shared" si="17"/>
        <v>4861493.0139720561</v>
      </c>
      <c r="I109" s="30">
        <f t="shared" si="15"/>
        <v>4.8809389860279442</v>
      </c>
      <c r="J109" s="74">
        <v>18.43695</v>
      </c>
      <c r="K109" s="195">
        <f t="shared" si="18"/>
        <v>13.525402839777424</v>
      </c>
      <c r="L109" s="340">
        <f t="shared" si="19"/>
        <v>0.47450785645123178</v>
      </c>
      <c r="M109" s="34"/>
      <c r="N109" s="386"/>
      <c r="O109" s="387"/>
      <c r="P109" s="388"/>
      <c r="Q109" s="98"/>
      <c r="R109" s="33"/>
      <c r="S109" s="178"/>
      <c r="T109" s="171"/>
      <c r="U109" s="171"/>
    </row>
    <row r="110" spans="1:24" ht="17" customHeight="1">
      <c r="A110" s="77" t="s">
        <v>25</v>
      </c>
      <c r="B110" s="82">
        <v>4.2</v>
      </c>
      <c r="C110" s="30">
        <v>6.2054971999999999</v>
      </c>
      <c r="D110" s="110">
        <v>0.90841400000000005</v>
      </c>
      <c r="E110" s="110">
        <v>0.75974390000000003</v>
      </c>
      <c r="F110" s="41">
        <f t="shared" si="16"/>
        <v>931.12435000000005</v>
      </c>
      <c r="G110" s="60">
        <f t="shared" si="14"/>
        <v>0.14638859235969037</v>
      </c>
      <c r="H110" s="71">
        <f t="shared" si="17"/>
        <v>4184071.8562874254</v>
      </c>
      <c r="I110" s="30">
        <f t="shared" si="15"/>
        <v>4.2008081437125755</v>
      </c>
      <c r="J110" s="74">
        <v>13.139653600000001</v>
      </c>
      <c r="K110" s="195">
        <f t="shared" si="18"/>
        <v>17.294845802644812</v>
      </c>
      <c r="L110" s="340">
        <f t="shared" si="19"/>
        <v>0.60675015056354653</v>
      </c>
      <c r="M110" s="48"/>
      <c r="N110" s="386"/>
      <c r="O110" s="387"/>
      <c r="P110" s="388"/>
      <c r="Q110" s="98"/>
      <c r="R110" s="33"/>
      <c r="S110" s="178"/>
      <c r="T110" s="171"/>
      <c r="U110" s="171"/>
    </row>
    <row r="111" spans="1:24" ht="17" customHeight="1">
      <c r="A111" s="77" t="s">
        <v>94</v>
      </c>
      <c r="B111" s="82">
        <v>10.36</v>
      </c>
      <c r="C111" s="30">
        <v>42.274099</v>
      </c>
      <c r="D111" s="110">
        <v>16.106770000000001</v>
      </c>
      <c r="E111" s="30">
        <v>12.5463135</v>
      </c>
      <c r="F111" s="41">
        <f t="shared" si="16"/>
        <v>16509.439249999999</v>
      </c>
      <c r="G111" s="60">
        <f t="shared" si="14"/>
        <v>0.38100800208657315</v>
      </c>
      <c r="H111" s="71">
        <f t="shared" si="17"/>
        <v>10320710.578842316</v>
      </c>
      <c r="I111" s="30">
        <f t="shared" si="15"/>
        <v>10.361993421157685</v>
      </c>
      <c r="J111" s="74">
        <v>74.399072000000004</v>
      </c>
      <c r="K111" s="195">
        <f t="shared" si="18"/>
        <v>5.9299548030582852</v>
      </c>
      <c r="L111" s="340">
        <f t="shared" si="19"/>
        <v>0.20803891579307501</v>
      </c>
      <c r="M111" s="48"/>
      <c r="N111" s="386"/>
      <c r="O111" s="387"/>
      <c r="P111" s="388"/>
      <c r="Q111" s="98"/>
      <c r="R111" s="33"/>
      <c r="S111" s="178"/>
      <c r="T111" s="171"/>
      <c r="U111" s="171"/>
    </row>
    <row r="112" spans="1:24" ht="17" customHeight="1">
      <c r="A112" s="77" t="s">
        <v>26</v>
      </c>
      <c r="B112" s="85">
        <v>2.88</v>
      </c>
      <c r="C112" s="30">
        <v>2.7126329999999998</v>
      </c>
      <c r="D112" s="30">
        <v>0.24809004300000001</v>
      </c>
      <c r="E112" s="30">
        <v>0.203092984</v>
      </c>
      <c r="F112" s="41">
        <f t="shared" si="16"/>
        <v>254.292294075</v>
      </c>
      <c r="G112" s="60">
        <f t="shared" si="14"/>
        <v>9.1457282647523647E-2</v>
      </c>
      <c r="H112" s="71">
        <f t="shared" si="17"/>
        <v>2869077.844311377</v>
      </c>
      <c r="I112" s="30">
        <f t="shared" si="15"/>
        <v>2.8805541556886225</v>
      </c>
      <c r="J112" s="74">
        <v>6.1553677999999996</v>
      </c>
      <c r="K112" s="195">
        <f t="shared" si="18"/>
        <v>30.308126252160438</v>
      </c>
      <c r="L112" s="340">
        <f t="shared" si="19"/>
        <v>1.0632913630247642</v>
      </c>
      <c r="M112" s="48"/>
      <c r="N112" s="386"/>
      <c r="O112" s="387"/>
      <c r="P112" s="388"/>
      <c r="Q112" s="98"/>
      <c r="R112" s="33"/>
    </row>
    <row r="113" spans="1:24" ht="17" customHeight="1">
      <c r="A113" s="77" t="s">
        <v>95</v>
      </c>
      <c r="B113" s="85">
        <v>4.9400000000000004</v>
      </c>
      <c r="C113" s="30">
        <v>8.8207743000000001</v>
      </c>
      <c r="D113" s="30">
        <v>1.5488837</v>
      </c>
      <c r="E113" s="30">
        <v>1.2883811999999999</v>
      </c>
      <c r="F113" s="41">
        <f t="shared" si="16"/>
        <v>1587.6057925</v>
      </c>
      <c r="G113" s="60">
        <f t="shared" si="14"/>
        <v>0.17559498149725924</v>
      </c>
      <c r="H113" s="71">
        <f t="shared" si="17"/>
        <v>4921265.4690618757</v>
      </c>
      <c r="I113" s="30">
        <f t="shared" si="15"/>
        <v>4.9409505309381236</v>
      </c>
      <c r="J113" s="74">
        <v>18.8</v>
      </c>
      <c r="K113" s="195">
        <f t="shared" si="18"/>
        <v>14.59195461715834</v>
      </c>
      <c r="L113" s="340">
        <f t="shared" si="19"/>
        <v>0.51192538875503102</v>
      </c>
      <c r="M113" s="48"/>
      <c r="N113" s="386"/>
      <c r="O113" s="387"/>
      <c r="P113" s="388"/>
      <c r="Q113" s="98"/>
      <c r="R113" s="33"/>
    </row>
    <row r="114" spans="1:24" ht="17" customHeight="1">
      <c r="A114" s="77" t="s">
        <v>27</v>
      </c>
      <c r="B114" s="85">
        <v>8.06</v>
      </c>
      <c r="C114" s="30">
        <v>10.408746000000001</v>
      </c>
      <c r="D114" s="30">
        <v>1.3970904</v>
      </c>
      <c r="E114" s="30">
        <v>1.0290168200000001</v>
      </c>
      <c r="F114" s="41">
        <f t="shared" si="16"/>
        <v>1432.01766</v>
      </c>
      <c r="G114" s="60">
        <f t="shared" si="14"/>
        <v>0.13422273922334158</v>
      </c>
      <c r="H114" s="71">
        <f t="shared" si="17"/>
        <v>8029433.1337325359</v>
      </c>
      <c r="I114" s="30">
        <f t="shared" si="15"/>
        <v>8.0615508662674671</v>
      </c>
      <c r="J114" s="110">
        <v>18.093711599999999</v>
      </c>
      <c r="K114" s="195">
        <f t="shared" si="18"/>
        <v>17.583494504978059</v>
      </c>
      <c r="L114" s="340">
        <f t="shared" si="19"/>
        <v>0.61687673079439709</v>
      </c>
      <c r="M114" s="48"/>
      <c r="N114" s="386"/>
      <c r="O114" s="387"/>
      <c r="P114" s="320"/>
      <c r="Q114" s="98"/>
      <c r="R114" s="33"/>
      <c r="S114" s="178"/>
      <c r="T114" s="171"/>
      <c r="U114" s="171"/>
    </row>
    <row r="115" spans="1:24" ht="17" customHeight="1">
      <c r="A115" s="77" t="s">
        <v>28</v>
      </c>
      <c r="B115" s="132">
        <v>10.86</v>
      </c>
      <c r="C115" s="30">
        <v>21.793303999999999</v>
      </c>
      <c r="D115" s="30">
        <v>4.5641214999999997</v>
      </c>
      <c r="E115" s="30">
        <v>3.5009766</v>
      </c>
      <c r="F115" s="41">
        <f t="shared" si="16"/>
        <v>4678.2245374999993</v>
      </c>
      <c r="G115" s="60">
        <f t="shared" si="14"/>
        <v>0.20942769852611609</v>
      </c>
      <c r="H115" s="71">
        <f t="shared" si="17"/>
        <v>10818814.371257484</v>
      </c>
      <c r="I115" s="30">
        <f t="shared" si="15"/>
        <v>10.862089628742515</v>
      </c>
      <c r="J115" s="74">
        <v>36.942731999999999</v>
      </c>
      <c r="K115" s="195">
        <f t="shared" si="18"/>
        <v>10.552121942203213</v>
      </c>
      <c r="L115" s="340">
        <f t="shared" si="19"/>
        <v>0.37019708936737677</v>
      </c>
      <c r="M115" s="108"/>
      <c r="N115" s="386"/>
      <c r="O115" s="387"/>
      <c r="P115" s="388"/>
      <c r="Q115" s="98"/>
      <c r="R115" s="33"/>
      <c r="S115" s="178"/>
      <c r="T115" s="171"/>
      <c r="U115" s="171"/>
    </row>
    <row r="116" spans="1:24" ht="17" customHeight="1">
      <c r="A116" s="77" t="s">
        <v>96</v>
      </c>
      <c r="B116" s="132">
        <v>11.3</v>
      </c>
      <c r="C116" s="30">
        <v>22.734923999999999</v>
      </c>
      <c r="D116" s="30">
        <v>4.7257831899999996</v>
      </c>
      <c r="E116" s="30">
        <v>3.3541854</v>
      </c>
      <c r="F116" s="41">
        <f t="shared" si="16"/>
        <v>4843.9277697499992</v>
      </c>
      <c r="G116" s="60">
        <f t="shared" si="14"/>
        <v>0.20786448153510431</v>
      </c>
      <c r="H116" s="71">
        <f t="shared" si="17"/>
        <v>11257145.708582835</v>
      </c>
      <c r="I116" s="30">
        <f t="shared" si="15"/>
        <v>11.302174291417167</v>
      </c>
      <c r="J116" s="74">
        <v>37.511000000000003</v>
      </c>
      <c r="K116" s="195">
        <f t="shared" si="18"/>
        <v>11.183341266705174</v>
      </c>
      <c r="L116" s="340">
        <f t="shared" si="19"/>
        <v>0.39234197718832609</v>
      </c>
      <c r="M116" s="108"/>
      <c r="N116" s="386"/>
      <c r="O116" s="387"/>
      <c r="P116" s="388"/>
      <c r="Q116" s="98"/>
      <c r="R116" s="33"/>
      <c r="S116" s="178"/>
      <c r="T116" s="171"/>
      <c r="U116" s="171"/>
    </row>
    <row r="117" spans="1:24" ht="17" customHeight="1">
      <c r="A117" s="77" t="s">
        <v>97</v>
      </c>
      <c r="B117" s="196">
        <v>11.2</v>
      </c>
      <c r="C117" s="30">
        <v>17.407443000000001</v>
      </c>
      <c r="D117" s="30">
        <v>2.77607845</v>
      </c>
      <c r="E117" s="30">
        <v>1.8286818</v>
      </c>
      <c r="F117" s="41">
        <f t="shared" si="16"/>
        <v>2845.4804112500001</v>
      </c>
      <c r="G117" s="60">
        <f t="shared" si="14"/>
        <v>0.15947652104907079</v>
      </c>
      <c r="H117" s="71">
        <f t="shared" si="17"/>
        <v>11157524.9500998</v>
      </c>
      <c r="I117" s="30">
        <f t="shared" si="15"/>
        <v>11.202155049900199</v>
      </c>
      <c r="J117" s="110">
        <v>28.771346000000001</v>
      </c>
      <c r="K117" s="195">
        <f>+J117/E117</f>
        <v>15.733380186755291</v>
      </c>
      <c r="L117" s="340">
        <f t="shared" si="19"/>
        <v>0.55196969699073217</v>
      </c>
      <c r="M117" s="48"/>
      <c r="N117" s="386"/>
      <c r="O117" s="387"/>
      <c r="P117" s="320"/>
      <c r="Q117" s="98"/>
      <c r="R117" s="33"/>
      <c r="S117" s="178"/>
      <c r="T117" s="171"/>
      <c r="U117" s="171"/>
    </row>
    <row r="118" spans="1:24" ht="17" customHeight="1">
      <c r="A118" s="77" t="s">
        <v>98</v>
      </c>
      <c r="B118" s="196">
        <v>10</v>
      </c>
      <c r="C118" s="30">
        <v>30.196275</v>
      </c>
      <c r="D118" s="30">
        <v>8.9402158000000007</v>
      </c>
      <c r="E118" s="30">
        <v>7.2997329899999999</v>
      </c>
      <c r="F118" s="41">
        <f t="shared" si="16"/>
        <v>9163.7211950000001</v>
      </c>
      <c r="G118" s="60">
        <f t="shared" si="14"/>
        <v>0.29607015434850825</v>
      </c>
      <c r="H118" s="71">
        <f t="shared" si="17"/>
        <v>9962075.8483033925</v>
      </c>
      <c r="I118" s="30">
        <f t="shared" si="15"/>
        <v>10.001924151696606</v>
      </c>
      <c r="J118" s="110">
        <v>53.219366000000001</v>
      </c>
      <c r="K118" s="195">
        <f t="shared" si="18"/>
        <v>7.290590775430541</v>
      </c>
      <c r="L118" s="340">
        <f t="shared" si="19"/>
        <v>0.25577372016888472</v>
      </c>
      <c r="M118" s="48"/>
      <c r="N118" s="386"/>
      <c r="O118" s="387"/>
      <c r="P118" s="320"/>
      <c r="Q118" s="98"/>
      <c r="R118" s="33"/>
      <c r="S118" s="178"/>
      <c r="T118" s="171"/>
      <c r="U118" s="171"/>
    </row>
    <row r="119" spans="1:24" ht="17" customHeight="1">
      <c r="A119" s="77"/>
      <c r="B119" s="196"/>
      <c r="C119" s="30"/>
      <c r="D119" s="30"/>
      <c r="E119" s="30"/>
      <c r="F119" s="41"/>
      <c r="G119" s="60"/>
      <c r="H119" s="71"/>
      <c r="I119" s="30"/>
      <c r="J119" s="197"/>
      <c r="K119" s="98"/>
      <c r="L119" s="98"/>
      <c r="M119" s="240"/>
      <c r="N119" s="176"/>
      <c r="O119" s="182"/>
      <c r="P119" s="171"/>
      <c r="Q119" s="181"/>
      <c r="R119" s="181"/>
      <c r="S119" s="178"/>
      <c r="T119" s="171"/>
      <c r="U119" s="171"/>
    </row>
    <row r="120" spans="1:24" ht="17" customHeight="1">
      <c r="A120" s="48"/>
      <c r="B120" s="108"/>
      <c r="C120" s="108"/>
      <c r="D120" s="108"/>
      <c r="E120" s="108"/>
      <c r="F120" s="108"/>
      <c r="G120" s="108"/>
      <c r="H120" s="108"/>
      <c r="I120" s="108"/>
      <c r="J120" s="108"/>
      <c r="K120" s="108"/>
      <c r="L120" s="108"/>
      <c r="M120" s="108"/>
      <c r="N120" s="108"/>
      <c r="O120" s="173"/>
      <c r="W120" s="171"/>
      <c r="X120" s="171"/>
    </row>
    <row r="121" spans="1:24" ht="17" customHeight="1">
      <c r="I121" s="108"/>
      <c r="J121" s="50"/>
      <c r="K121" s="198"/>
      <c r="L121" s="62"/>
      <c r="M121" s="199"/>
      <c r="N121" s="41"/>
      <c r="O121" s="173"/>
      <c r="W121" s="171"/>
      <c r="X121" s="171"/>
    </row>
    <row r="122" spans="1:24" ht="17" customHeight="1">
      <c r="I122" s="199"/>
      <c r="J122" s="113"/>
      <c r="K122" s="113"/>
      <c r="L122" s="199"/>
      <c r="M122" s="62"/>
      <c r="N122" s="199"/>
      <c r="W122" s="171"/>
      <c r="X122" s="171"/>
    </row>
    <row r="123" spans="1:24" s="75" customFormat="1" ht="17" customHeight="1">
      <c r="A123" s="18" t="s">
        <v>422</v>
      </c>
      <c r="B123" s="19"/>
      <c r="C123" s="19"/>
      <c r="D123" s="19"/>
      <c r="E123" s="303"/>
    </row>
    <row r="124" spans="1:24" s="101" customFormat="1" ht="17" customHeight="1">
      <c r="A124" s="326"/>
      <c r="B124" s="327"/>
      <c r="C124" s="327"/>
      <c r="D124" s="327"/>
      <c r="E124" s="328"/>
    </row>
    <row r="125" spans="1:24" ht="104" customHeight="1">
      <c r="A125" s="13" t="s">
        <v>420</v>
      </c>
      <c r="B125" s="280" t="s">
        <v>570</v>
      </c>
      <c r="C125" s="346" t="s">
        <v>571</v>
      </c>
      <c r="D125" s="329"/>
      <c r="E125" s="329"/>
      <c r="F125" s="329"/>
      <c r="G125" s="329"/>
      <c r="H125" s="329"/>
      <c r="I125" s="329"/>
      <c r="J125" s="329"/>
    </row>
    <row r="126" spans="1:24" ht="17" customHeight="1">
      <c r="A126" s="276" t="s">
        <v>452</v>
      </c>
      <c r="B126" s="30">
        <f>+AVERAGE(L106:L108)</f>
        <v>0.85507631402150397</v>
      </c>
      <c r="C126" s="123">
        <v>0.10440000000000001</v>
      </c>
      <c r="D126" s="101"/>
      <c r="E126" s="330"/>
      <c r="F126" s="101"/>
      <c r="G126" s="101"/>
      <c r="H126" s="101"/>
      <c r="I126" s="101"/>
      <c r="J126" s="101"/>
    </row>
    <row r="127" spans="1:24" ht="17" customHeight="1">
      <c r="A127" s="276" t="s">
        <v>411</v>
      </c>
      <c r="B127" s="30">
        <f>+AVERAGE(L109:L118)</f>
        <v>0.50516728890973661</v>
      </c>
      <c r="C127" s="150">
        <v>0.19939999999999999</v>
      </c>
      <c r="D127" s="331"/>
      <c r="E127" s="330"/>
      <c r="F127" s="101"/>
      <c r="G127" s="101"/>
      <c r="H127" s="101"/>
      <c r="I127" s="101"/>
      <c r="J127" s="101"/>
    </row>
    <row r="128" spans="1:24" ht="17" customHeight="1">
      <c r="A128" s="276" t="s">
        <v>561</v>
      </c>
      <c r="B128" s="30">
        <f>+AVERAGE(L106:L113,L118)</f>
        <v>0.63172403742456051</v>
      </c>
      <c r="C128">
        <v>0.18210000000000001</v>
      </c>
      <c r="D128" s="85"/>
      <c r="E128" s="177"/>
    </row>
    <row r="129" spans="1:24" ht="17" customHeight="1">
      <c r="A129" s="276" t="s">
        <v>562</v>
      </c>
      <c r="B129" s="30">
        <v>0.52</v>
      </c>
      <c r="C129">
        <v>0.38550000000000001</v>
      </c>
      <c r="D129" s="85"/>
      <c r="E129" s="177"/>
    </row>
    <row r="130" spans="1:24" ht="17" customHeight="1">
      <c r="A130" s="276" t="s">
        <v>563</v>
      </c>
      <c r="B130" s="30">
        <f>+AVERAGE(L114:L117)</f>
        <v>0.48284637358520804</v>
      </c>
      <c r="C130" s="150">
        <v>0.34439999999999998</v>
      </c>
      <c r="D130" s="34"/>
      <c r="E130" s="177"/>
    </row>
    <row r="131" spans="1:24" ht="17" customHeight="1">
      <c r="A131" s="333" t="s">
        <v>190</v>
      </c>
      <c r="B131" s="30">
        <f>+AVERAGE(L109:L111)</f>
        <v>0.42976564093595115</v>
      </c>
      <c r="C131" s="150">
        <v>0.67249999999999999</v>
      </c>
      <c r="D131" s="92"/>
      <c r="E131" s="177"/>
    </row>
    <row r="132" spans="1:24" ht="17" customHeight="1">
      <c r="A132" s="333" t="s">
        <v>161</v>
      </c>
      <c r="B132" s="30">
        <f>+AVERAGE(L114:L118)</f>
        <v>0.43743184290194337</v>
      </c>
      <c r="C132" s="150">
        <v>0.72550000000000003</v>
      </c>
      <c r="I132" s="108"/>
      <c r="J132" s="108"/>
      <c r="K132" s="108"/>
      <c r="L132" s="108"/>
      <c r="M132" s="108"/>
      <c r="N132" s="108"/>
      <c r="P132" s="173"/>
      <c r="Q132" s="187"/>
      <c r="R132" s="177"/>
      <c r="S132" s="171"/>
      <c r="T132" s="181"/>
      <c r="U132" s="181"/>
      <c r="V132" s="178"/>
      <c r="W132" s="171"/>
      <c r="X132" s="171"/>
    </row>
    <row r="133" spans="1:24" ht="17" customHeight="1">
      <c r="A133" s="333" t="s">
        <v>551</v>
      </c>
      <c r="B133" s="30">
        <f>+AVERAGE(L114:L117)</f>
        <v>0.48284637358520804</v>
      </c>
      <c r="C133" s="150">
        <v>0.51749999999999996</v>
      </c>
      <c r="I133" s="108"/>
      <c r="J133" s="108"/>
      <c r="K133" s="108"/>
      <c r="L133" s="108"/>
      <c r="M133" s="108"/>
      <c r="N133" s="108"/>
      <c r="O133" s="178"/>
      <c r="P133" s="173"/>
      <c r="Q133" s="176"/>
      <c r="R133" s="182"/>
      <c r="S133" s="171"/>
      <c r="T133" s="183"/>
      <c r="U133" s="183"/>
      <c r="V133" s="178"/>
      <c r="W133" s="171"/>
      <c r="X133" s="171"/>
    </row>
    <row r="134" spans="1:24" ht="17" customHeight="1">
      <c r="I134" s="108"/>
      <c r="J134" s="108"/>
      <c r="K134" s="108"/>
      <c r="L134" s="108"/>
      <c r="M134" s="108"/>
      <c r="N134" s="108"/>
      <c r="O134" s="178"/>
      <c r="P134" s="173"/>
      <c r="Q134" s="176"/>
      <c r="R134" s="182"/>
      <c r="S134" s="171"/>
      <c r="T134" s="183"/>
      <c r="U134" s="183"/>
      <c r="V134" s="178"/>
      <c r="W134" s="171"/>
      <c r="X134" s="171"/>
    </row>
    <row r="135" spans="1:24" ht="17" customHeight="1">
      <c r="I135" s="108"/>
      <c r="J135" s="108"/>
      <c r="K135" s="108"/>
      <c r="L135" s="108"/>
      <c r="M135" s="108"/>
      <c r="N135" s="108"/>
      <c r="O135" s="178"/>
      <c r="P135" s="171"/>
      <c r="Q135" s="171"/>
      <c r="R135" s="171"/>
      <c r="S135" s="171"/>
      <c r="T135" s="171"/>
      <c r="U135" s="171"/>
      <c r="V135" s="171"/>
      <c r="W135" s="171"/>
      <c r="X135" s="171"/>
    </row>
    <row r="136" spans="1:24" ht="32" customHeight="1">
      <c r="A136" s="40" t="s">
        <v>458</v>
      </c>
      <c r="B136" s="348" t="s">
        <v>566</v>
      </c>
      <c r="C136" s="348" t="s">
        <v>567</v>
      </c>
      <c r="D136" s="40" t="s">
        <v>456</v>
      </c>
      <c r="I136" s="108"/>
      <c r="J136" s="108"/>
      <c r="K136" s="108"/>
      <c r="L136" s="108"/>
      <c r="M136" s="108"/>
      <c r="N136" s="41"/>
      <c r="O136" s="178"/>
      <c r="P136" s="171"/>
      <c r="Q136" s="171"/>
      <c r="R136" s="171"/>
      <c r="S136" s="171"/>
      <c r="T136" s="171"/>
      <c r="U136" s="171"/>
      <c r="V136" s="171"/>
      <c r="W136" s="171"/>
      <c r="X136" s="171"/>
    </row>
    <row r="137" spans="1:24" ht="17" customHeight="1">
      <c r="A137" s="116" t="s">
        <v>453</v>
      </c>
      <c r="B137">
        <v>0.62819999999999998</v>
      </c>
      <c r="C137">
        <v>5.2999999999999999E-2</v>
      </c>
      <c r="D137" s="347" t="s">
        <v>457</v>
      </c>
      <c r="I137" s="108"/>
      <c r="J137" s="108"/>
      <c r="K137" s="108"/>
      <c r="L137" s="108"/>
      <c r="M137" s="108"/>
      <c r="N137" s="41"/>
      <c r="O137" s="178"/>
      <c r="P137" s="171"/>
      <c r="Q137" s="172"/>
      <c r="R137" s="171"/>
      <c r="S137" s="172"/>
      <c r="T137" s="171"/>
      <c r="U137" s="171"/>
      <c r="V137" s="171"/>
      <c r="W137" s="171"/>
      <c r="X137" s="171"/>
    </row>
    <row r="138" spans="1:24" ht="17" customHeight="1">
      <c r="A138" t="s">
        <v>454</v>
      </c>
      <c r="B138">
        <v>0.1351</v>
      </c>
      <c r="C138">
        <v>0.39929999999999999</v>
      </c>
      <c r="D138" s="347" t="s">
        <v>457</v>
      </c>
      <c r="I138" s="108"/>
      <c r="J138" s="108"/>
      <c r="K138" s="34"/>
      <c r="L138" s="34"/>
      <c r="M138" s="34"/>
      <c r="N138" s="34"/>
      <c r="O138" s="171"/>
      <c r="P138" s="173"/>
      <c r="Q138" s="176"/>
      <c r="R138" s="180"/>
      <c r="S138" s="171"/>
      <c r="T138" s="183"/>
      <c r="U138" s="183"/>
      <c r="V138" s="178"/>
      <c r="W138" s="171"/>
      <c r="X138" s="171"/>
    </row>
    <row r="139" spans="1:24" ht="17" customHeight="1">
      <c r="A139" t="s">
        <v>564</v>
      </c>
      <c r="B139">
        <v>0.16209999999999999</v>
      </c>
      <c r="C139">
        <v>0.82389999999999997</v>
      </c>
      <c r="D139" s="347" t="s">
        <v>457</v>
      </c>
      <c r="I139" s="108"/>
      <c r="J139" s="108"/>
      <c r="K139" s="34"/>
      <c r="L139" s="34"/>
      <c r="M139" s="34"/>
      <c r="N139" s="34"/>
      <c r="O139" s="171"/>
      <c r="P139" s="173"/>
      <c r="Q139" s="176"/>
      <c r="R139" s="180"/>
      <c r="S139" s="171"/>
      <c r="T139" s="183"/>
      <c r="U139" s="183"/>
      <c r="V139" s="178"/>
      <c r="W139" s="171"/>
      <c r="X139" s="171"/>
    </row>
    <row r="140" spans="1:24" ht="17" customHeight="1">
      <c r="A140" s="116" t="s">
        <v>455</v>
      </c>
      <c r="B140">
        <v>0.51129999999999998</v>
      </c>
      <c r="C140">
        <v>0.94969999999999999</v>
      </c>
      <c r="D140" s="347" t="s">
        <v>457</v>
      </c>
      <c r="I140" s="108"/>
      <c r="J140" s="108"/>
      <c r="K140" s="108"/>
      <c r="L140" s="108"/>
      <c r="M140" s="108"/>
      <c r="N140" s="108"/>
      <c r="P140" s="173"/>
      <c r="Q140" s="187"/>
      <c r="R140" s="177"/>
      <c r="S140" s="171"/>
      <c r="T140" s="188"/>
      <c r="U140" s="183"/>
      <c r="V140" s="178"/>
      <c r="W140" s="171"/>
      <c r="X140" s="171"/>
    </row>
    <row r="141" spans="1:24" ht="17" customHeight="1">
      <c r="A141" s="116" t="s">
        <v>552</v>
      </c>
      <c r="B141">
        <v>0.61240000000000006</v>
      </c>
      <c r="C141">
        <v>0.8861</v>
      </c>
      <c r="D141" s="347" t="s">
        <v>457</v>
      </c>
      <c r="I141" s="108"/>
      <c r="J141" s="108"/>
      <c r="K141" s="108"/>
      <c r="L141" s="108"/>
      <c r="M141" s="108"/>
      <c r="N141" s="108"/>
    </row>
    <row r="142" spans="1:24" ht="17" customHeight="1">
      <c r="I142" s="108"/>
      <c r="J142" s="108"/>
      <c r="K142" s="108"/>
      <c r="L142" s="108"/>
      <c r="M142" s="108"/>
      <c r="N142" s="108"/>
      <c r="P142" s="173"/>
      <c r="Q142" s="187"/>
      <c r="R142" s="171"/>
      <c r="S142" s="171"/>
      <c r="T142" s="181"/>
      <c r="U142" s="181"/>
      <c r="V142" s="178"/>
      <c r="W142" s="171"/>
      <c r="X142" s="171"/>
    </row>
    <row r="143" spans="1:24" ht="17" customHeight="1">
      <c r="P143" s="173"/>
      <c r="Q143" s="187"/>
      <c r="R143" s="177"/>
      <c r="S143" s="171"/>
      <c r="T143" s="181"/>
      <c r="U143" s="181"/>
      <c r="V143" s="178"/>
      <c r="W143" s="171"/>
      <c r="X143" s="171"/>
    </row>
    <row r="144" spans="1:24" ht="17" customHeight="1">
      <c r="A144" t="s">
        <v>565</v>
      </c>
      <c r="P144" s="173"/>
      <c r="Q144" s="187"/>
      <c r="R144" s="177"/>
      <c r="S144" s="171"/>
      <c r="T144" s="181"/>
      <c r="U144" s="181"/>
      <c r="V144" s="178"/>
      <c r="W144" s="171"/>
      <c r="X144" s="171"/>
    </row>
    <row r="145" spans="1:25" ht="17" customHeight="1">
      <c r="P145" s="173"/>
      <c r="Q145" s="176"/>
      <c r="R145" s="182"/>
      <c r="S145" s="171"/>
      <c r="T145" s="183"/>
      <c r="U145" s="183"/>
      <c r="V145" s="178"/>
      <c r="W145" s="171"/>
      <c r="X145" s="171"/>
    </row>
    <row r="146" spans="1:25" ht="17" customHeight="1">
      <c r="A146" s="173"/>
      <c r="E146" s="171"/>
      <c r="F146" s="186"/>
      <c r="G146" s="186"/>
      <c r="H146" s="186"/>
      <c r="K146" s="171"/>
      <c r="L146" s="171"/>
      <c r="M146" s="179"/>
      <c r="N146" s="171"/>
      <c r="O146" s="171"/>
      <c r="P146" s="173"/>
      <c r="Q146" s="176"/>
      <c r="R146" s="182"/>
      <c r="S146" s="171"/>
      <c r="T146" s="183"/>
      <c r="U146" s="183"/>
      <c r="V146" s="178"/>
      <c r="W146" s="171"/>
      <c r="X146" s="171"/>
    </row>
    <row r="147" spans="1:25" ht="17" customHeight="1">
      <c r="A147" s="173"/>
      <c r="K147" s="171"/>
      <c r="L147" s="171"/>
      <c r="M147" s="171"/>
      <c r="N147" s="174"/>
      <c r="O147" s="174"/>
      <c r="P147" s="173"/>
      <c r="Q147" s="176"/>
      <c r="R147" s="182"/>
      <c r="S147" s="171"/>
      <c r="T147" s="183"/>
      <c r="U147" s="183"/>
      <c r="V147" s="178"/>
      <c r="W147" s="171"/>
      <c r="X147" s="171"/>
    </row>
    <row r="148" spans="1:25" ht="17" customHeight="1">
      <c r="A148" s="173"/>
      <c r="L148" s="177"/>
      <c r="M148" s="179"/>
      <c r="N148" s="178"/>
      <c r="O148" s="178"/>
      <c r="P148" s="171"/>
      <c r="Q148" s="171"/>
      <c r="R148" s="171"/>
      <c r="S148" s="171"/>
      <c r="T148" s="171"/>
      <c r="U148" s="171"/>
      <c r="V148" s="171"/>
      <c r="W148" s="171"/>
      <c r="X148" s="171"/>
      <c r="Y148" s="171"/>
    </row>
    <row r="149" spans="1:25" ht="17" customHeight="1">
      <c r="A149" s="173"/>
      <c r="K149" s="143"/>
      <c r="L149" s="177"/>
      <c r="M149" s="179"/>
      <c r="N149" s="178"/>
      <c r="O149" s="178"/>
      <c r="P149" s="171"/>
      <c r="Q149" s="171"/>
      <c r="R149" s="171"/>
      <c r="S149" s="171"/>
      <c r="T149" s="60"/>
      <c r="U149" s="38"/>
      <c r="V149" s="171"/>
      <c r="W149" s="171"/>
      <c r="X149" s="171"/>
      <c r="Y149" s="171"/>
    </row>
    <row r="150" spans="1:25" ht="17" customHeight="1">
      <c r="A150" s="173"/>
      <c r="B150" s="176"/>
      <c r="C150" s="189"/>
      <c r="D150" s="189"/>
      <c r="E150" s="179"/>
      <c r="F150" s="186"/>
      <c r="G150" s="186"/>
      <c r="H150" s="186"/>
      <c r="K150" s="143"/>
      <c r="L150" s="177"/>
      <c r="M150" s="124"/>
      <c r="N150" s="178"/>
      <c r="O150" s="178"/>
      <c r="P150" s="171"/>
      <c r="Q150" s="171"/>
      <c r="R150" s="171"/>
      <c r="S150" s="171"/>
      <c r="T150" s="60"/>
      <c r="U150" s="38"/>
      <c r="V150" s="171"/>
      <c r="W150" s="171"/>
      <c r="X150" s="171"/>
      <c r="Y150" s="171"/>
    </row>
    <row r="151" spans="1:25" ht="17" customHeight="1">
      <c r="A151" s="173"/>
      <c r="C151" s="189"/>
      <c r="D151" s="189"/>
      <c r="E151" s="179"/>
      <c r="F151" s="186"/>
      <c r="G151" s="186"/>
      <c r="H151" s="186"/>
      <c r="K151" s="143"/>
      <c r="L151" s="177"/>
      <c r="M151" s="179"/>
      <c r="N151" s="178"/>
      <c r="O151" s="178"/>
      <c r="P151" s="171"/>
      <c r="Q151" s="171"/>
      <c r="R151" s="171"/>
      <c r="S151" s="171"/>
      <c r="T151" s="60"/>
      <c r="U151" s="38"/>
      <c r="V151" s="171"/>
      <c r="W151" s="171"/>
      <c r="X151" s="171"/>
      <c r="Y151" s="171"/>
    </row>
    <row r="152" spans="1:25" ht="17" customHeight="1">
      <c r="A152" s="173"/>
      <c r="F152" s="186"/>
      <c r="G152" s="186"/>
      <c r="H152" s="186"/>
      <c r="K152" s="143"/>
      <c r="L152" s="177"/>
      <c r="M152" s="124"/>
      <c r="N152" s="178"/>
      <c r="O152" s="178"/>
      <c r="P152" s="171"/>
      <c r="Q152" s="171"/>
      <c r="R152" s="171"/>
      <c r="S152" s="171"/>
      <c r="T152" s="60"/>
      <c r="U152" s="38"/>
      <c r="V152" s="171"/>
      <c r="W152" s="171"/>
      <c r="X152" s="171"/>
      <c r="Y152" s="171"/>
    </row>
    <row r="153" spans="1:25" ht="17" customHeight="1">
      <c r="A153" s="173"/>
      <c r="K153" s="171"/>
      <c r="L153" s="178"/>
      <c r="M153" s="179"/>
      <c r="N153" s="171"/>
      <c r="O153" s="171"/>
      <c r="P153" s="171"/>
      <c r="Q153" s="171"/>
      <c r="R153" s="171"/>
      <c r="S153" s="171"/>
      <c r="T153" s="171"/>
      <c r="U153" s="171"/>
      <c r="V153" s="171"/>
      <c r="W153" s="171"/>
      <c r="X153" s="171"/>
    </row>
    <row r="154" spans="1:25" ht="17" customHeight="1">
      <c r="A154" s="173"/>
      <c r="K154" s="171"/>
      <c r="L154" s="178"/>
      <c r="M154" s="179"/>
      <c r="N154" s="171"/>
      <c r="O154" s="171"/>
      <c r="P154" s="171"/>
      <c r="Q154" s="171"/>
      <c r="R154" s="171"/>
      <c r="S154" s="171"/>
      <c r="T154" s="171"/>
      <c r="U154" s="171"/>
      <c r="V154" s="171"/>
      <c r="W154" s="171"/>
      <c r="X154" s="171"/>
    </row>
    <row r="155" spans="1:25" ht="17" customHeight="1">
      <c r="A155" s="173"/>
      <c r="K155" s="171"/>
      <c r="L155" s="178"/>
      <c r="M155" s="179"/>
      <c r="N155" s="171"/>
      <c r="O155" s="171"/>
      <c r="P155" s="171"/>
      <c r="Q155" s="171"/>
      <c r="R155" s="171"/>
      <c r="S155" s="171"/>
      <c r="T155" s="171"/>
      <c r="U155" s="171"/>
      <c r="V155" s="171"/>
      <c r="W155" s="171"/>
      <c r="X155" s="171"/>
    </row>
    <row r="156" spans="1:25" ht="17" customHeight="1">
      <c r="A156" s="173"/>
      <c r="B156" s="173"/>
      <c r="C156" s="171"/>
      <c r="D156" s="171"/>
      <c r="E156" s="171"/>
      <c r="F156" s="178"/>
      <c r="G156" s="178"/>
      <c r="H156" s="171"/>
      <c r="I156" s="171"/>
      <c r="J156" s="171"/>
      <c r="K156" s="178"/>
      <c r="L156" s="179"/>
      <c r="M156" s="171"/>
      <c r="N156" s="171"/>
      <c r="O156" s="171"/>
      <c r="P156" s="171"/>
      <c r="Q156" s="171"/>
      <c r="R156" s="171"/>
      <c r="S156" s="171"/>
      <c r="T156" s="171"/>
      <c r="U156" s="171"/>
      <c r="V156" s="171"/>
      <c r="W156" s="171"/>
      <c r="X156" s="171"/>
    </row>
    <row r="157" spans="1:25" ht="17" customHeight="1">
      <c r="A157" s="173"/>
      <c r="B157" s="173"/>
      <c r="C157" s="171"/>
      <c r="D157" s="171"/>
      <c r="E157" s="171"/>
      <c r="F157" s="178"/>
      <c r="G157" s="178"/>
      <c r="H157" s="171"/>
      <c r="I157" s="171"/>
      <c r="J157" s="171"/>
      <c r="K157" s="178"/>
      <c r="L157" s="179"/>
      <c r="M157" s="171"/>
      <c r="N157" s="171"/>
      <c r="O157" s="171"/>
      <c r="P157" s="171"/>
      <c r="Q157" s="171"/>
      <c r="R157" s="171"/>
      <c r="S157" s="171"/>
      <c r="T157" s="171"/>
      <c r="U157" s="171"/>
      <c r="V157" s="171"/>
      <c r="W157" s="171"/>
      <c r="X157" s="171"/>
    </row>
    <row r="158" spans="1:25" ht="17" customHeight="1">
      <c r="A158" s="173"/>
      <c r="B158" s="173"/>
      <c r="C158" s="171"/>
      <c r="D158" s="171"/>
      <c r="E158" s="171"/>
      <c r="F158" s="178"/>
      <c r="G158" s="178"/>
      <c r="H158" s="171"/>
      <c r="I158" s="171"/>
      <c r="J158" s="171"/>
      <c r="K158" s="178"/>
      <c r="L158" s="179"/>
      <c r="M158" s="171"/>
      <c r="N158" s="171"/>
      <c r="O158" s="171"/>
      <c r="P158" s="171"/>
      <c r="Q158" s="171"/>
      <c r="R158" s="171"/>
      <c r="S158" s="171"/>
      <c r="T158" s="171"/>
      <c r="U158" s="171"/>
      <c r="V158" s="171"/>
      <c r="W158" s="171"/>
      <c r="X158" s="171"/>
    </row>
    <row r="159" spans="1:25" ht="17" customHeight="1">
      <c r="A159" s="173"/>
      <c r="B159" s="173"/>
      <c r="C159" s="171"/>
      <c r="D159" s="171"/>
      <c r="E159" s="171"/>
      <c r="F159" s="178"/>
      <c r="G159" s="178"/>
      <c r="H159" s="171"/>
      <c r="I159" s="171"/>
      <c r="J159" s="171"/>
      <c r="K159" s="178"/>
      <c r="L159" s="179"/>
      <c r="M159" s="171"/>
      <c r="N159" s="171"/>
      <c r="O159" s="171"/>
      <c r="P159" s="171"/>
      <c r="Q159" s="171"/>
      <c r="R159" s="171"/>
      <c r="S159" s="171"/>
      <c r="T159" s="171"/>
      <c r="U159" s="171"/>
      <c r="V159" s="171"/>
      <c r="W159" s="171"/>
      <c r="X159" s="171"/>
    </row>
    <row r="160" spans="1:25" ht="17" customHeight="1">
      <c r="A160" s="173"/>
      <c r="B160" s="173"/>
      <c r="C160" s="171"/>
      <c r="D160" s="171"/>
      <c r="E160" s="171"/>
      <c r="F160" s="178"/>
      <c r="G160" s="178"/>
      <c r="H160" s="171"/>
      <c r="I160" s="171"/>
      <c r="J160" s="171"/>
      <c r="K160" s="178"/>
      <c r="L160" s="179"/>
      <c r="M160" s="171"/>
      <c r="N160" s="171"/>
      <c r="O160" s="171"/>
      <c r="P160" s="171"/>
      <c r="Q160" s="171"/>
      <c r="R160" s="171"/>
      <c r="S160" s="171"/>
      <c r="T160" s="171"/>
      <c r="U160" s="171"/>
      <c r="V160" s="171"/>
      <c r="W160" s="171"/>
      <c r="X160" s="171"/>
    </row>
    <row r="161" spans="1:24" ht="17" customHeight="1">
      <c r="A161" s="173"/>
      <c r="B161" s="173"/>
      <c r="C161" s="171"/>
      <c r="D161" s="171"/>
      <c r="E161" s="171"/>
      <c r="F161" s="178"/>
      <c r="G161" s="178"/>
      <c r="H161" s="171"/>
      <c r="I161" s="171"/>
      <c r="J161" s="171"/>
      <c r="K161" s="178"/>
      <c r="L161" s="179"/>
      <c r="M161" s="171"/>
      <c r="N161" s="171"/>
      <c r="O161" s="171"/>
      <c r="P161" s="171"/>
      <c r="Q161" s="171"/>
      <c r="R161" s="171"/>
      <c r="S161" s="171"/>
      <c r="T161" s="171"/>
      <c r="U161" s="171"/>
      <c r="V161" s="171"/>
      <c r="W161" s="171"/>
      <c r="X161" s="171"/>
    </row>
    <row r="162" spans="1:24" ht="17" customHeight="1">
      <c r="A162" s="173"/>
      <c r="B162" s="173"/>
      <c r="C162" s="171"/>
      <c r="D162" s="171"/>
      <c r="E162" s="171"/>
      <c r="F162" s="178"/>
      <c r="G162" s="178"/>
      <c r="H162" s="171"/>
      <c r="I162" s="171"/>
      <c r="J162" s="171"/>
      <c r="K162" s="178"/>
      <c r="L162" s="179"/>
      <c r="M162" s="171"/>
      <c r="N162" s="171"/>
      <c r="O162" s="171"/>
      <c r="P162" s="171"/>
      <c r="Q162" s="171"/>
      <c r="R162" s="171"/>
      <c r="S162" s="171"/>
      <c r="T162" s="171"/>
      <c r="U162" s="171"/>
      <c r="V162" s="171"/>
      <c r="W162" s="171"/>
      <c r="X162" s="171"/>
    </row>
    <row r="163" spans="1:24" ht="17" customHeight="1">
      <c r="A163" s="173"/>
      <c r="B163" s="173"/>
      <c r="C163" s="171"/>
      <c r="D163" s="171"/>
      <c r="E163" s="171"/>
      <c r="F163" s="178"/>
      <c r="G163" s="178"/>
      <c r="H163" s="171"/>
      <c r="I163" s="171"/>
      <c r="J163" s="171"/>
      <c r="K163" s="178"/>
      <c r="L163" s="179"/>
      <c r="M163" s="171"/>
      <c r="N163" s="171"/>
      <c r="O163" s="171"/>
      <c r="P163" s="171"/>
      <c r="Q163" s="171"/>
      <c r="R163" s="171"/>
      <c r="S163" s="171"/>
      <c r="T163" s="171"/>
      <c r="U163" s="171"/>
      <c r="V163" s="171"/>
      <c r="W163" s="171"/>
      <c r="X163" s="171"/>
    </row>
    <row r="164" spans="1:24" ht="17" customHeight="1">
      <c r="A164" s="173"/>
      <c r="B164" s="173"/>
      <c r="C164" s="171"/>
      <c r="D164" s="171"/>
      <c r="E164" s="171"/>
      <c r="F164" s="178"/>
      <c r="G164" s="178"/>
      <c r="H164" s="171"/>
      <c r="I164" s="171"/>
      <c r="J164" s="171"/>
      <c r="K164" s="178"/>
      <c r="L164" s="179"/>
      <c r="M164" s="171"/>
      <c r="N164" s="171"/>
      <c r="O164" s="171"/>
      <c r="P164" s="171"/>
      <c r="Q164" s="171"/>
      <c r="R164" s="171"/>
      <c r="S164" s="171"/>
      <c r="T164" s="171"/>
      <c r="U164" s="171"/>
      <c r="V164" s="171"/>
      <c r="W164" s="171"/>
      <c r="X164" s="171"/>
    </row>
    <row r="165" spans="1:24" ht="17" customHeight="1">
      <c r="A165" s="173"/>
      <c r="B165" s="173"/>
      <c r="C165" s="171"/>
      <c r="D165" s="171"/>
      <c r="E165" s="171"/>
      <c r="F165" s="178"/>
      <c r="G165" s="178"/>
      <c r="H165" s="171"/>
      <c r="I165" s="171"/>
      <c r="J165" s="171"/>
      <c r="K165" s="178"/>
      <c r="L165" s="179"/>
      <c r="M165" s="171"/>
      <c r="N165" s="171"/>
      <c r="O165" s="171"/>
      <c r="P165" s="171"/>
      <c r="Q165" s="171"/>
      <c r="R165" s="171"/>
      <c r="S165" s="171"/>
      <c r="T165" s="171"/>
      <c r="U165" s="171"/>
      <c r="V165" s="171"/>
      <c r="W165" s="171"/>
      <c r="X165" s="171"/>
    </row>
    <row r="166" spans="1:24" ht="17" customHeight="1">
      <c r="A166" s="173"/>
      <c r="B166" s="173"/>
      <c r="C166" s="171"/>
      <c r="D166" s="171"/>
      <c r="E166" s="171"/>
      <c r="F166" s="178"/>
      <c r="G166" s="178"/>
      <c r="H166" s="171"/>
      <c r="I166" s="171"/>
      <c r="J166" s="171"/>
      <c r="K166" s="178"/>
      <c r="L166" s="179"/>
      <c r="M166" s="171"/>
      <c r="N166" s="171"/>
      <c r="O166" s="171"/>
      <c r="P166" s="171"/>
      <c r="Q166" s="171"/>
      <c r="R166" s="171"/>
      <c r="S166" s="171"/>
      <c r="T166" s="171"/>
      <c r="U166" s="171"/>
      <c r="V166" s="171"/>
      <c r="W166" s="171"/>
      <c r="X166" s="171"/>
    </row>
    <row r="167" spans="1:24" ht="17" customHeight="1">
      <c r="A167" s="173"/>
      <c r="B167" s="173"/>
      <c r="C167" s="171"/>
      <c r="D167" s="171"/>
      <c r="E167" s="171"/>
      <c r="F167" s="178"/>
      <c r="G167" s="178"/>
      <c r="H167" s="171"/>
      <c r="I167" s="171"/>
      <c r="J167" s="171"/>
      <c r="K167" s="178"/>
      <c r="L167" s="179"/>
      <c r="M167" s="171"/>
      <c r="N167" s="171"/>
      <c r="O167" s="171"/>
      <c r="P167" s="171"/>
      <c r="Q167" s="171"/>
      <c r="R167" s="171"/>
      <c r="S167" s="171"/>
      <c r="T167" s="171"/>
      <c r="U167" s="171"/>
      <c r="V167" s="171"/>
      <c r="W167" s="171"/>
      <c r="X167" s="171"/>
    </row>
    <row r="168" spans="1:24" ht="17" customHeight="1">
      <c r="A168" s="173"/>
      <c r="B168" s="173"/>
      <c r="C168" s="171"/>
      <c r="D168" s="171"/>
      <c r="E168" s="171"/>
      <c r="F168" s="178"/>
      <c r="G168" s="178"/>
      <c r="H168" s="171"/>
      <c r="I168" s="171"/>
      <c r="J168" s="171"/>
      <c r="K168" s="178"/>
      <c r="L168" s="179"/>
      <c r="M168" s="171"/>
      <c r="N168" s="171"/>
      <c r="O168" s="171"/>
      <c r="P168" s="171"/>
      <c r="Q168" s="171"/>
      <c r="R168" s="171"/>
      <c r="S168" s="171"/>
      <c r="T168" s="171"/>
      <c r="U168" s="171"/>
      <c r="V168" s="171"/>
      <c r="W168" s="171"/>
      <c r="X168" s="171"/>
    </row>
    <row r="169" spans="1:24" ht="17" customHeight="1">
      <c r="A169" s="173"/>
      <c r="B169" s="173"/>
      <c r="C169" s="171"/>
      <c r="D169" s="171"/>
      <c r="E169" s="171"/>
      <c r="F169" s="178"/>
      <c r="G169" s="178"/>
      <c r="H169" s="171"/>
      <c r="I169" s="171"/>
      <c r="J169" s="171"/>
      <c r="K169" s="178"/>
      <c r="L169" s="179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</row>
    <row r="170" spans="1:24" ht="17" customHeight="1">
      <c r="A170" s="173"/>
      <c r="B170" s="173"/>
      <c r="C170" s="171"/>
      <c r="D170" s="171"/>
      <c r="E170" s="171"/>
      <c r="F170" s="178"/>
      <c r="G170" s="178"/>
      <c r="H170" s="171"/>
      <c r="I170" s="171"/>
      <c r="J170" s="171"/>
      <c r="K170" s="178"/>
      <c r="L170" s="179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</row>
    <row r="171" spans="1:24" ht="17" customHeight="1">
      <c r="A171" s="173"/>
      <c r="B171" s="173"/>
      <c r="C171" s="171"/>
      <c r="D171" s="171"/>
      <c r="E171" s="171"/>
      <c r="F171" s="178"/>
      <c r="G171" s="178"/>
      <c r="H171" s="171"/>
      <c r="I171" s="171"/>
      <c r="J171" s="171"/>
      <c r="K171" s="178"/>
      <c r="L171" s="179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</row>
    <row r="172" spans="1:24" ht="17" customHeight="1">
      <c r="A172" s="173"/>
      <c r="B172" s="173"/>
      <c r="C172" s="171"/>
      <c r="D172" s="171"/>
      <c r="E172" s="171"/>
      <c r="F172" s="178"/>
      <c r="G172" s="178"/>
      <c r="H172" s="171"/>
      <c r="I172" s="171"/>
      <c r="J172" s="171"/>
      <c r="K172" s="178"/>
      <c r="L172" s="179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</row>
    <row r="173" spans="1:24" ht="17" customHeight="1">
      <c r="A173" s="173"/>
      <c r="B173" s="173"/>
      <c r="C173" s="171"/>
      <c r="D173" s="171"/>
      <c r="E173" s="171"/>
      <c r="F173" s="178"/>
      <c r="G173" s="178"/>
      <c r="H173" s="171"/>
      <c r="I173" s="171"/>
      <c r="J173" s="171"/>
      <c r="K173" s="178"/>
      <c r="L173" s="179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</row>
    <row r="174" spans="1:24" ht="17" customHeight="1">
      <c r="A174" s="171"/>
      <c r="B174" s="171"/>
      <c r="C174" s="171"/>
      <c r="D174" s="171"/>
      <c r="E174" s="17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</row>
    <row r="175" spans="1:24" ht="17" customHeight="1">
      <c r="A175" s="171"/>
      <c r="B175" s="171"/>
      <c r="C175" s="171"/>
      <c r="D175" s="171"/>
      <c r="E175" s="17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</row>
    <row r="176" spans="1:24" ht="17" customHeight="1">
      <c r="A176" s="172"/>
      <c r="B176" s="171"/>
      <c r="C176" s="171"/>
      <c r="D176" s="171"/>
      <c r="E176" s="17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</row>
    <row r="177" spans="1:24" ht="17" customHeight="1">
      <c r="A177" s="171"/>
      <c r="B177" s="171"/>
      <c r="C177" s="171"/>
      <c r="D177" s="171"/>
      <c r="E177" s="17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</row>
    <row r="178" spans="1:24" ht="17" customHeight="1">
      <c r="A178" s="173"/>
      <c r="B178" s="171"/>
      <c r="C178" s="172"/>
      <c r="D178" s="171"/>
      <c r="E178" s="171"/>
      <c r="F178" s="171"/>
      <c r="G178" s="171"/>
      <c r="H178" s="171"/>
      <c r="I178" s="171"/>
      <c r="J178" s="170"/>
      <c r="K178" s="170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</row>
    <row r="179" spans="1:24" ht="17" customHeight="1">
      <c r="A179" s="173"/>
      <c r="B179" s="171"/>
      <c r="C179" s="175"/>
      <c r="D179" s="175"/>
      <c r="E179" s="175"/>
      <c r="F179" s="175"/>
      <c r="G179" s="175"/>
      <c r="H179" s="175"/>
      <c r="I179" s="175"/>
      <c r="J179" s="190"/>
      <c r="K179" s="190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</row>
    <row r="180" spans="1:24" ht="17" customHeight="1">
      <c r="A180" s="173"/>
      <c r="B180" s="187"/>
      <c r="C180" s="179"/>
      <c r="D180" s="179"/>
      <c r="E180" s="191"/>
      <c r="F180" s="178"/>
      <c r="G180" s="178"/>
      <c r="H180" s="177"/>
      <c r="I180" s="171"/>
      <c r="J180" s="178"/>
      <c r="K180" s="184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</row>
    <row r="181" spans="1:24" ht="17" customHeight="1">
      <c r="A181" s="173"/>
      <c r="B181" s="187"/>
      <c r="C181" s="179"/>
      <c r="D181" s="179"/>
      <c r="E181" s="191"/>
      <c r="F181" s="178"/>
      <c r="G181" s="178"/>
      <c r="H181" s="177"/>
      <c r="I181" s="171"/>
      <c r="J181" s="178"/>
      <c r="K181" s="184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</row>
    <row r="182" spans="1:24" ht="17" customHeight="1">
      <c r="A182" s="173"/>
      <c r="B182" s="187"/>
      <c r="C182" s="189"/>
      <c r="D182" s="189"/>
      <c r="E182" s="192"/>
      <c r="F182" s="190"/>
      <c r="G182" s="190"/>
      <c r="H182" s="177"/>
      <c r="I182" s="190"/>
      <c r="J182" s="178"/>
      <c r="K182" s="184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</row>
    <row r="183" spans="1:24" ht="17" customHeight="1">
      <c r="A183" s="173"/>
      <c r="B183" s="187"/>
      <c r="C183" s="189"/>
      <c r="D183" s="179"/>
      <c r="E183" s="191"/>
      <c r="F183" s="178"/>
      <c r="G183" s="178"/>
      <c r="H183" s="177"/>
      <c r="I183" s="178"/>
      <c r="J183" s="178"/>
      <c r="K183" s="184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</row>
    <row r="184" spans="1:24" ht="17" customHeight="1">
      <c r="A184" s="173"/>
      <c r="B184" s="187"/>
      <c r="C184" s="189"/>
      <c r="D184" s="179"/>
      <c r="E184" s="171"/>
      <c r="F184" s="191"/>
      <c r="G184" s="191"/>
      <c r="H184" s="177"/>
      <c r="I184" s="177"/>
      <c r="J184" s="178"/>
      <c r="K184" s="184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</row>
    <row r="185" spans="1:24" ht="17" customHeight="1">
      <c r="A185" s="171"/>
      <c r="B185" s="171"/>
      <c r="C185" s="189"/>
      <c r="D185" s="179"/>
      <c r="E185" s="171"/>
      <c r="F185" s="191"/>
      <c r="G185" s="191"/>
      <c r="H185" s="177"/>
      <c r="I185" s="178"/>
      <c r="J185" s="178"/>
      <c r="K185" s="184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</row>
    <row r="186" spans="1:24" ht="17" customHeight="1">
      <c r="A186" s="173"/>
      <c r="B186" s="187"/>
      <c r="C186" s="189"/>
      <c r="D186" s="179"/>
      <c r="E186" s="171"/>
      <c r="F186" s="191"/>
      <c r="G186" s="191"/>
      <c r="H186" s="177"/>
      <c r="I186" s="178"/>
      <c r="J186" s="178"/>
      <c r="K186" s="184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</row>
    <row r="187" spans="1:24" ht="17" customHeight="1">
      <c r="A187" s="173"/>
      <c r="B187" s="187"/>
      <c r="C187" s="189"/>
      <c r="D187" s="179"/>
      <c r="E187" s="171"/>
      <c r="F187" s="191"/>
      <c r="G187" s="191"/>
      <c r="H187" s="177"/>
      <c r="I187" s="178"/>
      <c r="J187" s="178"/>
      <c r="K187" s="184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</row>
    <row r="188" spans="1:24" ht="17" customHeight="1">
      <c r="A188" s="173"/>
      <c r="B188" s="187"/>
      <c r="C188" s="189"/>
      <c r="D188" s="179"/>
      <c r="E188" s="171"/>
      <c r="F188" s="191"/>
      <c r="G188" s="191"/>
      <c r="H188" s="177"/>
      <c r="I188" s="178"/>
      <c r="J188" s="178"/>
      <c r="K188" s="184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</row>
    <row r="189" spans="1:24" ht="17" customHeight="1">
      <c r="A189" s="173"/>
      <c r="B189" s="187"/>
      <c r="C189" s="189"/>
      <c r="D189" s="179"/>
      <c r="E189" s="171"/>
      <c r="F189" s="191"/>
      <c r="G189" s="191"/>
      <c r="H189" s="177"/>
      <c r="I189" s="178"/>
      <c r="J189" s="178"/>
      <c r="K189" s="184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</row>
    <row r="190" spans="1:24" ht="17" customHeight="1">
      <c r="A190" s="173"/>
      <c r="B190" s="187"/>
      <c r="C190" s="189"/>
      <c r="D190" s="179"/>
      <c r="E190" s="171"/>
      <c r="F190" s="191"/>
      <c r="G190" s="191"/>
      <c r="H190" s="177"/>
      <c r="I190" s="178"/>
      <c r="J190" s="178"/>
      <c r="K190" s="184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</row>
    <row r="191" spans="1:24" ht="17" customHeight="1">
      <c r="A191" s="173"/>
      <c r="B191" s="171"/>
      <c r="C191" s="189"/>
      <c r="D191" s="179"/>
      <c r="E191" s="171"/>
      <c r="F191" s="191"/>
      <c r="G191" s="191"/>
      <c r="H191" s="177"/>
      <c r="I191" s="178"/>
      <c r="J191" s="178"/>
      <c r="K191" s="184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</row>
    <row r="192" spans="1:24" ht="17" customHeight="1">
      <c r="A192" s="171"/>
      <c r="B192" s="187"/>
      <c r="C192" s="189"/>
      <c r="D192" s="179"/>
      <c r="E192" s="191"/>
      <c r="F192" s="191"/>
      <c r="G192" s="191"/>
      <c r="H192" s="177"/>
      <c r="I192" s="171"/>
      <c r="J192" s="178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</row>
    <row r="193" spans="1:24" ht="17" customHeight="1">
      <c r="A193" s="171"/>
      <c r="B193" s="187"/>
      <c r="C193" s="189"/>
      <c r="D193" s="179"/>
      <c r="E193" s="171"/>
      <c r="F193" s="171"/>
      <c r="G193" s="171"/>
      <c r="H193" s="177"/>
      <c r="I193" s="171"/>
      <c r="J193" s="178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</row>
    <row r="194" spans="1:24" ht="17" customHeight="1">
      <c r="A194" s="171"/>
      <c r="B194" s="187"/>
      <c r="C194" s="189"/>
      <c r="D194" s="179"/>
      <c r="E194" s="171"/>
      <c r="F194" s="171"/>
      <c r="G194" s="171"/>
      <c r="H194" s="177"/>
      <c r="I194" s="171"/>
      <c r="J194" s="178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</row>
    <row r="195" spans="1:24" ht="17" customHeight="1">
      <c r="A195" s="171"/>
      <c r="B195" s="187"/>
      <c r="C195" s="189"/>
      <c r="D195" s="179"/>
      <c r="E195" s="171"/>
      <c r="F195" s="171"/>
      <c r="G195" s="171"/>
      <c r="H195" s="177"/>
      <c r="I195" s="171"/>
      <c r="J195" s="178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</row>
    <row r="196" spans="1:24" ht="17" customHeight="1">
      <c r="A196" s="171"/>
      <c r="B196" s="187"/>
      <c r="C196" s="189"/>
      <c r="D196" s="179"/>
      <c r="E196" s="171"/>
      <c r="F196" s="177"/>
      <c r="G196" s="177"/>
      <c r="H196" s="177"/>
      <c r="I196" s="171"/>
      <c r="J196" s="178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</row>
    <row r="197" spans="1:24" ht="17" customHeight="1">
      <c r="A197" s="171"/>
      <c r="B197" s="171"/>
      <c r="C197" s="189"/>
      <c r="D197" s="179"/>
      <c r="E197" s="171"/>
      <c r="F197" s="177"/>
      <c r="G197" s="177"/>
      <c r="H197" s="177"/>
      <c r="I197" s="171"/>
      <c r="J197" s="178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</row>
    <row r="198" spans="1:24" ht="17" customHeight="1">
      <c r="A198" s="171"/>
      <c r="B198" s="171"/>
      <c r="C198" s="189"/>
      <c r="D198" s="179"/>
      <c r="E198" s="171"/>
      <c r="F198" s="177"/>
      <c r="G198" s="177"/>
      <c r="H198" s="177"/>
      <c r="I198" s="171"/>
      <c r="J198" s="178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</row>
    <row r="199" spans="1:24" ht="17" customHeight="1">
      <c r="A199" s="171"/>
      <c r="B199" s="171"/>
      <c r="C199" s="189"/>
      <c r="D199" s="179"/>
      <c r="E199" s="171"/>
      <c r="F199" s="177"/>
      <c r="G199" s="177"/>
      <c r="H199" s="177"/>
      <c r="I199" s="171"/>
      <c r="J199" s="178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</row>
    <row r="200" spans="1:24" ht="17" customHeight="1">
      <c r="A200" s="171"/>
      <c r="B200" s="171"/>
      <c r="C200" s="189"/>
      <c r="D200" s="179"/>
      <c r="E200" s="171"/>
      <c r="F200" s="177"/>
      <c r="G200" s="177"/>
      <c r="H200" s="177"/>
      <c r="I200" s="171"/>
      <c r="J200" s="178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</row>
    <row r="201" spans="1:24" ht="17" customHeight="1">
      <c r="A201" s="171"/>
      <c r="B201" s="171"/>
      <c r="C201" s="189"/>
      <c r="D201" s="179"/>
      <c r="E201" s="171"/>
      <c r="F201" s="191"/>
      <c r="G201" s="191"/>
      <c r="H201" s="177"/>
      <c r="I201" s="171"/>
      <c r="J201" s="178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</row>
    <row r="202" spans="1:24" ht="17" customHeight="1">
      <c r="A202" s="171"/>
      <c r="B202" s="171"/>
      <c r="C202" s="189"/>
      <c r="D202" s="171"/>
      <c r="E202" s="171"/>
      <c r="F202" s="193"/>
      <c r="G202" s="193"/>
      <c r="H202" s="177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</row>
    <row r="203" spans="1:24" ht="17" customHeight="1">
      <c r="A203" s="171"/>
      <c r="B203" s="171"/>
      <c r="C203" s="171"/>
      <c r="D203" s="171"/>
      <c r="E203" s="171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</row>
    <row r="204" spans="1:24" ht="17" customHeight="1">
      <c r="A204" s="194"/>
      <c r="C204" s="171"/>
      <c r="D204" s="171"/>
      <c r="E204" s="171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</row>
    <row r="205" spans="1:24" ht="17" customHeight="1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</row>
    <row r="206" spans="1:24" ht="17" customHeight="1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</row>
    <row r="207" spans="1:24" ht="17" customHeight="1">
      <c r="A207" s="171"/>
      <c r="B207" s="171"/>
      <c r="C207" s="171"/>
      <c r="D207" s="171"/>
      <c r="E207" s="171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</row>
    <row r="208" spans="1:24" ht="17" customHeight="1">
      <c r="A208" s="171"/>
      <c r="B208" s="171"/>
      <c r="C208" s="171"/>
      <c r="D208" s="171"/>
      <c r="E208" s="171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</row>
  </sheetData>
  <pageMargins left="0.7" right="0.7" top="0.75" bottom="0.75" header="0.3" footer="0.3"/>
  <pageSetup paperSize="9" scale="45" orientation="portrait" horizontalDpi="0" verticalDpi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31FF2-C634-D044-B529-CCB64099EF08}">
  <sheetPr>
    <pageSetUpPr fitToPage="1"/>
  </sheetPr>
  <dimension ref="A1:M39"/>
  <sheetViews>
    <sheetView workbookViewId="0">
      <selection sqref="A1:H40"/>
    </sheetView>
  </sheetViews>
  <sheetFormatPr baseColWidth="10" defaultRowHeight="16"/>
  <cols>
    <col min="1" max="1" width="28.5" customWidth="1"/>
    <col min="2" max="2" width="16" customWidth="1"/>
    <col min="3" max="3" width="16.6640625" customWidth="1"/>
  </cols>
  <sheetData>
    <row r="1" spans="1:12">
      <c r="A1" s="307" t="s">
        <v>430</v>
      </c>
      <c r="B1" s="55"/>
      <c r="C1" s="60"/>
      <c r="D1" s="30"/>
      <c r="E1" s="30"/>
      <c r="F1" s="30"/>
      <c r="G1" s="30"/>
      <c r="H1" s="108"/>
      <c r="I1" s="108"/>
      <c r="J1" s="108"/>
      <c r="K1" s="108"/>
    </row>
    <row r="2" spans="1:12">
      <c r="A2" s="108"/>
      <c r="B2" s="313" t="s">
        <v>154</v>
      </c>
      <c r="C2" s="44" t="s">
        <v>99</v>
      </c>
      <c r="D2" s="308" t="s">
        <v>433</v>
      </c>
      <c r="E2" s="30"/>
      <c r="G2" s="108"/>
      <c r="H2" s="108"/>
      <c r="I2" s="108"/>
      <c r="J2" s="108"/>
      <c r="K2" s="108"/>
    </row>
    <row r="3" spans="1:12">
      <c r="A3" s="314" t="s">
        <v>292</v>
      </c>
      <c r="B3" s="99" t="s">
        <v>432</v>
      </c>
      <c r="C3" s="99">
        <v>3.35</v>
      </c>
      <c r="D3" s="334" t="s">
        <v>198</v>
      </c>
      <c r="E3" s="315"/>
      <c r="G3" s="108"/>
      <c r="H3" s="108"/>
      <c r="I3" s="108"/>
      <c r="J3" s="108"/>
      <c r="K3" s="108"/>
    </row>
    <row r="4" spans="1:12">
      <c r="A4" s="316" t="s">
        <v>274</v>
      </c>
      <c r="B4" s="99" t="s">
        <v>275</v>
      </c>
      <c r="C4" s="99">
        <v>4.88</v>
      </c>
      <c r="D4" s="334" t="s">
        <v>198</v>
      </c>
      <c r="E4" s="315"/>
      <c r="G4" s="108"/>
      <c r="H4" s="108"/>
      <c r="I4" s="108"/>
      <c r="J4" s="108"/>
      <c r="K4" s="108"/>
    </row>
    <row r="5" spans="1:12">
      <c r="A5" s="316" t="s">
        <v>337</v>
      </c>
      <c r="B5" s="99" t="s">
        <v>338</v>
      </c>
      <c r="C5" s="94">
        <v>4.2</v>
      </c>
      <c r="D5" s="334" t="s">
        <v>198</v>
      </c>
      <c r="E5" s="315"/>
      <c r="G5" s="108"/>
      <c r="H5" s="108"/>
      <c r="I5" s="108"/>
      <c r="J5" s="108"/>
      <c r="K5" s="108"/>
    </row>
    <row r="6" spans="1:12">
      <c r="A6" s="316" t="s">
        <v>250</v>
      </c>
      <c r="B6" s="99" t="s">
        <v>251</v>
      </c>
      <c r="C6" s="317">
        <v>8.06</v>
      </c>
      <c r="D6" s="335" t="s">
        <v>442</v>
      </c>
      <c r="E6" s="319"/>
      <c r="G6" s="108"/>
      <c r="H6" s="108"/>
      <c r="I6" s="108"/>
      <c r="J6" s="108"/>
      <c r="K6" s="108"/>
    </row>
    <row r="7" spans="1:12">
      <c r="A7" s="314" t="s">
        <v>380</v>
      </c>
      <c r="B7" s="99" t="s">
        <v>381</v>
      </c>
      <c r="C7" s="111">
        <v>10.86</v>
      </c>
      <c r="D7" s="335" t="s">
        <v>306</v>
      </c>
      <c r="E7" s="315"/>
      <c r="G7" s="108"/>
      <c r="H7" s="108"/>
      <c r="I7" s="108"/>
      <c r="J7" s="108"/>
      <c r="K7" s="108"/>
    </row>
    <row r="8" spans="1:12">
      <c r="A8" s="314" t="s">
        <v>104</v>
      </c>
      <c r="B8" s="111" t="s">
        <v>105</v>
      </c>
      <c r="C8" s="33">
        <v>2.9</v>
      </c>
      <c r="D8" s="336" t="s">
        <v>443</v>
      </c>
      <c r="E8" s="315"/>
      <c r="G8" s="108"/>
      <c r="H8" s="108"/>
      <c r="I8" s="108"/>
      <c r="J8" s="108"/>
      <c r="K8" s="108"/>
    </row>
    <row r="9" spans="1:12">
      <c r="A9" s="314" t="s">
        <v>104</v>
      </c>
      <c r="B9" s="99" t="s">
        <v>106</v>
      </c>
      <c r="C9" s="33">
        <v>3.5</v>
      </c>
      <c r="D9" s="336" t="s">
        <v>443</v>
      </c>
      <c r="E9" s="315"/>
      <c r="G9" s="108"/>
      <c r="H9" s="108"/>
      <c r="I9" s="108"/>
      <c r="J9" s="108"/>
      <c r="K9" s="108"/>
    </row>
    <row r="10" spans="1:12">
      <c r="A10" s="314" t="s">
        <v>104</v>
      </c>
      <c r="B10" s="99" t="s">
        <v>107</v>
      </c>
      <c r="C10" s="320">
        <v>3.54</v>
      </c>
      <c r="D10" s="334" t="s">
        <v>198</v>
      </c>
      <c r="E10" s="321"/>
      <c r="G10" s="108"/>
      <c r="H10" s="108"/>
      <c r="I10" s="108"/>
      <c r="J10" s="108"/>
      <c r="K10" s="108"/>
    </row>
    <row r="11" spans="1:12">
      <c r="A11" s="314" t="s">
        <v>108</v>
      </c>
      <c r="B11" s="99" t="s">
        <v>463</v>
      </c>
      <c r="C11" s="33">
        <v>2.786</v>
      </c>
      <c r="D11" s="334" t="s">
        <v>198</v>
      </c>
      <c r="E11" s="315"/>
      <c r="G11" s="108"/>
      <c r="H11" s="108"/>
      <c r="I11" s="108"/>
      <c r="J11" s="108"/>
      <c r="K11" s="108"/>
    </row>
    <row r="12" spans="1:12">
      <c r="A12" s="314" t="s">
        <v>93</v>
      </c>
      <c r="B12" s="322" t="s">
        <v>103</v>
      </c>
      <c r="C12" s="98">
        <f>AVERAGE(C8:C11)</f>
        <v>3.1815000000000002</v>
      </c>
      <c r="D12" s="335"/>
      <c r="E12" s="315"/>
      <c r="G12" s="108"/>
      <c r="H12" s="108"/>
      <c r="I12" s="108"/>
      <c r="J12" s="77"/>
      <c r="K12" s="108"/>
    </row>
    <row r="13" spans="1:12">
      <c r="A13" s="314" t="s">
        <v>109</v>
      </c>
      <c r="B13" s="111" t="s">
        <v>110</v>
      </c>
      <c r="C13" s="99">
        <v>2.76</v>
      </c>
      <c r="D13" s="336" t="s">
        <v>553</v>
      </c>
      <c r="E13" s="321"/>
      <c r="G13" s="108"/>
      <c r="H13" s="108"/>
      <c r="I13" s="108"/>
      <c r="J13" s="77"/>
      <c r="K13" s="108"/>
    </row>
    <row r="14" spans="1:12">
      <c r="A14" s="314" t="s">
        <v>109</v>
      </c>
      <c r="B14" s="99" t="s">
        <v>111</v>
      </c>
      <c r="C14" s="99">
        <v>3.004</v>
      </c>
      <c r="D14" s="336" t="s">
        <v>554</v>
      </c>
      <c r="E14" s="321"/>
      <c r="G14" s="108"/>
      <c r="H14" s="108"/>
      <c r="I14" s="108"/>
      <c r="J14" s="77"/>
      <c r="K14" s="55"/>
    </row>
    <row r="15" spans="1:12">
      <c r="A15" s="316" t="s">
        <v>26</v>
      </c>
      <c r="B15" s="322" t="s">
        <v>103</v>
      </c>
      <c r="C15" s="33">
        <f>AVERAGE(C13:C14)</f>
        <v>2.8819999999999997</v>
      </c>
      <c r="D15" s="334"/>
      <c r="E15" s="321"/>
      <c r="G15" s="108"/>
      <c r="H15" s="108"/>
      <c r="I15" s="108"/>
      <c r="J15" s="77"/>
      <c r="K15" s="55"/>
      <c r="L15" s="77"/>
    </row>
    <row r="16" spans="1:12">
      <c r="A16" s="314" t="s">
        <v>112</v>
      </c>
      <c r="B16" s="111" t="s">
        <v>113</v>
      </c>
      <c r="C16" s="320">
        <v>4.7</v>
      </c>
      <c r="D16" s="337" t="s">
        <v>445</v>
      </c>
      <c r="E16" s="321"/>
      <c r="G16" s="108"/>
      <c r="H16" s="108"/>
      <c r="I16" s="108"/>
      <c r="J16" s="77"/>
      <c r="K16" s="55"/>
      <c r="L16" s="77"/>
    </row>
    <row r="17" spans="1:13">
      <c r="A17" s="314" t="s">
        <v>112</v>
      </c>
      <c r="B17" s="111" t="s">
        <v>114</v>
      </c>
      <c r="C17" s="320">
        <v>5.17</v>
      </c>
      <c r="D17" s="334" t="s">
        <v>350</v>
      </c>
      <c r="E17" s="321"/>
      <c r="G17" s="108"/>
      <c r="H17" s="108"/>
      <c r="I17" s="108"/>
      <c r="J17" s="77"/>
      <c r="K17" s="55"/>
      <c r="L17" s="77"/>
    </row>
    <row r="18" spans="1:13">
      <c r="A18" s="314" t="s">
        <v>95</v>
      </c>
      <c r="B18" s="323" t="s">
        <v>103</v>
      </c>
      <c r="C18" s="33">
        <f>AVERAGE(C16:C17)</f>
        <v>4.9350000000000005</v>
      </c>
      <c r="D18" s="334"/>
      <c r="E18" s="321"/>
      <c r="G18" s="108"/>
      <c r="H18" s="108"/>
      <c r="I18" s="108"/>
      <c r="J18" s="77"/>
      <c r="K18" s="55"/>
      <c r="L18" s="77"/>
      <c r="M18" s="86"/>
    </row>
    <row r="19" spans="1:13">
      <c r="A19" s="314" t="s">
        <v>115</v>
      </c>
      <c r="B19" s="324" t="s">
        <v>116</v>
      </c>
      <c r="C19" s="26">
        <v>10.66</v>
      </c>
      <c r="D19" s="336" t="s">
        <v>260</v>
      </c>
      <c r="E19" s="321"/>
      <c r="G19" s="108"/>
      <c r="H19" s="108"/>
      <c r="I19" s="108"/>
      <c r="J19" s="77"/>
      <c r="K19" s="86"/>
    </row>
    <row r="20" spans="1:13">
      <c r="A20" s="314" t="s">
        <v>117</v>
      </c>
      <c r="B20" s="111" t="s">
        <v>118</v>
      </c>
      <c r="C20" s="325">
        <v>10.06</v>
      </c>
      <c r="D20" s="336" t="s">
        <v>262</v>
      </c>
      <c r="E20" s="315"/>
      <c r="G20" s="108"/>
      <c r="H20" s="108"/>
      <c r="I20" s="108"/>
      <c r="J20" s="108"/>
      <c r="K20" s="108"/>
    </row>
    <row r="21" spans="1:13">
      <c r="A21" s="77" t="s">
        <v>94</v>
      </c>
      <c r="B21" s="311" t="s">
        <v>103</v>
      </c>
      <c r="C21" s="30">
        <f>AVERAGE(C19:C20)</f>
        <v>10.36</v>
      </c>
      <c r="D21" s="338"/>
      <c r="E21" s="200"/>
      <c r="G21" s="108"/>
      <c r="H21" s="108"/>
      <c r="I21" s="108"/>
      <c r="J21" s="108"/>
      <c r="K21" s="108"/>
    </row>
    <row r="22" spans="1:13">
      <c r="A22" s="69" t="s">
        <v>119</v>
      </c>
      <c r="B22" s="34" t="s">
        <v>120</v>
      </c>
      <c r="C22" s="34">
        <v>11.3</v>
      </c>
      <c r="D22" s="339" t="s">
        <v>446</v>
      </c>
      <c r="E22" s="200"/>
      <c r="G22" s="108"/>
      <c r="H22" s="108"/>
      <c r="I22" s="108"/>
      <c r="J22" s="108"/>
      <c r="K22" s="108"/>
    </row>
    <row r="23" spans="1:13">
      <c r="A23" s="69" t="s">
        <v>160</v>
      </c>
      <c r="B23" s="34" t="s">
        <v>162</v>
      </c>
      <c r="C23" s="34">
        <v>11.2</v>
      </c>
      <c r="D23" s="338" t="s">
        <v>451</v>
      </c>
      <c r="E23" s="200"/>
      <c r="F23" s="201"/>
      <c r="G23" s="108"/>
      <c r="H23" s="108"/>
      <c r="I23" s="108"/>
      <c r="J23" s="108"/>
      <c r="K23" s="108"/>
    </row>
    <row r="24" spans="1:13">
      <c r="A24" s="69" t="s">
        <v>168</v>
      </c>
      <c r="B24" s="34" t="s">
        <v>169</v>
      </c>
      <c r="C24" s="34">
        <v>10</v>
      </c>
      <c r="D24" s="335" t="s">
        <v>450</v>
      </c>
      <c r="E24" s="108"/>
      <c r="F24" s="108"/>
      <c r="G24" s="108"/>
      <c r="H24" s="108"/>
      <c r="I24" s="108"/>
      <c r="J24" s="108"/>
      <c r="K24" s="108"/>
    </row>
    <row r="25" spans="1:13">
      <c r="A25" s="69" t="s">
        <v>2</v>
      </c>
      <c r="B25" s="312" t="s">
        <v>441</v>
      </c>
      <c r="C25" s="34">
        <v>2.5</v>
      </c>
      <c r="D25" s="318" t="s">
        <v>577</v>
      </c>
      <c r="E25" s="200"/>
      <c r="G25" s="108"/>
      <c r="H25" s="108"/>
      <c r="I25" s="108"/>
      <c r="J25" s="108"/>
      <c r="K25" s="108"/>
    </row>
    <row r="26" spans="1:13">
      <c r="A26" s="69" t="s">
        <v>1</v>
      </c>
      <c r="B26" s="312" t="s">
        <v>441</v>
      </c>
      <c r="C26" s="34">
        <v>4.21</v>
      </c>
      <c r="D26" s="318" t="s">
        <v>577</v>
      </c>
      <c r="E26" s="200"/>
      <c r="G26" s="108"/>
      <c r="H26" s="108"/>
      <c r="I26" s="108"/>
      <c r="J26" s="108"/>
      <c r="K26" s="108"/>
    </row>
    <row r="27" spans="1:13">
      <c r="A27" s="69" t="s">
        <v>3</v>
      </c>
      <c r="B27" s="312" t="s">
        <v>441</v>
      </c>
      <c r="C27" s="34">
        <v>7.63</v>
      </c>
      <c r="D27" s="318" t="s">
        <v>577</v>
      </c>
      <c r="E27" s="200"/>
      <c r="G27" s="108"/>
      <c r="H27" s="108"/>
      <c r="I27" s="108"/>
      <c r="J27" s="108"/>
      <c r="K27" s="108"/>
    </row>
    <row r="30" spans="1:13">
      <c r="A30" s="108"/>
      <c r="B30" s="108"/>
      <c r="C30" s="108"/>
      <c r="D30" s="108"/>
      <c r="E30" s="108"/>
      <c r="F30" s="108"/>
      <c r="G30" s="108"/>
      <c r="H30" s="108"/>
      <c r="I30" s="108"/>
      <c r="J30" s="108"/>
      <c r="K30" s="108"/>
    </row>
    <row r="31" spans="1:13">
      <c r="A31" s="40" t="s">
        <v>431</v>
      </c>
      <c r="B31" s="108"/>
      <c r="C31" s="108"/>
      <c r="D31" s="108"/>
      <c r="E31" s="200"/>
      <c r="F31" s="200"/>
      <c r="G31" s="200"/>
      <c r="H31" s="108"/>
      <c r="I31" s="108"/>
      <c r="J31" s="108"/>
      <c r="K31" s="108"/>
    </row>
    <row r="32" spans="1:13">
      <c r="A32" s="108"/>
      <c r="B32" s="313" t="s">
        <v>154</v>
      </c>
      <c r="C32" s="44" t="s">
        <v>99</v>
      </c>
      <c r="D32" s="108"/>
      <c r="E32" s="108"/>
      <c r="F32" s="108"/>
      <c r="G32" s="108"/>
      <c r="H32" s="108"/>
      <c r="I32" s="108"/>
      <c r="J32" s="108"/>
      <c r="K32" s="108"/>
    </row>
    <row r="33" spans="1:11">
      <c r="A33" s="309"/>
      <c r="C33" s="44" t="s">
        <v>434</v>
      </c>
      <c r="D33" s="44" t="s">
        <v>435</v>
      </c>
      <c r="E33" s="40" t="s">
        <v>421</v>
      </c>
      <c r="F33" s="308" t="s">
        <v>433</v>
      </c>
      <c r="G33" s="34"/>
      <c r="H33" s="108"/>
      <c r="I33" s="108"/>
      <c r="J33" s="108"/>
      <c r="K33" s="108"/>
    </row>
    <row r="34" spans="1:11">
      <c r="A34" s="310" t="s">
        <v>437</v>
      </c>
      <c r="B34" s="201" t="s">
        <v>54</v>
      </c>
      <c r="C34" s="34">
        <v>7</v>
      </c>
      <c r="D34" s="34">
        <v>8.1999999999999993</v>
      </c>
      <c r="E34" s="34">
        <f>+AVERAGE(C34:D34)</f>
        <v>7.6</v>
      </c>
      <c r="F34" s="41" t="s">
        <v>440</v>
      </c>
      <c r="G34" s="41"/>
      <c r="H34" s="108"/>
      <c r="I34" s="108"/>
      <c r="J34" s="108"/>
      <c r="K34" s="108"/>
    </row>
    <row r="35" spans="1:11">
      <c r="A35" s="69" t="s">
        <v>438</v>
      </c>
      <c r="B35" s="42" t="s">
        <v>54</v>
      </c>
      <c r="C35" s="108">
        <v>11.2</v>
      </c>
      <c r="D35" s="108">
        <v>16</v>
      </c>
      <c r="E35" s="34">
        <f>+AVERAGE(C35:D35)</f>
        <v>13.6</v>
      </c>
      <c r="F35" s="41" t="s">
        <v>436</v>
      </c>
      <c r="G35" s="41"/>
      <c r="H35" s="108"/>
      <c r="I35" s="108"/>
      <c r="J35" s="108"/>
      <c r="K35" s="108"/>
    </row>
    <row r="36" spans="1:11">
      <c r="A36" s="69" t="s">
        <v>439</v>
      </c>
      <c r="B36" s="42" t="s">
        <v>54</v>
      </c>
      <c r="C36" s="34">
        <v>1.9</v>
      </c>
      <c r="D36" s="34">
        <v>3.8</v>
      </c>
      <c r="E36" s="34">
        <f>+AVERAGE(C36:D36)</f>
        <v>2.8499999999999996</v>
      </c>
      <c r="F36" s="41" t="s">
        <v>436</v>
      </c>
      <c r="G36" s="41"/>
      <c r="H36" s="108"/>
      <c r="I36" s="108"/>
      <c r="J36" s="108"/>
      <c r="K36" s="108"/>
    </row>
    <row r="37" spans="1:11">
      <c r="A37" s="108"/>
      <c r="B37" s="108"/>
      <c r="C37" s="108"/>
      <c r="D37" s="108"/>
      <c r="E37" s="108"/>
      <c r="F37" s="108"/>
      <c r="G37" s="108"/>
      <c r="H37" s="108"/>
      <c r="I37" s="108"/>
      <c r="J37" s="108"/>
      <c r="K37" s="108"/>
    </row>
    <row r="38" spans="1:11">
      <c r="A38" s="108"/>
      <c r="B38" s="108"/>
      <c r="C38" s="108"/>
      <c r="D38" s="108"/>
      <c r="E38" s="108"/>
      <c r="F38" s="108"/>
      <c r="G38" s="108"/>
      <c r="H38" s="108"/>
      <c r="I38" s="108"/>
      <c r="J38" s="108"/>
      <c r="K38" s="108"/>
    </row>
    <row r="39" spans="1:11">
      <c r="A39" s="108"/>
      <c r="B39" s="108"/>
      <c r="C39" s="108"/>
      <c r="D39" s="108"/>
      <c r="E39" s="108"/>
      <c r="F39" s="108"/>
      <c r="G39" s="108"/>
      <c r="H39" s="108"/>
      <c r="I39" s="108"/>
      <c r="J39" s="108"/>
      <c r="K39" s="108"/>
    </row>
  </sheetData>
  <pageMargins left="0.7" right="0.7" top="0.75" bottom="0.75" header="0.3" footer="0.3"/>
  <pageSetup paperSize="9" scale="71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7244F-453E-4643-96EB-31EE3AD2E48B}">
  <sheetPr>
    <pageSetUpPr fitToPage="1"/>
  </sheetPr>
  <dimension ref="A1:K116"/>
  <sheetViews>
    <sheetView workbookViewId="0">
      <selection sqref="A1:K116"/>
    </sheetView>
  </sheetViews>
  <sheetFormatPr baseColWidth="10" defaultRowHeight="16"/>
  <cols>
    <col min="1" max="1" width="33.83203125" customWidth="1"/>
    <col min="2" max="2" width="21.83203125" style="269" customWidth="1"/>
    <col min="3" max="3" width="21.5" customWidth="1"/>
    <col min="4" max="5" width="10.83203125" style="108"/>
    <col min="10" max="10" width="29" customWidth="1"/>
    <col min="11" max="11" width="12.33203125" customWidth="1"/>
  </cols>
  <sheetData>
    <row r="1" spans="1:11" ht="34">
      <c r="A1" s="91" t="s">
        <v>152</v>
      </c>
      <c r="B1" s="306" t="s">
        <v>153</v>
      </c>
      <c r="C1" s="247" t="s">
        <v>154</v>
      </c>
      <c r="D1" s="247" t="s">
        <v>155</v>
      </c>
      <c r="E1" s="247" t="s">
        <v>156</v>
      </c>
      <c r="F1" s="247" t="s">
        <v>157</v>
      </c>
      <c r="G1" s="49" t="s">
        <v>158</v>
      </c>
      <c r="H1" s="49" t="s">
        <v>159</v>
      </c>
      <c r="I1" s="49" t="s">
        <v>403</v>
      </c>
      <c r="J1" s="44" t="s">
        <v>396</v>
      </c>
    </row>
    <row r="2" spans="1:11">
      <c r="A2" s="248" t="s">
        <v>160</v>
      </c>
      <c r="B2" s="268" t="s">
        <v>161</v>
      </c>
      <c r="C2" s="249" t="s">
        <v>162</v>
      </c>
      <c r="D2" s="341">
        <v>76.27</v>
      </c>
      <c r="E2" s="341">
        <v>72.05</v>
      </c>
      <c r="F2" s="250">
        <f>+AVERAGE(D2:E2)</f>
        <v>74.16</v>
      </c>
      <c r="G2" s="248">
        <v>700</v>
      </c>
      <c r="H2" s="248">
        <v>188</v>
      </c>
      <c r="I2" s="251">
        <f t="shared" ref="I2:I11" si="0">+G2/H2</f>
        <v>3.7234042553191489</v>
      </c>
      <c r="J2" s="249" t="s">
        <v>163</v>
      </c>
      <c r="K2" s="252"/>
    </row>
    <row r="3" spans="1:11">
      <c r="A3" s="248" t="s">
        <v>164</v>
      </c>
      <c r="B3" s="268" t="s">
        <v>165</v>
      </c>
      <c r="C3" s="249" t="s">
        <v>166</v>
      </c>
      <c r="D3" s="341">
        <v>199.6</v>
      </c>
      <c r="E3" s="341">
        <v>190.82</v>
      </c>
      <c r="F3" s="253">
        <f t="shared" ref="F3:F63" si="1">+AVERAGE(D3:E3)</f>
        <v>195.20999999999998</v>
      </c>
      <c r="G3" s="248">
        <v>90</v>
      </c>
      <c r="H3" s="248">
        <v>95.6</v>
      </c>
      <c r="I3" s="251">
        <f t="shared" si="0"/>
        <v>0.94142259414225948</v>
      </c>
      <c r="J3" s="249" t="s">
        <v>167</v>
      </c>
      <c r="K3" s="252"/>
    </row>
    <row r="4" spans="1:11">
      <c r="A4" s="248" t="s">
        <v>168</v>
      </c>
      <c r="B4" s="268" t="s">
        <v>161</v>
      </c>
      <c r="C4" s="249" t="s">
        <v>169</v>
      </c>
      <c r="D4" s="341">
        <v>70.63</v>
      </c>
      <c r="E4" s="341">
        <v>66.040000000000006</v>
      </c>
      <c r="F4" s="253">
        <f t="shared" si="1"/>
        <v>68.335000000000008</v>
      </c>
      <c r="G4" s="248">
        <v>350</v>
      </c>
      <c r="H4" s="248">
        <v>400</v>
      </c>
      <c r="I4" s="251">
        <f t="shared" si="0"/>
        <v>0.875</v>
      </c>
      <c r="J4" s="249" t="s">
        <v>170</v>
      </c>
      <c r="K4" s="252" t="s">
        <v>171</v>
      </c>
    </row>
    <row r="5" spans="1:11">
      <c r="A5" s="248" t="s">
        <v>172</v>
      </c>
      <c r="B5" s="268" t="s">
        <v>173</v>
      </c>
      <c r="C5" s="249" t="s">
        <v>174</v>
      </c>
      <c r="D5" s="341">
        <v>195.31</v>
      </c>
      <c r="E5" s="341">
        <v>190.82</v>
      </c>
      <c r="F5" s="253">
        <f t="shared" si="1"/>
        <v>193.065</v>
      </c>
      <c r="G5" s="252">
        <v>193.4</v>
      </c>
      <c r="H5" s="252">
        <v>125.6</v>
      </c>
      <c r="I5" s="251">
        <f t="shared" si="0"/>
        <v>1.5398089171974523</v>
      </c>
      <c r="J5" s="252" t="s">
        <v>175</v>
      </c>
      <c r="K5" s="252" t="s">
        <v>176</v>
      </c>
    </row>
    <row r="6" spans="1:11">
      <c r="A6" s="248" t="s">
        <v>179</v>
      </c>
      <c r="B6" s="268" t="s">
        <v>165</v>
      </c>
      <c r="C6" s="249" t="s">
        <v>180</v>
      </c>
      <c r="D6" s="341">
        <v>201.3</v>
      </c>
      <c r="E6" s="341">
        <v>199.3</v>
      </c>
      <c r="F6" s="253">
        <f t="shared" si="1"/>
        <v>200.3</v>
      </c>
      <c r="G6" s="248">
        <v>69</v>
      </c>
      <c r="H6" s="248">
        <v>54.5</v>
      </c>
      <c r="I6" s="251">
        <f t="shared" si="0"/>
        <v>1.2660550458715596</v>
      </c>
      <c r="J6" s="249" t="s">
        <v>181</v>
      </c>
      <c r="K6" s="252" t="s">
        <v>182</v>
      </c>
    </row>
    <row r="7" spans="1:11">
      <c r="A7" s="248" t="s">
        <v>183</v>
      </c>
      <c r="B7" s="268" t="s">
        <v>184</v>
      </c>
      <c r="C7" s="249" t="s">
        <v>185</v>
      </c>
      <c r="D7" s="341">
        <v>235.39</v>
      </c>
      <c r="E7" s="341">
        <v>233.5</v>
      </c>
      <c r="F7" s="253">
        <f t="shared" si="1"/>
        <v>234.44499999999999</v>
      </c>
      <c r="G7" s="248">
        <v>89</v>
      </c>
      <c r="H7" s="248">
        <v>98</v>
      </c>
      <c r="I7" s="251">
        <f t="shared" si="0"/>
        <v>0.90816326530612246</v>
      </c>
      <c r="J7" s="249" t="s">
        <v>186</v>
      </c>
      <c r="K7" s="252"/>
    </row>
    <row r="8" spans="1:11">
      <c r="A8" s="248" t="s">
        <v>187</v>
      </c>
      <c r="B8" s="268" t="s">
        <v>188</v>
      </c>
      <c r="C8" s="249" t="s">
        <v>189</v>
      </c>
      <c r="D8" s="341">
        <v>141.93</v>
      </c>
      <c r="E8" s="341">
        <v>139.38999999999999</v>
      </c>
      <c r="F8" s="253">
        <f t="shared" si="1"/>
        <v>140.66</v>
      </c>
      <c r="G8" s="248">
        <v>138</v>
      </c>
      <c r="H8" s="248">
        <v>75.900000000000006</v>
      </c>
      <c r="I8" s="251">
        <f t="shared" si="0"/>
        <v>1.8181818181818181</v>
      </c>
      <c r="J8" s="249" t="s">
        <v>465</v>
      </c>
      <c r="K8" s="252" t="s">
        <v>182</v>
      </c>
    </row>
    <row r="9" spans="1:11">
      <c r="A9" s="248" t="s">
        <v>191</v>
      </c>
      <c r="B9" s="268" t="s">
        <v>161</v>
      </c>
      <c r="C9" s="249" t="s">
        <v>192</v>
      </c>
      <c r="D9" s="341">
        <v>125</v>
      </c>
      <c r="E9" s="341">
        <v>122.98</v>
      </c>
      <c r="F9" s="253">
        <f t="shared" si="1"/>
        <v>123.99000000000001</v>
      </c>
      <c r="G9" s="248">
        <v>380</v>
      </c>
      <c r="H9" s="248">
        <v>207</v>
      </c>
      <c r="I9" s="251">
        <f t="shared" si="0"/>
        <v>1.8357487922705313</v>
      </c>
      <c r="J9" s="249" t="s">
        <v>193</v>
      </c>
      <c r="K9" s="252"/>
    </row>
    <row r="10" spans="1:11">
      <c r="A10" s="42" t="s">
        <v>194</v>
      </c>
      <c r="B10" s="267" t="s">
        <v>195</v>
      </c>
      <c r="C10" s="246" t="s">
        <v>196</v>
      </c>
      <c r="D10" s="108">
        <v>241.5</v>
      </c>
      <c r="E10" s="108">
        <v>239.1</v>
      </c>
      <c r="F10" s="201">
        <f t="shared" si="1"/>
        <v>240.3</v>
      </c>
      <c r="G10" s="42">
        <v>50</v>
      </c>
      <c r="H10" s="42">
        <v>57.5</v>
      </c>
      <c r="I10" s="30">
        <f t="shared" si="0"/>
        <v>0.86956521739130432</v>
      </c>
      <c r="J10" s="246" t="s">
        <v>198</v>
      </c>
      <c r="K10" s="34"/>
    </row>
    <row r="11" spans="1:11">
      <c r="A11" s="42" t="s">
        <v>194</v>
      </c>
      <c r="B11" s="267" t="s">
        <v>195</v>
      </c>
      <c r="C11" s="34" t="s">
        <v>197</v>
      </c>
      <c r="D11" s="108">
        <v>241.5</v>
      </c>
      <c r="E11" s="108">
        <v>239.1</v>
      </c>
      <c r="F11" s="201">
        <f t="shared" si="1"/>
        <v>240.3</v>
      </c>
      <c r="G11" s="42">
        <v>31.4</v>
      </c>
      <c r="H11" s="42">
        <v>51.5</v>
      </c>
      <c r="I11" s="30">
        <f t="shared" si="0"/>
        <v>0.60970873786407764</v>
      </c>
      <c r="J11" s="246" t="s">
        <v>198</v>
      </c>
      <c r="K11" s="34"/>
    </row>
    <row r="12" spans="1:11">
      <c r="A12" s="248" t="s">
        <v>194</v>
      </c>
      <c r="B12" s="268" t="s">
        <v>195</v>
      </c>
      <c r="C12" s="256" t="s">
        <v>103</v>
      </c>
      <c r="D12" s="341">
        <v>241.5</v>
      </c>
      <c r="E12" s="341">
        <v>239.1</v>
      </c>
      <c r="F12" s="253">
        <f t="shared" si="1"/>
        <v>240.3</v>
      </c>
      <c r="G12" s="248">
        <f>+AVERAGE(G10:G11)</f>
        <v>40.700000000000003</v>
      </c>
      <c r="H12" s="248">
        <f>+AVERAGE(H10:H11)</f>
        <v>54.5</v>
      </c>
      <c r="I12" s="257">
        <f>+AVERAGE(I10:I11)</f>
        <v>0.73963697762769098</v>
      </c>
      <c r="J12" s="249"/>
      <c r="K12" s="252"/>
    </row>
    <row r="13" spans="1:11">
      <c r="A13" s="248" t="s">
        <v>199</v>
      </c>
      <c r="B13" s="268" t="s">
        <v>200</v>
      </c>
      <c r="C13" s="249" t="s">
        <v>201</v>
      </c>
      <c r="D13" s="341">
        <v>157.30000000000001</v>
      </c>
      <c r="E13" s="341">
        <v>147.72</v>
      </c>
      <c r="F13" s="253">
        <f t="shared" si="1"/>
        <v>152.51</v>
      </c>
      <c r="G13" s="248">
        <v>200</v>
      </c>
      <c r="H13" s="248">
        <v>160</v>
      </c>
      <c r="I13" s="251">
        <f t="shared" ref="I13:I19" si="2">+G13/H13</f>
        <v>1.25</v>
      </c>
      <c r="J13" s="249" t="s">
        <v>202</v>
      </c>
      <c r="K13" s="252"/>
    </row>
    <row r="14" spans="1:11">
      <c r="A14" s="248" t="s">
        <v>203</v>
      </c>
      <c r="B14" s="268" t="s">
        <v>184</v>
      </c>
      <c r="C14" s="249" t="s">
        <v>204</v>
      </c>
      <c r="D14" s="342">
        <v>248.46</v>
      </c>
      <c r="E14" s="342">
        <v>247.06</v>
      </c>
      <c r="F14" s="253">
        <f t="shared" si="1"/>
        <v>247.76</v>
      </c>
      <c r="G14" s="248">
        <v>25</v>
      </c>
      <c r="H14" s="248">
        <v>50</v>
      </c>
      <c r="I14" s="251">
        <f t="shared" si="2"/>
        <v>0.5</v>
      </c>
      <c r="J14" s="249" t="s">
        <v>205</v>
      </c>
      <c r="K14" s="252"/>
    </row>
    <row r="15" spans="1:11">
      <c r="A15" s="248" t="s">
        <v>206</v>
      </c>
      <c r="B15" s="268" t="s">
        <v>200</v>
      </c>
      <c r="C15" s="249" t="s">
        <v>207</v>
      </c>
      <c r="D15" s="343">
        <v>166.07</v>
      </c>
      <c r="E15" s="343">
        <v>163.47</v>
      </c>
      <c r="F15" s="253">
        <f t="shared" si="1"/>
        <v>164.76999999999998</v>
      </c>
      <c r="G15" s="248">
        <v>108</v>
      </c>
      <c r="H15" s="248">
        <v>99</v>
      </c>
      <c r="I15" s="251">
        <f t="shared" si="2"/>
        <v>1.0909090909090908</v>
      </c>
      <c r="J15" s="249" t="s">
        <v>198</v>
      </c>
      <c r="K15" s="252"/>
    </row>
    <row r="16" spans="1:11">
      <c r="A16" s="248" t="s">
        <v>208</v>
      </c>
      <c r="B16" s="268" t="s">
        <v>209</v>
      </c>
      <c r="C16" s="249" t="s">
        <v>210</v>
      </c>
      <c r="D16" s="341">
        <v>233.5</v>
      </c>
      <c r="E16" s="341">
        <v>228.35</v>
      </c>
      <c r="F16" s="258">
        <f t="shared" si="1"/>
        <v>230.92500000000001</v>
      </c>
      <c r="G16" s="248">
        <v>10.5</v>
      </c>
      <c r="H16" s="248">
        <v>39.700000000000003</v>
      </c>
      <c r="I16" s="251">
        <f t="shared" si="2"/>
        <v>0.26448362720403018</v>
      </c>
      <c r="J16" s="249" t="s">
        <v>211</v>
      </c>
      <c r="K16" s="252" t="s">
        <v>212</v>
      </c>
    </row>
    <row r="17" spans="1:11">
      <c r="A17" s="248" t="s">
        <v>213</v>
      </c>
      <c r="B17" s="268" t="s">
        <v>214</v>
      </c>
      <c r="C17" s="249" t="s">
        <v>215</v>
      </c>
      <c r="D17" s="251">
        <v>246.36</v>
      </c>
      <c r="E17" s="251">
        <v>244.94</v>
      </c>
      <c r="F17" s="258">
        <f t="shared" si="1"/>
        <v>245.65</v>
      </c>
      <c r="G17" s="248">
        <v>4.5</v>
      </c>
      <c r="H17" s="248">
        <v>6.5</v>
      </c>
      <c r="I17" s="251">
        <f t="shared" si="2"/>
        <v>0.69230769230769229</v>
      </c>
      <c r="J17" s="249" t="s">
        <v>216</v>
      </c>
      <c r="K17" s="252"/>
    </row>
    <row r="18" spans="1:11">
      <c r="A18" s="42" t="s">
        <v>217</v>
      </c>
      <c r="B18" s="267" t="s">
        <v>218</v>
      </c>
      <c r="C18" s="246" t="s">
        <v>219</v>
      </c>
      <c r="D18" s="108">
        <v>244.94</v>
      </c>
      <c r="E18" s="108">
        <v>243.99</v>
      </c>
      <c r="F18" s="201">
        <f t="shared" si="1"/>
        <v>244.465</v>
      </c>
      <c r="G18" s="42">
        <v>8</v>
      </c>
      <c r="H18" s="42">
        <v>8.25</v>
      </c>
      <c r="I18" s="30">
        <f t="shared" si="2"/>
        <v>0.96969696969696972</v>
      </c>
      <c r="J18" s="246" t="s">
        <v>220</v>
      </c>
      <c r="K18" s="34"/>
    </row>
    <row r="19" spans="1:11">
      <c r="A19" s="42" t="s">
        <v>217</v>
      </c>
      <c r="B19" s="267" t="s">
        <v>218</v>
      </c>
      <c r="C19" s="246" t="s">
        <v>221</v>
      </c>
      <c r="D19" s="108">
        <v>244.94</v>
      </c>
      <c r="E19" s="108">
        <v>243.99</v>
      </c>
      <c r="F19" s="201">
        <f t="shared" si="1"/>
        <v>244.465</v>
      </c>
      <c r="G19" s="42">
        <v>6.5</v>
      </c>
      <c r="H19" s="42">
        <v>7.3</v>
      </c>
      <c r="I19" s="30">
        <f t="shared" si="2"/>
        <v>0.8904109589041096</v>
      </c>
      <c r="J19" s="246" t="s">
        <v>555</v>
      </c>
      <c r="K19" s="34"/>
    </row>
    <row r="20" spans="1:11">
      <c r="A20" s="248" t="s">
        <v>217</v>
      </c>
      <c r="B20" s="268" t="s">
        <v>218</v>
      </c>
      <c r="C20" s="256" t="s">
        <v>103</v>
      </c>
      <c r="D20" s="341">
        <v>244.94</v>
      </c>
      <c r="E20" s="341">
        <v>243.99</v>
      </c>
      <c r="F20" s="253">
        <f t="shared" si="1"/>
        <v>244.465</v>
      </c>
      <c r="G20" s="248">
        <f>+AVERAGE(G18:G19)</f>
        <v>7.25</v>
      </c>
      <c r="H20" s="248">
        <f>+AVERAGE(H18:H19)</f>
        <v>7.7750000000000004</v>
      </c>
      <c r="I20" s="257">
        <f>+AVERAGE(I18:I19)</f>
        <v>0.93005396430053966</v>
      </c>
      <c r="J20" s="249"/>
      <c r="K20" s="252"/>
    </row>
    <row r="21" spans="1:11">
      <c r="A21" s="248" t="s">
        <v>222</v>
      </c>
      <c r="B21" s="268" t="s">
        <v>214</v>
      </c>
      <c r="C21" s="249" t="s">
        <v>223</v>
      </c>
      <c r="D21" s="341">
        <v>244.94</v>
      </c>
      <c r="E21" s="341">
        <v>243.99</v>
      </c>
      <c r="F21" s="253">
        <f t="shared" si="1"/>
        <v>244.465</v>
      </c>
      <c r="G21" s="248">
        <v>4.07</v>
      </c>
      <c r="H21" s="248">
        <v>3.75</v>
      </c>
      <c r="I21" s="251">
        <f>+G21/H21</f>
        <v>1.0853333333333335</v>
      </c>
      <c r="J21" s="249" t="s">
        <v>224</v>
      </c>
      <c r="K21" s="252"/>
    </row>
    <row r="22" spans="1:11">
      <c r="A22" s="248" t="s">
        <v>225</v>
      </c>
      <c r="B22" s="268" t="s">
        <v>218</v>
      </c>
      <c r="C22" s="249" t="s">
        <v>226</v>
      </c>
      <c r="D22" s="341">
        <v>244.94</v>
      </c>
      <c r="E22" s="341">
        <v>243.99</v>
      </c>
      <c r="F22" s="253">
        <f t="shared" si="1"/>
        <v>244.465</v>
      </c>
      <c r="G22" s="248">
        <v>6.8</v>
      </c>
      <c r="H22" s="248">
        <v>7.8</v>
      </c>
      <c r="I22" s="251">
        <f>+G22/H22</f>
        <v>0.87179487179487181</v>
      </c>
      <c r="J22" s="249" t="s">
        <v>227</v>
      </c>
      <c r="K22" s="252"/>
    </row>
    <row r="23" spans="1:11">
      <c r="A23" s="42" t="s">
        <v>109</v>
      </c>
      <c r="B23" s="267" t="s">
        <v>228</v>
      </c>
      <c r="C23" s="246" t="s">
        <v>111</v>
      </c>
      <c r="D23" s="108">
        <v>87.86</v>
      </c>
      <c r="E23" s="108">
        <v>80.97</v>
      </c>
      <c r="F23" s="201">
        <f t="shared" si="1"/>
        <v>84.414999999999992</v>
      </c>
      <c r="G23" s="42">
        <v>51.2</v>
      </c>
      <c r="H23" s="42">
        <v>91.8</v>
      </c>
      <c r="I23" s="30">
        <f>+G23/H23</f>
        <v>0.55773420479302838</v>
      </c>
      <c r="J23" s="246" t="s">
        <v>466</v>
      </c>
      <c r="K23" s="34"/>
    </row>
    <row r="24" spans="1:11">
      <c r="A24" s="42" t="s">
        <v>109</v>
      </c>
      <c r="B24" s="267" t="s">
        <v>228</v>
      </c>
      <c r="C24" s="246" t="s">
        <v>110</v>
      </c>
      <c r="D24" s="108">
        <v>87.86</v>
      </c>
      <c r="E24" s="108">
        <v>80.97</v>
      </c>
      <c r="F24" s="201">
        <f t="shared" si="1"/>
        <v>84.414999999999992</v>
      </c>
      <c r="G24" s="42">
        <v>62.5</v>
      </c>
      <c r="H24" s="42">
        <v>80</v>
      </c>
      <c r="I24" s="30">
        <f>+G24/H24</f>
        <v>0.78125</v>
      </c>
      <c r="J24" s="246" t="s">
        <v>466</v>
      </c>
      <c r="K24" s="34"/>
    </row>
    <row r="25" spans="1:11">
      <c r="A25" s="248" t="s">
        <v>229</v>
      </c>
      <c r="B25" s="268" t="s">
        <v>228</v>
      </c>
      <c r="C25" s="256" t="s">
        <v>103</v>
      </c>
      <c r="D25" s="341">
        <v>87.86</v>
      </c>
      <c r="E25" s="341">
        <v>80.97</v>
      </c>
      <c r="F25" s="253">
        <f t="shared" si="1"/>
        <v>84.414999999999992</v>
      </c>
      <c r="G25" s="248">
        <f>+AVERAGE(G23:G24)</f>
        <v>56.85</v>
      </c>
      <c r="H25" s="248">
        <f>+AVERAGE(H23:H24)</f>
        <v>85.9</v>
      </c>
      <c r="I25" s="259">
        <f>+AVERAGE(I23:I24)</f>
        <v>0.66949210239651413</v>
      </c>
      <c r="J25" s="249"/>
      <c r="K25" s="252"/>
    </row>
    <row r="26" spans="1:11">
      <c r="A26" s="248" t="s">
        <v>230</v>
      </c>
      <c r="B26" s="268" t="s">
        <v>161</v>
      </c>
      <c r="C26" s="249" t="s">
        <v>231</v>
      </c>
      <c r="D26" s="341">
        <v>81.13</v>
      </c>
      <c r="E26" s="341">
        <v>78.34</v>
      </c>
      <c r="F26" s="253">
        <f t="shared" si="1"/>
        <v>79.734999999999999</v>
      </c>
      <c r="G26" s="248">
        <v>667</v>
      </c>
      <c r="H26" s="248">
        <v>214</v>
      </c>
      <c r="I26" s="251">
        <f t="shared" ref="I26:I37" si="3">+G26/H26</f>
        <v>3.1168224299065419</v>
      </c>
      <c r="J26" s="249" t="s">
        <v>232</v>
      </c>
      <c r="K26" s="252"/>
    </row>
    <row r="27" spans="1:11">
      <c r="A27" s="248" t="s">
        <v>233</v>
      </c>
      <c r="B27" s="268" t="s">
        <v>234</v>
      </c>
      <c r="C27" s="249" t="s">
        <v>235</v>
      </c>
      <c r="D27" s="341">
        <v>201.3</v>
      </c>
      <c r="E27" s="341">
        <v>201.1</v>
      </c>
      <c r="F27" s="253">
        <f t="shared" si="1"/>
        <v>201.2</v>
      </c>
      <c r="G27" s="248">
        <v>135</v>
      </c>
      <c r="H27" s="248">
        <v>78</v>
      </c>
      <c r="I27" s="251">
        <f t="shared" si="3"/>
        <v>1.7307692307692308</v>
      </c>
      <c r="J27" s="249" t="s">
        <v>181</v>
      </c>
      <c r="K27" s="252"/>
    </row>
    <row r="28" spans="1:11">
      <c r="A28" s="248" t="s">
        <v>236</v>
      </c>
      <c r="B28" s="268" t="s">
        <v>209</v>
      </c>
      <c r="C28" s="249" t="s">
        <v>237</v>
      </c>
      <c r="D28" s="341">
        <v>237</v>
      </c>
      <c r="E28" s="341">
        <v>235.39</v>
      </c>
      <c r="F28" s="253">
        <f t="shared" si="1"/>
        <v>236.19499999999999</v>
      </c>
      <c r="G28" s="248">
        <v>5.8</v>
      </c>
      <c r="H28" s="248">
        <v>26.4</v>
      </c>
      <c r="I28" s="251">
        <f t="shared" si="3"/>
        <v>0.2196969696969697</v>
      </c>
      <c r="J28" s="249" t="s">
        <v>238</v>
      </c>
      <c r="K28" s="252"/>
    </row>
    <row r="29" spans="1:11">
      <c r="A29" s="260" t="s">
        <v>239</v>
      </c>
      <c r="B29" s="268" t="s">
        <v>173</v>
      </c>
      <c r="C29" s="261" t="s">
        <v>240</v>
      </c>
      <c r="D29" s="341">
        <v>182.7</v>
      </c>
      <c r="E29" s="341">
        <v>178.24</v>
      </c>
      <c r="F29" s="262">
        <f t="shared" si="1"/>
        <v>180.47</v>
      </c>
      <c r="G29" s="260">
        <v>180</v>
      </c>
      <c r="H29" s="260">
        <v>203</v>
      </c>
      <c r="I29" s="263">
        <f t="shared" si="3"/>
        <v>0.88669950738916259</v>
      </c>
      <c r="J29" s="261" t="s">
        <v>241</v>
      </c>
      <c r="K29" s="264"/>
    </row>
    <row r="30" spans="1:11">
      <c r="A30" s="248" t="s">
        <v>242</v>
      </c>
      <c r="B30" s="268" t="s">
        <v>173</v>
      </c>
      <c r="C30" s="249" t="s">
        <v>243</v>
      </c>
      <c r="D30" s="341">
        <v>182.7</v>
      </c>
      <c r="E30" s="341">
        <v>178.24</v>
      </c>
      <c r="F30" s="253">
        <f t="shared" si="1"/>
        <v>180.47</v>
      </c>
      <c r="G30" s="248">
        <v>152</v>
      </c>
      <c r="H30" s="248">
        <v>97</v>
      </c>
      <c r="I30" s="251">
        <f t="shared" si="3"/>
        <v>1.5670103092783505</v>
      </c>
      <c r="J30" s="249" t="s">
        <v>244</v>
      </c>
      <c r="K30" s="252"/>
    </row>
    <row r="31" spans="1:11">
      <c r="A31" s="248" t="s">
        <v>245</v>
      </c>
      <c r="B31" s="268" t="s">
        <v>173</v>
      </c>
      <c r="C31" s="249" t="s">
        <v>246</v>
      </c>
      <c r="D31" s="341">
        <v>182.7</v>
      </c>
      <c r="E31" s="341">
        <v>178.24</v>
      </c>
      <c r="F31" s="253">
        <f t="shared" si="1"/>
        <v>180.47</v>
      </c>
      <c r="G31" s="248">
        <v>93</v>
      </c>
      <c r="H31" s="248">
        <v>82</v>
      </c>
      <c r="I31" s="251">
        <f t="shared" si="3"/>
        <v>1.1341463414634145</v>
      </c>
      <c r="J31" s="249" t="s">
        <v>247</v>
      </c>
      <c r="K31" s="252"/>
    </row>
    <row r="32" spans="1:11">
      <c r="A32" s="248" t="s">
        <v>248</v>
      </c>
      <c r="B32" s="268" t="s">
        <v>209</v>
      </c>
      <c r="C32" s="249" t="s">
        <v>249</v>
      </c>
      <c r="D32" s="341">
        <v>235.39</v>
      </c>
      <c r="E32" s="341">
        <v>233.5</v>
      </c>
      <c r="F32" s="253">
        <f t="shared" si="1"/>
        <v>234.44499999999999</v>
      </c>
      <c r="G32" s="248">
        <v>14.2</v>
      </c>
      <c r="H32" s="248">
        <v>57</v>
      </c>
      <c r="I32" s="251">
        <f t="shared" si="3"/>
        <v>0.24912280701754386</v>
      </c>
      <c r="J32" s="249" t="s">
        <v>198</v>
      </c>
      <c r="K32" s="252"/>
    </row>
    <row r="33" spans="1:11">
      <c r="A33" s="248" t="s">
        <v>250</v>
      </c>
      <c r="B33" s="268" t="s">
        <v>161</v>
      </c>
      <c r="C33" s="249" t="s">
        <v>251</v>
      </c>
      <c r="D33" s="341">
        <v>72.05</v>
      </c>
      <c r="E33" s="341">
        <v>66</v>
      </c>
      <c r="F33" s="253">
        <f t="shared" si="1"/>
        <v>69.025000000000006</v>
      </c>
      <c r="G33" s="248">
        <v>445</v>
      </c>
      <c r="H33" s="248">
        <v>140</v>
      </c>
      <c r="I33" s="251">
        <f t="shared" si="3"/>
        <v>3.1785714285714284</v>
      </c>
      <c r="J33" s="249" t="s">
        <v>556</v>
      </c>
      <c r="K33" s="252"/>
    </row>
    <row r="34" spans="1:11">
      <c r="A34" s="248" t="s">
        <v>252</v>
      </c>
      <c r="B34" s="268" t="s">
        <v>161</v>
      </c>
      <c r="C34" s="249" t="s">
        <v>253</v>
      </c>
      <c r="D34" s="341">
        <v>72.05</v>
      </c>
      <c r="E34" s="341">
        <v>66</v>
      </c>
      <c r="F34" s="253">
        <f t="shared" si="1"/>
        <v>69.025000000000006</v>
      </c>
      <c r="G34" s="248">
        <v>265</v>
      </c>
      <c r="H34" s="248">
        <v>195</v>
      </c>
      <c r="I34" s="251">
        <f t="shared" si="3"/>
        <v>1.358974358974359</v>
      </c>
      <c r="J34" s="249" t="s">
        <v>254</v>
      </c>
      <c r="K34" s="252" t="s">
        <v>182</v>
      </c>
    </row>
    <row r="35" spans="1:11">
      <c r="A35" s="42" t="s">
        <v>255</v>
      </c>
      <c r="B35" s="267" t="s">
        <v>214</v>
      </c>
      <c r="C35" s="246" t="s">
        <v>256</v>
      </c>
      <c r="D35" s="108">
        <v>239.1</v>
      </c>
      <c r="E35" s="108">
        <v>235.39</v>
      </c>
      <c r="F35" s="201">
        <f t="shared" si="1"/>
        <v>237.245</v>
      </c>
      <c r="G35" s="42">
        <v>8.3000000000000007</v>
      </c>
      <c r="H35" s="42">
        <v>6.2</v>
      </c>
      <c r="I35" s="30">
        <f t="shared" si="3"/>
        <v>1.338709677419355</v>
      </c>
      <c r="J35" s="246" t="s">
        <v>467</v>
      </c>
      <c r="K35" s="34"/>
    </row>
    <row r="36" spans="1:11">
      <c r="A36" s="42" t="s">
        <v>255</v>
      </c>
      <c r="B36" s="267" t="s">
        <v>214</v>
      </c>
      <c r="C36" s="34" t="s">
        <v>257</v>
      </c>
      <c r="D36" s="108">
        <v>239.1</v>
      </c>
      <c r="E36" s="108">
        <v>235.39</v>
      </c>
      <c r="F36" s="201">
        <f t="shared" si="1"/>
        <v>237.245</v>
      </c>
      <c r="G36" s="42">
        <v>5.98</v>
      </c>
      <c r="H36" s="42">
        <v>5.67</v>
      </c>
      <c r="I36" s="30">
        <f t="shared" si="3"/>
        <v>1.0546737213403881</v>
      </c>
      <c r="J36" s="246" t="s">
        <v>198</v>
      </c>
      <c r="K36" s="34"/>
    </row>
    <row r="37" spans="1:11">
      <c r="A37" s="42" t="s">
        <v>255</v>
      </c>
      <c r="B37" s="267" t="s">
        <v>214</v>
      </c>
      <c r="C37" s="246" t="s">
        <v>258</v>
      </c>
      <c r="D37" s="108">
        <v>239.1</v>
      </c>
      <c r="E37" s="108">
        <v>235.39</v>
      </c>
      <c r="F37" s="201">
        <f t="shared" si="1"/>
        <v>237.245</v>
      </c>
      <c r="G37" s="42">
        <v>6.07</v>
      </c>
      <c r="H37" s="42">
        <v>5.12</v>
      </c>
      <c r="I37" s="30">
        <f t="shared" si="3"/>
        <v>1.185546875</v>
      </c>
      <c r="J37" s="246" t="s">
        <v>467</v>
      </c>
      <c r="K37" s="34"/>
    </row>
    <row r="38" spans="1:11">
      <c r="A38" s="248" t="s">
        <v>255</v>
      </c>
      <c r="B38" s="268" t="s">
        <v>214</v>
      </c>
      <c r="C38" s="256" t="s">
        <v>103</v>
      </c>
      <c r="D38" s="341">
        <v>239.1</v>
      </c>
      <c r="E38" s="341">
        <v>235.39</v>
      </c>
      <c r="F38" s="253">
        <f t="shared" si="1"/>
        <v>237.245</v>
      </c>
      <c r="G38" s="257">
        <f>+AVERAGE(G35:G37)</f>
        <v>6.7833333333333341</v>
      </c>
      <c r="H38" s="257">
        <f>+AVERAGE(H35:H37)</f>
        <v>5.663333333333334</v>
      </c>
      <c r="I38" s="257">
        <f>+AVERAGE(I35:I37)</f>
        <v>1.1929767579199144</v>
      </c>
      <c r="J38" s="249"/>
      <c r="K38" s="252"/>
    </row>
    <row r="39" spans="1:11">
      <c r="A39" s="248" t="s">
        <v>259</v>
      </c>
      <c r="B39" s="268" t="s">
        <v>190</v>
      </c>
      <c r="C39" s="249" t="s">
        <v>116</v>
      </c>
      <c r="D39" s="341">
        <v>126.3</v>
      </c>
      <c r="E39" s="341">
        <v>100.5</v>
      </c>
      <c r="F39" s="253">
        <f t="shared" si="1"/>
        <v>113.4</v>
      </c>
      <c r="G39" s="248">
        <v>187</v>
      </c>
      <c r="H39" s="248">
        <v>315</v>
      </c>
      <c r="I39" s="251">
        <f t="shared" ref="I39:I54" si="4">+G39/H39</f>
        <v>0.59365079365079365</v>
      </c>
      <c r="J39" s="249" t="s">
        <v>260</v>
      </c>
      <c r="K39" s="252"/>
    </row>
    <row r="40" spans="1:11">
      <c r="A40" s="248" t="s">
        <v>117</v>
      </c>
      <c r="B40" s="268" t="s">
        <v>190</v>
      </c>
      <c r="C40" s="249" t="s">
        <v>261</v>
      </c>
      <c r="D40" s="341">
        <v>126.3</v>
      </c>
      <c r="E40" s="341">
        <v>113</v>
      </c>
      <c r="F40" s="253">
        <f t="shared" si="1"/>
        <v>119.65</v>
      </c>
      <c r="G40" s="248">
        <v>111</v>
      </c>
      <c r="H40" s="248">
        <v>282.5</v>
      </c>
      <c r="I40" s="251">
        <f t="shared" si="4"/>
        <v>0.39292035398230091</v>
      </c>
      <c r="J40" s="249" t="s">
        <v>262</v>
      </c>
      <c r="K40" s="252" t="s">
        <v>263</v>
      </c>
    </row>
    <row r="41" spans="1:11">
      <c r="A41" s="248" t="s">
        <v>264</v>
      </c>
      <c r="B41" s="268" t="s">
        <v>195</v>
      </c>
      <c r="C41" s="249" t="s">
        <v>265</v>
      </c>
      <c r="D41" s="341">
        <v>239.1</v>
      </c>
      <c r="E41" s="341">
        <v>237</v>
      </c>
      <c r="F41" s="253">
        <f t="shared" si="1"/>
        <v>238.05</v>
      </c>
      <c r="G41" s="248">
        <v>17.3</v>
      </c>
      <c r="H41" s="248">
        <v>26</v>
      </c>
      <c r="I41" s="251">
        <f t="shared" si="4"/>
        <v>0.66538461538461546</v>
      </c>
      <c r="J41" s="249" t="s">
        <v>198</v>
      </c>
      <c r="K41" s="252"/>
    </row>
    <row r="42" spans="1:11">
      <c r="A42" s="248" t="s">
        <v>266</v>
      </c>
      <c r="B42" s="268" t="s">
        <v>195</v>
      </c>
      <c r="C42" s="249" t="s">
        <v>267</v>
      </c>
      <c r="D42" s="341">
        <v>239.1</v>
      </c>
      <c r="E42" s="341">
        <v>237</v>
      </c>
      <c r="F42" s="253">
        <f t="shared" si="1"/>
        <v>238.05</v>
      </c>
      <c r="G42" s="258">
        <v>22.407</v>
      </c>
      <c r="H42" s="258">
        <v>27.616</v>
      </c>
      <c r="I42" s="251">
        <f t="shared" si="4"/>
        <v>0.8113774623406721</v>
      </c>
      <c r="J42" s="249" t="s">
        <v>268</v>
      </c>
      <c r="K42" s="252" t="s">
        <v>269</v>
      </c>
    </row>
    <row r="43" spans="1:11">
      <c r="A43" s="248" t="s">
        <v>270</v>
      </c>
      <c r="B43" s="268" t="s">
        <v>195</v>
      </c>
      <c r="C43" s="249" t="s">
        <v>271</v>
      </c>
      <c r="D43" s="264">
        <v>237</v>
      </c>
      <c r="E43" s="264">
        <v>235.39</v>
      </c>
      <c r="F43" s="253">
        <f t="shared" si="1"/>
        <v>236.19499999999999</v>
      </c>
      <c r="G43" s="258">
        <v>26.857500000000002</v>
      </c>
      <c r="H43" s="258">
        <v>48.118499999999997</v>
      </c>
      <c r="I43" s="251">
        <f t="shared" si="4"/>
        <v>0.55815330901836102</v>
      </c>
      <c r="J43" s="249" t="s">
        <v>468</v>
      </c>
      <c r="K43" s="252"/>
    </row>
    <row r="44" spans="1:11">
      <c r="A44" s="248" t="s">
        <v>272</v>
      </c>
      <c r="B44" s="268" t="s">
        <v>161</v>
      </c>
      <c r="C44" s="249" t="s">
        <v>273</v>
      </c>
      <c r="D44" s="341">
        <v>93.9</v>
      </c>
      <c r="E44" s="341">
        <v>92.9</v>
      </c>
      <c r="F44" s="253">
        <f t="shared" si="1"/>
        <v>93.4</v>
      </c>
      <c r="G44" s="248">
        <v>400</v>
      </c>
      <c r="H44" s="248">
        <v>135</v>
      </c>
      <c r="I44" s="251">
        <f t="shared" si="4"/>
        <v>2.9629629629629628</v>
      </c>
      <c r="J44" s="249" t="s">
        <v>557</v>
      </c>
      <c r="K44" s="252"/>
    </row>
    <row r="45" spans="1:11">
      <c r="A45" s="248" t="s">
        <v>274</v>
      </c>
      <c r="B45" s="268" t="s">
        <v>190</v>
      </c>
      <c r="C45" s="249" t="s">
        <v>275</v>
      </c>
      <c r="D45" s="341">
        <v>166.07</v>
      </c>
      <c r="E45" s="343">
        <v>161.19999999999999</v>
      </c>
      <c r="F45" s="253">
        <f t="shared" si="1"/>
        <v>163.63499999999999</v>
      </c>
      <c r="G45" s="248">
        <v>73.5</v>
      </c>
      <c r="H45" s="248">
        <v>181</v>
      </c>
      <c r="I45" s="251">
        <f t="shared" si="4"/>
        <v>0.40607734806629836</v>
      </c>
      <c r="J45" s="249" t="s">
        <v>276</v>
      </c>
      <c r="K45" s="252"/>
    </row>
    <row r="46" spans="1:11">
      <c r="A46" s="248" t="s">
        <v>277</v>
      </c>
      <c r="B46" s="268" t="s">
        <v>165</v>
      </c>
      <c r="C46" s="249" t="s">
        <v>278</v>
      </c>
      <c r="D46" s="341">
        <v>201.1</v>
      </c>
      <c r="E46" s="341">
        <v>200.85</v>
      </c>
      <c r="F46" s="253">
        <f t="shared" si="1"/>
        <v>200.97499999999999</v>
      </c>
      <c r="G46" s="248">
        <v>49.6</v>
      </c>
      <c r="H46" s="248">
        <v>66</v>
      </c>
      <c r="I46" s="251">
        <f t="shared" si="4"/>
        <v>0.75151515151515158</v>
      </c>
      <c r="J46" s="249" t="s">
        <v>469</v>
      </c>
      <c r="K46" s="252"/>
    </row>
    <row r="47" spans="1:11">
      <c r="A47" s="248" t="s">
        <v>279</v>
      </c>
      <c r="B47" s="268" t="s">
        <v>190</v>
      </c>
      <c r="C47" s="249" t="s">
        <v>280</v>
      </c>
      <c r="D47" s="341">
        <v>132.9</v>
      </c>
      <c r="E47" s="341">
        <v>130</v>
      </c>
      <c r="F47" s="253">
        <f t="shared" si="1"/>
        <v>131.44999999999999</v>
      </c>
      <c r="G47" s="248">
        <v>75.400000000000006</v>
      </c>
      <c r="H47" s="248">
        <v>193</v>
      </c>
      <c r="I47" s="251">
        <f t="shared" si="4"/>
        <v>0.39067357512953371</v>
      </c>
      <c r="J47" s="249" t="s">
        <v>281</v>
      </c>
      <c r="K47" s="252"/>
    </row>
    <row r="48" spans="1:11">
      <c r="A48" s="248" t="s">
        <v>282</v>
      </c>
      <c r="B48" s="268" t="s">
        <v>165</v>
      </c>
      <c r="C48" s="249" t="s">
        <v>283</v>
      </c>
      <c r="D48" s="341">
        <v>200.1</v>
      </c>
      <c r="E48" s="341">
        <v>199.3</v>
      </c>
      <c r="F48" s="253">
        <f t="shared" si="1"/>
        <v>199.7</v>
      </c>
      <c r="G48" s="248">
        <v>95</v>
      </c>
      <c r="H48" s="248">
        <v>117</v>
      </c>
      <c r="I48" s="251">
        <f t="shared" si="4"/>
        <v>0.81196581196581197</v>
      </c>
      <c r="J48" s="249" t="s">
        <v>284</v>
      </c>
      <c r="K48" s="252" t="s">
        <v>285</v>
      </c>
    </row>
    <row r="49" spans="1:11">
      <c r="A49" s="248" t="s">
        <v>286</v>
      </c>
      <c r="B49" s="268" t="s">
        <v>228</v>
      </c>
      <c r="C49" s="249" t="s">
        <v>470</v>
      </c>
      <c r="D49" s="341">
        <v>93.9</v>
      </c>
      <c r="E49" s="341">
        <v>92.9</v>
      </c>
      <c r="F49" s="253">
        <f t="shared" si="1"/>
        <v>93.4</v>
      </c>
      <c r="G49" s="248">
        <v>61</v>
      </c>
      <c r="H49" s="248">
        <v>60</v>
      </c>
      <c r="I49" s="251">
        <f t="shared" si="4"/>
        <v>1.0166666666666666</v>
      </c>
      <c r="J49" s="249" t="s">
        <v>287</v>
      </c>
      <c r="K49" s="252"/>
    </row>
    <row r="50" spans="1:11">
      <c r="A50" s="248" t="s">
        <v>288</v>
      </c>
      <c r="B50" s="268" t="s">
        <v>228</v>
      </c>
      <c r="C50" s="249" t="s">
        <v>289</v>
      </c>
      <c r="D50" s="341">
        <v>94.3</v>
      </c>
      <c r="E50" s="341">
        <v>89.3</v>
      </c>
      <c r="F50" s="258">
        <f t="shared" si="1"/>
        <v>91.8</v>
      </c>
      <c r="G50" s="248">
        <v>52</v>
      </c>
      <c r="H50" s="248">
        <v>47</v>
      </c>
      <c r="I50" s="251">
        <f t="shared" si="4"/>
        <v>1.1063829787234043</v>
      </c>
      <c r="J50" s="249" t="s">
        <v>290</v>
      </c>
      <c r="K50" s="252" t="s">
        <v>291</v>
      </c>
    </row>
    <row r="51" spans="1:11">
      <c r="A51" s="248" t="s">
        <v>292</v>
      </c>
      <c r="B51" s="268" t="s">
        <v>165</v>
      </c>
      <c r="C51" s="249" t="s">
        <v>432</v>
      </c>
      <c r="D51" s="341">
        <v>182.7</v>
      </c>
      <c r="E51" s="341">
        <v>178.24</v>
      </c>
      <c r="F51" s="258">
        <f t="shared" si="1"/>
        <v>180.47</v>
      </c>
      <c r="G51" s="248">
        <v>81</v>
      </c>
      <c r="H51" s="248">
        <v>92.7</v>
      </c>
      <c r="I51" s="251">
        <f t="shared" si="4"/>
        <v>0.87378640776699024</v>
      </c>
      <c r="J51" s="249" t="s">
        <v>293</v>
      </c>
      <c r="K51" s="252"/>
    </row>
    <row r="52" spans="1:11">
      <c r="A52" s="42" t="s">
        <v>294</v>
      </c>
      <c r="B52" s="267" t="s">
        <v>295</v>
      </c>
      <c r="C52" s="246" t="s">
        <v>296</v>
      </c>
      <c r="D52" s="108">
        <v>182.7</v>
      </c>
      <c r="E52" s="108">
        <v>178.24</v>
      </c>
      <c r="F52" s="201">
        <f t="shared" si="1"/>
        <v>180.47</v>
      </c>
      <c r="G52" s="42">
        <v>115</v>
      </c>
      <c r="H52" s="42">
        <v>55.5</v>
      </c>
      <c r="I52" s="30">
        <f t="shared" si="4"/>
        <v>2.0720720720720722</v>
      </c>
      <c r="J52" s="246" t="s">
        <v>198</v>
      </c>
      <c r="K52" s="34"/>
    </row>
    <row r="53" spans="1:11">
      <c r="A53" s="42" t="s">
        <v>294</v>
      </c>
      <c r="B53" s="267" t="s">
        <v>295</v>
      </c>
      <c r="C53" s="246" t="s">
        <v>471</v>
      </c>
      <c r="D53" s="108">
        <v>182.7</v>
      </c>
      <c r="E53" s="108">
        <v>178.24</v>
      </c>
      <c r="F53" s="201">
        <f t="shared" si="1"/>
        <v>180.47</v>
      </c>
      <c r="G53" s="42">
        <v>128.5</v>
      </c>
      <c r="H53" s="42">
        <v>54.5</v>
      </c>
      <c r="I53" s="30">
        <f t="shared" si="4"/>
        <v>2.3577981651376145</v>
      </c>
      <c r="J53" s="246" t="s">
        <v>198</v>
      </c>
      <c r="K53" s="34"/>
    </row>
    <row r="54" spans="1:11">
      <c r="A54" s="42" t="s">
        <v>294</v>
      </c>
      <c r="B54" s="267" t="s">
        <v>295</v>
      </c>
      <c r="C54" s="246" t="s">
        <v>472</v>
      </c>
      <c r="D54" s="108">
        <v>182.7</v>
      </c>
      <c r="E54" s="108">
        <v>178.24</v>
      </c>
      <c r="F54" s="201">
        <f t="shared" si="1"/>
        <v>180.47</v>
      </c>
      <c r="G54" s="42">
        <v>162.19999999999999</v>
      </c>
      <c r="H54" s="42">
        <v>69.900000000000006</v>
      </c>
      <c r="I54" s="30">
        <f t="shared" si="4"/>
        <v>2.3204577968526463</v>
      </c>
      <c r="J54" s="246" t="s">
        <v>198</v>
      </c>
      <c r="K54" s="34"/>
    </row>
    <row r="55" spans="1:11">
      <c r="A55" s="248" t="s">
        <v>294</v>
      </c>
      <c r="B55" s="268" t="s">
        <v>295</v>
      </c>
      <c r="C55" s="256" t="s">
        <v>103</v>
      </c>
      <c r="D55" s="341">
        <v>182.7</v>
      </c>
      <c r="E55" s="341">
        <v>178.24</v>
      </c>
      <c r="F55" s="258">
        <f t="shared" si="1"/>
        <v>180.47</v>
      </c>
      <c r="G55" s="257">
        <f t="shared" ref="G55:I55" si="5">+AVERAGE(G52:G54)</f>
        <v>135.23333333333332</v>
      </c>
      <c r="H55" s="257">
        <f t="shared" si="5"/>
        <v>59.966666666666669</v>
      </c>
      <c r="I55" s="257">
        <f t="shared" si="5"/>
        <v>2.2501093446874445</v>
      </c>
      <c r="J55" s="249"/>
      <c r="K55" s="252"/>
    </row>
    <row r="56" spans="1:11">
      <c r="A56" s="248" t="s">
        <v>297</v>
      </c>
      <c r="B56" s="268" t="s">
        <v>295</v>
      </c>
      <c r="C56" s="249" t="s">
        <v>298</v>
      </c>
      <c r="D56" s="341">
        <v>182.7</v>
      </c>
      <c r="E56" s="341">
        <v>178.24</v>
      </c>
      <c r="F56" s="258">
        <f t="shared" si="1"/>
        <v>180.47</v>
      </c>
      <c r="G56" s="248">
        <v>136.5</v>
      </c>
      <c r="H56" s="248">
        <v>72.5</v>
      </c>
      <c r="I56" s="251">
        <f t="shared" ref="I56:I61" si="6">+G56/H56</f>
        <v>1.8827586206896552</v>
      </c>
      <c r="J56" s="249" t="s">
        <v>198</v>
      </c>
      <c r="K56" s="252"/>
    </row>
    <row r="57" spans="1:11">
      <c r="A57" s="248" t="s">
        <v>299</v>
      </c>
      <c r="B57" s="268" t="s">
        <v>295</v>
      </c>
      <c r="C57" s="249" t="s">
        <v>300</v>
      </c>
      <c r="D57" s="341">
        <v>182.7</v>
      </c>
      <c r="E57" s="341">
        <v>178.24</v>
      </c>
      <c r="F57" s="258">
        <f t="shared" si="1"/>
        <v>180.47</v>
      </c>
      <c r="G57" s="248">
        <v>210</v>
      </c>
      <c r="H57" s="248">
        <v>134</v>
      </c>
      <c r="I57" s="251">
        <f t="shared" si="6"/>
        <v>1.5671641791044777</v>
      </c>
      <c r="J57" s="249" t="s">
        <v>301</v>
      </c>
      <c r="K57" s="252"/>
    </row>
    <row r="58" spans="1:11">
      <c r="A58" s="248" t="s">
        <v>302</v>
      </c>
      <c r="B58" s="268" t="s">
        <v>295</v>
      </c>
      <c r="C58" s="249" t="s">
        <v>303</v>
      </c>
      <c r="D58" s="341">
        <v>178.24</v>
      </c>
      <c r="E58" s="341">
        <v>174.15</v>
      </c>
      <c r="F58" s="258">
        <f t="shared" si="1"/>
        <v>176.19499999999999</v>
      </c>
      <c r="G58" s="248">
        <v>186</v>
      </c>
      <c r="H58" s="248">
        <v>82.5</v>
      </c>
      <c r="I58" s="251">
        <f t="shared" si="6"/>
        <v>2.2545454545454544</v>
      </c>
      <c r="J58" s="249" t="s">
        <v>473</v>
      </c>
      <c r="K58" s="252"/>
    </row>
    <row r="59" spans="1:11">
      <c r="A59" s="248" t="s">
        <v>304</v>
      </c>
      <c r="B59" s="268" t="s">
        <v>161</v>
      </c>
      <c r="C59" s="249" t="s">
        <v>305</v>
      </c>
      <c r="D59" s="341">
        <v>72.05</v>
      </c>
      <c r="E59" s="341">
        <v>66</v>
      </c>
      <c r="F59" s="253">
        <f t="shared" si="1"/>
        <v>69.025000000000006</v>
      </c>
      <c r="G59" s="248">
        <v>347</v>
      </c>
      <c r="H59" s="248">
        <v>200</v>
      </c>
      <c r="I59" s="251">
        <f t="shared" si="6"/>
        <v>1.7350000000000001</v>
      </c>
      <c r="J59" s="249" t="s">
        <v>306</v>
      </c>
      <c r="K59" s="252"/>
    </row>
    <row r="60" spans="1:11">
      <c r="A60" s="42" t="s">
        <v>307</v>
      </c>
      <c r="B60" s="267" t="s">
        <v>200</v>
      </c>
      <c r="C60" s="246" t="s">
        <v>308</v>
      </c>
      <c r="D60" s="108">
        <v>166.07</v>
      </c>
      <c r="E60" s="197">
        <v>161.19999999999999</v>
      </c>
      <c r="F60" s="201">
        <f t="shared" si="1"/>
        <v>163.63499999999999</v>
      </c>
      <c r="G60" s="42">
        <v>151</v>
      </c>
      <c r="H60" s="42">
        <v>88</v>
      </c>
      <c r="I60" s="30">
        <f t="shared" si="6"/>
        <v>1.7159090909090908</v>
      </c>
      <c r="J60" s="246" t="s">
        <v>309</v>
      </c>
      <c r="K60" s="34"/>
    </row>
    <row r="61" spans="1:11">
      <c r="A61" s="42" t="s">
        <v>307</v>
      </c>
      <c r="B61" s="267" t="s">
        <v>200</v>
      </c>
      <c r="C61" s="246" t="s">
        <v>310</v>
      </c>
      <c r="D61" s="108">
        <v>166.07</v>
      </c>
      <c r="E61" s="197">
        <v>161.19999999999999</v>
      </c>
      <c r="F61" s="201">
        <f t="shared" si="1"/>
        <v>163.63499999999999</v>
      </c>
      <c r="G61" s="201">
        <v>200</v>
      </c>
      <c r="H61" s="201">
        <v>140.68299999999999</v>
      </c>
      <c r="I61" s="30">
        <f t="shared" si="6"/>
        <v>1.4216358764029771</v>
      </c>
      <c r="J61" s="246" t="s">
        <v>311</v>
      </c>
      <c r="K61" s="34"/>
    </row>
    <row r="62" spans="1:11">
      <c r="A62" s="248" t="s">
        <v>307</v>
      </c>
      <c r="B62" s="268" t="s">
        <v>200</v>
      </c>
      <c r="C62" s="256" t="s">
        <v>103</v>
      </c>
      <c r="D62" s="341">
        <v>166.07</v>
      </c>
      <c r="E62" s="343">
        <v>161.19999999999999</v>
      </c>
      <c r="F62" s="253">
        <f t="shared" si="1"/>
        <v>163.63499999999999</v>
      </c>
      <c r="G62" s="257">
        <f t="shared" ref="G62:I62" si="7">+AVERAGE(G60:G61)</f>
        <v>175.5</v>
      </c>
      <c r="H62" s="257">
        <f t="shared" si="7"/>
        <v>114.3415</v>
      </c>
      <c r="I62" s="257">
        <f t="shared" si="7"/>
        <v>1.5687724836560339</v>
      </c>
      <c r="J62" s="249"/>
      <c r="K62" s="252"/>
    </row>
    <row r="63" spans="1:11">
      <c r="A63" s="42" t="s">
        <v>312</v>
      </c>
      <c r="B63" s="267" t="s">
        <v>214</v>
      </c>
      <c r="C63" s="246" t="s">
        <v>313</v>
      </c>
      <c r="D63" s="108">
        <v>239.7</v>
      </c>
      <c r="E63" s="108">
        <v>237</v>
      </c>
      <c r="F63" s="201">
        <f t="shared" si="1"/>
        <v>238.35</v>
      </c>
      <c r="G63" s="42">
        <v>12.7</v>
      </c>
      <c r="H63" s="42">
        <v>26.5</v>
      </c>
      <c r="I63" s="30">
        <f>+G63/H63</f>
        <v>0.47924528301886787</v>
      </c>
      <c r="J63" s="246" t="s">
        <v>198</v>
      </c>
      <c r="K63" s="34"/>
    </row>
    <row r="64" spans="1:11">
      <c r="A64" s="42" t="s">
        <v>312</v>
      </c>
      <c r="B64" s="267" t="s">
        <v>214</v>
      </c>
      <c r="C64" s="246" t="s">
        <v>314</v>
      </c>
      <c r="D64" s="108">
        <v>239.7</v>
      </c>
      <c r="E64" s="108">
        <v>237</v>
      </c>
      <c r="F64" s="201">
        <f t="shared" ref="F64:F116" si="8">+AVERAGE(D64:E64)</f>
        <v>238.35</v>
      </c>
      <c r="G64" s="42">
        <v>18.5</v>
      </c>
      <c r="H64" s="42">
        <v>29</v>
      </c>
      <c r="I64" s="30">
        <f>+G64/H64</f>
        <v>0.63793103448275867</v>
      </c>
      <c r="J64" s="246" t="s">
        <v>198</v>
      </c>
      <c r="K64" s="34"/>
    </row>
    <row r="65" spans="1:11">
      <c r="A65" s="248" t="s">
        <v>312</v>
      </c>
      <c r="B65" s="268" t="s">
        <v>214</v>
      </c>
      <c r="C65" s="256" t="s">
        <v>103</v>
      </c>
      <c r="D65" s="341">
        <v>239.7</v>
      </c>
      <c r="E65" s="341">
        <v>237</v>
      </c>
      <c r="F65" s="253">
        <f t="shared" si="8"/>
        <v>238.35</v>
      </c>
      <c r="G65" s="257">
        <f t="shared" ref="G65:I65" si="9">+AVERAGE(G63:G64)</f>
        <v>15.6</v>
      </c>
      <c r="H65" s="257">
        <f t="shared" si="9"/>
        <v>27.75</v>
      </c>
      <c r="I65" s="257">
        <f t="shared" si="9"/>
        <v>0.55858815875081325</v>
      </c>
      <c r="J65" s="249"/>
      <c r="K65" s="252"/>
    </row>
    <row r="66" spans="1:11">
      <c r="A66" s="42" t="s">
        <v>315</v>
      </c>
      <c r="B66" s="267" t="s">
        <v>214</v>
      </c>
      <c r="C66" s="246" t="s">
        <v>316</v>
      </c>
      <c r="D66" s="108">
        <v>239.7</v>
      </c>
      <c r="E66" s="108">
        <v>237</v>
      </c>
      <c r="F66" s="201">
        <f t="shared" si="8"/>
        <v>238.35</v>
      </c>
      <c r="G66" s="42">
        <v>5.2</v>
      </c>
      <c r="H66" s="42">
        <v>8.1</v>
      </c>
      <c r="I66" s="30">
        <f>+G66/H66</f>
        <v>0.64197530864197538</v>
      </c>
      <c r="J66" s="246" t="s">
        <v>198</v>
      </c>
      <c r="K66" s="34"/>
    </row>
    <row r="67" spans="1:11">
      <c r="A67" s="42" t="s">
        <v>315</v>
      </c>
      <c r="B67" s="267" t="s">
        <v>214</v>
      </c>
      <c r="C67" s="246" t="s">
        <v>317</v>
      </c>
      <c r="D67" s="108">
        <v>239.7</v>
      </c>
      <c r="E67" s="108">
        <v>237</v>
      </c>
      <c r="F67" s="201">
        <f t="shared" si="8"/>
        <v>238.35</v>
      </c>
      <c r="G67" s="42">
        <v>3.6</v>
      </c>
      <c r="H67" s="42">
        <v>4.3</v>
      </c>
      <c r="I67" s="30">
        <f>+G67/H67</f>
        <v>0.83720930232558144</v>
      </c>
      <c r="J67" s="246" t="s">
        <v>198</v>
      </c>
      <c r="K67" s="34"/>
    </row>
    <row r="68" spans="1:11">
      <c r="A68" s="248" t="s">
        <v>315</v>
      </c>
      <c r="B68" s="268" t="s">
        <v>214</v>
      </c>
      <c r="C68" s="256" t="s">
        <v>103</v>
      </c>
      <c r="D68" s="341">
        <v>239.7</v>
      </c>
      <c r="E68" s="341">
        <v>237</v>
      </c>
      <c r="F68" s="253">
        <f t="shared" si="8"/>
        <v>238.35</v>
      </c>
      <c r="G68" s="257">
        <f t="shared" ref="G68:I68" si="10">+AVERAGE(G66:G67)</f>
        <v>4.4000000000000004</v>
      </c>
      <c r="H68" s="257">
        <f t="shared" si="10"/>
        <v>6.1999999999999993</v>
      </c>
      <c r="I68" s="257">
        <f t="shared" si="10"/>
        <v>0.73959230548377841</v>
      </c>
      <c r="J68" s="249"/>
      <c r="K68" s="252"/>
    </row>
    <row r="69" spans="1:11">
      <c r="A69" s="42" t="s">
        <v>318</v>
      </c>
      <c r="B69" s="267" t="s">
        <v>214</v>
      </c>
      <c r="C69" s="246" t="s">
        <v>319</v>
      </c>
      <c r="D69" s="108">
        <v>239.7</v>
      </c>
      <c r="E69" s="108">
        <v>237</v>
      </c>
      <c r="F69" s="201">
        <f t="shared" si="8"/>
        <v>238.35</v>
      </c>
      <c r="G69" s="42">
        <v>5.3</v>
      </c>
      <c r="H69" s="42">
        <v>8.3000000000000007</v>
      </c>
      <c r="I69" s="30">
        <f>+G69/H69</f>
        <v>0.63855421686746983</v>
      </c>
      <c r="J69" s="246" t="s">
        <v>198</v>
      </c>
      <c r="K69" s="34"/>
    </row>
    <row r="70" spans="1:11">
      <c r="A70" s="42" t="s">
        <v>318</v>
      </c>
      <c r="B70" s="267" t="s">
        <v>214</v>
      </c>
      <c r="C70" s="246" t="s">
        <v>320</v>
      </c>
      <c r="D70" s="108">
        <v>239.7</v>
      </c>
      <c r="E70" s="108">
        <v>237</v>
      </c>
      <c r="F70" s="201">
        <f t="shared" si="8"/>
        <v>238.35</v>
      </c>
      <c r="G70" s="42">
        <v>6</v>
      </c>
      <c r="H70" s="42">
        <v>6.5</v>
      </c>
      <c r="I70" s="30">
        <f>+G70/H70</f>
        <v>0.92307692307692313</v>
      </c>
      <c r="J70" s="246" t="s">
        <v>198</v>
      </c>
      <c r="K70" s="34"/>
    </row>
    <row r="71" spans="1:11">
      <c r="A71" s="248" t="s">
        <v>318</v>
      </c>
      <c r="B71" s="268" t="s">
        <v>214</v>
      </c>
      <c r="C71" s="256" t="s">
        <v>103</v>
      </c>
      <c r="D71" s="341">
        <v>239.7</v>
      </c>
      <c r="E71" s="341">
        <v>237</v>
      </c>
      <c r="F71" s="253">
        <f t="shared" si="8"/>
        <v>238.35</v>
      </c>
      <c r="G71" s="257">
        <f t="shared" ref="G71:I71" si="11">+AVERAGE(G69:G70)</f>
        <v>5.65</v>
      </c>
      <c r="H71" s="257">
        <f t="shared" si="11"/>
        <v>7.4</v>
      </c>
      <c r="I71" s="257">
        <f t="shared" si="11"/>
        <v>0.78081556997219648</v>
      </c>
      <c r="J71" s="249"/>
      <c r="K71" s="252"/>
    </row>
    <row r="72" spans="1:11">
      <c r="A72" s="248" t="s">
        <v>321</v>
      </c>
      <c r="B72" s="268" t="s">
        <v>188</v>
      </c>
      <c r="C72" s="249" t="s">
        <v>322</v>
      </c>
      <c r="D72" s="344">
        <v>113</v>
      </c>
      <c r="E72" s="344">
        <v>100.5</v>
      </c>
      <c r="F72" s="253">
        <f t="shared" si="8"/>
        <v>106.75</v>
      </c>
      <c r="G72" s="248">
        <v>69</v>
      </c>
      <c r="H72" s="248">
        <v>67.2</v>
      </c>
      <c r="I72" s="251">
        <f t="shared" ref="I72:I92" si="12">+G72/H72</f>
        <v>1.0267857142857142</v>
      </c>
      <c r="J72" s="249" t="s">
        <v>474</v>
      </c>
      <c r="K72" s="252"/>
    </row>
    <row r="73" spans="1:11">
      <c r="A73" s="248" t="s">
        <v>323</v>
      </c>
      <c r="B73" s="268" t="s">
        <v>195</v>
      </c>
      <c r="C73" s="249" t="s">
        <v>324</v>
      </c>
      <c r="D73" s="341">
        <v>243.99</v>
      </c>
      <c r="E73" s="341">
        <v>233.5</v>
      </c>
      <c r="F73" s="253">
        <f t="shared" si="8"/>
        <v>238.745</v>
      </c>
      <c r="G73" s="248">
        <v>67</v>
      </c>
      <c r="H73" s="248">
        <v>103</v>
      </c>
      <c r="I73" s="251">
        <f t="shared" si="12"/>
        <v>0.65048543689320393</v>
      </c>
      <c r="J73" s="249" t="s">
        <v>325</v>
      </c>
      <c r="K73" s="252"/>
    </row>
    <row r="74" spans="1:11">
      <c r="A74" s="248" t="s">
        <v>326</v>
      </c>
      <c r="B74" s="268" t="s">
        <v>195</v>
      </c>
      <c r="C74" s="249" t="s">
        <v>327</v>
      </c>
      <c r="D74" s="341">
        <v>246.36</v>
      </c>
      <c r="E74" s="341">
        <v>241.5</v>
      </c>
      <c r="F74" s="253">
        <f t="shared" si="8"/>
        <v>243.93</v>
      </c>
      <c r="G74" s="248">
        <v>22</v>
      </c>
      <c r="H74" s="248">
        <v>27</v>
      </c>
      <c r="I74" s="251">
        <f t="shared" si="12"/>
        <v>0.81481481481481477</v>
      </c>
      <c r="J74" s="249" t="s">
        <v>328</v>
      </c>
      <c r="K74" s="252"/>
    </row>
    <row r="75" spans="1:11">
      <c r="A75" s="248" t="s">
        <v>329</v>
      </c>
      <c r="B75" s="268" t="s">
        <v>195</v>
      </c>
      <c r="C75" s="249" t="s">
        <v>330</v>
      </c>
      <c r="D75" s="341">
        <v>237</v>
      </c>
      <c r="E75" s="341">
        <v>235.39</v>
      </c>
      <c r="F75" s="253">
        <f t="shared" si="8"/>
        <v>236.19499999999999</v>
      </c>
      <c r="G75" s="248">
        <v>28.15</v>
      </c>
      <c r="H75" s="248">
        <v>43.5</v>
      </c>
      <c r="I75" s="251">
        <f t="shared" si="12"/>
        <v>0.64712643678160919</v>
      </c>
      <c r="J75" s="249" t="s">
        <v>331</v>
      </c>
      <c r="K75" s="252"/>
    </row>
    <row r="76" spans="1:11">
      <c r="A76" s="248" t="s">
        <v>332</v>
      </c>
      <c r="B76" s="268" t="s">
        <v>218</v>
      </c>
      <c r="C76" s="254" t="s">
        <v>333</v>
      </c>
      <c r="D76" s="341">
        <v>244.94</v>
      </c>
      <c r="E76" s="341">
        <v>243.99</v>
      </c>
      <c r="F76" s="253">
        <f t="shared" si="8"/>
        <v>244.465</v>
      </c>
      <c r="G76" s="248">
        <v>8.8000000000000007</v>
      </c>
      <c r="H76" s="248">
        <v>12.8</v>
      </c>
      <c r="I76" s="251">
        <f t="shared" si="12"/>
        <v>0.6875</v>
      </c>
      <c r="J76" s="249" t="s">
        <v>334</v>
      </c>
      <c r="K76" s="252"/>
    </row>
    <row r="77" spans="1:11">
      <c r="A77" s="248" t="s">
        <v>335</v>
      </c>
      <c r="B77" s="268" t="s">
        <v>209</v>
      </c>
      <c r="C77" s="249" t="s">
        <v>336</v>
      </c>
      <c r="D77" s="341">
        <v>242.57</v>
      </c>
      <c r="E77" s="341">
        <v>240.3</v>
      </c>
      <c r="F77" s="253">
        <f t="shared" si="8"/>
        <v>241.435</v>
      </c>
      <c r="G77" s="248">
        <v>9</v>
      </c>
      <c r="H77" s="248">
        <v>30.5</v>
      </c>
      <c r="I77" s="251">
        <f t="shared" si="12"/>
        <v>0.29508196721311475</v>
      </c>
      <c r="J77" s="249" t="s">
        <v>198</v>
      </c>
      <c r="K77" s="252"/>
    </row>
    <row r="78" spans="1:11">
      <c r="A78" s="248" t="s">
        <v>337</v>
      </c>
      <c r="B78" s="268" t="s">
        <v>190</v>
      </c>
      <c r="C78" s="249" t="s">
        <v>338</v>
      </c>
      <c r="D78" s="343">
        <v>166.07</v>
      </c>
      <c r="E78" s="343">
        <v>163.47</v>
      </c>
      <c r="F78" s="253">
        <f t="shared" si="8"/>
        <v>164.76999999999998</v>
      </c>
      <c r="G78" s="248">
        <v>62</v>
      </c>
      <c r="H78" s="248">
        <v>135</v>
      </c>
      <c r="I78" s="251">
        <f t="shared" si="12"/>
        <v>0.45925925925925926</v>
      </c>
      <c r="J78" s="249" t="s">
        <v>558</v>
      </c>
      <c r="K78" s="252"/>
    </row>
    <row r="79" spans="1:11">
      <c r="A79" s="248" t="s">
        <v>339</v>
      </c>
      <c r="B79" s="268" t="s">
        <v>209</v>
      </c>
      <c r="C79" s="249" t="s">
        <v>340</v>
      </c>
      <c r="D79" s="341">
        <v>246.36</v>
      </c>
      <c r="E79" s="341">
        <v>239.1</v>
      </c>
      <c r="F79" s="253">
        <f t="shared" si="8"/>
        <v>242.73000000000002</v>
      </c>
      <c r="G79" s="248">
        <v>13.7</v>
      </c>
      <c r="H79" s="248">
        <v>70.7</v>
      </c>
      <c r="I79" s="251">
        <f t="shared" si="12"/>
        <v>0.19377652050919375</v>
      </c>
      <c r="J79" s="249" t="s">
        <v>198</v>
      </c>
      <c r="K79" s="252"/>
    </row>
    <row r="80" spans="1:11">
      <c r="A80" s="248" t="s">
        <v>341</v>
      </c>
      <c r="B80" s="268" t="s">
        <v>209</v>
      </c>
      <c r="C80" s="249" t="s">
        <v>342</v>
      </c>
      <c r="D80" s="341">
        <v>244.94</v>
      </c>
      <c r="E80" s="341">
        <v>243.99</v>
      </c>
      <c r="F80" s="253">
        <f t="shared" si="8"/>
        <v>244.465</v>
      </c>
      <c r="G80" s="248">
        <v>10.8</v>
      </c>
      <c r="H80" s="248">
        <v>60</v>
      </c>
      <c r="I80" s="251">
        <f t="shared" si="12"/>
        <v>0.18000000000000002</v>
      </c>
      <c r="J80" s="249" t="s">
        <v>343</v>
      </c>
      <c r="K80" s="252"/>
    </row>
    <row r="81" spans="1:11">
      <c r="A81" s="248" t="s">
        <v>344</v>
      </c>
      <c r="B81" s="268" t="s">
        <v>295</v>
      </c>
      <c r="C81" s="249" t="s">
        <v>345</v>
      </c>
      <c r="D81" s="341">
        <v>182.7</v>
      </c>
      <c r="E81" s="341">
        <v>178.24</v>
      </c>
      <c r="F81" s="253">
        <f t="shared" si="8"/>
        <v>180.47</v>
      </c>
      <c r="G81" s="248">
        <v>86.5</v>
      </c>
      <c r="H81" s="248">
        <v>53</v>
      </c>
      <c r="I81" s="251">
        <f t="shared" si="12"/>
        <v>1.6320754716981132</v>
      </c>
      <c r="J81" s="249" t="s">
        <v>198</v>
      </c>
      <c r="K81" s="252"/>
    </row>
    <row r="82" spans="1:11">
      <c r="A82" s="42" t="s">
        <v>104</v>
      </c>
      <c r="B82" s="267" t="s">
        <v>346</v>
      </c>
      <c r="C82" s="246" t="s">
        <v>347</v>
      </c>
      <c r="D82" s="108">
        <v>195.31</v>
      </c>
      <c r="E82" s="108">
        <v>190.82</v>
      </c>
      <c r="F82" s="185">
        <f t="shared" si="8"/>
        <v>193.065</v>
      </c>
      <c r="G82" s="42">
        <v>115</v>
      </c>
      <c r="H82" s="42">
        <v>68</v>
      </c>
      <c r="I82" s="30">
        <f t="shared" si="12"/>
        <v>1.6911764705882353</v>
      </c>
      <c r="J82" s="246" t="s">
        <v>444</v>
      </c>
      <c r="K82" s="34"/>
    </row>
    <row r="83" spans="1:11">
      <c r="A83" s="42" t="s">
        <v>104</v>
      </c>
      <c r="B83" s="267" t="s">
        <v>346</v>
      </c>
      <c r="C83" s="34" t="s">
        <v>348</v>
      </c>
      <c r="D83" s="108">
        <v>195.31</v>
      </c>
      <c r="E83" s="108">
        <v>190.82</v>
      </c>
      <c r="F83" s="185">
        <f t="shared" si="8"/>
        <v>193.065</v>
      </c>
      <c r="G83" s="42">
        <v>145</v>
      </c>
      <c r="H83" s="42">
        <v>107</v>
      </c>
      <c r="I83" s="30">
        <f t="shared" si="12"/>
        <v>1.3551401869158879</v>
      </c>
      <c r="J83" s="246" t="s">
        <v>443</v>
      </c>
      <c r="K83" s="34"/>
    </row>
    <row r="84" spans="1:11">
      <c r="A84" s="42" t="s">
        <v>104</v>
      </c>
      <c r="B84" s="267" t="s">
        <v>346</v>
      </c>
      <c r="C84" s="246" t="s">
        <v>107</v>
      </c>
      <c r="D84" s="108">
        <v>195.31</v>
      </c>
      <c r="E84" s="108">
        <v>190.82</v>
      </c>
      <c r="F84" s="185">
        <f t="shared" si="8"/>
        <v>193.065</v>
      </c>
      <c r="G84" s="42">
        <v>133</v>
      </c>
      <c r="H84" s="42">
        <v>111</v>
      </c>
      <c r="I84" s="30">
        <f t="shared" si="12"/>
        <v>1.1981981981981982</v>
      </c>
      <c r="J84" s="246" t="s">
        <v>198</v>
      </c>
      <c r="K84" s="34"/>
    </row>
    <row r="85" spans="1:11">
      <c r="A85" s="248" t="s">
        <v>104</v>
      </c>
      <c r="B85" s="268" t="s">
        <v>346</v>
      </c>
      <c r="C85" s="256" t="s">
        <v>103</v>
      </c>
      <c r="D85" s="341">
        <v>195.31</v>
      </c>
      <c r="E85" s="341">
        <v>190.82</v>
      </c>
      <c r="F85" s="253">
        <f t="shared" si="8"/>
        <v>193.065</v>
      </c>
      <c r="G85" s="257">
        <f t="shared" ref="G85:I85" si="13">+AVERAGE(G82:G84)</f>
        <v>131</v>
      </c>
      <c r="H85" s="257">
        <f t="shared" si="13"/>
        <v>95.333333333333329</v>
      </c>
      <c r="I85" s="257">
        <f t="shared" si="13"/>
        <v>1.414838285234107</v>
      </c>
      <c r="J85" s="249"/>
      <c r="K85" s="252"/>
    </row>
    <row r="86" spans="1:11">
      <c r="A86" s="248" t="s">
        <v>108</v>
      </c>
      <c r="B86" s="268" t="s">
        <v>346</v>
      </c>
      <c r="C86" s="249" t="s">
        <v>349</v>
      </c>
      <c r="D86" s="341">
        <v>195.31</v>
      </c>
      <c r="E86" s="341">
        <v>190.82</v>
      </c>
      <c r="F86" s="253">
        <f t="shared" si="8"/>
        <v>193.065</v>
      </c>
      <c r="G86" s="248">
        <v>106</v>
      </c>
      <c r="H86" s="248">
        <v>86.5</v>
      </c>
      <c r="I86" s="251">
        <f t="shared" si="12"/>
        <v>1.2254335260115607</v>
      </c>
      <c r="J86" s="249" t="s">
        <v>198</v>
      </c>
      <c r="K86" s="252"/>
    </row>
    <row r="87" spans="1:11">
      <c r="A87" s="248" t="s">
        <v>112</v>
      </c>
      <c r="B87" s="268" t="s">
        <v>228</v>
      </c>
      <c r="C87" s="249" t="s">
        <v>114</v>
      </c>
      <c r="D87" s="341">
        <v>87.86</v>
      </c>
      <c r="E87" s="341">
        <v>80.97</v>
      </c>
      <c r="F87" s="253">
        <f t="shared" si="8"/>
        <v>84.414999999999992</v>
      </c>
      <c r="G87" s="248">
        <v>125</v>
      </c>
      <c r="H87" s="248">
        <v>126.7</v>
      </c>
      <c r="I87" s="251">
        <f t="shared" si="12"/>
        <v>0.98658247829518542</v>
      </c>
      <c r="J87" s="249" t="s">
        <v>350</v>
      </c>
      <c r="K87" s="252" t="s">
        <v>291</v>
      </c>
    </row>
    <row r="88" spans="1:11">
      <c r="A88" s="42" t="s">
        <v>351</v>
      </c>
      <c r="B88" s="267" t="s">
        <v>209</v>
      </c>
      <c r="C88" t="s">
        <v>352</v>
      </c>
      <c r="D88" s="108">
        <v>233.5</v>
      </c>
      <c r="E88" s="108">
        <v>228.35</v>
      </c>
      <c r="F88" s="201">
        <f t="shared" si="8"/>
        <v>230.92500000000001</v>
      </c>
      <c r="G88" s="265">
        <v>3.75</v>
      </c>
      <c r="H88" s="265">
        <v>24.291499999999999</v>
      </c>
      <c r="I88" s="30">
        <f t="shared" si="12"/>
        <v>0.15437498713541775</v>
      </c>
      <c r="J88" s="246" t="s">
        <v>353</v>
      </c>
      <c r="K88" s="34" t="s">
        <v>354</v>
      </c>
    </row>
    <row r="89" spans="1:11">
      <c r="A89" s="42" t="s">
        <v>351</v>
      </c>
      <c r="B89" s="267" t="s">
        <v>209</v>
      </c>
      <c r="C89" t="s">
        <v>355</v>
      </c>
      <c r="D89" s="108">
        <v>233.5</v>
      </c>
      <c r="E89" s="108">
        <v>228.35</v>
      </c>
      <c r="F89" s="201">
        <f t="shared" si="8"/>
        <v>230.92500000000001</v>
      </c>
      <c r="G89" s="255">
        <v>3.4299999999999997</v>
      </c>
      <c r="H89" s="265">
        <v>21.438000000000002</v>
      </c>
      <c r="I89" s="30">
        <f>+G89/H89</f>
        <v>0.15999626830861086</v>
      </c>
      <c r="J89" s="246" t="s">
        <v>353</v>
      </c>
      <c r="K89" s="34" t="s">
        <v>354</v>
      </c>
    </row>
    <row r="90" spans="1:11">
      <c r="A90" s="248" t="s">
        <v>351</v>
      </c>
      <c r="B90" s="268" t="s">
        <v>209</v>
      </c>
      <c r="C90" s="256" t="s">
        <v>103</v>
      </c>
      <c r="D90" s="341">
        <v>233.5</v>
      </c>
      <c r="E90" s="341">
        <v>228.35</v>
      </c>
      <c r="F90" s="253">
        <f t="shared" si="8"/>
        <v>230.92500000000001</v>
      </c>
      <c r="G90" s="257">
        <f t="shared" ref="G90:H90" si="14">+AVERAGE(G88:G89)</f>
        <v>3.59</v>
      </c>
      <c r="H90" s="257">
        <f t="shared" si="14"/>
        <v>22.864750000000001</v>
      </c>
      <c r="I90" s="257">
        <f>+AVERAGE(I88:I89)</f>
        <v>0.1571856277220143</v>
      </c>
      <c r="J90" s="249"/>
      <c r="K90" s="252"/>
    </row>
    <row r="91" spans="1:11">
      <c r="A91" s="42" t="s">
        <v>356</v>
      </c>
      <c r="B91" s="267" t="s">
        <v>209</v>
      </c>
      <c r="C91" s="246" t="s">
        <v>357</v>
      </c>
      <c r="D91" s="108">
        <v>217.42</v>
      </c>
      <c r="E91" s="108">
        <v>201.3</v>
      </c>
      <c r="F91" s="201">
        <f t="shared" si="8"/>
        <v>209.36</v>
      </c>
      <c r="G91" s="42">
        <v>4.0999999999999996</v>
      </c>
      <c r="H91" s="42">
        <v>24.2</v>
      </c>
      <c r="I91" s="30">
        <f t="shared" si="12"/>
        <v>0.16942148760330578</v>
      </c>
      <c r="J91" s="246" t="s">
        <v>359</v>
      </c>
      <c r="K91" s="34"/>
    </row>
    <row r="92" spans="1:11">
      <c r="A92" s="42" t="s">
        <v>356</v>
      </c>
      <c r="B92" s="267" t="s">
        <v>209</v>
      </c>
      <c r="C92" s="246" t="s">
        <v>358</v>
      </c>
      <c r="D92" s="108">
        <v>217.42</v>
      </c>
      <c r="E92" s="108">
        <v>201.3</v>
      </c>
      <c r="F92" s="185">
        <f t="shared" si="8"/>
        <v>209.36</v>
      </c>
      <c r="G92" s="42">
        <v>9.9</v>
      </c>
      <c r="H92" s="42">
        <v>49.2</v>
      </c>
      <c r="I92" s="30">
        <f t="shared" si="12"/>
        <v>0.20121951219512194</v>
      </c>
      <c r="J92" s="246" t="s">
        <v>359</v>
      </c>
      <c r="K92" s="34" t="s">
        <v>182</v>
      </c>
    </row>
    <row r="93" spans="1:11">
      <c r="A93" s="248" t="s">
        <v>356</v>
      </c>
      <c r="B93" s="268" t="s">
        <v>209</v>
      </c>
      <c r="C93" s="256" t="s">
        <v>103</v>
      </c>
      <c r="D93" s="341">
        <v>217.42</v>
      </c>
      <c r="E93" s="341">
        <v>201.3</v>
      </c>
      <c r="F93" s="258">
        <f t="shared" si="8"/>
        <v>209.36</v>
      </c>
      <c r="G93" s="257">
        <f t="shared" ref="G93:I93" si="15">+AVERAGE(G91:G92)</f>
        <v>7</v>
      </c>
      <c r="H93" s="257">
        <f t="shared" si="15"/>
        <v>36.700000000000003</v>
      </c>
      <c r="I93" s="257">
        <f t="shared" si="15"/>
        <v>0.18532049989921384</v>
      </c>
      <c r="J93" s="249"/>
      <c r="K93" s="252"/>
    </row>
    <row r="94" spans="1:11">
      <c r="A94" s="248" t="s">
        <v>360</v>
      </c>
      <c r="B94" s="268" t="s">
        <v>218</v>
      </c>
      <c r="C94" s="249" t="s">
        <v>361</v>
      </c>
      <c r="D94" s="341">
        <v>237</v>
      </c>
      <c r="E94" s="341">
        <v>235.39</v>
      </c>
      <c r="F94" s="258">
        <f t="shared" si="8"/>
        <v>236.19499999999999</v>
      </c>
      <c r="G94" s="248">
        <v>10</v>
      </c>
      <c r="H94" s="248">
        <v>23.8</v>
      </c>
      <c r="I94" s="251">
        <f>+G94/H94</f>
        <v>0.42016806722689076</v>
      </c>
      <c r="J94" s="249" t="s">
        <v>362</v>
      </c>
      <c r="K94" s="252"/>
    </row>
    <row r="95" spans="1:11">
      <c r="A95" s="248" t="s">
        <v>100</v>
      </c>
      <c r="B95" s="268" t="s">
        <v>165</v>
      </c>
      <c r="C95" s="249" t="s">
        <v>101</v>
      </c>
      <c r="D95" s="341">
        <v>182.7</v>
      </c>
      <c r="E95" s="341">
        <v>178.24</v>
      </c>
      <c r="F95" s="258">
        <f t="shared" si="8"/>
        <v>180.47</v>
      </c>
      <c r="G95" s="248">
        <v>174</v>
      </c>
      <c r="H95" s="248">
        <v>205.2</v>
      </c>
      <c r="I95" s="251">
        <f t="shared" ref="I95:I109" si="16">+G95/H95</f>
        <v>0.84795321637426901</v>
      </c>
      <c r="J95" s="249" t="s">
        <v>167</v>
      </c>
      <c r="K95" s="252"/>
    </row>
    <row r="96" spans="1:11">
      <c r="A96" s="248" t="s">
        <v>560</v>
      </c>
      <c r="B96" s="268" t="s">
        <v>165</v>
      </c>
      <c r="C96" s="252" t="s">
        <v>177</v>
      </c>
      <c r="D96" s="341">
        <v>201.1</v>
      </c>
      <c r="E96" s="341">
        <v>199.3</v>
      </c>
      <c r="F96" s="253">
        <f>+AVERAGE(D96:E96)</f>
        <v>200.2</v>
      </c>
      <c r="G96" s="248">
        <v>138</v>
      </c>
      <c r="H96" s="248">
        <v>129.5</v>
      </c>
      <c r="I96" s="251">
        <f>+G96/H96</f>
        <v>1.0656370656370657</v>
      </c>
      <c r="J96" s="249" t="s">
        <v>178</v>
      </c>
      <c r="K96" s="252"/>
    </row>
    <row r="97" spans="1:11">
      <c r="A97" s="248" t="s">
        <v>102</v>
      </c>
      <c r="B97" s="268" t="s">
        <v>165</v>
      </c>
      <c r="C97" s="252" t="s">
        <v>363</v>
      </c>
      <c r="D97" s="341">
        <v>182.7</v>
      </c>
      <c r="E97" s="341">
        <v>178.24</v>
      </c>
      <c r="F97" s="258">
        <f t="shared" si="8"/>
        <v>180.47</v>
      </c>
      <c r="G97" s="248">
        <v>100</v>
      </c>
      <c r="H97" s="248">
        <v>164</v>
      </c>
      <c r="I97" s="251">
        <f t="shared" si="16"/>
        <v>0.6097560975609756</v>
      </c>
      <c r="J97" s="249" t="s">
        <v>364</v>
      </c>
      <c r="K97" s="252"/>
    </row>
    <row r="98" spans="1:11">
      <c r="A98" s="248" t="s">
        <v>365</v>
      </c>
      <c r="B98" s="268" t="s">
        <v>190</v>
      </c>
      <c r="C98" s="252" t="s">
        <v>366</v>
      </c>
      <c r="D98" s="344">
        <v>129.4</v>
      </c>
      <c r="E98" s="344">
        <v>113</v>
      </c>
      <c r="F98" s="258">
        <f t="shared" si="8"/>
        <v>121.2</v>
      </c>
      <c r="G98" s="248">
        <v>124.5</v>
      </c>
      <c r="H98" s="248">
        <v>351.4</v>
      </c>
      <c r="I98" s="251">
        <f t="shared" si="16"/>
        <v>0.35429709732498582</v>
      </c>
      <c r="J98" s="249" t="s">
        <v>367</v>
      </c>
      <c r="K98" s="252"/>
    </row>
    <row r="99" spans="1:11">
      <c r="A99" s="248" t="s">
        <v>368</v>
      </c>
      <c r="B99" s="268" t="s">
        <v>295</v>
      </c>
      <c r="C99" s="249" t="s">
        <v>369</v>
      </c>
      <c r="D99" s="341">
        <v>182.7</v>
      </c>
      <c r="E99" s="341">
        <v>178.24</v>
      </c>
      <c r="F99" s="258">
        <f t="shared" si="8"/>
        <v>180.47</v>
      </c>
      <c r="G99" s="248">
        <v>135</v>
      </c>
      <c r="H99" s="248">
        <v>84</v>
      </c>
      <c r="I99" s="251">
        <f t="shared" si="16"/>
        <v>1.6071428571428572</v>
      </c>
      <c r="J99" s="249" t="s">
        <v>198</v>
      </c>
      <c r="K99" s="252"/>
    </row>
    <row r="100" spans="1:11">
      <c r="A100" s="42" t="s">
        <v>370</v>
      </c>
      <c r="B100" s="267" t="s">
        <v>214</v>
      </c>
      <c r="C100" s="345" t="s">
        <v>371</v>
      </c>
      <c r="D100" s="111">
        <v>242.57</v>
      </c>
      <c r="E100" s="111">
        <v>240.3</v>
      </c>
      <c r="F100" s="315">
        <f t="shared" si="8"/>
        <v>241.435</v>
      </c>
      <c r="G100" s="42">
        <v>9.4</v>
      </c>
      <c r="H100" s="42">
        <v>15.1</v>
      </c>
      <c r="I100" s="30">
        <f t="shared" si="16"/>
        <v>0.6225165562913908</v>
      </c>
      <c r="J100" s="246" t="s">
        <v>198</v>
      </c>
      <c r="K100" s="34"/>
    </row>
    <row r="101" spans="1:11">
      <c r="A101" s="42" t="s">
        <v>370</v>
      </c>
      <c r="B101" s="267" t="s">
        <v>214</v>
      </c>
      <c r="C101" s="345" t="s">
        <v>372</v>
      </c>
      <c r="D101" s="111">
        <v>242.57</v>
      </c>
      <c r="E101" s="111">
        <v>240.3</v>
      </c>
      <c r="F101" s="315">
        <f t="shared" si="8"/>
        <v>241.435</v>
      </c>
      <c r="G101" s="42">
        <v>9</v>
      </c>
      <c r="H101" s="42">
        <v>14.7</v>
      </c>
      <c r="I101" s="30">
        <f t="shared" si="16"/>
        <v>0.61224489795918369</v>
      </c>
      <c r="J101" s="246" t="s">
        <v>198</v>
      </c>
      <c r="K101" s="34"/>
    </row>
    <row r="102" spans="1:11">
      <c r="A102" s="248" t="s">
        <v>370</v>
      </c>
      <c r="B102" s="268" t="s">
        <v>214</v>
      </c>
      <c r="C102" s="256" t="s">
        <v>103</v>
      </c>
      <c r="D102" s="341">
        <v>242.57</v>
      </c>
      <c r="E102" s="341">
        <v>240.3</v>
      </c>
      <c r="F102" s="253">
        <f t="shared" si="8"/>
        <v>241.435</v>
      </c>
      <c r="G102" s="257">
        <f t="shared" ref="G102:I102" si="17">+AVERAGE(G100:G101)</f>
        <v>9.1999999999999993</v>
      </c>
      <c r="H102" s="257">
        <f t="shared" si="17"/>
        <v>14.899999999999999</v>
      </c>
      <c r="I102" s="257">
        <f t="shared" si="17"/>
        <v>0.61738072712528724</v>
      </c>
      <c r="J102" s="249"/>
      <c r="K102" s="252"/>
    </row>
    <row r="103" spans="1:11">
      <c r="A103" s="248" t="s">
        <v>373</v>
      </c>
      <c r="B103" s="268" t="s">
        <v>209</v>
      </c>
      <c r="C103" s="249" t="s">
        <v>374</v>
      </c>
      <c r="D103" s="341">
        <v>233.5</v>
      </c>
      <c r="E103" s="341">
        <v>228.35</v>
      </c>
      <c r="F103" s="253">
        <f t="shared" si="8"/>
        <v>230.92500000000001</v>
      </c>
      <c r="G103" s="248">
        <v>10</v>
      </c>
      <c r="H103" s="248">
        <v>39</v>
      </c>
      <c r="I103" s="251">
        <f t="shared" si="16"/>
        <v>0.25641025641025639</v>
      </c>
      <c r="J103" s="249" t="s">
        <v>375</v>
      </c>
      <c r="K103" s="252" t="s">
        <v>212</v>
      </c>
    </row>
    <row r="104" spans="1:11">
      <c r="A104" s="248" t="s">
        <v>376</v>
      </c>
      <c r="B104" s="268" t="s">
        <v>161</v>
      </c>
      <c r="C104" s="249" t="s">
        <v>377</v>
      </c>
      <c r="D104" s="341">
        <v>83.64</v>
      </c>
      <c r="E104" s="341">
        <v>80.97</v>
      </c>
      <c r="F104" s="253">
        <f t="shared" si="8"/>
        <v>82.305000000000007</v>
      </c>
      <c r="G104" s="248">
        <v>580</v>
      </c>
      <c r="H104" s="248">
        <v>210</v>
      </c>
      <c r="I104" s="251">
        <f t="shared" si="16"/>
        <v>2.7619047619047619</v>
      </c>
      <c r="J104" s="249" t="s">
        <v>306</v>
      </c>
      <c r="K104" s="252"/>
    </row>
    <row r="105" spans="1:11">
      <c r="A105" s="42" t="s">
        <v>378</v>
      </c>
      <c r="B105" s="267" t="s">
        <v>173</v>
      </c>
      <c r="C105" s="34" t="s">
        <v>397</v>
      </c>
      <c r="D105" s="108">
        <v>201.3</v>
      </c>
      <c r="E105" s="108">
        <v>201.1</v>
      </c>
      <c r="F105" s="201">
        <f t="shared" si="8"/>
        <v>201.2</v>
      </c>
      <c r="G105" s="42">
        <v>58.9</v>
      </c>
      <c r="H105" s="42">
        <v>37.799999999999997</v>
      </c>
      <c r="I105" s="30">
        <f t="shared" si="16"/>
        <v>1.5582010582010584</v>
      </c>
      <c r="J105" s="249" t="s">
        <v>198</v>
      </c>
      <c r="K105" s="34"/>
    </row>
    <row r="106" spans="1:11">
      <c r="A106" s="42" t="s">
        <v>378</v>
      </c>
      <c r="B106" s="267" t="s">
        <v>173</v>
      </c>
      <c r="C106" s="34" t="s">
        <v>379</v>
      </c>
      <c r="D106" s="108">
        <v>201.3</v>
      </c>
      <c r="E106" s="108">
        <v>201.1</v>
      </c>
      <c r="F106" s="201">
        <f t="shared" si="8"/>
        <v>201.2</v>
      </c>
      <c r="G106" s="42">
        <v>61.5</v>
      </c>
      <c r="H106" s="42">
        <v>43</v>
      </c>
      <c r="I106" s="30">
        <f t="shared" si="16"/>
        <v>1.430232558139535</v>
      </c>
      <c r="J106" s="255" t="s">
        <v>559</v>
      </c>
      <c r="K106" s="34"/>
    </row>
    <row r="107" spans="1:11">
      <c r="A107" s="248" t="s">
        <v>378</v>
      </c>
      <c r="B107" s="268" t="s">
        <v>173</v>
      </c>
      <c r="C107" s="256" t="s">
        <v>103</v>
      </c>
      <c r="D107" s="341">
        <v>201.3</v>
      </c>
      <c r="E107" s="341">
        <v>201.1</v>
      </c>
      <c r="F107" s="253">
        <f t="shared" si="8"/>
        <v>201.2</v>
      </c>
      <c r="G107" s="257">
        <f t="shared" ref="G107:I107" si="18">+AVERAGE(G105:G106)</f>
        <v>60.2</v>
      </c>
      <c r="H107" s="257">
        <f t="shared" si="18"/>
        <v>40.4</v>
      </c>
      <c r="I107" s="257">
        <f t="shared" si="18"/>
        <v>1.4942168081702967</v>
      </c>
      <c r="J107" s="249"/>
      <c r="K107" s="252"/>
    </row>
    <row r="108" spans="1:11">
      <c r="A108" s="248" t="s">
        <v>380</v>
      </c>
      <c r="B108" s="268" t="s">
        <v>161</v>
      </c>
      <c r="C108" s="252" t="s">
        <v>381</v>
      </c>
      <c r="D108" s="341">
        <v>100.5</v>
      </c>
      <c r="E108" s="341">
        <v>93.9</v>
      </c>
      <c r="F108" s="253">
        <f t="shared" si="8"/>
        <v>97.2</v>
      </c>
      <c r="G108" s="248">
        <v>609</v>
      </c>
      <c r="H108" s="248">
        <v>308</v>
      </c>
      <c r="I108" s="251">
        <f t="shared" si="16"/>
        <v>1.9772727272727273</v>
      </c>
      <c r="J108" s="249" t="s">
        <v>306</v>
      </c>
      <c r="K108" s="252"/>
    </row>
    <row r="109" spans="1:11">
      <c r="A109" s="248" t="s">
        <v>382</v>
      </c>
      <c r="B109" s="268" t="s">
        <v>228</v>
      </c>
      <c r="C109" s="249" t="s">
        <v>383</v>
      </c>
      <c r="D109" s="344">
        <v>93.9</v>
      </c>
      <c r="E109" s="344">
        <v>91.41</v>
      </c>
      <c r="F109" s="253">
        <f t="shared" si="8"/>
        <v>92.655000000000001</v>
      </c>
      <c r="G109" s="248">
        <v>80</v>
      </c>
      <c r="H109" s="248">
        <v>155</v>
      </c>
      <c r="I109" s="251">
        <f t="shared" si="16"/>
        <v>0.5161290322580645</v>
      </c>
      <c r="J109" s="249" t="s">
        <v>384</v>
      </c>
      <c r="K109" s="252" t="s">
        <v>212</v>
      </c>
    </row>
    <row r="110" spans="1:11">
      <c r="A110" s="248" t="s">
        <v>385</v>
      </c>
      <c r="B110" s="268" t="s">
        <v>184</v>
      </c>
      <c r="C110" s="249" t="s">
        <v>386</v>
      </c>
      <c r="D110" s="341">
        <v>242</v>
      </c>
      <c r="E110" s="341">
        <v>237</v>
      </c>
      <c r="F110" s="253">
        <f t="shared" si="8"/>
        <v>239.5</v>
      </c>
      <c r="G110" s="266">
        <v>85</v>
      </c>
      <c r="H110" s="266">
        <v>56.4</v>
      </c>
      <c r="I110" s="251">
        <f>+G110/H110</f>
        <v>1.5070921985815604</v>
      </c>
      <c r="J110" s="249" t="s">
        <v>387</v>
      </c>
      <c r="K110" s="252" t="s">
        <v>212</v>
      </c>
    </row>
    <row r="111" spans="1:11">
      <c r="A111" s="42" t="s">
        <v>388</v>
      </c>
      <c r="B111" s="267" t="s">
        <v>218</v>
      </c>
      <c r="C111" s="246" t="s">
        <v>389</v>
      </c>
      <c r="D111" s="108">
        <v>244.94</v>
      </c>
      <c r="E111" s="108">
        <v>243.99</v>
      </c>
      <c r="F111" s="201">
        <f t="shared" si="8"/>
        <v>244.465</v>
      </c>
      <c r="G111" s="42">
        <v>13.6</v>
      </c>
      <c r="H111" s="42">
        <v>27.6</v>
      </c>
      <c r="I111" s="30">
        <f>+G111/H111</f>
        <v>0.49275362318840576</v>
      </c>
      <c r="J111" s="246" t="s">
        <v>476</v>
      </c>
      <c r="K111" s="34"/>
    </row>
    <row r="112" spans="1:11">
      <c r="A112" s="42" t="s">
        <v>388</v>
      </c>
      <c r="B112" s="267" t="s">
        <v>218</v>
      </c>
      <c r="C112" s="246" t="s">
        <v>390</v>
      </c>
      <c r="D112" s="108">
        <v>244.94</v>
      </c>
      <c r="E112" s="108">
        <v>243.99</v>
      </c>
      <c r="F112" s="201">
        <f t="shared" si="8"/>
        <v>244.465</v>
      </c>
      <c r="G112" s="42">
        <v>14.4</v>
      </c>
      <c r="H112" s="42">
        <v>30.5</v>
      </c>
      <c r="I112" s="30">
        <f>+G112/H112</f>
        <v>0.47213114754098362</v>
      </c>
      <c r="J112" s="246" t="s">
        <v>391</v>
      </c>
      <c r="K112" s="34"/>
    </row>
    <row r="113" spans="1:11">
      <c r="A113" s="248" t="s">
        <v>388</v>
      </c>
      <c r="B113" s="268" t="s">
        <v>218</v>
      </c>
      <c r="C113" s="256" t="s">
        <v>103</v>
      </c>
      <c r="D113" s="341">
        <v>244.94</v>
      </c>
      <c r="E113" s="341">
        <v>243.99</v>
      </c>
      <c r="F113" s="253">
        <f t="shared" si="8"/>
        <v>244.465</v>
      </c>
      <c r="G113" s="257">
        <f t="shared" ref="G113:I113" si="19">+AVERAGE(G111:G112)</f>
        <v>14</v>
      </c>
      <c r="H113" s="257">
        <f t="shared" si="19"/>
        <v>29.05</v>
      </c>
      <c r="I113" s="257">
        <f t="shared" si="19"/>
        <v>0.48244238536469469</v>
      </c>
      <c r="J113" s="249"/>
      <c r="K113" s="252"/>
    </row>
    <row r="114" spans="1:11">
      <c r="A114" s="42" t="s">
        <v>392</v>
      </c>
      <c r="B114" s="267" t="s">
        <v>184</v>
      </c>
      <c r="C114" s="246" t="s">
        <v>393</v>
      </c>
      <c r="D114" s="108">
        <v>237</v>
      </c>
      <c r="E114" s="108">
        <v>235.39</v>
      </c>
      <c r="F114" s="201">
        <f t="shared" si="8"/>
        <v>236.19499999999999</v>
      </c>
      <c r="G114" s="42">
        <v>73.2</v>
      </c>
      <c r="H114" s="42">
        <v>53</v>
      </c>
      <c r="I114" s="30">
        <f>+G114/H114</f>
        <v>1.3811320754716983</v>
      </c>
      <c r="J114" s="246" t="s">
        <v>475</v>
      </c>
      <c r="K114" s="34"/>
    </row>
    <row r="115" spans="1:11">
      <c r="A115" s="42" t="s">
        <v>392</v>
      </c>
      <c r="B115" s="267" t="s">
        <v>184</v>
      </c>
      <c r="C115" s="246" t="s">
        <v>394</v>
      </c>
      <c r="D115" s="108">
        <v>237</v>
      </c>
      <c r="E115" s="108">
        <v>235.39</v>
      </c>
      <c r="F115" s="201">
        <f t="shared" si="8"/>
        <v>236.19499999999999</v>
      </c>
      <c r="G115" s="42">
        <v>130</v>
      </c>
      <c r="H115" s="42">
        <v>85.6</v>
      </c>
      <c r="I115" s="30">
        <f>+G115/H115</f>
        <v>1.5186915887850467</v>
      </c>
      <c r="J115" s="246" t="s">
        <v>395</v>
      </c>
      <c r="K115" s="34"/>
    </row>
    <row r="116" spans="1:11">
      <c r="A116" s="248" t="s">
        <v>392</v>
      </c>
      <c r="B116" s="268" t="s">
        <v>184</v>
      </c>
      <c r="C116" s="256" t="s">
        <v>103</v>
      </c>
      <c r="D116" s="341">
        <v>237</v>
      </c>
      <c r="E116" s="341">
        <v>235.39</v>
      </c>
      <c r="F116" s="258">
        <f t="shared" si="8"/>
        <v>236.19499999999999</v>
      </c>
      <c r="G116" s="257">
        <f t="shared" ref="G116:I116" si="20">+AVERAGE(G114:G115)</f>
        <v>101.6</v>
      </c>
      <c r="H116" s="257">
        <f t="shared" si="20"/>
        <v>69.3</v>
      </c>
      <c r="I116" s="257">
        <f t="shared" si="20"/>
        <v>1.4499118321283726</v>
      </c>
      <c r="J116" s="249"/>
      <c r="K116" s="252"/>
    </row>
  </sheetData>
  <pageMargins left="0.7" right="0.7" top="0.75" bottom="0.75" header="0.3" footer="0.3"/>
  <pageSetup paperSize="9" scale="41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2F7A5-6B94-A844-94DC-175C8AE5C031}">
  <sheetPr>
    <pageSetUpPr fitToPage="1"/>
  </sheetPr>
  <dimension ref="A1:B73"/>
  <sheetViews>
    <sheetView workbookViewId="0">
      <selection activeCell="AC66" sqref="AC66"/>
    </sheetView>
  </sheetViews>
  <sheetFormatPr baseColWidth="10" defaultRowHeight="16"/>
  <cols>
    <col min="1" max="1" width="10.83203125" style="116"/>
  </cols>
  <sheetData>
    <row r="1" spans="2:2">
      <c r="B1" t="s">
        <v>477</v>
      </c>
    </row>
    <row r="2" spans="2:2">
      <c r="B2" t="s">
        <v>478</v>
      </c>
    </row>
    <row r="3" spans="2:2">
      <c r="B3" t="s">
        <v>479</v>
      </c>
    </row>
    <row r="4" spans="2:2">
      <c r="B4" t="s">
        <v>480</v>
      </c>
    </row>
    <row r="5" spans="2:2">
      <c r="B5" t="s">
        <v>481</v>
      </c>
    </row>
    <row r="6" spans="2:2">
      <c r="B6" t="s">
        <v>482</v>
      </c>
    </row>
    <row r="7" spans="2:2">
      <c r="B7" t="s">
        <v>483</v>
      </c>
    </row>
    <row r="8" spans="2:2">
      <c r="B8" t="s">
        <v>484</v>
      </c>
    </row>
    <row r="9" spans="2:2">
      <c r="B9" t="s">
        <v>485</v>
      </c>
    </row>
    <row r="10" spans="2:2">
      <c r="B10" t="s">
        <v>486</v>
      </c>
    </row>
    <row r="11" spans="2:2">
      <c r="B11" t="s">
        <v>487</v>
      </c>
    </row>
    <row r="12" spans="2:2">
      <c r="B12" t="s">
        <v>488</v>
      </c>
    </row>
    <row r="13" spans="2:2">
      <c r="B13" t="s">
        <v>489</v>
      </c>
    </row>
    <row r="14" spans="2:2">
      <c r="B14" t="s">
        <v>490</v>
      </c>
    </row>
    <row r="15" spans="2:2">
      <c r="B15" t="s">
        <v>491</v>
      </c>
    </row>
    <row r="16" spans="2:2">
      <c r="B16" t="s">
        <v>492</v>
      </c>
    </row>
    <row r="17" spans="2:2">
      <c r="B17" t="s">
        <v>493</v>
      </c>
    </row>
    <row r="18" spans="2:2">
      <c r="B18" t="s">
        <v>494</v>
      </c>
    </row>
    <row r="19" spans="2:2">
      <c r="B19" t="s">
        <v>495</v>
      </c>
    </row>
    <row r="20" spans="2:2">
      <c r="B20" t="s">
        <v>496</v>
      </c>
    </row>
    <row r="21" spans="2:2">
      <c r="B21" t="s">
        <v>497</v>
      </c>
    </row>
    <row r="22" spans="2:2">
      <c r="B22" t="s">
        <v>498</v>
      </c>
    </row>
    <row r="23" spans="2:2">
      <c r="B23" t="s">
        <v>499</v>
      </c>
    </row>
    <row r="24" spans="2:2">
      <c r="B24" t="s">
        <v>500</v>
      </c>
    </row>
    <row r="25" spans="2:2">
      <c r="B25" t="s">
        <v>501</v>
      </c>
    </row>
    <row r="26" spans="2:2">
      <c r="B26" t="s">
        <v>502</v>
      </c>
    </row>
    <row r="27" spans="2:2">
      <c r="B27" t="s">
        <v>503</v>
      </c>
    </row>
    <row r="28" spans="2:2">
      <c r="B28" t="s">
        <v>504</v>
      </c>
    </row>
    <row r="29" spans="2:2">
      <c r="B29" t="s">
        <v>505</v>
      </c>
    </row>
    <row r="30" spans="2:2">
      <c r="B30" t="s">
        <v>506</v>
      </c>
    </row>
    <row r="31" spans="2:2">
      <c r="B31" t="s">
        <v>507</v>
      </c>
    </row>
    <row r="32" spans="2:2">
      <c r="B32" t="s">
        <v>508</v>
      </c>
    </row>
    <row r="33" spans="2:2">
      <c r="B33" t="s">
        <v>509</v>
      </c>
    </row>
    <row r="34" spans="2:2">
      <c r="B34" t="s">
        <v>510</v>
      </c>
    </row>
    <row r="35" spans="2:2">
      <c r="B35" t="s">
        <v>511</v>
      </c>
    </row>
    <row r="36" spans="2:2">
      <c r="B36" t="s">
        <v>512</v>
      </c>
    </row>
    <row r="37" spans="2:2">
      <c r="B37" t="s">
        <v>513</v>
      </c>
    </row>
    <row r="38" spans="2:2">
      <c r="B38" t="s">
        <v>514</v>
      </c>
    </row>
    <row r="39" spans="2:2">
      <c r="B39" t="s">
        <v>515</v>
      </c>
    </row>
    <row r="40" spans="2:2">
      <c r="B40" t="s">
        <v>516</v>
      </c>
    </row>
    <row r="41" spans="2:2">
      <c r="B41" t="s">
        <v>517</v>
      </c>
    </row>
    <row r="42" spans="2:2">
      <c r="B42" t="s">
        <v>518</v>
      </c>
    </row>
    <row r="43" spans="2:2">
      <c r="B43" t="s">
        <v>519</v>
      </c>
    </row>
    <row r="44" spans="2:2">
      <c r="B44" t="s">
        <v>520</v>
      </c>
    </row>
    <row r="45" spans="2:2">
      <c r="B45" t="s">
        <v>521</v>
      </c>
    </row>
    <row r="46" spans="2:2">
      <c r="B46" t="s">
        <v>522</v>
      </c>
    </row>
    <row r="47" spans="2:2">
      <c r="B47" t="s">
        <v>523</v>
      </c>
    </row>
    <row r="48" spans="2:2">
      <c r="B48" t="s">
        <v>524</v>
      </c>
    </row>
    <row r="49" spans="2:2">
      <c r="B49" t="s">
        <v>525</v>
      </c>
    </row>
    <row r="50" spans="2:2">
      <c r="B50" t="s">
        <v>526</v>
      </c>
    </row>
    <row r="51" spans="2:2">
      <c r="B51" t="s">
        <v>527</v>
      </c>
    </row>
    <row r="52" spans="2:2">
      <c r="B52" t="s">
        <v>528</v>
      </c>
    </row>
    <row r="53" spans="2:2">
      <c r="B53" t="s">
        <v>529</v>
      </c>
    </row>
    <row r="54" spans="2:2">
      <c r="B54" t="s">
        <v>530</v>
      </c>
    </row>
    <row r="55" spans="2:2">
      <c r="B55" t="s">
        <v>531</v>
      </c>
    </row>
    <row r="56" spans="2:2">
      <c r="B56" t="s">
        <v>532</v>
      </c>
    </row>
    <row r="57" spans="2:2">
      <c r="B57" t="s">
        <v>533</v>
      </c>
    </row>
    <row r="58" spans="2:2">
      <c r="B58" t="s">
        <v>534</v>
      </c>
    </row>
    <row r="59" spans="2:2">
      <c r="B59" t="s">
        <v>535</v>
      </c>
    </row>
    <row r="60" spans="2:2">
      <c r="B60" t="s">
        <v>536</v>
      </c>
    </row>
    <row r="61" spans="2:2">
      <c r="B61" t="s">
        <v>537</v>
      </c>
    </row>
    <row r="62" spans="2:2">
      <c r="B62" t="s">
        <v>538</v>
      </c>
    </row>
    <row r="63" spans="2:2">
      <c r="B63" t="s">
        <v>539</v>
      </c>
    </row>
    <row r="64" spans="2:2">
      <c r="B64" t="s">
        <v>540</v>
      </c>
    </row>
    <row r="65" spans="2:2">
      <c r="B65" t="s">
        <v>541</v>
      </c>
    </row>
    <row r="66" spans="2:2">
      <c r="B66" t="s">
        <v>542</v>
      </c>
    </row>
    <row r="67" spans="2:2">
      <c r="B67" t="s">
        <v>543</v>
      </c>
    </row>
    <row r="68" spans="2:2">
      <c r="B68" t="s">
        <v>544</v>
      </c>
    </row>
    <row r="69" spans="2:2">
      <c r="B69" t="s">
        <v>545</v>
      </c>
    </row>
    <row r="70" spans="2:2">
      <c r="B70" t="s">
        <v>546</v>
      </c>
    </row>
    <row r="71" spans="2:2">
      <c r="B71" t="s">
        <v>547</v>
      </c>
    </row>
    <row r="72" spans="2:2">
      <c r="B72" t="s">
        <v>548</v>
      </c>
    </row>
    <row r="73" spans="2:2">
      <c r="B73" t="s">
        <v>549</v>
      </c>
    </row>
  </sheetData>
  <pageMargins left="0.7" right="0.7" top="0.75" bottom="0.75" header="0.3" footer="0.3"/>
  <pageSetup paperSize="9" scale="3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10</vt:i4>
      </vt:variant>
    </vt:vector>
  </HeadingPairs>
  <TitlesOfParts>
    <vt:vector size="21" baseType="lpstr">
      <vt:lpstr>Index</vt:lpstr>
      <vt:lpstr>1. Plesio-ichthyo-cetacean Drag</vt:lpstr>
      <vt:lpstr>2. Drag-to-vol_Same volume</vt:lpstr>
      <vt:lpstr>3. Drag-to-vol_Life-size</vt:lpstr>
      <vt:lpstr>4. Sensitivity flow parameters</vt:lpstr>
      <vt:lpstr>5. Variable NeckLength</vt:lpstr>
      <vt:lpstr>6. NeckThickness-sensit test</vt:lpstr>
      <vt:lpstr>7. Life-size_Neck-trunk effect</vt:lpstr>
      <vt:lpstr>8.Total length per taxon</vt:lpstr>
      <vt:lpstr>9. Sauropterygian Neck-Trunk</vt:lpstr>
      <vt:lpstr>10. References</vt:lpstr>
      <vt:lpstr>'1. Plesio-ichthyo-cetacean Drag'!Print_Area</vt:lpstr>
      <vt:lpstr>'10. References'!Print_Area</vt:lpstr>
      <vt:lpstr>'2. Drag-to-vol_Same volume'!Print_Area</vt:lpstr>
      <vt:lpstr>'3. Drag-to-vol_Life-size'!Print_Area</vt:lpstr>
      <vt:lpstr>'5. Variable NeckLength'!Print_Area</vt:lpstr>
      <vt:lpstr>'6. NeckThickness-sensit test'!Print_Area</vt:lpstr>
      <vt:lpstr>'7. Life-size_Neck-trunk effect'!Print_Area</vt:lpstr>
      <vt:lpstr>'8.Total length per taxon'!Print_Area</vt:lpstr>
      <vt:lpstr>'9. Sauropterygian Neck-Trunk'!Print_Area</vt:lpstr>
      <vt:lpstr>Index!Print_Area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Susana Gutarra Diaz</cp:lastModifiedBy>
  <cp:lastPrinted>2022-02-05T18:48:48Z</cp:lastPrinted>
  <dcterms:created xsi:type="dcterms:W3CDTF">2018-01-17T12:17:08Z</dcterms:created>
  <dcterms:modified xsi:type="dcterms:W3CDTF">2022-02-05T18:49:54Z</dcterms:modified>
</cp:coreProperties>
</file>